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1f5fe913bd258826/Pulpit/FBO/Wakacje kredytowe/"/>
    </mc:Choice>
  </mc:AlternateContent>
  <xr:revisionPtr revIDLastSave="0" documentId="8_{184E12EE-F0A5-436F-B753-2DCDE17CF7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ZĄDOWY PROGRAM" sheetId="17" r:id="rId1"/>
    <sheet name="listy" sheetId="10" state="hidden" r:id="rId2"/>
  </sheets>
  <definedNames>
    <definedName name="miesiace" localSheetId="0">OFFSET('RZĄDOWY PROGRAM'!#REF!,0,0,COUNTA('RZĄDOWY PROGRAM'!#REF!),1)+'RZĄDOWY PROGRAM'!#REF!</definedName>
    <definedName name="miesiace">OFFSET(#REF!,0,0,COUNTA(#REF!),1)+#REF!</definedName>
    <definedName name="osx" localSheetId="0">OFFSET('RZĄDOWY PROGRAM'!#REF!,0,0,COUNTA('RZĄDOWY PROGRAM'!#REF!),1)</definedName>
    <definedName name="osx">OFFSET(#REF!,0,0,COUNTA(#REF!),1)</definedName>
    <definedName name="osy" localSheetId="0">OFFSET('RZĄDOWY PROGRAM'!#REF!,0,0,COUNTA('RZĄDOWY PROGRAM'!#REF!),5)</definedName>
    <definedName name="osy">OFFSET(#REF!,0,0,COUNTA(#REF!),5)</definedName>
    <definedName name="raty" localSheetId="0">OFFSET('RZĄDOWY PROGRAM'!#REF!,0,0,COUNTA('RZĄDOWY PROGRAM'!#REF!),5)</definedName>
    <definedName name="raty">OFFSET(#REF!,0,0,COUNTA(#REF!),5)</definedName>
    <definedName name="wykres_kapital_1" localSheetId="0">OFFSET('RZĄDOWY PROGRAM'!#REF!,0,0,COUNT('RZĄDOWY PROGRAM'!#REF!),1)</definedName>
    <definedName name="wykres_kapital_1">OFFSET(#REF!,0,0,COUNT(#REF!),1)</definedName>
    <definedName name="wykres_kapital_2" localSheetId="0">OFFSET('RZĄDOWY PROGRAM'!#REF!,0,0,COUNT('RZĄDOWY PROGRAM'!#REF!),1)</definedName>
    <definedName name="wykres_kapital_2">OFFSET(#REF!,0,0,COUNT(#REF!),1)</definedName>
    <definedName name="wykres_kapital_3" localSheetId="0">OFFSET('RZĄDOWY PROGRAM'!#REF!,0,0,COUNT('RZĄDOWY PROGRAM'!#REF!),1)</definedName>
    <definedName name="wykres_kapital_3">OFFSET(#REF!,0,0,COUNT(#REF!),1)</definedName>
    <definedName name="wykres_kapital_4" localSheetId="0">OFFSET('RZĄDOWY PROGRAM'!#REF!,0,0,COUNT('RZĄDOWY PROGRAM'!#REF!),1)</definedName>
    <definedName name="wykres_kapital_4">OFFSET(#REF!,0,0,COUNT(#REF!),1)</definedName>
    <definedName name="wykres_kapital_5" localSheetId="0">OFFSET('RZĄDOWY PROGRAM'!#REF!,0,0,COUNT('RZĄDOWY PROGRAM'!#REF!),1)</definedName>
    <definedName name="wykres_kapital_5">OFFSET(#REF!,0,0,COUNT(#REF!),1)</definedName>
    <definedName name="wykres_kapital_6" localSheetId="0">OFFSET('RZĄDOWY PROGRAM'!#REF!,0,0,COUNT('RZĄDOWY PROGRAM'!#REF!),1)</definedName>
    <definedName name="wykres_kapital_6">OFFSET(#REF!,0,0,COUNT(#REF!),1)</definedName>
    <definedName name="wykres_raty_1" localSheetId="0">OFFSET('RZĄDOWY PROGRAM'!#REF!,0,0,COUNT('RZĄDOWY PROGRAM'!#REF!),1)</definedName>
    <definedName name="wykres_raty_1">OFFSET(#REF!,0,0,COUNT(#REF!),1)</definedName>
    <definedName name="wykres_raty_2" localSheetId="0">OFFSET('RZĄDOWY PROGRAM'!#REF!,0,0,COUNT('RZĄDOWY PROGRAM'!#REF!),1)</definedName>
    <definedName name="wykres_raty_2">OFFSET(#REF!,0,0,COUNT(#REF!),1)</definedName>
    <definedName name="wykres_raty_3" localSheetId="0">OFFSET('RZĄDOWY PROGRAM'!#REF!,0,0,COUNT('RZĄDOWY PROGRAM'!#REF!),1)</definedName>
    <definedName name="wykres_raty_3">OFFSET(#REF!,0,0,COUNT(#REF!),1)</definedName>
    <definedName name="wykres_raty_4" localSheetId="0">OFFSET('RZĄDOWY PROGRAM'!#REF!,0,0,COUNT('RZĄDOWY PROGRAM'!#REF!),1)</definedName>
    <definedName name="wykres_raty_4">OFFSET(#REF!,0,0,COUNT(#REF!),1)</definedName>
    <definedName name="wykres_raty_5" localSheetId="0">OFFSET('RZĄDOWY PROGRAM'!#REF!,0,0,COUNT('RZĄDOWY PROGRAM'!#REF!),1)</definedName>
    <definedName name="wykres_raty_5">OFFSET(#REF!,0,0,COUNT(#REF!),1)</definedName>
    <definedName name="wykres_raty_6" localSheetId="0">OFFSET('RZĄDOWY PROGRAM'!#REF!,0,0,COUNT('RZĄDOWY PROGRAM'!#REF!),1)</definedName>
    <definedName name="wykres_raty_6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6" i="17" l="1"/>
  <c r="O276" i="17"/>
  <c r="Q276" i="17" s="1"/>
  <c r="S276" i="17"/>
  <c r="U276" i="17"/>
  <c r="W276" i="17"/>
  <c r="X276" i="17"/>
  <c r="AB276" i="17"/>
  <c r="AE276" i="17"/>
  <c r="O277" i="17"/>
  <c r="B268" i="17"/>
  <c r="C268" i="17" s="1"/>
  <c r="D268" i="17"/>
  <c r="E268" i="17"/>
  <c r="G268" i="17"/>
  <c r="H268" i="17"/>
  <c r="K268" i="17"/>
  <c r="L268" i="17"/>
  <c r="I7" i="17"/>
  <c r="I6" i="17"/>
  <c r="I5" i="17"/>
  <c r="I4" i="17"/>
  <c r="O28" i="17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X39" i="17" s="1"/>
  <c r="T27" i="17"/>
  <c r="B28" i="17"/>
  <c r="AQ27" i="17"/>
  <c r="AG27" i="17"/>
  <c r="F27" i="17"/>
  <c r="F7" i="17"/>
  <c r="AJ276" i="17" l="1"/>
  <c r="AS276" i="17"/>
  <c r="AK276" i="17"/>
  <c r="AT276" i="17"/>
  <c r="AD276" i="17"/>
  <c r="AO276" i="17" s="1"/>
  <c r="AM276" i="17"/>
  <c r="AF276" i="17"/>
  <c r="AG276" i="17"/>
  <c r="AB277" i="17" s="1"/>
  <c r="AI276" i="17"/>
  <c r="AL276" i="17"/>
  <c r="AN276" i="17"/>
  <c r="AQ276" i="17"/>
  <c r="AR276" i="17"/>
  <c r="T277" i="17"/>
  <c r="U277" i="17"/>
  <c r="O278" i="17"/>
  <c r="N277" i="17"/>
  <c r="W277" i="17"/>
  <c r="Q277" i="17"/>
  <c r="Y277" i="17"/>
  <c r="R277" i="17"/>
  <c r="S277" i="17"/>
  <c r="V277" i="17"/>
  <c r="X277" i="17"/>
  <c r="Z277" i="17"/>
  <c r="AU276" i="17"/>
  <c r="V276" i="17"/>
  <c r="T276" i="17"/>
  <c r="Z276" i="17"/>
  <c r="R276" i="17"/>
  <c r="Y276" i="17"/>
  <c r="J268" i="17"/>
  <c r="A268" i="17"/>
  <c r="I268" i="17"/>
  <c r="F268" i="17"/>
  <c r="B269" i="17"/>
  <c r="X34" i="17"/>
  <c r="X33" i="17"/>
  <c r="X35" i="17"/>
  <c r="X32" i="17"/>
  <c r="X31" i="17"/>
  <c r="X38" i="17"/>
  <c r="X30" i="17"/>
  <c r="X37" i="17"/>
  <c r="X29" i="17"/>
  <c r="X36" i="17"/>
  <c r="X28" i="17"/>
  <c r="O40" i="17"/>
  <c r="X40" i="17" s="1"/>
  <c r="N29" i="17"/>
  <c r="N30" i="17" s="1"/>
  <c r="N31" i="17" s="1"/>
  <c r="N32" i="17" s="1"/>
  <c r="N33" i="17" s="1"/>
  <c r="N34" i="17" s="1"/>
  <c r="N35" i="17" s="1"/>
  <c r="N36" i="17" s="1"/>
  <c r="N37" i="17" s="1"/>
  <c r="N38" i="17" s="1"/>
  <c r="N39" i="17" s="1"/>
  <c r="N40" i="17" s="1"/>
  <c r="K28" i="17"/>
  <c r="Y28" i="17"/>
  <c r="U28" i="17"/>
  <c r="V28" i="17"/>
  <c r="J28" i="17"/>
  <c r="B29" i="17"/>
  <c r="AB28" i="17"/>
  <c r="G28" i="17"/>
  <c r="H28" i="17"/>
  <c r="AD277" i="17" l="1"/>
  <c r="AO277" i="17" s="1"/>
  <c r="AM277" i="17"/>
  <c r="AE277" i="17"/>
  <c r="AN277" i="17"/>
  <c r="AG277" i="17"/>
  <c r="AB278" i="17" s="1"/>
  <c r="AQ277" i="17"/>
  <c r="AJ277" i="17"/>
  <c r="AS277" i="17"/>
  <c r="AK277" i="17"/>
  <c r="AL277" i="17"/>
  <c r="AR277" i="17"/>
  <c r="AT277" i="17"/>
  <c r="AU277" i="17"/>
  <c r="AF277" i="17"/>
  <c r="AI277" i="17"/>
  <c r="N278" i="17"/>
  <c r="W278" i="17"/>
  <c r="X278" i="17"/>
  <c r="R278" i="17"/>
  <c r="Z278" i="17"/>
  <c r="T278" i="17"/>
  <c r="U278" i="17"/>
  <c r="V278" i="17"/>
  <c r="Y278" i="17"/>
  <c r="O279" i="17"/>
  <c r="Q278" i="17"/>
  <c r="S278" i="17"/>
  <c r="E269" i="17"/>
  <c r="J269" i="17"/>
  <c r="K269" i="17"/>
  <c r="A269" i="17"/>
  <c r="L269" i="17"/>
  <c r="H269" i="17"/>
  <c r="D269" i="17"/>
  <c r="F269" i="17"/>
  <c r="G269" i="17"/>
  <c r="I269" i="17"/>
  <c r="B270" i="17"/>
  <c r="C269" i="17"/>
  <c r="AQ28" i="17"/>
  <c r="AR28" i="17" s="1"/>
  <c r="AN28" i="17"/>
  <c r="AM28" i="17"/>
  <c r="A29" i="17"/>
  <c r="W28" i="17"/>
  <c r="AI28" i="17" s="1"/>
  <c r="O41" i="17"/>
  <c r="X41" i="17" s="1"/>
  <c r="Z28" i="17"/>
  <c r="L28" i="17"/>
  <c r="V29" i="17"/>
  <c r="U29" i="17"/>
  <c r="B30" i="17"/>
  <c r="J29" i="17"/>
  <c r="H29" i="17"/>
  <c r="G29" i="17"/>
  <c r="I28" i="17"/>
  <c r="AG278" i="17" l="1"/>
  <c r="AB279" i="17" s="1"/>
  <c r="AQ278" i="17"/>
  <c r="AI278" i="17"/>
  <c r="AR278" i="17"/>
  <c r="AK278" i="17"/>
  <c r="AT278" i="17"/>
  <c r="AD278" i="17"/>
  <c r="AO278" i="17" s="1"/>
  <c r="AM278" i="17"/>
  <c r="AN278" i="17"/>
  <c r="AS278" i="17"/>
  <c r="AU278" i="17"/>
  <c r="AE278" i="17"/>
  <c r="AF278" i="17"/>
  <c r="AJ278" i="17"/>
  <c r="AL278" i="17"/>
  <c r="R279" i="17"/>
  <c r="Z279" i="17"/>
  <c r="S279" i="17"/>
  <c r="U279" i="17"/>
  <c r="O280" i="17"/>
  <c r="N279" i="17"/>
  <c r="W279" i="17"/>
  <c r="X279" i="17"/>
  <c r="Y279" i="17"/>
  <c r="Q279" i="17"/>
  <c r="T279" i="17"/>
  <c r="V279" i="17"/>
  <c r="A270" i="17"/>
  <c r="I270" i="17"/>
  <c r="F270" i="17"/>
  <c r="B271" i="17"/>
  <c r="J270" i="17"/>
  <c r="K270" i="17"/>
  <c r="G270" i="17"/>
  <c r="H270" i="17"/>
  <c r="C270" i="17"/>
  <c r="D270" i="17"/>
  <c r="E270" i="17"/>
  <c r="L270" i="17"/>
  <c r="W29" i="17"/>
  <c r="AO28" i="17"/>
  <c r="I29" i="17"/>
  <c r="A30" i="17"/>
  <c r="O42" i="17"/>
  <c r="X42" i="17" s="1"/>
  <c r="N41" i="17"/>
  <c r="J30" i="17"/>
  <c r="H30" i="17"/>
  <c r="G30" i="17"/>
  <c r="B31" i="17"/>
  <c r="V30" i="17"/>
  <c r="U30" i="17"/>
  <c r="E28" i="17"/>
  <c r="U280" i="17" l="1"/>
  <c r="O281" i="17"/>
  <c r="V280" i="17"/>
  <c r="X280" i="17"/>
  <c r="R280" i="17"/>
  <c r="Z280" i="17"/>
  <c r="N280" i="17"/>
  <c r="Q280" i="17"/>
  <c r="S280" i="17"/>
  <c r="T280" i="17"/>
  <c r="W280" i="17"/>
  <c r="Y280" i="17"/>
  <c r="AK279" i="17"/>
  <c r="AT279" i="17"/>
  <c r="AL279" i="17"/>
  <c r="AU279" i="17"/>
  <c r="AE279" i="17"/>
  <c r="AN279" i="17"/>
  <c r="AG279" i="17"/>
  <c r="AB280" i="17" s="1"/>
  <c r="AQ279" i="17"/>
  <c r="AR279" i="17"/>
  <c r="AS279" i="17"/>
  <c r="AD279" i="17"/>
  <c r="AO279" i="17" s="1"/>
  <c r="AF279" i="17"/>
  <c r="AI279" i="17"/>
  <c r="AJ279" i="17"/>
  <c r="AM279" i="17"/>
  <c r="E271" i="17"/>
  <c r="J271" i="17"/>
  <c r="H271" i="17"/>
  <c r="I271" i="17"/>
  <c r="F271" i="17"/>
  <c r="B272" i="17"/>
  <c r="G271" i="17"/>
  <c r="K271" i="17"/>
  <c r="D271" i="17"/>
  <c r="A271" i="17"/>
  <c r="L271" i="17"/>
  <c r="C271" i="17"/>
  <c r="N42" i="17"/>
  <c r="W30" i="17"/>
  <c r="I30" i="17"/>
  <c r="G31" i="17"/>
  <c r="O43" i="17"/>
  <c r="X43" i="17" s="1"/>
  <c r="A31" i="17"/>
  <c r="H31" i="17"/>
  <c r="J31" i="17"/>
  <c r="B32" i="17"/>
  <c r="V31" i="17"/>
  <c r="U31" i="17"/>
  <c r="X281" i="17" l="1"/>
  <c r="Q281" i="17"/>
  <c r="Y281" i="17"/>
  <c r="U281" i="17"/>
  <c r="O282" i="17"/>
  <c r="N281" i="17"/>
  <c r="R281" i="17"/>
  <c r="S281" i="17"/>
  <c r="T281" i="17"/>
  <c r="V281" i="17"/>
  <c r="W281" i="17"/>
  <c r="Z281" i="17"/>
  <c r="AE280" i="17"/>
  <c r="AN280" i="17"/>
  <c r="AF280" i="17"/>
  <c r="AI280" i="17"/>
  <c r="AR280" i="17"/>
  <c r="AK280" i="17"/>
  <c r="AT280" i="17"/>
  <c r="AU280" i="17"/>
  <c r="AD280" i="17"/>
  <c r="AO280" i="17" s="1"/>
  <c r="AG280" i="17"/>
  <c r="AB281" i="17" s="1"/>
  <c r="AJ280" i="17"/>
  <c r="AL280" i="17"/>
  <c r="AM280" i="17"/>
  <c r="AQ280" i="17"/>
  <c r="AS280" i="17"/>
  <c r="A272" i="17"/>
  <c r="I272" i="17"/>
  <c r="F272" i="17"/>
  <c r="B273" i="17"/>
  <c r="G272" i="17"/>
  <c r="H272" i="17"/>
  <c r="D272" i="17"/>
  <c r="L272" i="17"/>
  <c r="J272" i="17"/>
  <c r="K272" i="17"/>
  <c r="C272" i="17"/>
  <c r="E272" i="17"/>
  <c r="B33" i="17"/>
  <c r="B34" i="17" s="1"/>
  <c r="I31" i="17"/>
  <c r="W31" i="17"/>
  <c r="H32" i="17"/>
  <c r="O44" i="17"/>
  <c r="X44" i="17" s="1"/>
  <c r="N43" i="17"/>
  <c r="A32" i="17"/>
  <c r="J32" i="17"/>
  <c r="G32" i="17"/>
  <c r="T28" i="17"/>
  <c r="V32" i="17"/>
  <c r="U32" i="17"/>
  <c r="AI281" i="17" l="1"/>
  <c r="AR281" i="17"/>
  <c r="AJ281" i="17"/>
  <c r="AS281" i="17"/>
  <c r="AE281" i="17"/>
  <c r="AN281" i="17"/>
  <c r="AQ281" i="17"/>
  <c r="AD281" i="17"/>
  <c r="AO281" i="17" s="1"/>
  <c r="AT281" i="17"/>
  <c r="AF281" i="17"/>
  <c r="AU281" i="17"/>
  <c r="AG281" i="17"/>
  <c r="AB282" i="17" s="1"/>
  <c r="AK281" i="17"/>
  <c r="AL281" i="17"/>
  <c r="AM281" i="17"/>
  <c r="S282" i="17"/>
  <c r="T282" i="17"/>
  <c r="X282" i="17"/>
  <c r="W282" i="17"/>
  <c r="Y282" i="17"/>
  <c r="Z282" i="17"/>
  <c r="N282" i="17"/>
  <c r="Q282" i="17"/>
  <c r="R282" i="17"/>
  <c r="O283" i="17"/>
  <c r="U282" i="17"/>
  <c r="V282" i="17"/>
  <c r="E273" i="17"/>
  <c r="J273" i="17"/>
  <c r="F273" i="17"/>
  <c r="G273" i="17"/>
  <c r="C273" i="17"/>
  <c r="B274" i="17"/>
  <c r="H273" i="17"/>
  <c r="A273" i="17"/>
  <c r="K273" i="17"/>
  <c r="D273" i="17"/>
  <c r="L273" i="17"/>
  <c r="I273" i="17"/>
  <c r="N44" i="17"/>
  <c r="G33" i="17"/>
  <c r="H33" i="17"/>
  <c r="J33" i="17"/>
  <c r="A33" i="17"/>
  <c r="I32" i="17"/>
  <c r="W32" i="17"/>
  <c r="O45" i="17"/>
  <c r="X45" i="17" s="1"/>
  <c r="J34" i="17"/>
  <c r="V33" i="17"/>
  <c r="U33" i="17"/>
  <c r="Y29" i="17"/>
  <c r="H34" i="17"/>
  <c r="G34" i="17"/>
  <c r="B35" i="17"/>
  <c r="AL282" i="17" l="1"/>
  <c r="AU282" i="17"/>
  <c r="AD282" i="17"/>
  <c r="AO282" i="17" s="1"/>
  <c r="AM282" i="17"/>
  <c r="AI282" i="17"/>
  <c r="AR282" i="17"/>
  <c r="AN282" i="17"/>
  <c r="AQ282" i="17"/>
  <c r="AE282" i="17"/>
  <c r="AS282" i="17"/>
  <c r="AF282" i="17"/>
  <c r="AT282" i="17"/>
  <c r="AG282" i="17"/>
  <c r="AB283" i="17" s="1"/>
  <c r="AJ282" i="17"/>
  <c r="AK282" i="17"/>
  <c r="V283" i="17"/>
  <c r="N283" i="17"/>
  <c r="W283" i="17"/>
  <c r="S283" i="17"/>
  <c r="T283" i="17"/>
  <c r="O284" i="17"/>
  <c r="U283" i="17"/>
  <c r="X283" i="17"/>
  <c r="Y283" i="17"/>
  <c r="Z283" i="17"/>
  <c r="Q283" i="17"/>
  <c r="R283" i="17"/>
  <c r="A274" i="17"/>
  <c r="I274" i="17"/>
  <c r="F274" i="17"/>
  <c r="B275" i="17"/>
  <c r="D274" i="17"/>
  <c r="E274" i="17"/>
  <c r="L274" i="17"/>
  <c r="K274" i="17"/>
  <c r="G274" i="17"/>
  <c r="H274" i="17"/>
  <c r="C274" i="17"/>
  <c r="J274" i="17"/>
  <c r="I33" i="17"/>
  <c r="A34" i="17"/>
  <c r="W33" i="17"/>
  <c r="Z29" i="17"/>
  <c r="O46" i="17"/>
  <c r="X46" i="17" s="1"/>
  <c r="N45" i="17"/>
  <c r="J35" i="17"/>
  <c r="U34" i="17"/>
  <c r="V34" i="17"/>
  <c r="I34" i="17"/>
  <c r="G35" i="17"/>
  <c r="B36" i="17"/>
  <c r="H35" i="17"/>
  <c r="AF283" i="17" l="1"/>
  <c r="AG283" i="17"/>
  <c r="AB284" i="17" s="1"/>
  <c r="AQ283" i="17"/>
  <c r="AL283" i="17"/>
  <c r="AU283" i="17"/>
  <c r="AJ283" i="17"/>
  <c r="AK283" i="17"/>
  <c r="AM283" i="17"/>
  <c r="AN283" i="17"/>
  <c r="AR283" i="17"/>
  <c r="AD283" i="17"/>
  <c r="AO283" i="17" s="1"/>
  <c r="AS283" i="17"/>
  <c r="AE283" i="17"/>
  <c r="AI283" i="17"/>
  <c r="AT283" i="17"/>
  <c r="Q284" i="17"/>
  <c r="Y284" i="17"/>
  <c r="R284" i="17"/>
  <c r="Z284" i="17"/>
  <c r="V284" i="17"/>
  <c r="S284" i="17"/>
  <c r="T284" i="17"/>
  <c r="O285" i="17"/>
  <c r="U284" i="17"/>
  <c r="W284" i="17"/>
  <c r="X284" i="17"/>
  <c r="N284" i="17"/>
  <c r="E275" i="17"/>
  <c r="J275" i="17"/>
  <c r="C275" i="17"/>
  <c r="B276" i="17"/>
  <c r="D275" i="17"/>
  <c r="K275" i="17"/>
  <c r="I275" i="17"/>
  <c r="L275" i="17"/>
  <c r="F275" i="17"/>
  <c r="G275" i="17"/>
  <c r="H275" i="17"/>
  <c r="A275" i="17"/>
  <c r="A35" i="17"/>
  <c r="A36" i="17" s="1"/>
  <c r="N46" i="17"/>
  <c r="W34" i="17"/>
  <c r="O47" i="17"/>
  <c r="X47" i="17" s="1"/>
  <c r="J36" i="17"/>
  <c r="T29" i="17"/>
  <c r="U35" i="17"/>
  <c r="V35" i="17"/>
  <c r="I35" i="17"/>
  <c r="B37" i="17"/>
  <c r="H36" i="17"/>
  <c r="G36" i="17"/>
  <c r="T285" i="17" l="1"/>
  <c r="U285" i="17"/>
  <c r="O286" i="17"/>
  <c r="Q285" i="17"/>
  <c r="Y285" i="17"/>
  <c r="Z285" i="17"/>
  <c r="N285" i="17"/>
  <c r="R285" i="17"/>
  <c r="S285" i="17"/>
  <c r="V285" i="17"/>
  <c r="W285" i="17"/>
  <c r="X285" i="17"/>
  <c r="AJ284" i="17"/>
  <c r="AS284" i="17"/>
  <c r="AK284" i="17"/>
  <c r="AT284" i="17"/>
  <c r="AF284" i="17"/>
  <c r="AE284" i="17"/>
  <c r="AU284" i="17"/>
  <c r="AG284" i="17"/>
  <c r="AB285" i="17" s="1"/>
  <c r="AI284" i="17"/>
  <c r="AL284" i="17"/>
  <c r="AM284" i="17"/>
  <c r="AN284" i="17"/>
  <c r="AQ284" i="17"/>
  <c r="AR284" i="17"/>
  <c r="AD284" i="17"/>
  <c r="AO284" i="17" s="1"/>
  <c r="A276" i="17"/>
  <c r="I276" i="17"/>
  <c r="F276" i="17"/>
  <c r="B277" i="17"/>
  <c r="L276" i="17"/>
  <c r="C276" i="17"/>
  <c r="J276" i="17"/>
  <c r="E276" i="17"/>
  <c r="D276" i="17"/>
  <c r="G276" i="17"/>
  <c r="H276" i="17"/>
  <c r="K276" i="17"/>
  <c r="W35" i="17"/>
  <c r="O48" i="17"/>
  <c r="X48" i="17" s="1"/>
  <c r="N47" i="17"/>
  <c r="A37" i="17"/>
  <c r="J37" i="17"/>
  <c r="S30" i="17"/>
  <c r="Y30" i="17"/>
  <c r="U36" i="17"/>
  <c r="V36" i="17"/>
  <c r="I36" i="17"/>
  <c r="B38" i="17"/>
  <c r="H37" i="17"/>
  <c r="G37" i="17"/>
  <c r="AD285" i="17" l="1"/>
  <c r="AO285" i="17" s="1"/>
  <c r="AM285" i="17"/>
  <c r="AE285" i="17"/>
  <c r="AN285" i="17"/>
  <c r="AJ285" i="17"/>
  <c r="AS285" i="17"/>
  <c r="AQ285" i="17"/>
  <c r="AR285" i="17"/>
  <c r="AF285" i="17"/>
  <c r="AT285" i="17"/>
  <c r="AG285" i="17"/>
  <c r="AB286" i="17" s="1"/>
  <c r="AU285" i="17"/>
  <c r="AI285" i="17"/>
  <c r="AK285" i="17"/>
  <c r="AL285" i="17"/>
  <c r="N286" i="17"/>
  <c r="W286" i="17"/>
  <c r="X286" i="17"/>
  <c r="T286" i="17"/>
  <c r="V286" i="17"/>
  <c r="Y286" i="17"/>
  <c r="Z286" i="17"/>
  <c r="Q286" i="17"/>
  <c r="R286" i="17"/>
  <c r="O287" i="17"/>
  <c r="S286" i="17"/>
  <c r="U286" i="17"/>
  <c r="E277" i="17"/>
  <c r="J277" i="17"/>
  <c r="K277" i="17"/>
  <c r="A277" i="17"/>
  <c r="L277" i="17"/>
  <c r="H277" i="17"/>
  <c r="I277" i="17"/>
  <c r="D277" i="17"/>
  <c r="F277" i="17"/>
  <c r="G277" i="17"/>
  <c r="B278" i="17"/>
  <c r="C277" i="17"/>
  <c r="N48" i="17"/>
  <c r="Z30" i="17"/>
  <c r="W36" i="17"/>
  <c r="O49" i="17"/>
  <c r="X49" i="17" s="1"/>
  <c r="A38" i="17"/>
  <c r="J38" i="17"/>
  <c r="V37" i="17"/>
  <c r="U37" i="17"/>
  <c r="I37" i="17"/>
  <c r="H38" i="17"/>
  <c r="G38" i="17"/>
  <c r="B39" i="17"/>
  <c r="R287" i="17" l="1"/>
  <c r="Z287" i="17"/>
  <c r="S287" i="17"/>
  <c r="N287" i="17"/>
  <c r="W287" i="17"/>
  <c r="T287" i="17"/>
  <c r="O288" i="17"/>
  <c r="U287" i="17"/>
  <c r="V287" i="17"/>
  <c r="X287" i="17"/>
  <c r="Y287" i="17"/>
  <c r="Q287" i="17"/>
  <c r="AG286" i="17"/>
  <c r="AB287" i="17" s="1"/>
  <c r="AQ286" i="17"/>
  <c r="AI286" i="17"/>
  <c r="AR286" i="17"/>
  <c r="AD286" i="17"/>
  <c r="AO286" i="17" s="1"/>
  <c r="AM286" i="17"/>
  <c r="AL286" i="17"/>
  <c r="AN286" i="17"/>
  <c r="AS286" i="17"/>
  <c r="AE286" i="17"/>
  <c r="AT286" i="17"/>
  <c r="AF286" i="17"/>
  <c r="AU286" i="17"/>
  <c r="AJ286" i="17"/>
  <c r="AK286" i="17"/>
  <c r="A278" i="17"/>
  <c r="I278" i="17"/>
  <c r="F278" i="17"/>
  <c r="B279" i="17"/>
  <c r="J278" i="17"/>
  <c r="K278" i="17"/>
  <c r="G278" i="17"/>
  <c r="H278" i="17"/>
  <c r="L278" i="17"/>
  <c r="D278" i="17"/>
  <c r="C278" i="17"/>
  <c r="E278" i="17"/>
  <c r="W37" i="17"/>
  <c r="O50" i="17"/>
  <c r="X50" i="17" s="1"/>
  <c r="N49" i="17"/>
  <c r="A39" i="17"/>
  <c r="J39" i="17"/>
  <c r="V38" i="17"/>
  <c r="U38" i="17"/>
  <c r="I38" i="17"/>
  <c r="G39" i="17"/>
  <c r="B40" i="17"/>
  <c r="H39" i="17"/>
  <c r="AK287" i="17" l="1"/>
  <c r="AT287" i="17"/>
  <c r="AL287" i="17"/>
  <c r="AU287" i="17"/>
  <c r="AG287" i="17"/>
  <c r="AB288" i="17" s="1"/>
  <c r="AQ287" i="17"/>
  <c r="AI287" i="17"/>
  <c r="AJ287" i="17"/>
  <c r="AM287" i="17"/>
  <c r="AN287" i="17"/>
  <c r="AD287" i="17"/>
  <c r="AO287" i="17" s="1"/>
  <c r="AR287" i="17"/>
  <c r="AE287" i="17"/>
  <c r="AF287" i="17"/>
  <c r="AS287" i="17"/>
  <c r="U288" i="17"/>
  <c r="O289" i="17"/>
  <c r="V288" i="17"/>
  <c r="R288" i="17"/>
  <c r="Z288" i="17"/>
  <c r="Q288" i="17"/>
  <c r="S288" i="17"/>
  <c r="T288" i="17"/>
  <c r="W288" i="17"/>
  <c r="X288" i="17"/>
  <c r="Y288" i="17"/>
  <c r="N288" i="17"/>
  <c r="E279" i="17"/>
  <c r="J279" i="17"/>
  <c r="H279" i="17"/>
  <c r="I279" i="17"/>
  <c r="F279" i="17"/>
  <c r="C279" i="17"/>
  <c r="B280" i="17"/>
  <c r="K279" i="17"/>
  <c r="L279" i="17"/>
  <c r="D279" i="17"/>
  <c r="G279" i="17"/>
  <c r="A279" i="17"/>
  <c r="N50" i="17"/>
  <c r="W38" i="17"/>
  <c r="O51" i="17"/>
  <c r="X51" i="17" s="1"/>
  <c r="A40" i="17"/>
  <c r="J40" i="17"/>
  <c r="V39" i="17"/>
  <c r="U39" i="17"/>
  <c r="I39" i="17"/>
  <c r="B41" i="17"/>
  <c r="H40" i="17"/>
  <c r="G40" i="17"/>
  <c r="AE288" i="17" l="1"/>
  <c r="AN288" i="17"/>
  <c r="AF288" i="17"/>
  <c r="AK288" i="17"/>
  <c r="AT288" i="17"/>
  <c r="AD288" i="17"/>
  <c r="AO288" i="17" s="1"/>
  <c r="AS288" i="17"/>
  <c r="AG288" i="17"/>
  <c r="AB289" i="17" s="1"/>
  <c r="AU288" i="17"/>
  <c r="AI288" i="17"/>
  <c r="AJ288" i="17"/>
  <c r="AL288" i="17"/>
  <c r="AM288" i="17"/>
  <c r="AQ288" i="17"/>
  <c r="AR288" i="17"/>
  <c r="X289" i="17"/>
  <c r="Q289" i="17"/>
  <c r="Y289" i="17"/>
  <c r="U289" i="17"/>
  <c r="O290" i="17"/>
  <c r="Z289" i="17"/>
  <c r="N289" i="17"/>
  <c r="R289" i="17"/>
  <c r="S289" i="17"/>
  <c r="T289" i="17"/>
  <c r="V289" i="17"/>
  <c r="W289" i="17"/>
  <c r="A280" i="17"/>
  <c r="I280" i="17"/>
  <c r="F280" i="17"/>
  <c r="B281" i="17"/>
  <c r="G280" i="17"/>
  <c r="H280" i="17"/>
  <c r="D280" i="17"/>
  <c r="J280" i="17"/>
  <c r="C280" i="17"/>
  <c r="K280" i="17"/>
  <c r="E280" i="17"/>
  <c r="L280" i="17"/>
  <c r="W39" i="17"/>
  <c r="O52" i="17"/>
  <c r="X52" i="17" s="1"/>
  <c r="N51" i="17"/>
  <c r="A41" i="17"/>
  <c r="J41" i="17"/>
  <c r="V40" i="17"/>
  <c r="U40" i="17"/>
  <c r="I40" i="17"/>
  <c r="B42" i="17"/>
  <c r="H41" i="17"/>
  <c r="G41" i="17"/>
  <c r="AI289" i="17" l="1"/>
  <c r="AR289" i="17"/>
  <c r="AJ289" i="17"/>
  <c r="AS289" i="17"/>
  <c r="AE289" i="17"/>
  <c r="AN289" i="17"/>
  <c r="AQ289" i="17"/>
  <c r="AD289" i="17"/>
  <c r="AO289" i="17" s="1"/>
  <c r="AT289" i="17"/>
  <c r="AF289" i="17"/>
  <c r="AU289" i="17"/>
  <c r="AG289" i="17"/>
  <c r="AB290" i="17" s="1"/>
  <c r="AK289" i="17"/>
  <c r="AL289" i="17"/>
  <c r="AM289" i="17"/>
  <c r="S290" i="17"/>
  <c r="T290" i="17"/>
  <c r="X290" i="17"/>
  <c r="V290" i="17"/>
  <c r="W290" i="17"/>
  <c r="Y290" i="17"/>
  <c r="Z290" i="17"/>
  <c r="N290" i="17"/>
  <c r="Q290" i="17"/>
  <c r="R290" i="17"/>
  <c r="U290" i="17"/>
  <c r="O291" i="17"/>
  <c r="E281" i="17"/>
  <c r="J281" i="17"/>
  <c r="F281" i="17"/>
  <c r="G281" i="17"/>
  <c r="C281" i="17"/>
  <c r="B282" i="17"/>
  <c r="L281" i="17"/>
  <c r="H281" i="17"/>
  <c r="I281" i="17"/>
  <c r="A281" i="17"/>
  <c r="D281" i="17"/>
  <c r="K281" i="17"/>
  <c r="W40" i="17"/>
  <c r="N52" i="17"/>
  <c r="O53" i="17"/>
  <c r="X53" i="17" s="1"/>
  <c r="A42" i="17"/>
  <c r="J42" i="17"/>
  <c r="V41" i="17"/>
  <c r="U41" i="17"/>
  <c r="I41" i="17"/>
  <c r="H42" i="17"/>
  <c r="G42" i="17"/>
  <c r="B43" i="17"/>
  <c r="AL290" i="17" l="1"/>
  <c r="AU290" i="17"/>
  <c r="AD290" i="17"/>
  <c r="AO290" i="17" s="1"/>
  <c r="AM290" i="17"/>
  <c r="AI290" i="17"/>
  <c r="AR290" i="17"/>
  <c r="AK290" i="17"/>
  <c r="AN290" i="17"/>
  <c r="AQ290" i="17"/>
  <c r="AE290" i="17"/>
  <c r="AS290" i="17"/>
  <c r="AF290" i="17"/>
  <c r="AT290" i="17"/>
  <c r="AG290" i="17"/>
  <c r="AB291" i="17" s="1"/>
  <c r="AJ290" i="17"/>
  <c r="V291" i="17"/>
  <c r="N291" i="17"/>
  <c r="W291" i="17"/>
  <c r="S291" i="17"/>
  <c r="R291" i="17"/>
  <c r="T291" i="17"/>
  <c r="O292" i="17"/>
  <c r="U291" i="17"/>
  <c r="X291" i="17"/>
  <c r="Y291" i="17"/>
  <c r="Z291" i="17"/>
  <c r="Q291" i="17"/>
  <c r="A282" i="17"/>
  <c r="I282" i="17"/>
  <c r="F282" i="17"/>
  <c r="B283" i="17"/>
  <c r="D282" i="17"/>
  <c r="E282" i="17"/>
  <c r="L282" i="17"/>
  <c r="K282" i="17"/>
  <c r="J282" i="17"/>
  <c r="C282" i="17"/>
  <c r="G282" i="17"/>
  <c r="H282" i="17"/>
  <c r="W41" i="17"/>
  <c r="O54" i="17"/>
  <c r="X54" i="17" s="1"/>
  <c r="N53" i="17"/>
  <c r="A43" i="17"/>
  <c r="J43" i="17"/>
  <c r="U42" i="17"/>
  <c r="V42" i="17"/>
  <c r="I42" i="17"/>
  <c r="G43" i="17"/>
  <c r="B44" i="17"/>
  <c r="H43" i="17"/>
  <c r="AF291" i="17" l="1"/>
  <c r="AG291" i="17"/>
  <c r="AB292" i="17" s="1"/>
  <c r="AQ291" i="17"/>
  <c r="AL291" i="17"/>
  <c r="AU291" i="17"/>
  <c r="AI291" i="17"/>
  <c r="AJ291" i="17"/>
  <c r="AK291" i="17"/>
  <c r="AM291" i="17"/>
  <c r="AN291" i="17"/>
  <c r="AR291" i="17"/>
  <c r="AS291" i="17"/>
  <c r="AT291" i="17"/>
  <c r="AD291" i="17"/>
  <c r="AO291" i="17" s="1"/>
  <c r="AE291" i="17"/>
  <c r="Q292" i="17"/>
  <c r="Y292" i="17"/>
  <c r="R292" i="17"/>
  <c r="Z292" i="17"/>
  <c r="V292" i="17"/>
  <c r="N292" i="17"/>
  <c r="S292" i="17"/>
  <c r="T292" i="17"/>
  <c r="O293" i="17"/>
  <c r="U292" i="17"/>
  <c r="W292" i="17"/>
  <c r="X292" i="17"/>
  <c r="E283" i="17"/>
  <c r="J283" i="17"/>
  <c r="C283" i="17"/>
  <c r="B284" i="17"/>
  <c r="D283" i="17"/>
  <c r="K283" i="17"/>
  <c r="G283" i="17"/>
  <c r="A283" i="17"/>
  <c r="F283" i="17"/>
  <c r="H283" i="17"/>
  <c r="I283" i="17"/>
  <c r="L283" i="17"/>
  <c r="W42" i="17"/>
  <c r="N54" i="17"/>
  <c r="A44" i="17"/>
  <c r="O55" i="17"/>
  <c r="X55" i="17" s="1"/>
  <c r="J44" i="17"/>
  <c r="V43" i="17"/>
  <c r="U43" i="17"/>
  <c r="I43" i="17"/>
  <c r="B45" i="17"/>
  <c r="H44" i="17"/>
  <c r="G44" i="17"/>
  <c r="T293" i="17" l="1"/>
  <c r="U293" i="17"/>
  <c r="O294" i="17"/>
  <c r="Q293" i="17"/>
  <c r="Y293" i="17"/>
  <c r="X293" i="17"/>
  <c r="Z293" i="17"/>
  <c r="N293" i="17"/>
  <c r="R293" i="17"/>
  <c r="S293" i="17"/>
  <c r="V293" i="17"/>
  <c r="W293" i="17"/>
  <c r="AJ292" i="17"/>
  <c r="AS292" i="17"/>
  <c r="AK292" i="17"/>
  <c r="AT292" i="17"/>
  <c r="AF292" i="17"/>
  <c r="AD292" i="17"/>
  <c r="AO292" i="17" s="1"/>
  <c r="AR292" i="17"/>
  <c r="AE292" i="17"/>
  <c r="AU292" i="17"/>
  <c r="AG292" i="17"/>
  <c r="AB293" i="17" s="1"/>
  <c r="AI292" i="17"/>
  <c r="AL292" i="17"/>
  <c r="AM292" i="17"/>
  <c r="AN292" i="17"/>
  <c r="AQ292" i="17"/>
  <c r="A284" i="17"/>
  <c r="I284" i="17"/>
  <c r="F284" i="17"/>
  <c r="B285" i="17"/>
  <c r="L284" i="17"/>
  <c r="C284" i="17"/>
  <c r="J284" i="17"/>
  <c r="K284" i="17"/>
  <c r="E284" i="17"/>
  <c r="G284" i="17"/>
  <c r="D284" i="17"/>
  <c r="H284" i="17"/>
  <c r="W43" i="17"/>
  <c r="A45" i="17"/>
  <c r="O56" i="17"/>
  <c r="X56" i="17" s="1"/>
  <c r="N55" i="17"/>
  <c r="J45" i="17"/>
  <c r="U44" i="17"/>
  <c r="V44" i="17"/>
  <c r="I44" i="17"/>
  <c r="B46" i="17"/>
  <c r="H45" i="17"/>
  <c r="G45" i="17"/>
  <c r="AD293" i="17" l="1"/>
  <c r="AO293" i="17" s="1"/>
  <c r="AM293" i="17"/>
  <c r="AE293" i="17"/>
  <c r="AN293" i="17"/>
  <c r="AJ293" i="17"/>
  <c r="AS293" i="17"/>
  <c r="AQ293" i="17"/>
  <c r="AR293" i="17"/>
  <c r="AF293" i="17"/>
  <c r="AT293" i="17"/>
  <c r="AG293" i="17"/>
  <c r="AB294" i="17" s="1"/>
  <c r="AU293" i="17"/>
  <c r="AI293" i="17"/>
  <c r="AK293" i="17"/>
  <c r="AL293" i="17"/>
  <c r="N294" i="17"/>
  <c r="W294" i="17"/>
  <c r="X294" i="17"/>
  <c r="T294" i="17"/>
  <c r="U294" i="17"/>
  <c r="V294" i="17"/>
  <c r="Y294" i="17"/>
  <c r="Z294" i="17"/>
  <c r="Q294" i="17"/>
  <c r="R294" i="17"/>
  <c r="S294" i="17"/>
  <c r="O295" i="17"/>
  <c r="E285" i="17"/>
  <c r="J285" i="17"/>
  <c r="K285" i="17"/>
  <c r="A285" i="17"/>
  <c r="L285" i="17"/>
  <c r="H285" i="17"/>
  <c r="I285" i="17"/>
  <c r="B286" i="17"/>
  <c r="D285" i="17"/>
  <c r="C285" i="17"/>
  <c r="F285" i="17"/>
  <c r="G285" i="17"/>
  <c r="N56" i="17"/>
  <c r="A46" i="17"/>
  <c r="O57" i="17"/>
  <c r="X57" i="17" s="1"/>
  <c r="W44" i="17"/>
  <c r="J46" i="17"/>
  <c r="V45" i="17"/>
  <c r="U45" i="17"/>
  <c r="I45" i="17"/>
  <c r="H46" i="17"/>
  <c r="G46" i="17"/>
  <c r="B47" i="17"/>
  <c r="R295" i="17" l="1"/>
  <c r="Z295" i="17"/>
  <c r="S295" i="17"/>
  <c r="N295" i="17"/>
  <c r="W295" i="17"/>
  <c r="Q295" i="17"/>
  <c r="T295" i="17"/>
  <c r="O296" i="17"/>
  <c r="U295" i="17"/>
  <c r="V295" i="17"/>
  <c r="X295" i="17"/>
  <c r="Y295" i="17"/>
  <c r="AG294" i="17"/>
  <c r="AB295" i="17" s="1"/>
  <c r="AQ294" i="17"/>
  <c r="AI294" i="17"/>
  <c r="AR294" i="17"/>
  <c r="AD294" i="17"/>
  <c r="AO294" i="17" s="1"/>
  <c r="AM294" i="17"/>
  <c r="AK294" i="17"/>
  <c r="AL294" i="17"/>
  <c r="AN294" i="17"/>
  <c r="AS294" i="17"/>
  <c r="AE294" i="17"/>
  <c r="AT294" i="17"/>
  <c r="AF294" i="17"/>
  <c r="AJ294" i="17"/>
  <c r="AU294" i="17"/>
  <c r="A286" i="17"/>
  <c r="I286" i="17"/>
  <c r="F286" i="17"/>
  <c r="B287" i="17"/>
  <c r="J286" i="17"/>
  <c r="K286" i="17"/>
  <c r="G286" i="17"/>
  <c r="D286" i="17"/>
  <c r="H286" i="17"/>
  <c r="L286" i="17"/>
  <c r="E286" i="17"/>
  <c r="C286" i="17"/>
  <c r="W45" i="17"/>
  <c r="O58" i="17"/>
  <c r="X58" i="17" s="1"/>
  <c r="A47" i="17"/>
  <c r="N57" i="17"/>
  <c r="J47" i="17"/>
  <c r="V46" i="17"/>
  <c r="U46" i="17"/>
  <c r="I46" i="17"/>
  <c r="G47" i="17"/>
  <c r="B48" i="17"/>
  <c r="H47" i="17"/>
  <c r="U296" i="17" l="1"/>
  <c r="O297" i="17"/>
  <c r="V296" i="17"/>
  <c r="R296" i="17"/>
  <c r="Z296" i="17"/>
  <c r="N296" i="17"/>
  <c r="Q296" i="17"/>
  <c r="S296" i="17"/>
  <c r="T296" i="17"/>
  <c r="W296" i="17"/>
  <c r="X296" i="17"/>
  <c r="Y296" i="17"/>
  <c r="AK295" i="17"/>
  <c r="AT295" i="17"/>
  <c r="AL295" i="17"/>
  <c r="AU295" i="17"/>
  <c r="AG295" i="17"/>
  <c r="AB296" i="17" s="1"/>
  <c r="AQ295" i="17"/>
  <c r="AF295" i="17"/>
  <c r="AI295" i="17"/>
  <c r="AJ295" i="17"/>
  <c r="AM295" i="17"/>
  <c r="AN295" i="17"/>
  <c r="AD295" i="17"/>
  <c r="AO295" i="17" s="1"/>
  <c r="AE295" i="17"/>
  <c r="AR295" i="17"/>
  <c r="AS295" i="17"/>
  <c r="E287" i="17"/>
  <c r="J287" i="17"/>
  <c r="H287" i="17"/>
  <c r="I287" i="17"/>
  <c r="F287" i="17"/>
  <c r="K287" i="17"/>
  <c r="C287" i="17"/>
  <c r="D287" i="17"/>
  <c r="G287" i="17"/>
  <c r="A287" i="17"/>
  <c r="L287" i="17"/>
  <c r="B288" i="17"/>
  <c r="W46" i="17"/>
  <c r="N58" i="17"/>
  <c r="A48" i="17"/>
  <c r="O59" i="17"/>
  <c r="X59" i="17" s="1"/>
  <c r="J48" i="17"/>
  <c r="V47" i="17"/>
  <c r="U47" i="17"/>
  <c r="I47" i="17"/>
  <c r="B49" i="17"/>
  <c r="H48" i="17"/>
  <c r="G48" i="17"/>
  <c r="X297" i="17" l="1"/>
  <c r="Q297" i="17"/>
  <c r="Y297" i="17"/>
  <c r="U297" i="17"/>
  <c r="O298" i="17"/>
  <c r="W297" i="17"/>
  <c r="Z297" i="17"/>
  <c r="N297" i="17"/>
  <c r="R297" i="17"/>
  <c r="S297" i="17"/>
  <c r="T297" i="17"/>
  <c r="V297" i="17"/>
  <c r="AE296" i="17"/>
  <c r="AN296" i="17"/>
  <c r="AF296" i="17"/>
  <c r="AK296" i="17"/>
  <c r="AT296" i="17"/>
  <c r="AR296" i="17"/>
  <c r="AD296" i="17"/>
  <c r="AO296" i="17" s="1"/>
  <c r="AS296" i="17"/>
  <c r="AG296" i="17"/>
  <c r="AB297" i="17" s="1"/>
  <c r="AU296" i="17"/>
  <c r="AI296" i="17"/>
  <c r="AJ296" i="17"/>
  <c r="AL296" i="17"/>
  <c r="AM296" i="17"/>
  <c r="AQ296" i="17"/>
  <c r="A288" i="17"/>
  <c r="I288" i="17"/>
  <c r="F288" i="17"/>
  <c r="B289" i="17"/>
  <c r="G288" i="17"/>
  <c r="H288" i="17"/>
  <c r="D288" i="17"/>
  <c r="J288" i="17"/>
  <c r="K288" i="17"/>
  <c r="L288" i="17"/>
  <c r="C288" i="17"/>
  <c r="E288" i="17"/>
  <c r="N59" i="17"/>
  <c r="W47" i="17"/>
  <c r="O60" i="17"/>
  <c r="X60" i="17" s="1"/>
  <c r="A49" i="17"/>
  <c r="J49" i="17"/>
  <c r="V48" i="17"/>
  <c r="U48" i="17"/>
  <c r="I48" i="17"/>
  <c r="B50" i="17"/>
  <c r="H49" i="17"/>
  <c r="G49" i="17"/>
  <c r="T298" i="17" l="1"/>
  <c r="X298" i="17"/>
  <c r="R298" i="17"/>
  <c r="S298" i="17"/>
  <c r="U298" i="17"/>
  <c r="V298" i="17"/>
  <c r="W298" i="17"/>
  <c r="O299" i="17"/>
  <c r="Y298" i="17"/>
  <c r="N298" i="17"/>
  <c r="Q298" i="17"/>
  <c r="Z298" i="17"/>
  <c r="AI297" i="17"/>
  <c r="AJ297" i="17"/>
  <c r="AS297" i="17"/>
  <c r="AE297" i="17"/>
  <c r="AN297" i="17"/>
  <c r="AM297" i="17"/>
  <c r="AQ297" i="17"/>
  <c r="AD297" i="17"/>
  <c r="AO297" i="17" s="1"/>
  <c r="AR297" i="17"/>
  <c r="AF297" i="17"/>
  <c r="AT297" i="17"/>
  <c r="AG297" i="17"/>
  <c r="AB298" i="17" s="1"/>
  <c r="AU297" i="17"/>
  <c r="AK297" i="17"/>
  <c r="AL297" i="17"/>
  <c r="E289" i="17"/>
  <c r="J289" i="17"/>
  <c r="F289" i="17"/>
  <c r="G289" i="17"/>
  <c r="C289" i="17"/>
  <c r="B290" i="17"/>
  <c r="A289" i="17"/>
  <c r="L289" i="17"/>
  <c r="I289" i="17"/>
  <c r="D289" i="17"/>
  <c r="H289" i="17"/>
  <c r="K289" i="17"/>
  <c r="W48" i="17"/>
  <c r="A50" i="17"/>
  <c r="O61" i="17"/>
  <c r="X61" i="17" s="1"/>
  <c r="N60" i="17"/>
  <c r="J50" i="17"/>
  <c r="V49" i="17"/>
  <c r="U49" i="17"/>
  <c r="I49" i="17"/>
  <c r="H50" i="17"/>
  <c r="G50" i="17"/>
  <c r="B51" i="17"/>
  <c r="AD298" i="17" l="1"/>
  <c r="AO298" i="17" s="1"/>
  <c r="AM298" i="17"/>
  <c r="AI298" i="17"/>
  <c r="AR298" i="17"/>
  <c r="AE298" i="17"/>
  <c r="AQ298" i="17"/>
  <c r="AF298" i="17"/>
  <c r="AS298" i="17"/>
  <c r="AG298" i="17"/>
  <c r="AB299" i="17" s="1"/>
  <c r="AT298" i="17"/>
  <c r="AJ298" i="17"/>
  <c r="AU298" i="17"/>
  <c r="AK298" i="17"/>
  <c r="AL298" i="17"/>
  <c r="AN298" i="17"/>
  <c r="N299" i="17"/>
  <c r="W299" i="17"/>
  <c r="S299" i="17"/>
  <c r="U299" i="17"/>
  <c r="V299" i="17"/>
  <c r="X299" i="17"/>
  <c r="Y299" i="17"/>
  <c r="Z299" i="17"/>
  <c r="Q299" i="17"/>
  <c r="O300" i="17"/>
  <c r="R299" i="17"/>
  <c r="T299" i="17"/>
  <c r="A290" i="17"/>
  <c r="I290" i="17"/>
  <c r="F290" i="17"/>
  <c r="B291" i="17"/>
  <c r="D290" i="17"/>
  <c r="E290" i="17"/>
  <c r="L290" i="17"/>
  <c r="H290" i="17"/>
  <c r="C290" i="17"/>
  <c r="G290" i="17"/>
  <c r="J290" i="17"/>
  <c r="K290" i="17"/>
  <c r="N61" i="17"/>
  <c r="W49" i="17"/>
  <c r="O62" i="17"/>
  <c r="X62" i="17" s="1"/>
  <c r="A51" i="17"/>
  <c r="J51" i="17"/>
  <c r="U50" i="17"/>
  <c r="V50" i="17"/>
  <c r="I50" i="17"/>
  <c r="G51" i="17"/>
  <c r="B52" i="17"/>
  <c r="H51" i="17"/>
  <c r="R300" i="17" l="1"/>
  <c r="Z300" i="17"/>
  <c r="S300" i="17"/>
  <c r="T300" i="17"/>
  <c r="U300" i="17"/>
  <c r="O301" i="17"/>
  <c r="V300" i="17"/>
  <c r="N300" i="17"/>
  <c r="W300" i="17"/>
  <c r="Q300" i="17"/>
  <c r="X300" i="17"/>
  <c r="Y300" i="17"/>
  <c r="AG299" i="17"/>
  <c r="AB300" i="17" s="1"/>
  <c r="AQ299" i="17"/>
  <c r="AI299" i="17"/>
  <c r="AR299" i="17"/>
  <c r="AJ299" i="17"/>
  <c r="AS299" i="17"/>
  <c r="AK299" i="17"/>
  <c r="AT299" i="17"/>
  <c r="AL299" i="17"/>
  <c r="AU299" i="17"/>
  <c r="AD299" i="17"/>
  <c r="AO299" i="17" s="1"/>
  <c r="AM299" i="17"/>
  <c r="AE299" i="17"/>
  <c r="AF299" i="17"/>
  <c r="AN299" i="17"/>
  <c r="E291" i="17"/>
  <c r="J291" i="17"/>
  <c r="C291" i="17"/>
  <c r="B292" i="17"/>
  <c r="D291" i="17"/>
  <c r="K291" i="17"/>
  <c r="L291" i="17"/>
  <c r="G291" i="17"/>
  <c r="H291" i="17"/>
  <c r="A291" i="17"/>
  <c r="F291" i="17"/>
  <c r="I291" i="17"/>
  <c r="A52" i="17"/>
  <c r="W50" i="17"/>
  <c r="O63" i="17"/>
  <c r="X63" i="17" s="1"/>
  <c r="N62" i="17"/>
  <c r="J52" i="17"/>
  <c r="V51" i="17"/>
  <c r="U51" i="17"/>
  <c r="I51" i="17"/>
  <c r="B53" i="17"/>
  <c r="H52" i="17"/>
  <c r="G52" i="17"/>
  <c r="U301" i="17" l="1"/>
  <c r="O302" i="17"/>
  <c r="V301" i="17"/>
  <c r="N301" i="17"/>
  <c r="W301" i="17"/>
  <c r="X301" i="17"/>
  <c r="Q301" i="17"/>
  <c r="Y301" i="17"/>
  <c r="R301" i="17"/>
  <c r="Z301" i="17"/>
  <c r="S301" i="17"/>
  <c r="T301" i="17"/>
  <c r="AK300" i="17"/>
  <c r="AT300" i="17"/>
  <c r="AL300" i="17"/>
  <c r="AU300" i="17"/>
  <c r="AD300" i="17"/>
  <c r="AO300" i="17" s="1"/>
  <c r="AM300" i="17"/>
  <c r="AE300" i="17"/>
  <c r="AN300" i="17"/>
  <c r="AF300" i="17"/>
  <c r="AG300" i="17"/>
  <c r="AB301" i="17" s="1"/>
  <c r="AQ300" i="17"/>
  <c r="AI300" i="17"/>
  <c r="AJ300" i="17"/>
  <c r="AR300" i="17"/>
  <c r="AS300" i="17"/>
  <c r="A292" i="17"/>
  <c r="I292" i="17"/>
  <c r="F292" i="17"/>
  <c r="B293" i="17"/>
  <c r="L292" i="17"/>
  <c r="C292" i="17"/>
  <c r="J292" i="17"/>
  <c r="K292" i="17"/>
  <c r="D292" i="17"/>
  <c r="E292" i="17"/>
  <c r="G292" i="17"/>
  <c r="H292" i="17"/>
  <c r="W51" i="17"/>
  <c r="N63" i="17"/>
  <c r="A53" i="17"/>
  <c r="O64" i="17"/>
  <c r="X64" i="17" s="1"/>
  <c r="J53" i="17"/>
  <c r="U52" i="17"/>
  <c r="V52" i="17"/>
  <c r="I52" i="17"/>
  <c r="B54" i="17"/>
  <c r="H53" i="17"/>
  <c r="G53" i="17"/>
  <c r="AE301" i="17" l="1"/>
  <c r="AN301" i="17"/>
  <c r="AF301" i="17"/>
  <c r="AG301" i="17"/>
  <c r="AB302" i="17" s="1"/>
  <c r="AQ301" i="17"/>
  <c r="AI301" i="17"/>
  <c r="AR301" i="17"/>
  <c r="AJ301" i="17"/>
  <c r="AS301" i="17"/>
  <c r="AK301" i="17"/>
  <c r="AT301" i="17"/>
  <c r="AD301" i="17"/>
  <c r="AO301" i="17" s="1"/>
  <c r="AL301" i="17"/>
  <c r="AM301" i="17"/>
  <c r="AU301" i="17"/>
  <c r="X302" i="17"/>
  <c r="Q302" i="17"/>
  <c r="Y302" i="17"/>
  <c r="R302" i="17"/>
  <c r="Z302" i="17"/>
  <c r="S302" i="17"/>
  <c r="T302" i="17"/>
  <c r="U302" i="17"/>
  <c r="O303" i="17"/>
  <c r="V302" i="17"/>
  <c r="W302" i="17"/>
  <c r="N302" i="17"/>
  <c r="E293" i="17"/>
  <c r="J293" i="17"/>
  <c r="K293" i="17"/>
  <c r="A293" i="17"/>
  <c r="L293" i="17"/>
  <c r="H293" i="17"/>
  <c r="F293" i="17"/>
  <c r="C293" i="17"/>
  <c r="G293" i="17"/>
  <c r="I293" i="17"/>
  <c r="B294" i="17"/>
  <c r="D293" i="17"/>
  <c r="N64" i="17"/>
  <c r="O65" i="17"/>
  <c r="W52" i="17"/>
  <c r="A54" i="17"/>
  <c r="J54" i="17"/>
  <c r="V53" i="17"/>
  <c r="U53" i="17"/>
  <c r="I53" i="17"/>
  <c r="H54" i="17"/>
  <c r="G54" i="17"/>
  <c r="B55" i="17"/>
  <c r="S303" i="17" l="1"/>
  <c r="T303" i="17"/>
  <c r="U303" i="17"/>
  <c r="O304" i="17"/>
  <c r="N303" i="17"/>
  <c r="W303" i="17"/>
  <c r="X303" i="17"/>
  <c r="V303" i="17"/>
  <c r="Y303" i="17"/>
  <c r="Z303" i="17"/>
  <c r="Q303" i="17"/>
  <c r="R303" i="17"/>
  <c r="AI302" i="17"/>
  <c r="AR302" i="17"/>
  <c r="AJ302" i="17"/>
  <c r="AS302" i="17"/>
  <c r="AK302" i="17"/>
  <c r="AT302" i="17"/>
  <c r="AL302" i="17"/>
  <c r="AU302" i="17"/>
  <c r="AD302" i="17"/>
  <c r="AO302" i="17" s="1"/>
  <c r="AM302" i="17"/>
  <c r="AE302" i="17"/>
  <c r="AN302" i="17"/>
  <c r="AF302" i="17"/>
  <c r="AG302" i="17"/>
  <c r="AB303" i="17" s="1"/>
  <c r="AQ302" i="17"/>
  <c r="A294" i="17"/>
  <c r="I294" i="17"/>
  <c r="F294" i="17"/>
  <c r="B295" i="17"/>
  <c r="J294" i="17"/>
  <c r="K294" i="17"/>
  <c r="G294" i="17"/>
  <c r="L294" i="17"/>
  <c r="D294" i="17"/>
  <c r="E294" i="17"/>
  <c r="C294" i="17"/>
  <c r="H294" i="17"/>
  <c r="W53" i="17"/>
  <c r="N65" i="17"/>
  <c r="X65" i="17"/>
  <c r="A55" i="17"/>
  <c r="O66" i="17"/>
  <c r="X66" i="17" s="1"/>
  <c r="J55" i="17"/>
  <c r="V54" i="17"/>
  <c r="U54" i="17"/>
  <c r="I54" i="17"/>
  <c r="G55" i="17"/>
  <c r="B56" i="17"/>
  <c r="H55" i="17"/>
  <c r="V304" i="17" l="1"/>
  <c r="N304" i="17"/>
  <c r="W304" i="17"/>
  <c r="X304" i="17"/>
  <c r="R304" i="17"/>
  <c r="Z304" i="17"/>
  <c r="S304" i="17"/>
  <c r="O305" i="17"/>
  <c r="Q304" i="17"/>
  <c r="T304" i="17"/>
  <c r="U304" i="17"/>
  <c r="Y304" i="17"/>
  <c r="AL303" i="17"/>
  <c r="AU303" i="17"/>
  <c r="AD303" i="17"/>
  <c r="AO303" i="17" s="1"/>
  <c r="AM303" i="17"/>
  <c r="AE303" i="17"/>
  <c r="AN303" i="17"/>
  <c r="AG303" i="17"/>
  <c r="AB304" i="17" s="1"/>
  <c r="AQ303" i="17"/>
  <c r="AI303" i="17"/>
  <c r="AR303" i="17"/>
  <c r="AT303" i="17"/>
  <c r="AF303" i="17"/>
  <c r="AJ303" i="17"/>
  <c r="AK303" i="17"/>
  <c r="AS303" i="17"/>
  <c r="E295" i="17"/>
  <c r="J295" i="17"/>
  <c r="H295" i="17"/>
  <c r="I295" i="17"/>
  <c r="F295" i="17"/>
  <c r="K295" i="17"/>
  <c r="L295" i="17"/>
  <c r="G295" i="17"/>
  <c r="B296" i="17"/>
  <c r="D295" i="17"/>
  <c r="A295" i="17"/>
  <c r="C295" i="17"/>
  <c r="W54" i="17"/>
  <c r="A56" i="17"/>
  <c r="O67" i="17"/>
  <c r="X67" i="17" s="1"/>
  <c r="N66" i="17"/>
  <c r="J56" i="17"/>
  <c r="V55" i="17"/>
  <c r="U55" i="17"/>
  <c r="I55" i="17"/>
  <c r="B57" i="17"/>
  <c r="H56" i="17"/>
  <c r="G56" i="17"/>
  <c r="Q305" i="17" l="1"/>
  <c r="Y305" i="17"/>
  <c r="S305" i="17"/>
  <c r="R305" i="17"/>
  <c r="T305" i="17"/>
  <c r="U305" i="17"/>
  <c r="V305" i="17"/>
  <c r="W305" i="17"/>
  <c r="O306" i="17"/>
  <c r="X305" i="17"/>
  <c r="N305" i="17"/>
  <c r="Z305" i="17"/>
  <c r="AF304" i="17"/>
  <c r="AG304" i="17"/>
  <c r="AB305" i="17" s="1"/>
  <c r="AI304" i="17"/>
  <c r="AR304" i="17"/>
  <c r="AL304" i="17"/>
  <c r="AK304" i="17"/>
  <c r="AM304" i="17"/>
  <c r="AN304" i="17"/>
  <c r="AQ304" i="17"/>
  <c r="AS304" i="17"/>
  <c r="AD304" i="17"/>
  <c r="AO304" i="17" s="1"/>
  <c r="AT304" i="17"/>
  <c r="AE304" i="17"/>
  <c r="AU304" i="17"/>
  <c r="AJ304" i="17"/>
  <c r="A296" i="17"/>
  <c r="I296" i="17"/>
  <c r="F296" i="17"/>
  <c r="B297" i="17"/>
  <c r="G296" i="17"/>
  <c r="H296" i="17"/>
  <c r="D296" i="17"/>
  <c r="C296" i="17"/>
  <c r="J296" i="17"/>
  <c r="K296" i="17"/>
  <c r="E296" i="17"/>
  <c r="L296" i="17"/>
  <c r="W55" i="17"/>
  <c r="N67" i="17"/>
  <c r="O68" i="17"/>
  <c r="X68" i="17" s="1"/>
  <c r="A57" i="17"/>
  <c r="J57" i="17"/>
  <c r="V56" i="17"/>
  <c r="U56" i="17"/>
  <c r="I56" i="17"/>
  <c r="B58" i="17"/>
  <c r="H57" i="17"/>
  <c r="G57" i="17"/>
  <c r="AJ305" i="17" l="1"/>
  <c r="AS305" i="17"/>
  <c r="AL305" i="17"/>
  <c r="AU305" i="17"/>
  <c r="AD305" i="17"/>
  <c r="AO305" i="17" s="1"/>
  <c r="AE305" i="17"/>
  <c r="AQ305" i="17"/>
  <c r="AF305" i="17"/>
  <c r="AR305" i="17"/>
  <c r="AG305" i="17"/>
  <c r="AB306" i="17" s="1"/>
  <c r="AT305" i="17"/>
  <c r="AI305" i="17"/>
  <c r="AK305" i="17"/>
  <c r="AM305" i="17"/>
  <c r="AN305" i="17"/>
  <c r="T306" i="17"/>
  <c r="V306" i="17"/>
  <c r="S306" i="17"/>
  <c r="U306" i="17"/>
  <c r="W306" i="17"/>
  <c r="X306" i="17"/>
  <c r="O307" i="17"/>
  <c r="N306" i="17"/>
  <c r="Y306" i="17"/>
  <c r="Z306" i="17"/>
  <c r="Q306" i="17"/>
  <c r="R306" i="17"/>
  <c r="E297" i="17"/>
  <c r="J297" i="17"/>
  <c r="F297" i="17"/>
  <c r="G297" i="17"/>
  <c r="C297" i="17"/>
  <c r="B298" i="17"/>
  <c r="I297" i="17"/>
  <c r="A297" i="17"/>
  <c r="D297" i="17"/>
  <c r="L297" i="17"/>
  <c r="H297" i="17"/>
  <c r="K297" i="17"/>
  <c r="W56" i="17"/>
  <c r="O69" i="17"/>
  <c r="X69" i="17" s="1"/>
  <c r="A58" i="17"/>
  <c r="N68" i="17"/>
  <c r="J58" i="17"/>
  <c r="U57" i="17"/>
  <c r="V57" i="17"/>
  <c r="I57" i="17"/>
  <c r="H58" i="17"/>
  <c r="G58" i="17"/>
  <c r="B59" i="17"/>
  <c r="N307" i="17" l="1"/>
  <c r="W307" i="17"/>
  <c r="Q307" i="17"/>
  <c r="Y307" i="17"/>
  <c r="V307" i="17"/>
  <c r="X307" i="17"/>
  <c r="O308" i="17"/>
  <c r="Z307" i="17"/>
  <c r="R307" i="17"/>
  <c r="S307" i="17"/>
  <c r="T307" i="17"/>
  <c r="U307" i="17"/>
  <c r="AD306" i="17"/>
  <c r="AO306" i="17" s="1"/>
  <c r="AM306" i="17"/>
  <c r="AF306" i="17"/>
  <c r="AG306" i="17"/>
  <c r="AB307" i="17" s="1"/>
  <c r="AS306" i="17"/>
  <c r="AI306" i="17"/>
  <c r="AT306" i="17"/>
  <c r="AJ306" i="17"/>
  <c r="AU306" i="17"/>
  <c r="AK306" i="17"/>
  <c r="AL306" i="17"/>
  <c r="AN306" i="17"/>
  <c r="AQ306" i="17"/>
  <c r="AE306" i="17"/>
  <c r="AR306" i="17"/>
  <c r="A298" i="17"/>
  <c r="I298" i="17"/>
  <c r="F298" i="17"/>
  <c r="B299" i="17"/>
  <c r="D298" i="17"/>
  <c r="E298" i="17"/>
  <c r="L298" i="17"/>
  <c r="H298" i="17"/>
  <c r="J298" i="17"/>
  <c r="K298" i="17"/>
  <c r="C298" i="17"/>
  <c r="G298" i="17"/>
  <c r="N69" i="17"/>
  <c r="W57" i="17"/>
  <c r="A59" i="17"/>
  <c r="O70" i="17"/>
  <c r="X70" i="17" s="1"/>
  <c r="J59" i="17"/>
  <c r="V58" i="17"/>
  <c r="U58" i="17"/>
  <c r="I58" i="17"/>
  <c r="G59" i="17"/>
  <c r="B60" i="17"/>
  <c r="H59" i="17"/>
  <c r="R308" i="17" l="1"/>
  <c r="Z308" i="17"/>
  <c r="T308" i="17"/>
  <c r="N308" i="17"/>
  <c r="Y308" i="17"/>
  <c r="O309" i="17"/>
  <c r="Q308" i="17"/>
  <c r="S308" i="17"/>
  <c r="U308" i="17"/>
  <c r="V308" i="17"/>
  <c r="W308" i="17"/>
  <c r="X308" i="17"/>
  <c r="AG307" i="17"/>
  <c r="AB308" i="17" s="1"/>
  <c r="AQ307" i="17"/>
  <c r="AJ307" i="17"/>
  <c r="AS307" i="17"/>
  <c r="AK307" i="17"/>
  <c r="AL307" i="17"/>
  <c r="AM307" i="17"/>
  <c r="AN307" i="17"/>
  <c r="AD307" i="17"/>
  <c r="AO307" i="17" s="1"/>
  <c r="AE307" i="17"/>
  <c r="AR307" i="17"/>
  <c r="AF307" i="17"/>
  <c r="AT307" i="17"/>
  <c r="AI307" i="17"/>
  <c r="AU307" i="17"/>
  <c r="E299" i="17"/>
  <c r="J299" i="17"/>
  <c r="C299" i="17"/>
  <c r="B300" i="17"/>
  <c r="D299" i="17"/>
  <c r="K299" i="17"/>
  <c r="A299" i="17"/>
  <c r="L299" i="17"/>
  <c r="G299" i="17"/>
  <c r="H299" i="17"/>
  <c r="I299" i="17"/>
  <c r="F299" i="17"/>
  <c r="W58" i="17"/>
  <c r="O71" i="17"/>
  <c r="X71" i="17" s="1"/>
  <c r="A60" i="17"/>
  <c r="N70" i="17"/>
  <c r="J60" i="17"/>
  <c r="V59" i="17"/>
  <c r="U59" i="17"/>
  <c r="I59" i="17"/>
  <c r="B61" i="17"/>
  <c r="H60" i="17"/>
  <c r="G60" i="17"/>
  <c r="N309" i="17" l="1"/>
  <c r="W309" i="17"/>
  <c r="X309" i="17"/>
  <c r="Q309" i="17"/>
  <c r="Y309" i="17"/>
  <c r="R309" i="17"/>
  <c r="Z309" i="17"/>
  <c r="S309" i="17"/>
  <c r="T309" i="17"/>
  <c r="U309" i="17"/>
  <c r="O310" i="17"/>
  <c r="V309" i="17"/>
  <c r="AK308" i="17"/>
  <c r="AD308" i="17"/>
  <c r="AO308" i="17" s="1"/>
  <c r="AM308" i="17"/>
  <c r="AN308" i="17"/>
  <c r="AE308" i="17"/>
  <c r="AF308" i="17"/>
  <c r="AQ308" i="17"/>
  <c r="AG308" i="17"/>
  <c r="AB309" i="17" s="1"/>
  <c r="AR308" i="17"/>
  <c r="AI308" i="17"/>
  <c r="AS308" i="17"/>
  <c r="AJ308" i="17"/>
  <c r="AT308" i="17"/>
  <c r="AL308" i="17"/>
  <c r="AU308" i="17"/>
  <c r="A300" i="17"/>
  <c r="I300" i="17"/>
  <c r="F300" i="17"/>
  <c r="B301" i="17"/>
  <c r="L300" i="17"/>
  <c r="C300" i="17"/>
  <c r="J300" i="17"/>
  <c r="G300" i="17"/>
  <c r="D300" i="17"/>
  <c r="E300" i="17"/>
  <c r="H300" i="17"/>
  <c r="K300" i="17"/>
  <c r="N71" i="17"/>
  <c r="W59" i="17"/>
  <c r="A61" i="17"/>
  <c r="O72" i="17"/>
  <c r="X72" i="17" s="1"/>
  <c r="J61" i="17"/>
  <c r="V60" i="17"/>
  <c r="U60" i="17"/>
  <c r="I60" i="17"/>
  <c r="B62" i="17"/>
  <c r="H61" i="17"/>
  <c r="G61" i="17"/>
  <c r="AG309" i="17" l="1"/>
  <c r="AB310" i="17" s="1"/>
  <c r="AQ309" i="17"/>
  <c r="AI309" i="17"/>
  <c r="AR309" i="17"/>
  <c r="AJ309" i="17"/>
  <c r="AS309" i="17"/>
  <c r="AK309" i="17"/>
  <c r="AT309" i="17"/>
  <c r="AL309" i="17"/>
  <c r="AU309" i="17"/>
  <c r="AD309" i="17"/>
  <c r="AO309" i="17" s="1"/>
  <c r="AM309" i="17"/>
  <c r="AE309" i="17"/>
  <c r="AN309" i="17"/>
  <c r="AF309" i="17"/>
  <c r="R310" i="17"/>
  <c r="Z310" i="17"/>
  <c r="S310" i="17"/>
  <c r="T310" i="17"/>
  <c r="U310" i="17"/>
  <c r="O311" i="17"/>
  <c r="V310" i="17"/>
  <c r="N310" i="17"/>
  <c r="W310" i="17"/>
  <c r="X310" i="17"/>
  <c r="Q310" i="17"/>
  <c r="Y310" i="17"/>
  <c r="E301" i="17"/>
  <c r="J301" i="17"/>
  <c r="K301" i="17"/>
  <c r="A301" i="17"/>
  <c r="L301" i="17"/>
  <c r="H301" i="17"/>
  <c r="B302" i="17"/>
  <c r="F301" i="17"/>
  <c r="G301" i="17"/>
  <c r="C301" i="17"/>
  <c r="D301" i="17"/>
  <c r="I301" i="17"/>
  <c r="A62" i="17"/>
  <c r="O73" i="17"/>
  <c r="X73" i="17" s="1"/>
  <c r="W60" i="17"/>
  <c r="N72" i="17"/>
  <c r="J62" i="17"/>
  <c r="V61" i="17"/>
  <c r="U61" i="17"/>
  <c r="I61" i="17"/>
  <c r="B63" i="17"/>
  <c r="G62" i="17"/>
  <c r="H62" i="17"/>
  <c r="U311" i="17" l="1"/>
  <c r="O312" i="17"/>
  <c r="N311" i="17"/>
  <c r="W311" i="17"/>
  <c r="X311" i="17"/>
  <c r="Q311" i="17"/>
  <c r="Y311" i="17"/>
  <c r="R311" i="17"/>
  <c r="Z311" i="17"/>
  <c r="S311" i="17"/>
  <c r="T311" i="17"/>
  <c r="V311" i="17"/>
  <c r="AK310" i="17"/>
  <c r="AT310" i="17"/>
  <c r="AL310" i="17"/>
  <c r="AD310" i="17"/>
  <c r="AO310" i="17" s="1"/>
  <c r="AM310" i="17"/>
  <c r="AE310" i="17"/>
  <c r="AN310" i="17"/>
  <c r="AF310" i="17"/>
  <c r="AG310" i="17"/>
  <c r="AB311" i="17" s="1"/>
  <c r="AQ310" i="17"/>
  <c r="AI310" i="17"/>
  <c r="AR310" i="17"/>
  <c r="AJ310" i="17"/>
  <c r="AS310" i="17"/>
  <c r="AU310" i="17"/>
  <c r="A302" i="17"/>
  <c r="I302" i="17"/>
  <c r="F302" i="17"/>
  <c r="B303" i="17"/>
  <c r="J302" i="17"/>
  <c r="K302" i="17"/>
  <c r="G302" i="17"/>
  <c r="L302" i="17"/>
  <c r="E302" i="17"/>
  <c r="H302" i="17"/>
  <c r="C302" i="17"/>
  <c r="D302" i="17"/>
  <c r="W61" i="17"/>
  <c r="N73" i="17"/>
  <c r="O74" i="17"/>
  <c r="X74" i="17" s="1"/>
  <c r="A63" i="17"/>
  <c r="J63" i="17"/>
  <c r="U62" i="17"/>
  <c r="V62" i="17"/>
  <c r="I62" i="17"/>
  <c r="H63" i="17"/>
  <c r="G63" i="17"/>
  <c r="B64" i="17"/>
  <c r="AE311" i="17" l="1"/>
  <c r="AN311" i="17"/>
  <c r="AG311" i="17"/>
  <c r="AB312" i="17" s="1"/>
  <c r="AQ311" i="17"/>
  <c r="AI311" i="17"/>
  <c r="AR311" i="17"/>
  <c r="AJ311" i="17"/>
  <c r="AS311" i="17"/>
  <c r="AK311" i="17"/>
  <c r="AT311" i="17"/>
  <c r="AL311" i="17"/>
  <c r="AU311" i="17"/>
  <c r="AF311" i="17"/>
  <c r="AM311" i="17"/>
  <c r="AD311" i="17"/>
  <c r="AO311" i="17" s="1"/>
  <c r="X312" i="17"/>
  <c r="R312" i="17"/>
  <c r="Z312" i="17"/>
  <c r="S312" i="17"/>
  <c r="T312" i="17"/>
  <c r="U312" i="17"/>
  <c r="O313" i="17"/>
  <c r="V312" i="17"/>
  <c r="N312" i="17"/>
  <c r="Y312" i="17"/>
  <c r="Q312" i="17"/>
  <c r="W312" i="17"/>
  <c r="E303" i="17"/>
  <c r="J303" i="17"/>
  <c r="H303" i="17"/>
  <c r="I303" i="17"/>
  <c r="F303" i="17"/>
  <c r="D303" i="17"/>
  <c r="A303" i="17"/>
  <c r="G303" i="17"/>
  <c r="C303" i="17"/>
  <c r="L303" i="17"/>
  <c r="B304" i="17"/>
  <c r="K303" i="17"/>
  <c r="W62" i="17"/>
  <c r="N74" i="17"/>
  <c r="A64" i="17"/>
  <c r="O75" i="17"/>
  <c r="X75" i="17" s="1"/>
  <c r="J64" i="17"/>
  <c r="V63" i="17"/>
  <c r="U63" i="17"/>
  <c r="I63" i="17"/>
  <c r="B65" i="17"/>
  <c r="H64" i="17"/>
  <c r="G64" i="17"/>
  <c r="S313" i="17" l="1"/>
  <c r="U313" i="17"/>
  <c r="O314" i="17"/>
  <c r="V313" i="17"/>
  <c r="N313" i="17"/>
  <c r="W313" i="17"/>
  <c r="X313" i="17"/>
  <c r="Q313" i="17"/>
  <c r="Y313" i="17"/>
  <c r="R313" i="17"/>
  <c r="T313" i="17"/>
  <c r="Z313" i="17"/>
  <c r="AI312" i="17"/>
  <c r="AR312" i="17"/>
  <c r="AK312" i="17"/>
  <c r="AT312" i="17"/>
  <c r="AL312" i="17"/>
  <c r="AU312" i="17"/>
  <c r="AD312" i="17"/>
  <c r="AO312" i="17" s="1"/>
  <c r="AM312" i="17"/>
  <c r="AE312" i="17"/>
  <c r="AN312" i="17"/>
  <c r="AF312" i="17"/>
  <c r="AJ312" i="17"/>
  <c r="AQ312" i="17"/>
  <c r="AS312" i="17"/>
  <c r="AG312" i="17"/>
  <c r="AB313" i="17" s="1"/>
  <c r="A304" i="17"/>
  <c r="I304" i="17"/>
  <c r="F304" i="17"/>
  <c r="B305" i="17"/>
  <c r="G304" i="17"/>
  <c r="H304" i="17"/>
  <c r="D304" i="17"/>
  <c r="K304" i="17"/>
  <c r="C304" i="17"/>
  <c r="E304" i="17"/>
  <c r="L304" i="17"/>
  <c r="J304" i="17"/>
  <c r="N75" i="17"/>
  <c r="A65" i="17"/>
  <c r="O76" i="17"/>
  <c r="X76" i="17" s="1"/>
  <c r="W63" i="17"/>
  <c r="J65" i="17"/>
  <c r="V64" i="17"/>
  <c r="U64" i="17"/>
  <c r="I64" i="17"/>
  <c r="B66" i="17"/>
  <c r="H65" i="17"/>
  <c r="G65" i="17"/>
  <c r="V314" i="17" l="1"/>
  <c r="X314" i="17"/>
  <c r="Q314" i="17"/>
  <c r="Y314" i="17"/>
  <c r="R314" i="17"/>
  <c r="Z314" i="17"/>
  <c r="S314" i="17"/>
  <c r="T314" i="17"/>
  <c r="O315" i="17"/>
  <c r="N314" i="17"/>
  <c r="U314" i="17"/>
  <c r="W314" i="17"/>
  <c r="AL313" i="17"/>
  <c r="AU313" i="17"/>
  <c r="AE313" i="17"/>
  <c r="AN313" i="17"/>
  <c r="AF313" i="17"/>
  <c r="AG313" i="17"/>
  <c r="AB314" i="17" s="1"/>
  <c r="AQ313" i="17"/>
  <c r="AI313" i="17"/>
  <c r="AR313" i="17"/>
  <c r="AJ313" i="17"/>
  <c r="AS313" i="17"/>
  <c r="AM313" i="17"/>
  <c r="AT313" i="17"/>
  <c r="AK313" i="17"/>
  <c r="AD313" i="17"/>
  <c r="AO313" i="17" s="1"/>
  <c r="E305" i="17"/>
  <c r="J305" i="17"/>
  <c r="F305" i="17"/>
  <c r="G305" i="17"/>
  <c r="C305" i="17"/>
  <c r="B306" i="17"/>
  <c r="I305" i="17"/>
  <c r="K305" i="17"/>
  <c r="H305" i="17"/>
  <c r="A305" i="17"/>
  <c r="D305" i="17"/>
  <c r="L305" i="17"/>
  <c r="W64" i="17"/>
  <c r="A66" i="17"/>
  <c r="O77" i="17"/>
  <c r="X77" i="17" s="1"/>
  <c r="N76" i="17"/>
  <c r="J66" i="17"/>
  <c r="V65" i="17"/>
  <c r="U65" i="17"/>
  <c r="I65" i="17"/>
  <c r="B67" i="17"/>
  <c r="G66" i="17"/>
  <c r="H66" i="17"/>
  <c r="AF314" i="17" l="1"/>
  <c r="AI314" i="17"/>
  <c r="AR314" i="17"/>
  <c r="AJ314" i="17"/>
  <c r="AS314" i="17"/>
  <c r="AK314" i="17"/>
  <c r="AT314" i="17"/>
  <c r="AL314" i="17"/>
  <c r="AU314" i="17"/>
  <c r="AD314" i="17"/>
  <c r="AO314" i="17" s="1"/>
  <c r="AM314" i="17"/>
  <c r="AQ314" i="17"/>
  <c r="AG314" i="17"/>
  <c r="AB315" i="17" s="1"/>
  <c r="AE314" i="17"/>
  <c r="AN314" i="17"/>
  <c r="Q315" i="17"/>
  <c r="Y315" i="17"/>
  <c r="S315" i="17"/>
  <c r="T315" i="17"/>
  <c r="U315" i="17"/>
  <c r="O316" i="17"/>
  <c r="V315" i="17"/>
  <c r="N315" i="17"/>
  <c r="W315" i="17"/>
  <c r="R315" i="17"/>
  <c r="X315" i="17"/>
  <c r="Z315" i="17"/>
  <c r="A306" i="17"/>
  <c r="I306" i="17"/>
  <c r="F306" i="17"/>
  <c r="B307" i="17"/>
  <c r="D306" i="17"/>
  <c r="E306" i="17"/>
  <c r="L306" i="17"/>
  <c r="C306" i="17"/>
  <c r="K306" i="17"/>
  <c r="H306" i="17"/>
  <c r="G306" i="17"/>
  <c r="J306" i="17"/>
  <c r="W65" i="17"/>
  <c r="N77" i="17"/>
  <c r="A67" i="17"/>
  <c r="O78" i="17"/>
  <c r="X78" i="17" s="1"/>
  <c r="J67" i="17"/>
  <c r="V66" i="17"/>
  <c r="U66" i="17"/>
  <c r="I66" i="17"/>
  <c r="H67" i="17"/>
  <c r="G67" i="17"/>
  <c r="B68" i="17"/>
  <c r="AJ315" i="17" l="1"/>
  <c r="AS315" i="17"/>
  <c r="AL315" i="17"/>
  <c r="AU315" i="17"/>
  <c r="AD315" i="17"/>
  <c r="AO315" i="17" s="1"/>
  <c r="AM315" i="17"/>
  <c r="AE315" i="17"/>
  <c r="AN315" i="17"/>
  <c r="AF315" i="17"/>
  <c r="AG315" i="17"/>
  <c r="AB316" i="17" s="1"/>
  <c r="AQ315" i="17"/>
  <c r="AT315" i="17"/>
  <c r="AI315" i="17"/>
  <c r="AR315" i="17"/>
  <c r="AK315" i="17"/>
  <c r="T316" i="17"/>
  <c r="V316" i="17"/>
  <c r="N316" i="17"/>
  <c r="W316" i="17"/>
  <c r="X316" i="17"/>
  <c r="Q316" i="17"/>
  <c r="Y316" i="17"/>
  <c r="R316" i="17"/>
  <c r="Z316" i="17"/>
  <c r="O317" i="17"/>
  <c r="S316" i="17"/>
  <c r="U316" i="17"/>
  <c r="E307" i="17"/>
  <c r="J307" i="17"/>
  <c r="C307" i="17"/>
  <c r="B308" i="17"/>
  <c r="D307" i="17"/>
  <c r="K307" i="17"/>
  <c r="H307" i="17"/>
  <c r="A307" i="17"/>
  <c r="F307" i="17"/>
  <c r="L307" i="17"/>
  <c r="G307" i="17"/>
  <c r="I307" i="17"/>
  <c r="N78" i="17"/>
  <c r="O79" i="17"/>
  <c r="W66" i="17"/>
  <c r="A68" i="17"/>
  <c r="J68" i="17"/>
  <c r="V67" i="17"/>
  <c r="U67" i="17"/>
  <c r="I67" i="17"/>
  <c r="H68" i="17"/>
  <c r="B69" i="17"/>
  <c r="G68" i="17"/>
  <c r="AD316" i="17" l="1"/>
  <c r="AO316" i="17" s="1"/>
  <c r="AM316" i="17"/>
  <c r="AF316" i="17"/>
  <c r="AG316" i="17"/>
  <c r="AB317" i="17" s="1"/>
  <c r="AQ316" i="17"/>
  <c r="AI316" i="17"/>
  <c r="AR316" i="17"/>
  <c r="AJ316" i="17"/>
  <c r="AS316" i="17"/>
  <c r="AK316" i="17"/>
  <c r="AT316" i="17"/>
  <c r="AN316" i="17"/>
  <c r="AE316" i="17"/>
  <c r="AU316" i="17"/>
  <c r="AL316" i="17"/>
  <c r="N317" i="17"/>
  <c r="W317" i="17"/>
  <c r="Q317" i="17"/>
  <c r="Y317" i="17"/>
  <c r="R317" i="17"/>
  <c r="Z317" i="17"/>
  <c r="S317" i="17"/>
  <c r="T317" i="17"/>
  <c r="U317" i="17"/>
  <c r="O318" i="17"/>
  <c r="V317" i="17"/>
  <c r="X317" i="17"/>
  <c r="A308" i="17"/>
  <c r="I308" i="17"/>
  <c r="F308" i="17"/>
  <c r="B309" i="17"/>
  <c r="L308" i="17"/>
  <c r="C308" i="17"/>
  <c r="J308" i="17"/>
  <c r="G308" i="17"/>
  <c r="H308" i="17"/>
  <c r="E308" i="17"/>
  <c r="K308" i="17"/>
  <c r="D308" i="17"/>
  <c r="N79" i="17"/>
  <c r="X79" i="17"/>
  <c r="W67" i="17"/>
  <c r="A69" i="17"/>
  <c r="O80" i="17"/>
  <c r="X80" i="17" s="1"/>
  <c r="J69" i="17"/>
  <c r="V68" i="17"/>
  <c r="U68" i="17"/>
  <c r="I68" i="17"/>
  <c r="B70" i="17"/>
  <c r="H69" i="17"/>
  <c r="G69" i="17"/>
  <c r="AG317" i="17" l="1"/>
  <c r="AB318" i="17" s="1"/>
  <c r="AQ317" i="17"/>
  <c r="AJ317" i="17"/>
  <c r="AS317" i="17"/>
  <c r="AK317" i="17"/>
  <c r="AT317" i="17"/>
  <c r="AL317" i="17"/>
  <c r="AU317" i="17"/>
  <c r="AD317" i="17"/>
  <c r="AO317" i="17" s="1"/>
  <c r="AM317" i="17"/>
  <c r="AE317" i="17"/>
  <c r="AN317" i="17"/>
  <c r="AF317" i="17"/>
  <c r="AI317" i="17"/>
  <c r="AR317" i="17"/>
  <c r="R318" i="17"/>
  <c r="Z318" i="17"/>
  <c r="T318" i="17"/>
  <c r="U318" i="17"/>
  <c r="O319" i="17"/>
  <c r="V318" i="17"/>
  <c r="N318" i="17"/>
  <c r="W318" i="17"/>
  <c r="X318" i="17"/>
  <c r="S318" i="17"/>
  <c r="Y318" i="17"/>
  <c r="Q318" i="17"/>
  <c r="E309" i="17"/>
  <c r="J309" i="17"/>
  <c r="K309" i="17"/>
  <c r="A309" i="17"/>
  <c r="L309" i="17"/>
  <c r="H309" i="17"/>
  <c r="C309" i="17"/>
  <c r="B310" i="17"/>
  <c r="F309" i="17"/>
  <c r="G309" i="17"/>
  <c r="D309" i="17"/>
  <c r="I309" i="17"/>
  <c r="I69" i="17"/>
  <c r="W68" i="17"/>
  <c r="N80" i="17"/>
  <c r="A70" i="17"/>
  <c r="O81" i="17"/>
  <c r="X81" i="17" s="1"/>
  <c r="J70" i="17"/>
  <c r="U69" i="17"/>
  <c r="V69" i="17"/>
  <c r="B71" i="17"/>
  <c r="H70" i="17"/>
  <c r="G70" i="17"/>
  <c r="U319" i="17" l="1"/>
  <c r="O320" i="17"/>
  <c r="N319" i="17"/>
  <c r="W319" i="17"/>
  <c r="X319" i="17"/>
  <c r="Q319" i="17"/>
  <c r="Y319" i="17"/>
  <c r="R319" i="17"/>
  <c r="Z319" i="17"/>
  <c r="S319" i="17"/>
  <c r="V319" i="17"/>
  <c r="T319" i="17"/>
  <c r="AK318" i="17"/>
  <c r="AT318" i="17"/>
  <c r="AD318" i="17"/>
  <c r="AO318" i="17" s="1"/>
  <c r="AM318" i="17"/>
  <c r="AE318" i="17"/>
  <c r="AN318" i="17"/>
  <c r="AF318" i="17"/>
  <c r="AG318" i="17"/>
  <c r="AB319" i="17" s="1"/>
  <c r="AQ318" i="17"/>
  <c r="AI318" i="17"/>
  <c r="AR318" i="17"/>
  <c r="AJ318" i="17"/>
  <c r="AU318" i="17"/>
  <c r="AL318" i="17"/>
  <c r="AS318" i="17"/>
  <c r="A310" i="17"/>
  <c r="I310" i="17"/>
  <c r="F310" i="17"/>
  <c r="B311" i="17"/>
  <c r="J310" i="17"/>
  <c r="K310" i="17"/>
  <c r="G310" i="17"/>
  <c r="E310" i="17"/>
  <c r="C310" i="17"/>
  <c r="D310" i="17"/>
  <c r="H310" i="17"/>
  <c r="L310" i="17"/>
  <c r="W69" i="17"/>
  <c r="N81" i="17"/>
  <c r="A71" i="17"/>
  <c r="O82" i="17"/>
  <c r="X82" i="17" s="1"/>
  <c r="J71" i="17"/>
  <c r="U70" i="17"/>
  <c r="V70" i="17"/>
  <c r="I70" i="17"/>
  <c r="H71" i="17"/>
  <c r="G71" i="17"/>
  <c r="B72" i="17"/>
  <c r="AE319" i="17" l="1"/>
  <c r="AN319" i="17"/>
  <c r="AG319" i="17"/>
  <c r="AB320" i="17" s="1"/>
  <c r="AQ319" i="17"/>
  <c r="AI319" i="17"/>
  <c r="AR319" i="17"/>
  <c r="AJ319" i="17"/>
  <c r="AS319" i="17"/>
  <c r="AK319" i="17"/>
  <c r="AT319" i="17"/>
  <c r="AL319" i="17"/>
  <c r="AU319" i="17"/>
  <c r="AD319" i="17"/>
  <c r="AO319" i="17" s="1"/>
  <c r="AF319" i="17"/>
  <c r="AM319" i="17"/>
  <c r="X320" i="17"/>
  <c r="R320" i="17"/>
  <c r="Z320" i="17"/>
  <c r="S320" i="17"/>
  <c r="T320" i="17"/>
  <c r="U320" i="17"/>
  <c r="O321" i="17"/>
  <c r="V320" i="17"/>
  <c r="Y320" i="17"/>
  <c r="N320" i="17"/>
  <c r="W320" i="17"/>
  <c r="Q320" i="17"/>
  <c r="E311" i="17"/>
  <c r="J311" i="17"/>
  <c r="H311" i="17"/>
  <c r="I311" i="17"/>
  <c r="F311" i="17"/>
  <c r="L311" i="17"/>
  <c r="D311" i="17"/>
  <c r="G311" i="17"/>
  <c r="K311" i="17"/>
  <c r="B312" i="17"/>
  <c r="A311" i="17"/>
  <c r="C311" i="17"/>
  <c r="W70" i="17"/>
  <c r="O83" i="17"/>
  <c r="X83" i="17" s="1"/>
  <c r="A72" i="17"/>
  <c r="N82" i="17"/>
  <c r="J72" i="17"/>
  <c r="U71" i="17"/>
  <c r="V71" i="17"/>
  <c r="I71" i="17"/>
  <c r="B73" i="17"/>
  <c r="H72" i="17"/>
  <c r="G72" i="17"/>
  <c r="S321" i="17" l="1"/>
  <c r="U321" i="17"/>
  <c r="N321" i="17"/>
  <c r="W321" i="17"/>
  <c r="X321" i="17"/>
  <c r="Q321" i="17"/>
  <c r="Y321" i="17"/>
  <c r="R321" i="17"/>
  <c r="O322" i="17"/>
  <c r="T321" i="17"/>
  <c r="V321" i="17"/>
  <c r="Z321" i="17"/>
  <c r="AI320" i="17"/>
  <c r="AR320" i="17"/>
  <c r="AK320" i="17"/>
  <c r="AT320" i="17"/>
  <c r="AD320" i="17"/>
  <c r="AO320" i="17" s="1"/>
  <c r="AM320" i="17"/>
  <c r="AE320" i="17"/>
  <c r="AN320" i="17"/>
  <c r="AF320" i="17"/>
  <c r="AG320" i="17"/>
  <c r="AB321" i="17" s="1"/>
  <c r="AJ320" i="17"/>
  <c r="AS320" i="17"/>
  <c r="AL320" i="17"/>
  <c r="AQ320" i="17"/>
  <c r="AU320" i="17"/>
  <c r="A312" i="17"/>
  <c r="I312" i="17"/>
  <c r="F312" i="17"/>
  <c r="B313" i="17"/>
  <c r="G312" i="17"/>
  <c r="H312" i="17"/>
  <c r="D312" i="17"/>
  <c r="K312" i="17"/>
  <c r="L312" i="17"/>
  <c r="E312" i="17"/>
  <c r="C312" i="17"/>
  <c r="J312" i="17"/>
  <c r="N83" i="17"/>
  <c r="A73" i="17"/>
  <c r="W71" i="17"/>
  <c r="O84" i="17"/>
  <c r="X84" i="17" s="1"/>
  <c r="J73" i="17"/>
  <c r="V72" i="17"/>
  <c r="U72" i="17"/>
  <c r="I72" i="17"/>
  <c r="B74" i="17"/>
  <c r="H73" i="17"/>
  <c r="G73" i="17"/>
  <c r="AL321" i="17" l="1"/>
  <c r="AU321" i="17"/>
  <c r="AG321" i="17"/>
  <c r="AB322" i="17" s="1"/>
  <c r="AQ321" i="17"/>
  <c r="AI321" i="17"/>
  <c r="AK321" i="17"/>
  <c r="AM321" i="17"/>
  <c r="AN321" i="17"/>
  <c r="AT321" i="17"/>
  <c r="AD321" i="17"/>
  <c r="AO321" i="17" s="1"/>
  <c r="AE321" i="17"/>
  <c r="AJ321" i="17"/>
  <c r="AR321" i="17"/>
  <c r="AS321" i="17"/>
  <c r="AF321" i="17"/>
  <c r="V322" i="17"/>
  <c r="R322" i="17"/>
  <c r="Z322" i="17"/>
  <c r="Q322" i="17"/>
  <c r="S322" i="17"/>
  <c r="T322" i="17"/>
  <c r="U322" i="17"/>
  <c r="W322" i="17"/>
  <c r="Y322" i="17"/>
  <c r="N322" i="17"/>
  <c r="X322" i="17"/>
  <c r="O323" i="17"/>
  <c r="E313" i="17"/>
  <c r="J313" i="17"/>
  <c r="F313" i="17"/>
  <c r="G313" i="17"/>
  <c r="C313" i="17"/>
  <c r="B314" i="17"/>
  <c r="D313" i="17"/>
  <c r="K313" i="17"/>
  <c r="L313" i="17"/>
  <c r="I313" i="17"/>
  <c r="A313" i="17"/>
  <c r="H313" i="17"/>
  <c r="W72" i="17"/>
  <c r="N84" i="17"/>
  <c r="A74" i="17"/>
  <c r="O85" i="17"/>
  <c r="X85" i="17" s="1"/>
  <c r="J74" i="17"/>
  <c r="I73" i="17"/>
  <c r="U73" i="17"/>
  <c r="V73" i="17"/>
  <c r="B75" i="17"/>
  <c r="H74" i="17"/>
  <c r="G74" i="17"/>
  <c r="AF322" i="17" l="1"/>
  <c r="AK322" i="17"/>
  <c r="AT322" i="17"/>
  <c r="AN322" i="17"/>
  <c r="AD322" i="17"/>
  <c r="AO322" i="17" s="1"/>
  <c r="AQ322" i="17"/>
  <c r="AE322" i="17"/>
  <c r="AR322" i="17"/>
  <c r="AG322" i="17"/>
  <c r="AB323" i="17" s="1"/>
  <c r="AS322" i="17"/>
  <c r="AL322" i="17"/>
  <c r="AU322" i="17"/>
  <c r="AI322" i="17"/>
  <c r="AJ322" i="17"/>
  <c r="AM322" i="17"/>
  <c r="Q323" i="17"/>
  <c r="Y323" i="17"/>
  <c r="U323" i="17"/>
  <c r="O324" i="17"/>
  <c r="S323" i="17"/>
  <c r="T323" i="17"/>
  <c r="V323" i="17"/>
  <c r="W323" i="17"/>
  <c r="N323" i="17"/>
  <c r="R323" i="17"/>
  <c r="X323" i="17"/>
  <c r="Z323" i="17"/>
  <c r="A314" i="17"/>
  <c r="I314" i="17"/>
  <c r="F314" i="17"/>
  <c r="B315" i="17"/>
  <c r="D314" i="17"/>
  <c r="E314" i="17"/>
  <c r="L314" i="17"/>
  <c r="J314" i="17"/>
  <c r="C314" i="17"/>
  <c r="G314" i="17"/>
  <c r="K314" i="17"/>
  <c r="H314" i="17"/>
  <c r="N85" i="17"/>
  <c r="A75" i="17"/>
  <c r="O86" i="17"/>
  <c r="X86" i="17" s="1"/>
  <c r="W73" i="17"/>
  <c r="J75" i="17"/>
  <c r="V74" i="17"/>
  <c r="U74" i="17"/>
  <c r="I74" i="17"/>
  <c r="H75" i="17"/>
  <c r="G75" i="17"/>
  <c r="B76" i="17"/>
  <c r="T324" i="17" l="1"/>
  <c r="V324" i="17"/>
  <c r="W324" i="17"/>
  <c r="X324" i="17"/>
  <c r="N324" i="17"/>
  <c r="Y324" i="17"/>
  <c r="S324" i="17"/>
  <c r="Z324" i="17"/>
  <c r="O325" i="17"/>
  <c r="Q324" i="17"/>
  <c r="R324" i="17"/>
  <c r="U324" i="17"/>
  <c r="AJ323" i="17"/>
  <c r="AS323" i="17"/>
  <c r="AE323" i="17"/>
  <c r="AN323" i="17"/>
  <c r="AF323" i="17"/>
  <c r="AR323" i="17"/>
  <c r="AG323" i="17"/>
  <c r="AB324" i="17" s="1"/>
  <c r="AT323" i="17"/>
  <c r="AI323" i="17"/>
  <c r="AU323" i="17"/>
  <c r="AK323" i="17"/>
  <c r="AL323" i="17"/>
  <c r="AM323" i="17"/>
  <c r="AQ323" i="17"/>
  <c r="AD323" i="17"/>
  <c r="AO323" i="17" s="1"/>
  <c r="E315" i="17"/>
  <c r="J315" i="17"/>
  <c r="C315" i="17"/>
  <c r="B316" i="17"/>
  <c r="D315" i="17"/>
  <c r="K315" i="17"/>
  <c r="H315" i="17"/>
  <c r="I315" i="17"/>
  <c r="A315" i="17"/>
  <c r="G315" i="17"/>
  <c r="L315" i="17"/>
  <c r="F315" i="17"/>
  <c r="W74" i="17"/>
  <c r="O87" i="17"/>
  <c r="X87" i="17" s="1"/>
  <c r="A76" i="17"/>
  <c r="N86" i="17"/>
  <c r="J76" i="17"/>
  <c r="V75" i="17"/>
  <c r="U75" i="17"/>
  <c r="I75" i="17"/>
  <c r="B77" i="17"/>
  <c r="H76" i="17"/>
  <c r="G76" i="17"/>
  <c r="AF324" i="17" l="1"/>
  <c r="AG324" i="17"/>
  <c r="AB325" i="17" s="1"/>
  <c r="AQ324" i="17"/>
  <c r="AI324" i="17"/>
  <c r="AR324" i="17"/>
  <c r="AJ324" i="17"/>
  <c r="AS324" i="17"/>
  <c r="AM324" i="17"/>
  <c r="AT324" i="17"/>
  <c r="AU324" i="17"/>
  <c r="AE324" i="17"/>
  <c r="AK324" i="17"/>
  <c r="AD324" i="17"/>
  <c r="AO324" i="17" s="1"/>
  <c r="AL324" i="17"/>
  <c r="AN324" i="17"/>
  <c r="Q325" i="17"/>
  <c r="Y325" i="17"/>
  <c r="R325" i="17"/>
  <c r="Z325" i="17"/>
  <c r="S325" i="17"/>
  <c r="T325" i="17"/>
  <c r="W325" i="17"/>
  <c r="O326" i="17"/>
  <c r="U325" i="17"/>
  <c r="X325" i="17"/>
  <c r="V325" i="17"/>
  <c r="N325" i="17"/>
  <c r="A316" i="17"/>
  <c r="I316" i="17"/>
  <c r="F316" i="17"/>
  <c r="B317" i="17"/>
  <c r="L316" i="17"/>
  <c r="C316" i="17"/>
  <c r="J316" i="17"/>
  <c r="D316" i="17"/>
  <c r="K316" i="17"/>
  <c r="E316" i="17"/>
  <c r="G316" i="17"/>
  <c r="H316" i="17"/>
  <c r="N87" i="17"/>
  <c r="A77" i="17"/>
  <c r="W75" i="17"/>
  <c r="O88" i="17"/>
  <c r="X88" i="17" s="1"/>
  <c r="J77" i="17"/>
  <c r="V76" i="17"/>
  <c r="U76" i="17"/>
  <c r="I76" i="17"/>
  <c r="B78" i="17"/>
  <c r="H77" i="17"/>
  <c r="G77" i="17"/>
  <c r="AJ325" i="17" l="1"/>
  <c r="AS325" i="17"/>
  <c r="AK325" i="17"/>
  <c r="AT325" i="17"/>
  <c r="AL325" i="17"/>
  <c r="AU325" i="17"/>
  <c r="AD325" i="17"/>
  <c r="AO325" i="17" s="1"/>
  <c r="AM325" i="17"/>
  <c r="AQ325" i="17"/>
  <c r="AE325" i="17"/>
  <c r="AF325" i="17"/>
  <c r="AI325" i="17"/>
  <c r="AN325" i="17"/>
  <c r="AG325" i="17"/>
  <c r="AB326" i="17" s="1"/>
  <c r="AR325" i="17"/>
  <c r="T326" i="17"/>
  <c r="U326" i="17"/>
  <c r="O327" i="17"/>
  <c r="V326" i="17"/>
  <c r="N326" i="17"/>
  <c r="W326" i="17"/>
  <c r="Z326" i="17"/>
  <c r="Q326" i="17"/>
  <c r="S326" i="17"/>
  <c r="X326" i="17"/>
  <c r="R326" i="17"/>
  <c r="Y326" i="17"/>
  <c r="E317" i="17"/>
  <c r="J317" i="17"/>
  <c r="K317" i="17"/>
  <c r="A317" i="17"/>
  <c r="L317" i="17"/>
  <c r="H317" i="17"/>
  <c r="G317" i="17"/>
  <c r="C317" i="17"/>
  <c r="D317" i="17"/>
  <c r="I317" i="17"/>
  <c r="F317" i="17"/>
  <c r="B318" i="17"/>
  <c r="W76" i="17"/>
  <c r="N88" i="17"/>
  <c r="O89" i="17"/>
  <c r="X89" i="17" s="1"/>
  <c r="A78" i="17"/>
  <c r="J78" i="17"/>
  <c r="V77" i="17"/>
  <c r="U77" i="17"/>
  <c r="I77" i="17"/>
  <c r="B79" i="17"/>
  <c r="H78" i="17"/>
  <c r="G78" i="17"/>
  <c r="AD326" i="17" l="1"/>
  <c r="AO326" i="17" s="1"/>
  <c r="AM326" i="17"/>
  <c r="AE326" i="17"/>
  <c r="AN326" i="17"/>
  <c r="AF326" i="17"/>
  <c r="AG326" i="17"/>
  <c r="AB327" i="17" s="1"/>
  <c r="AQ326" i="17"/>
  <c r="AT326" i="17"/>
  <c r="AI326" i="17"/>
  <c r="AJ326" i="17"/>
  <c r="AL326" i="17"/>
  <c r="AR326" i="17"/>
  <c r="AS326" i="17"/>
  <c r="AU326" i="17"/>
  <c r="AK326" i="17"/>
  <c r="N327" i="17"/>
  <c r="W327" i="17"/>
  <c r="X327" i="17"/>
  <c r="Q327" i="17"/>
  <c r="Y327" i="17"/>
  <c r="R327" i="17"/>
  <c r="Z327" i="17"/>
  <c r="O328" i="17"/>
  <c r="S327" i="17"/>
  <c r="T327" i="17"/>
  <c r="V327" i="17"/>
  <c r="U327" i="17"/>
  <c r="A318" i="17"/>
  <c r="I318" i="17"/>
  <c r="F318" i="17"/>
  <c r="B319" i="17"/>
  <c r="J318" i="17"/>
  <c r="K318" i="17"/>
  <c r="G318" i="17"/>
  <c r="E318" i="17"/>
  <c r="H318" i="17"/>
  <c r="D318" i="17"/>
  <c r="L318" i="17"/>
  <c r="C318" i="17"/>
  <c r="N89" i="17"/>
  <c r="A79" i="17"/>
  <c r="W77" i="17"/>
  <c r="O90" i="17"/>
  <c r="X90" i="17" s="1"/>
  <c r="J79" i="17"/>
  <c r="U78" i="17"/>
  <c r="V78" i="17"/>
  <c r="I78" i="17"/>
  <c r="H79" i="17"/>
  <c r="G79" i="17"/>
  <c r="B80" i="17"/>
  <c r="AG327" i="17" l="1"/>
  <c r="AB328" i="17" s="1"/>
  <c r="AQ327" i="17"/>
  <c r="AI327" i="17"/>
  <c r="AR327" i="17"/>
  <c r="AJ327" i="17"/>
  <c r="AS327" i="17"/>
  <c r="AK327" i="17"/>
  <c r="AT327" i="17"/>
  <c r="AE327" i="17"/>
  <c r="AL327" i="17"/>
  <c r="AM327" i="17"/>
  <c r="AU327" i="17"/>
  <c r="AD327" i="17"/>
  <c r="AO327" i="17" s="1"/>
  <c r="AF327" i="17"/>
  <c r="AN327" i="17"/>
  <c r="R328" i="17"/>
  <c r="Z328" i="17"/>
  <c r="S328" i="17"/>
  <c r="T328" i="17"/>
  <c r="U328" i="17"/>
  <c r="O329" i="17"/>
  <c r="V328" i="17"/>
  <c r="W328" i="17"/>
  <c r="Y328" i="17"/>
  <c r="X328" i="17"/>
  <c r="Q328" i="17"/>
  <c r="N328" i="17"/>
  <c r="E319" i="17"/>
  <c r="J319" i="17"/>
  <c r="H319" i="17"/>
  <c r="I319" i="17"/>
  <c r="F319" i="17"/>
  <c r="A319" i="17"/>
  <c r="L319" i="17"/>
  <c r="B320" i="17"/>
  <c r="D319" i="17"/>
  <c r="G319" i="17"/>
  <c r="K319" i="17"/>
  <c r="C319" i="17"/>
  <c r="A80" i="17"/>
  <c r="O91" i="17"/>
  <c r="X91" i="17" s="1"/>
  <c r="N90" i="17"/>
  <c r="W78" i="17"/>
  <c r="J80" i="17"/>
  <c r="V79" i="17"/>
  <c r="U79" i="17"/>
  <c r="I79" i="17"/>
  <c r="B81" i="17"/>
  <c r="H80" i="17"/>
  <c r="G80" i="17"/>
  <c r="U329" i="17" l="1"/>
  <c r="O330" i="17"/>
  <c r="V329" i="17"/>
  <c r="N329" i="17"/>
  <c r="W329" i="17"/>
  <c r="X329" i="17"/>
  <c r="S329" i="17"/>
  <c r="Y329" i="17"/>
  <c r="Z329" i="17"/>
  <c r="Q329" i="17"/>
  <c r="R329" i="17"/>
  <c r="T329" i="17"/>
  <c r="AK328" i="17"/>
  <c r="AT328" i="17"/>
  <c r="AL328" i="17"/>
  <c r="AU328" i="17"/>
  <c r="AD328" i="17"/>
  <c r="AO328" i="17" s="1"/>
  <c r="AM328" i="17"/>
  <c r="AE328" i="17"/>
  <c r="AN328" i="17"/>
  <c r="AI328" i="17"/>
  <c r="AQ328" i="17"/>
  <c r="AS328" i="17"/>
  <c r="AF328" i="17"/>
  <c r="AG328" i="17"/>
  <c r="AB329" i="17" s="1"/>
  <c r="AJ328" i="17"/>
  <c r="AR328" i="17"/>
  <c r="A320" i="17"/>
  <c r="I320" i="17"/>
  <c r="F320" i="17"/>
  <c r="B321" i="17"/>
  <c r="G320" i="17"/>
  <c r="H320" i="17"/>
  <c r="D320" i="17"/>
  <c r="E320" i="17"/>
  <c r="K320" i="17"/>
  <c r="L320" i="17"/>
  <c r="C320" i="17"/>
  <c r="J320" i="17"/>
  <c r="W79" i="17"/>
  <c r="N91" i="17"/>
  <c r="A81" i="17"/>
  <c r="O92" i="17"/>
  <c r="X92" i="17" s="1"/>
  <c r="J81" i="17"/>
  <c r="V80" i="17"/>
  <c r="U80" i="17"/>
  <c r="I80" i="17"/>
  <c r="B82" i="17"/>
  <c r="H81" i="17"/>
  <c r="G81" i="17"/>
  <c r="X330" i="17" l="1"/>
  <c r="Q330" i="17"/>
  <c r="Y330" i="17"/>
  <c r="R330" i="17"/>
  <c r="Z330" i="17"/>
  <c r="S330" i="17"/>
  <c r="V330" i="17"/>
  <c r="O331" i="17"/>
  <c r="N330" i="17"/>
  <c r="T330" i="17"/>
  <c r="U330" i="17"/>
  <c r="W330" i="17"/>
  <c r="AE329" i="17"/>
  <c r="AN329" i="17"/>
  <c r="AF329" i="17"/>
  <c r="AG329" i="17"/>
  <c r="AB330" i="17" s="1"/>
  <c r="AQ329" i="17"/>
  <c r="AI329" i="17"/>
  <c r="AR329" i="17"/>
  <c r="AL329" i="17"/>
  <c r="AS329" i="17"/>
  <c r="AT329" i="17"/>
  <c r="AD329" i="17"/>
  <c r="AO329" i="17" s="1"/>
  <c r="AJ329" i="17"/>
  <c r="AM329" i="17"/>
  <c r="AU329" i="17"/>
  <c r="AK329" i="17"/>
  <c r="E321" i="17"/>
  <c r="J321" i="17"/>
  <c r="F321" i="17"/>
  <c r="G321" i="17"/>
  <c r="C321" i="17"/>
  <c r="B322" i="17"/>
  <c r="K321" i="17"/>
  <c r="D321" i="17"/>
  <c r="H321" i="17"/>
  <c r="I321" i="17"/>
  <c r="A321" i="17"/>
  <c r="L321" i="17"/>
  <c r="N92" i="17"/>
  <c r="W80" i="17"/>
  <c r="O93" i="17"/>
  <c r="X93" i="17" s="1"/>
  <c r="A82" i="17"/>
  <c r="J82" i="17"/>
  <c r="V81" i="17"/>
  <c r="U81" i="17"/>
  <c r="I81" i="17"/>
  <c r="B83" i="17"/>
  <c r="H82" i="17"/>
  <c r="G82" i="17"/>
  <c r="AI330" i="17" l="1"/>
  <c r="AR330" i="17"/>
  <c r="AJ330" i="17"/>
  <c r="AS330" i="17"/>
  <c r="AK330" i="17"/>
  <c r="AT330" i="17"/>
  <c r="AL330" i="17"/>
  <c r="AU330" i="17"/>
  <c r="AD330" i="17"/>
  <c r="AO330" i="17" s="1"/>
  <c r="AE330" i="17"/>
  <c r="AG330" i="17"/>
  <c r="AB331" i="17" s="1"/>
  <c r="AM330" i="17"/>
  <c r="AF330" i="17"/>
  <c r="AN330" i="17"/>
  <c r="AQ330" i="17"/>
  <c r="S331" i="17"/>
  <c r="T331" i="17"/>
  <c r="U331" i="17"/>
  <c r="O332" i="17"/>
  <c r="V331" i="17"/>
  <c r="Y331" i="17"/>
  <c r="N331" i="17"/>
  <c r="R331" i="17"/>
  <c r="W331" i="17"/>
  <c r="X331" i="17"/>
  <c r="Z331" i="17"/>
  <c r="Q331" i="17"/>
  <c r="A322" i="17"/>
  <c r="I322" i="17"/>
  <c r="F322" i="17"/>
  <c r="B323" i="17"/>
  <c r="D322" i="17"/>
  <c r="E322" i="17"/>
  <c r="L322" i="17"/>
  <c r="J322" i="17"/>
  <c r="K322" i="17"/>
  <c r="C322" i="17"/>
  <c r="H322" i="17"/>
  <c r="G322" i="17"/>
  <c r="W81" i="17"/>
  <c r="O94" i="17"/>
  <c r="X94" i="17" s="1"/>
  <c r="A83" i="17"/>
  <c r="N93" i="17"/>
  <c r="J83" i="17"/>
  <c r="V82" i="17"/>
  <c r="U82" i="17"/>
  <c r="I82" i="17"/>
  <c r="H83" i="17"/>
  <c r="G83" i="17"/>
  <c r="B84" i="17"/>
  <c r="AL331" i="17" l="1"/>
  <c r="AU331" i="17"/>
  <c r="AD331" i="17"/>
  <c r="AO331" i="17" s="1"/>
  <c r="AM331" i="17"/>
  <c r="AE331" i="17"/>
  <c r="AN331" i="17"/>
  <c r="AF331" i="17"/>
  <c r="AS331" i="17"/>
  <c r="AG331" i="17"/>
  <c r="AB332" i="17" s="1"/>
  <c r="AI331" i="17"/>
  <c r="AK331" i="17"/>
  <c r="AQ331" i="17"/>
  <c r="AJ331" i="17"/>
  <c r="AR331" i="17"/>
  <c r="AT331" i="17"/>
  <c r="V332" i="17"/>
  <c r="N332" i="17"/>
  <c r="W332" i="17"/>
  <c r="X332" i="17"/>
  <c r="Q332" i="17"/>
  <c r="Y332" i="17"/>
  <c r="R332" i="17"/>
  <c r="S332" i="17"/>
  <c r="U332" i="17"/>
  <c r="Z332" i="17"/>
  <c r="O333" i="17"/>
  <c r="T332" i="17"/>
  <c r="E323" i="17"/>
  <c r="J323" i="17"/>
  <c r="C323" i="17"/>
  <c r="B324" i="17"/>
  <c r="D323" i="17"/>
  <c r="K323" i="17"/>
  <c r="F323" i="17"/>
  <c r="I323" i="17"/>
  <c r="A323" i="17"/>
  <c r="G323" i="17"/>
  <c r="H323" i="17"/>
  <c r="L323" i="17"/>
  <c r="W82" i="17"/>
  <c r="N94" i="17"/>
  <c r="A84" i="17"/>
  <c r="O95" i="17"/>
  <c r="X95" i="17" s="1"/>
  <c r="J84" i="17"/>
  <c r="V83" i="17"/>
  <c r="U83" i="17"/>
  <c r="I83" i="17"/>
  <c r="B85" i="17"/>
  <c r="H84" i="17"/>
  <c r="G84" i="17"/>
  <c r="Q333" i="17" l="1"/>
  <c r="Y333" i="17"/>
  <c r="R333" i="17"/>
  <c r="Z333" i="17"/>
  <c r="S333" i="17"/>
  <c r="T333" i="17"/>
  <c r="N333" i="17"/>
  <c r="U333" i="17"/>
  <c r="V333" i="17"/>
  <c r="X333" i="17"/>
  <c r="O334" i="17"/>
  <c r="W333" i="17"/>
  <c r="AF332" i="17"/>
  <c r="AG332" i="17"/>
  <c r="AB333" i="17" s="1"/>
  <c r="AQ332" i="17"/>
  <c r="AI332" i="17"/>
  <c r="AR332" i="17"/>
  <c r="AJ332" i="17"/>
  <c r="AS332" i="17"/>
  <c r="AD332" i="17"/>
  <c r="AO332" i="17" s="1"/>
  <c r="AK332" i="17"/>
  <c r="AL332" i="17"/>
  <c r="AN332" i="17"/>
  <c r="AT332" i="17"/>
  <c r="AM332" i="17"/>
  <c r="AU332" i="17"/>
  <c r="AE332" i="17"/>
  <c r="A324" i="17"/>
  <c r="F324" i="17"/>
  <c r="K324" i="17"/>
  <c r="C324" i="17"/>
  <c r="L324" i="17"/>
  <c r="I324" i="17"/>
  <c r="H324" i="17"/>
  <c r="D324" i="17"/>
  <c r="E324" i="17"/>
  <c r="B325" i="17"/>
  <c r="J324" i="17"/>
  <c r="G324" i="17"/>
  <c r="W83" i="17"/>
  <c r="O96" i="17"/>
  <c r="X96" i="17" s="1"/>
  <c r="N95" i="17"/>
  <c r="A85" i="17"/>
  <c r="J85" i="17"/>
  <c r="V84" i="17"/>
  <c r="U84" i="17"/>
  <c r="I84" i="17"/>
  <c r="B86" i="17"/>
  <c r="H85" i="17"/>
  <c r="G85" i="17"/>
  <c r="AJ333" i="17" l="1"/>
  <c r="AS333" i="17"/>
  <c r="AK333" i="17"/>
  <c r="AT333" i="17"/>
  <c r="AD333" i="17"/>
  <c r="AO333" i="17" s="1"/>
  <c r="AM333" i="17"/>
  <c r="AF333" i="17"/>
  <c r="AU333" i="17"/>
  <c r="AI333" i="17"/>
  <c r="AL333" i="17"/>
  <c r="AQ333" i="17"/>
  <c r="AE333" i="17"/>
  <c r="AR333" i="17"/>
  <c r="AG333" i="17"/>
  <c r="AB334" i="17" s="1"/>
  <c r="AN333" i="17"/>
  <c r="T334" i="17"/>
  <c r="U334" i="17"/>
  <c r="O335" i="17"/>
  <c r="N334" i="17"/>
  <c r="W334" i="17"/>
  <c r="Z334" i="17"/>
  <c r="Q334" i="17"/>
  <c r="R334" i="17"/>
  <c r="V334" i="17"/>
  <c r="X334" i="17"/>
  <c r="S334" i="17"/>
  <c r="Y334" i="17"/>
  <c r="G325" i="17"/>
  <c r="H325" i="17"/>
  <c r="E325" i="17"/>
  <c r="J325" i="17"/>
  <c r="D325" i="17"/>
  <c r="F325" i="17"/>
  <c r="K325" i="17"/>
  <c r="C325" i="17"/>
  <c r="I325" i="17"/>
  <c r="B326" i="17"/>
  <c r="A325" i="17"/>
  <c r="L325" i="17"/>
  <c r="W84" i="17"/>
  <c r="N96" i="17"/>
  <c r="A86" i="17"/>
  <c r="O97" i="17"/>
  <c r="X97" i="17" s="1"/>
  <c r="J86" i="17"/>
  <c r="V85" i="17"/>
  <c r="U85" i="17"/>
  <c r="I85" i="17"/>
  <c r="B87" i="17"/>
  <c r="H86" i="17"/>
  <c r="G86" i="17"/>
  <c r="AD334" i="17" l="1"/>
  <c r="AO334" i="17" s="1"/>
  <c r="AM334" i="17"/>
  <c r="AE334" i="17"/>
  <c r="AN334" i="17"/>
  <c r="AG334" i="17"/>
  <c r="AB335" i="17" s="1"/>
  <c r="AQ334" i="17"/>
  <c r="AR334" i="17"/>
  <c r="AF334" i="17"/>
  <c r="AT334" i="17"/>
  <c r="AI334" i="17"/>
  <c r="AU334" i="17"/>
  <c r="AK334" i="17"/>
  <c r="AL334" i="17"/>
  <c r="AJ334" i="17"/>
  <c r="AS334" i="17"/>
  <c r="N335" i="17"/>
  <c r="W335" i="17"/>
  <c r="X335" i="17"/>
  <c r="R335" i="17"/>
  <c r="Z335" i="17"/>
  <c r="V335" i="17"/>
  <c r="S335" i="17"/>
  <c r="T335" i="17"/>
  <c r="O336" i="17"/>
  <c r="U335" i="17"/>
  <c r="Y335" i="17"/>
  <c r="Q335" i="17"/>
  <c r="C326" i="17"/>
  <c r="K326" i="17"/>
  <c r="D326" i="17"/>
  <c r="L326" i="17"/>
  <c r="A326" i="17"/>
  <c r="I326" i="17"/>
  <c r="J326" i="17"/>
  <c r="F326" i="17"/>
  <c r="G326" i="17"/>
  <c r="B327" i="17"/>
  <c r="E326" i="17"/>
  <c r="H326" i="17"/>
  <c r="W85" i="17"/>
  <c r="A87" i="17"/>
  <c r="O98" i="17"/>
  <c r="X98" i="17" s="1"/>
  <c r="N97" i="17"/>
  <c r="J87" i="17"/>
  <c r="U86" i="17"/>
  <c r="V86" i="17"/>
  <c r="I86" i="17"/>
  <c r="H87" i="17"/>
  <c r="G87" i="17"/>
  <c r="B88" i="17"/>
  <c r="R336" i="17" l="1"/>
  <c r="Z336" i="17"/>
  <c r="S336" i="17"/>
  <c r="U336" i="17"/>
  <c r="O337" i="17"/>
  <c r="T336" i="17"/>
  <c r="W336" i="17"/>
  <c r="X336" i="17"/>
  <c r="N336" i="17"/>
  <c r="Y336" i="17"/>
  <c r="V336" i="17"/>
  <c r="Q336" i="17"/>
  <c r="AG335" i="17"/>
  <c r="AB336" i="17" s="1"/>
  <c r="AQ335" i="17"/>
  <c r="AI335" i="17"/>
  <c r="AR335" i="17"/>
  <c r="AK335" i="17"/>
  <c r="AT335" i="17"/>
  <c r="AM335" i="17"/>
  <c r="AD335" i="17"/>
  <c r="AO335" i="17" s="1"/>
  <c r="AS335" i="17"/>
  <c r="AF335" i="17"/>
  <c r="AJ335" i="17"/>
  <c r="AE335" i="17"/>
  <c r="AL335" i="17"/>
  <c r="AN335" i="17"/>
  <c r="AU335" i="17"/>
  <c r="G327" i="17"/>
  <c r="H327" i="17"/>
  <c r="E327" i="17"/>
  <c r="K327" i="17"/>
  <c r="F327" i="17"/>
  <c r="I327" i="17"/>
  <c r="D327" i="17"/>
  <c r="A327" i="17"/>
  <c r="J327" i="17"/>
  <c r="B328" i="17"/>
  <c r="L327" i="17"/>
  <c r="C327" i="17"/>
  <c r="N98" i="17"/>
  <c r="W86" i="17"/>
  <c r="A88" i="17"/>
  <c r="O99" i="17"/>
  <c r="X99" i="17" s="1"/>
  <c r="J88" i="17"/>
  <c r="V87" i="17"/>
  <c r="U87" i="17"/>
  <c r="I87" i="17"/>
  <c r="B89" i="17"/>
  <c r="H88" i="17"/>
  <c r="G88" i="17"/>
  <c r="U337" i="17" l="1"/>
  <c r="O338" i="17"/>
  <c r="V337" i="17"/>
  <c r="X337" i="17"/>
  <c r="Q337" i="17"/>
  <c r="S337" i="17"/>
  <c r="T337" i="17"/>
  <c r="Y337" i="17"/>
  <c r="Z337" i="17"/>
  <c r="N337" i="17"/>
  <c r="R337" i="17"/>
  <c r="W337" i="17"/>
  <c r="AK336" i="17"/>
  <c r="AT336" i="17"/>
  <c r="AL336" i="17"/>
  <c r="AU336" i="17"/>
  <c r="AE336" i="17"/>
  <c r="AN336" i="17"/>
  <c r="AI336" i="17"/>
  <c r="AM336" i="17"/>
  <c r="AD336" i="17"/>
  <c r="AO336" i="17" s="1"/>
  <c r="AR336" i="17"/>
  <c r="AF336" i="17"/>
  <c r="AS336" i="17"/>
  <c r="AG336" i="17"/>
  <c r="AB337" i="17" s="1"/>
  <c r="AJ336" i="17"/>
  <c r="AQ336" i="17"/>
  <c r="C328" i="17"/>
  <c r="K328" i="17"/>
  <c r="D328" i="17"/>
  <c r="L328" i="17"/>
  <c r="A328" i="17"/>
  <c r="I328" i="17"/>
  <c r="G328" i="17"/>
  <c r="H328" i="17"/>
  <c r="F328" i="17"/>
  <c r="J328" i="17"/>
  <c r="B329" i="17"/>
  <c r="E328" i="17"/>
  <c r="W87" i="17"/>
  <c r="A89" i="17"/>
  <c r="O100" i="17"/>
  <c r="X100" i="17" s="1"/>
  <c r="N99" i="17"/>
  <c r="J89" i="17"/>
  <c r="V88" i="17"/>
  <c r="U88" i="17"/>
  <c r="I88" i="17"/>
  <c r="B90" i="17"/>
  <c r="H89" i="17"/>
  <c r="G89" i="17"/>
  <c r="X338" i="17" l="1"/>
  <c r="Q338" i="17"/>
  <c r="Y338" i="17"/>
  <c r="S338" i="17"/>
  <c r="Z338" i="17"/>
  <c r="N338" i="17"/>
  <c r="R338" i="17"/>
  <c r="U338" i="17"/>
  <c r="V338" i="17"/>
  <c r="O339" i="17"/>
  <c r="T338" i="17"/>
  <c r="W338" i="17"/>
  <c r="AE337" i="17"/>
  <c r="AN337" i="17"/>
  <c r="AF337" i="17"/>
  <c r="AI337" i="17"/>
  <c r="AR337" i="17"/>
  <c r="AD337" i="17"/>
  <c r="AO337" i="17" s="1"/>
  <c r="AT337" i="17"/>
  <c r="AJ337" i="17"/>
  <c r="AK337" i="17"/>
  <c r="AM337" i="17"/>
  <c r="AQ337" i="17"/>
  <c r="AG337" i="17"/>
  <c r="AB338" i="17" s="1"/>
  <c r="AL337" i="17"/>
  <c r="AS337" i="17"/>
  <c r="AU337" i="17"/>
  <c r="G329" i="17"/>
  <c r="H329" i="17"/>
  <c r="E329" i="17"/>
  <c r="A329" i="17"/>
  <c r="L329" i="17"/>
  <c r="I329" i="17"/>
  <c r="J329" i="17"/>
  <c r="C329" i="17"/>
  <c r="B330" i="17"/>
  <c r="D329" i="17"/>
  <c r="F329" i="17"/>
  <c r="K329" i="17"/>
  <c r="W88" i="17"/>
  <c r="N100" i="17"/>
  <c r="O101" i="17"/>
  <c r="X101" i="17" s="1"/>
  <c r="A90" i="17"/>
  <c r="I89" i="17"/>
  <c r="J90" i="17"/>
  <c r="V89" i="17"/>
  <c r="U89" i="17"/>
  <c r="B91" i="17"/>
  <c r="H90" i="17"/>
  <c r="G90" i="17"/>
  <c r="AI338" i="17" l="1"/>
  <c r="AR338" i="17"/>
  <c r="AL338" i="17"/>
  <c r="AU338" i="17"/>
  <c r="AN338" i="17"/>
  <c r="AE338" i="17"/>
  <c r="AQ338" i="17"/>
  <c r="AF338" i="17"/>
  <c r="AS338" i="17"/>
  <c r="AJ338" i="17"/>
  <c r="AK338" i="17"/>
  <c r="AM338" i="17"/>
  <c r="AT338" i="17"/>
  <c r="AG338" i="17"/>
  <c r="AB339" i="17" s="1"/>
  <c r="AD338" i="17"/>
  <c r="AO338" i="17" s="1"/>
  <c r="S339" i="17"/>
  <c r="V339" i="17"/>
  <c r="R339" i="17"/>
  <c r="U339" i="17"/>
  <c r="W339" i="17"/>
  <c r="N339" i="17"/>
  <c r="Y339" i="17"/>
  <c r="Z339" i="17"/>
  <c r="Q339" i="17"/>
  <c r="O340" i="17"/>
  <c r="T339" i="17"/>
  <c r="X339" i="17"/>
  <c r="C330" i="17"/>
  <c r="K330" i="17"/>
  <c r="D330" i="17"/>
  <c r="L330" i="17"/>
  <c r="A330" i="17"/>
  <c r="I330" i="17"/>
  <c r="B331" i="17"/>
  <c r="H330" i="17"/>
  <c r="J330" i="17"/>
  <c r="E330" i="17"/>
  <c r="F330" i="17"/>
  <c r="G330" i="17"/>
  <c r="W89" i="17"/>
  <c r="A91" i="17"/>
  <c r="O102" i="17"/>
  <c r="X102" i="17" s="1"/>
  <c r="N101" i="17"/>
  <c r="J91" i="17"/>
  <c r="V90" i="17"/>
  <c r="U90" i="17"/>
  <c r="I90" i="17"/>
  <c r="H91" i="17"/>
  <c r="G91" i="17"/>
  <c r="B92" i="17"/>
  <c r="AL339" i="17" l="1"/>
  <c r="AU339" i="17"/>
  <c r="AF339" i="17"/>
  <c r="AE339" i="17"/>
  <c r="AR339" i="17"/>
  <c r="AI339" i="17"/>
  <c r="AT339" i="17"/>
  <c r="AJ339" i="17"/>
  <c r="AM339" i="17"/>
  <c r="AN339" i="17"/>
  <c r="AK339" i="17"/>
  <c r="AQ339" i="17"/>
  <c r="AS339" i="17"/>
  <c r="AG339" i="17"/>
  <c r="AB340" i="17" s="1"/>
  <c r="AD339" i="17"/>
  <c r="AO339" i="17" s="1"/>
  <c r="V340" i="17"/>
  <c r="Q340" i="17"/>
  <c r="Y340" i="17"/>
  <c r="U340" i="17"/>
  <c r="X340" i="17"/>
  <c r="O341" i="17"/>
  <c r="N340" i="17"/>
  <c r="Z340" i="17"/>
  <c r="R340" i="17"/>
  <c r="S340" i="17"/>
  <c r="T340" i="17"/>
  <c r="W340" i="17"/>
  <c r="H331" i="17"/>
  <c r="E331" i="17"/>
  <c r="L331" i="17"/>
  <c r="I331" i="17"/>
  <c r="J331" i="17"/>
  <c r="A331" i="17"/>
  <c r="K331" i="17"/>
  <c r="B332" i="17"/>
  <c r="C331" i="17"/>
  <c r="F331" i="17"/>
  <c r="G331" i="17"/>
  <c r="D331" i="17"/>
  <c r="W90" i="17"/>
  <c r="N102" i="17"/>
  <c r="A92" i="17"/>
  <c r="O103" i="17"/>
  <c r="X103" i="17" s="1"/>
  <c r="J92" i="17"/>
  <c r="V91" i="17"/>
  <c r="U91" i="17"/>
  <c r="I91" i="17"/>
  <c r="B93" i="17"/>
  <c r="H92" i="17"/>
  <c r="G92" i="17"/>
  <c r="Q341" i="17" l="1"/>
  <c r="Y341" i="17"/>
  <c r="T341" i="17"/>
  <c r="X341" i="17"/>
  <c r="R341" i="17"/>
  <c r="O342" i="17"/>
  <c r="U341" i="17"/>
  <c r="V341" i="17"/>
  <c r="N341" i="17"/>
  <c r="S341" i="17"/>
  <c r="W341" i="17"/>
  <c r="Z341" i="17"/>
  <c r="AF340" i="17"/>
  <c r="AJ340" i="17"/>
  <c r="AS340" i="17"/>
  <c r="AI340" i="17"/>
  <c r="AU340" i="17"/>
  <c r="AL340" i="17"/>
  <c r="AM340" i="17"/>
  <c r="AD340" i="17"/>
  <c r="AO340" i="17" s="1"/>
  <c r="AQ340" i="17"/>
  <c r="AE340" i="17"/>
  <c r="AR340" i="17"/>
  <c r="AK340" i="17"/>
  <c r="AN340" i="17"/>
  <c r="AT340" i="17"/>
  <c r="AG340" i="17"/>
  <c r="AB341" i="17" s="1"/>
  <c r="D332" i="17"/>
  <c r="L332" i="17"/>
  <c r="A332" i="17"/>
  <c r="I332" i="17"/>
  <c r="K332" i="17"/>
  <c r="G332" i="17"/>
  <c r="H332" i="17"/>
  <c r="E332" i="17"/>
  <c r="J332" i="17"/>
  <c r="B333" i="17"/>
  <c r="C332" i="17"/>
  <c r="F332" i="17"/>
  <c r="O104" i="17"/>
  <c r="X104" i="17" s="1"/>
  <c r="A93" i="17"/>
  <c r="W91" i="17"/>
  <c r="N103" i="17"/>
  <c r="J93" i="17"/>
  <c r="U92" i="17"/>
  <c r="V92" i="17"/>
  <c r="I92" i="17"/>
  <c r="B94" i="17"/>
  <c r="H93" i="17"/>
  <c r="G93" i="17"/>
  <c r="U342" i="17" l="1"/>
  <c r="O343" i="17"/>
  <c r="N342" i="17"/>
  <c r="W342" i="17"/>
  <c r="X342" i="17"/>
  <c r="R342" i="17"/>
  <c r="Z342" i="17"/>
  <c r="S342" i="17"/>
  <c r="Y342" i="17"/>
  <c r="V342" i="17"/>
  <c r="Q342" i="17"/>
  <c r="T342" i="17"/>
  <c r="AD341" i="17"/>
  <c r="AO341" i="17" s="1"/>
  <c r="AK341" i="17"/>
  <c r="AT341" i="17"/>
  <c r="AM341" i="17"/>
  <c r="AE341" i="17"/>
  <c r="AN341" i="17"/>
  <c r="AG341" i="17"/>
  <c r="AB342" i="17" s="1"/>
  <c r="AQ341" i="17"/>
  <c r="AI341" i="17"/>
  <c r="AR341" i="17"/>
  <c r="AJ341" i="17"/>
  <c r="AL341" i="17"/>
  <c r="AS341" i="17"/>
  <c r="AU341" i="17"/>
  <c r="AF341" i="17"/>
  <c r="H333" i="17"/>
  <c r="E333" i="17"/>
  <c r="J333" i="17"/>
  <c r="F333" i="17"/>
  <c r="G333" i="17"/>
  <c r="K333" i="17"/>
  <c r="C333" i="17"/>
  <c r="D333" i="17"/>
  <c r="L333" i="17"/>
  <c r="B334" i="17"/>
  <c r="A333" i="17"/>
  <c r="I333" i="17"/>
  <c r="W92" i="17"/>
  <c r="N104" i="17"/>
  <c r="A94" i="17"/>
  <c r="O105" i="17"/>
  <c r="X105" i="17" s="1"/>
  <c r="J94" i="17"/>
  <c r="V93" i="17"/>
  <c r="U93" i="17"/>
  <c r="I93" i="17"/>
  <c r="B95" i="17"/>
  <c r="H94" i="17"/>
  <c r="G94" i="17"/>
  <c r="AE342" i="17" l="1"/>
  <c r="AN342" i="17"/>
  <c r="AG342" i="17"/>
  <c r="AB343" i="17" s="1"/>
  <c r="AQ342" i="17"/>
  <c r="AI342" i="17"/>
  <c r="AR342" i="17"/>
  <c r="AK342" i="17"/>
  <c r="AT342" i="17"/>
  <c r="AL342" i="17"/>
  <c r="AU342" i="17"/>
  <c r="AD342" i="17"/>
  <c r="AO342" i="17" s="1"/>
  <c r="AF342" i="17"/>
  <c r="AJ342" i="17"/>
  <c r="AM342" i="17"/>
  <c r="AS342" i="17"/>
  <c r="X343" i="17"/>
  <c r="R343" i="17"/>
  <c r="Z343" i="17"/>
  <c r="S343" i="17"/>
  <c r="U343" i="17"/>
  <c r="O344" i="17"/>
  <c r="V343" i="17"/>
  <c r="Q343" i="17"/>
  <c r="T343" i="17"/>
  <c r="W343" i="17"/>
  <c r="Y343" i="17"/>
  <c r="N343" i="17"/>
  <c r="D334" i="17"/>
  <c r="L334" i="17"/>
  <c r="A334" i="17"/>
  <c r="I334" i="17"/>
  <c r="H334" i="17"/>
  <c r="E334" i="17"/>
  <c r="F334" i="17"/>
  <c r="B335" i="17"/>
  <c r="J334" i="17"/>
  <c r="K334" i="17"/>
  <c r="C334" i="17"/>
  <c r="G334" i="17"/>
  <c r="W93" i="17"/>
  <c r="O106" i="17"/>
  <c r="X106" i="17" s="1"/>
  <c r="A95" i="17"/>
  <c r="N105" i="17"/>
  <c r="J95" i="17"/>
  <c r="U94" i="17"/>
  <c r="V94" i="17"/>
  <c r="I94" i="17"/>
  <c r="H95" i="17"/>
  <c r="G95" i="17"/>
  <c r="B96" i="17"/>
  <c r="AI343" i="17" l="1"/>
  <c r="AR343" i="17"/>
  <c r="AK343" i="17"/>
  <c r="AT343" i="17"/>
  <c r="AL343" i="17"/>
  <c r="AU343" i="17"/>
  <c r="AE343" i="17"/>
  <c r="AN343" i="17"/>
  <c r="AF343" i="17"/>
  <c r="AQ343" i="17"/>
  <c r="AS343" i="17"/>
  <c r="AD343" i="17"/>
  <c r="AO343" i="17" s="1"/>
  <c r="AM343" i="17"/>
  <c r="AG343" i="17"/>
  <c r="AB344" i="17" s="1"/>
  <c r="AJ343" i="17"/>
  <c r="S344" i="17"/>
  <c r="U344" i="17"/>
  <c r="O345" i="17"/>
  <c r="V344" i="17"/>
  <c r="X344" i="17"/>
  <c r="Q344" i="17"/>
  <c r="Y344" i="17"/>
  <c r="N344" i="17"/>
  <c r="R344" i="17"/>
  <c r="T344" i="17"/>
  <c r="W344" i="17"/>
  <c r="Z344" i="17"/>
  <c r="H335" i="17"/>
  <c r="E335" i="17"/>
  <c r="G335" i="17"/>
  <c r="C335" i="17"/>
  <c r="B336" i="17"/>
  <c r="D335" i="17"/>
  <c r="L335" i="17"/>
  <c r="A335" i="17"/>
  <c r="I335" i="17"/>
  <c r="K335" i="17"/>
  <c r="F335" i="17"/>
  <c r="J335" i="17"/>
  <c r="N106" i="17"/>
  <c r="W94" i="17"/>
  <c r="A96" i="17"/>
  <c r="O107" i="17"/>
  <c r="X107" i="17" s="1"/>
  <c r="J96" i="17"/>
  <c r="V95" i="17"/>
  <c r="U95" i="17"/>
  <c r="I95" i="17"/>
  <c r="B97" i="17"/>
  <c r="H96" i="17"/>
  <c r="G96" i="17"/>
  <c r="AL344" i="17" l="1"/>
  <c r="AU344" i="17"/>
  <c r="AE344" i="17"/>
  <c r="AN344" i="17"/>
  <c r="AF344" i="17"/>
  <c r="AI344" i="17"/>
  <c r="AR344" i="17"/>
  <c r="AJ344" i="17"/>
  <c r="AS344" i="17"/>
  <c r="AG344" i="17"/>
  <c r="AB345" i="17" s="1"/>
  <c r="AK344" i="17"/>
  <c r="AM344" i="17"/>
  <c r="AQ344" i="17"/>
  <c r="AT344" i="17"/>
  <c r="AD344" i="17"/>
  <c r="AO344" i="17" s="1"/>
  <c r="V345" i="17"/>
  <c r="X345" i="17"/>
  <c r="Q345" i="17"/>
  <c r="Y345" i="17"/>
  <c r="S345" i="17"/>
  <c r="T345" i="17"/>
  <c r="W345" i="17"/>
  <c r="O346" i="17"/>
  <c r="Z345" i="17"/>
  <c r="U345" i="17"/>
  <c r="N345" i="17"/>
  <c r="R345" i="17"/>
  <c r="D336" i="17"/>
  <c r="L336" i="17"/>
  <c r="A336" i="17"/>
  <c r="I336" i="17"/>
  <c r="F336" i="17"/>
  <c r="C336" i="17"/>
  <c r="B337" i="17"/>
  <c r="H336" i="17"/>
  <c r="E336" i="17"/>
  <c r="G336" i="17"/>
  <c r="J336" i="17"/>
  <c r="K336" i="17"/>
  <c r="W95" i="17"/>
  <c r="O108" i="17"/>
  <c r="X108" i="17" s="1"/>
  <c r="A97" i="17"/>
  <c r="N107" i="17"/>
  <c r="J97" i="17"/>
  <c r="V96" i="17"/>
  <c r="U96" i="17"/>
  <c r="I96" i="17"/>
  <c r="B98" i="17"/>
  <c r="H97" i="17"/>
  <c r="G97" i="17"/>
  <c r="AF345" i="17" l="1"/>
  <c r="AI345" i="17"/>
  <c r="AR345" i="17"/>
  <c r="AJ345" i="17"/>
  <c r="AS345" i="17"/>
  <c r="AL345" i="17"/>
  <c r="AU345" i="17"/>
  <c r="AD345" i="17"/>
  <c r="AO345" i="17" s="1"/>
  <c r="AM345" i="17"/>
  <c r="AE345" i="17"/>
  <c r="AG345" i="17"/>
  <c r="AB346" i="17" s="1"/>
  <c r="AK345" i="17"/>
  <c r="AT345" i="17"/>
  <c r="AN345" i="17"/>
  <c r="AQ345" i="17"/>
  <c r="Q346" i="17"/>
  <c r="Y346" i="17"/>
  <c r="S346" i="17"/>
  <c r="T346" i="17"/>
  <c r="V346" i="17"/>
  <c r="N346" i="17"/>
  <c r="W346" i="17"/>
  <c r="R346" i="17"/>
  <c r="U346" i="17"/>
  <c r="X346" i="17"/>
  <c r="O347" i="17"/>
  <c r="Z346" i="17"/>
  <c r="H337" i="17"/>
  <c r="E337" i="17"/>
  <c r="D337" i="17"/>
  <c r="A337" i="17"/>
  <c r="K337" i="17"/>
  <c r="L337" i="17"/>
  <c r="B338" i="17"/>
  <c r="G337" i="17"/>
  <c r="I337" i="17"/>
  <c r="C337" i="17"/>
  <c r="J337" i="17"/>
  <c r="F337" i="17"/>
  <c r="N108" i="17"/>
  <c r="A98" i="17"/>
  <c r="W96" i="17"/>
  <c r="O109" i="17"/>
  <c r="X109" i="17" s="1"/>
  <c r="J98" i="17"/>
  <c r="V97" i="17"/>
  <c r="U97" i="17"/>
  <c r="I97" i="17"/>
  <c r="B99" i="17"/>
  <c r="H98" i="17"/>
  <c r="G98" i="17"/>
  <c r="AJ346" i="17" l="1"/>
  <c r="AS346" i="17"/>
  <c r="AL346" i="17"/>
  <c r="AU346" i="17"/>
  <c r="AD346" i="17"/>
  <c r="AO346" i="17" s="1"/>
  <c r="AM346" i="17"/>
  <c r="AF346" i="17"/>
  <c r="AG346" i="17"/>
  <c r="AB347" i="17" s="1"/>
  <c r="AQ346" i="17"/>
  <c r="AN346" i="17"/>
  <c r="AR346" i="17"/>
  <c r="AT346" i="17"/>
  <c r="AK346" i="17"/>
  <c r="AE346" i="17"/>
  <c r="AI346" i="17"/>
  <c r="T347" i="17"/>
  <c r="V347" i="17"/>
  <c r="N347" i="17"/>
  <c r="W347" i="17"/>
  <c r="Q347" i="17"/>
  <c r="Y347" i="17"/>
  <c r="R347" i="17"/>
  <c r="Z347" i="17"/>
  <c r="S347" i="17"/>
  <c r="U347" i="17"/>
  <c r="X347" i="17"/>
  <c r="O348" i="17"/>
  <c r="D338" i="17"/>
  <c r="A338" i="17"/>
  <c r="I338" i="17"/>
  <c r="C338" i="17"/>
  <c r="J338" i="17"/>
  <c r="K338" i="17"/>
  <c r="L338" i="17"/>
  <c r="B339" i="17"/>
  <c r="F338" i="17"/>
  <c r="G338" i="17"/>
  <c r="H338" i="17"/>
  <c r="E338" i="17"/>
  <c r="W97" i="17"/>
  <c r="O110" i="17"/>
  <c r="X110" i="17" s="1"/>
  <c r="A99" i="17"/>
  <c r="N109" i="17"/>
  <c r="J99" i="17"/>
  <c r="V98" i="17"/>
  <c r="U98" i="17"/>
  <c r="H99" i="17"/>
  <c r="G99" i="17"/>
  <c r="B100" i="17"/>
  <c r="I98" i="17"/>
  <c r="AD347" i="17" l="1"/>
  <c r="AO347" i="17" s="1"/>
  <c r="AM347" i="17"/>
  <c r="AF347" i="17"/>
  <c r="AG347" i="17"/>
  <c r="AB348" i="17" s="1"/>
  <c r="AQ347" i="17"/>
  <c r="AJ347" i="17"/>
  <c r="AS347" i="17"/>
  <c r="AK347" i="17"/>
  <c r="AT347" i="17"/>
  <c r="AE347" i="17"/>
  <c r="AI347" i="17"/>
  <c r="AL347" i="17"/>
  <c r="AN347" i="17"/>
  <c r="AR347" i="17"/>
  <c r="AU347" i="17"/>
  <c r="N348" i="17"/>
  <c r="W348" i="17"/>
  <c r="Q348" i="17"/>
  <c r="Y348" i="17"/>
  <c r="R348" i="17"/>
  <c r="Z348" i="17"/>
  <c r="T348" i="17"/>
  <c r="U348" i="17"/>
  <c r="O349" i="17"/>
  <c r="V348" i="17"/>
  <c r="X348" i="17"/>
  <c r="S348" i="17"/>
  <c r="A339" i="17"/>
  <c r="I339" i="17"/>
  <c r="F339" i="17"/>
  <c r="B340" i="17"/>
  <c r="G339" i="17"/>
  <c r="D339" i="17"/>
  <c r="L339" i="17"/>
  <c r="E339" i="17"/>
  <c r="J339" i="17"/>
  <c r="K339" i="17"/>
  <c r="C339" i="17"/>
  <c r="H339" i="17"/>
  <c r="W98" i="17"/>
  <c r="N110" i="17"/>
  <c r="O111" i="17"/>
  <c r="A100" i="17"/>
  <c r="J100" i="17"/>
  <c r="V99" i="17"/>
  <c r="U99" i="17"/>
  <c r="I99" i="17"/>
  <c r="B101" i="17"/>
  <c r="H100" i="17"/>
  <c r="G100" i="17"/>
  <c r="AG348" i="17" l="1"/>
  <c r="AB349" i="17" s="1"/>
  <c r="AQ348" i="17"/>
  <c r="AJ348" i="17"/>
  <c r="AS348" i="17"/>
  <c r="AK348" i="17"/>
  <c r="AT348" i="17"/>
  <c r="AD348" i="17"/>
  <c r="AO348" i="17" s="1"/>
  <c r="AM348" i="17"/>
  <c r="AE348" i="17"/>
  <c r="AN348" i="17"/>
  <c r="AU348" i="17"/>
  <c r="AF348" i="17"/>
  <c r="AI348" i="17"/>
  <c r="AR348" i="17"/>
  <c r="AL348" i="17"/>
  <c r="R349" i="17"/>
  <c r="Z349" i="17"/>
  <c r="T349" i="17"/>
  <c r="U349" i="17"/>
  <c r="N349" i="17"/>
  <c r="W349" i="17"/>
  <c r="X349" i="17"/>
  <c r="O350" i="17"/>
  <c r="Q349" i="17"/>
  <c r="S349" i="17"/>
  <c r="V349" i="17"/>
  <c r="Y349" i="17"/>
  <c r="E340" i="17"/>
  <c r="J340" i="17"/>
  <c r="C340" i="17"/>
  <c r="K340" i="17"/>
  <c r="F340" i="17"/>
  <c r="B341" i="17"/>
  <c r="A340" i="17"/>
  <c r="L340" i="17"/>
  <c r="D340" i="17"/>
  <c r="G340" i="17"/>
  <c r="H340" i="17"/>
  <c r="I340" i="17"/>
  <c r="W99" i="17"/>
  <c r="N111" i="17"/>
  <c r="X111" i="17"/>
  <c r="A101" i="17"/>
  <c r="O112" i="17"/>
  <c r="X112" i="17" s="1"/>
  <c r="J101" i="17"/>
  <c r="U100" i="17"/>
  <c r="V100" i="17"/>
  <c r="I100" i="17"/>
  <c r="B102" i="17"/>
  <c r="H101" i="17"/>
  <c r="G101" i="17"/>
  <c r="U350" i="17" l="1"/>
  <c r="O351" i="17"/>
  <c r="R350" i="17"/>
  <c r="Z350" i="17"/>
  <c r="S350" i="17"/>
  <c r="Q350" i="17"/>
  <c r="T350" i="17"/>
  <c r="V350" i="17"/>
  <c r="W350" i="17"/>
  <c r="N350" i="17"/>
  <c r="X350" i="17"/>
  <c r="Y350" i="17"/>
  <c r="AK349" i="17"/>
  <c r="AT349" i="17"/>
  <c r="AE349" i="17"/>
  <c r="AG349" i="17"/>
  <c r="AB350" i="17" s="1"/>
  <c r="AQ349" i="17"/>
  <c r="AI349" i="17"/>
  <c r="AR349" i="17"/>
  <c r="AJ349" i="17"/>
  <c r="AL349" i="17"/>
  <c r="AM349" i="17"/>
  <c r="AN349" i="17"/>
  <c r="AF349" i="17"/>
  <c r="AS349" i="17"/>
  <c r="AU349" i="17"/>
  <c r="AD349" i="17"/>
  <c r="AO349" i="17" s="1"/>
  <c r="A341" i="17"/>
  <c r="I341" i="17"/>
  <c r="F341" i="17"/>
  <c r="B342" i="17"/>
  <c r="G341" i="17"/>
  <c r="E341" i="17"/>
  <c r="C341" i="17"/>
  <c r="H341" i="17"/>
  <c r="K341" i="17"/>
  <c r="L341" i="17"/>
  <c r="D341" i="17"/>
  <c r="J341" i="17"/>
  <c r="W100" i="17"/>
  <c r="O113" i="17"/>
  <c r="X113" i="17" s="1"/>
  <c r="A102" i="17"/>
  <c r="N112" i="17"/>
  <c r="J102" i="17"/>
  <c r="V101" i="17"/>
  <c r="U101" i="17"/>
  <c r="I101" i="17"/>
  <c r="B103" i="17"/>
  <c r="H102" i="17"/>
  <c r="G102" i="17"/>
  <c r="AE350" i="17" l="1"/>
  <c r="AN350" i="17"/>
  <c r="AK350" i="17"/>
  <c r="AT350" i="17"/>
  <c r="AL350" i="17"/>
  <c r="AU350" i="17"/>
  <c r="AF350" i="17"/>
  <c r="AS350" i="17"/>
  <c r="AG350" i="17"/>
  <c r="AB351" i="17" s="1"/>
  <c r="AI350" i="17"/>
  <c r="AJ350" i="17"/>
  <c r="AM350" i="17"/>
  <c r="AD350" i="17"/>
  <c r="AO350" i="17" s="1"/>
  <c r="AR350" i="17"/>
  <c r="AQ350" i="17"/>
  <c r="X351" i="17"/>
  <c r="U351" i="17"/>
  <c r="V351" i="17"/>
  <c r="Z351" i="17"/>
  <c r="N351" i="17"/>
  <c r="Q351" i="17"/>
  <c r="R351" i="17"/>
  <c r="S351" i="17"/>
  <c r="Y351" i="17"/>
  <c r="O352" i="17"/>
  <c r="T351" i="17"/>
  <c r="W351" i="17"/>
  <c r="E342" i="17"/>
  <c r="J342" i="17"/>
  <c r="C342" i="17"/>
  <c r="K342" i="17"/>
  <c r="G342" i="17"/>
  <c r="A342" i="17"/>
  <c r="D342" i="17"/>
  <c r="I342" i="17"/>
  <c r="B343" i="17"/>
  <c r="F342" i="17"/>
  <c r="L342" i="17"/>
  <c r="H342" i="17"/>
  <c r="W101" i="17"/>
  <c r="N113" i="17"/>
  <c r="A103" i="17"/>
  <c r="O114" i="17"/>
  <c r="X114" i="17" s="1"/>
  <c r="J103" i="17"/>
  <c r="U102" i="17"/>
  <c r="V102" i="17"/>
  <c r="I102" i="17"/>
  <c r="H103" i="17"/>
  <c r="G103" i="17"/>
  <c r="B104" i="17"/>
  <c r="S352" i="17" l="1"/>
  <c r="T352" i="17"/>
  <c r="U352" i="17"/>
  <c r="V352" i="17"/>
  <c r="W352" i="17"/>
  <c r="N352" i="17"/>
  <c r="X352" i="17"/>
  <c r="R352" i="17"/>
  <c r="O353" i="17"/>
  <c r="Q352" i="17"/>
  <c r="Y352" i="17"/>
  <c r="Z352" i="17"/>
  <c r="AI351" i="17"/>
  <c r="AR351" i="17"/>
  <c r="AE351" i="17"/>
  <c r="AN351" i="17"/>
  <c r="AF351" i="17"/>
  <c r="AQ351" i="17"/>
  <c r="AS351" i="17"/>
  <c r="AD351" i="17"/>
  <c r="AO351" i="17" s="1"/>
  <c r="AT351" i="17"/>
  <c r="AG351" i="17"/>
  <c r="AB352" i="17" s="1"/>
  <c r="AU351" i="17"/>
  <c r="AJ351" i="17"/>
  <c r="AM351" i="17"/>
  <c r="AK351" i="17"/>
  <c r="AL351" i="17"/>
  <c r="A343" i="17"/>
  <c r="I343" i="17"/>
  <c r="F343" i="17"/>
  <c r="B344" i="17"/>
  <c r="G343" i="17"/>
  <c r="H343" i="17"/>
  <c r="C343" i="17"/>
  <c r="D343" i="17"/>
  <c r="J343" i="17"/>
  <c r="K343" i="17"/>
  <c r="L343" i="17"/>
  <c r="E343" i="17"/>
  <c r="W102" i="17"/>
  <c r="A104" i="17"/>
  <c r="O115" i="17"/>
  <c r="X115" i="17" s="1"/>
  <c r="N114" i="17"/>
  <c r="J104" i="17"/>
  <c r="V103" i="17"/>
  <c r="U103" i="17"/>
  <c r="I103" i="17"/>
  <c r="B105" i="17"/>
  <c r="G104" i="17"/>
  <c r="H104" i="17"/>
  <c r="AL352" i="17" l="1"/>
  <c r="AU352" i="17"/>
  <c r="AE352" i="17"/>
  <c r="AF352" i="17"/>
  <c r="AQ352" i="17"/>
  <c r="AG352" i="17"/>
  <c r="AB353" i="17" s="1"/>
  <c r="AR352" i="17"/>
  <c r="AI352" i="17"/>
  <c r="AS352" i="17"/>
  <c r="AJ352" i="17"/>
  <c r="AT352" i="17"/>
  <c r="AD352" i="17"/>
  <c r="AO352" i="17" s="1"/>
  <c r="AN352" i="17"/>
  <c r="AK352" i="17"/>
  <c r="AM352" i="17"/>
  <c r="V353" i="17"/>
  <c r="R353" i="17"/>
  <c r="O354" i="17"/>
  <c r="S353" i="17"/>
  <c r="T353" i="17"/>
  <c r="U353" i="17"/>
  <c r="W353" i="17"/>
  <c r="Q353" i="17"/>
  <c r="Z353" i="17"/>
  <c r="N353" i="17"/>
  <c r="X353" i="17"/>
  <c r="Y353" i="17"/>
  <c r="E344" i="17"/>
  <c r="J344" i="17"/>
  <c r="C344" i="17"/>
  <c r="K344" i="17"/>
  <c r="H344" i="17"/>
  <c r="D344" i="17"/>
  <c r="F344" i="17"/>
  <c r="G344" i="17"/>
  <c r="L344" i="17"/>
  <c r="I344" i="17"/>
  <c r="B345" i="17"/>
  <c r="A344" i="17"/>
  <c r="N115" i="17"/>
  <c r="A105" i="17"/>
  <c r="O116" i="17"/>
  <c r="X116" i="17" s="1"/>
  <c r="W103" i="17"/>
  <c r="J105" i="17"/>
  <c r="V104" i="17"/>
  <c r="U104" i="17"/>
  <c r="I104" i="17"/>
  <c r="H105" i="17"/>
  <c r="G105" i="17"/>
  <c r="B106" i="17"/>
  <c r="AF353" i="17" l="1"/>
  <c r="AM353" i="17"/>
  <c r="AD353" i="17"/>
  <c r="AO353" i="17" s="1"/>
  <c r="AN353" i="17"/>
  <c r="AE353" i="17"/>
  <c r="AQ353" i="17"/>
  <c r="AG353" i="17"/>
  <c r="AB354" i="17" s="1"/>
  <c r="AR353" i="17"/>
  <c r="AI353" i="17"/>
  <c r="AS353" i="17"/>
  <c r="AL353" i="17"/>
  <c r="AT353" i="17"/>
  <c r="AU353" i="17"/>
  <c r="AJ353" i="17"/>
  <c r="AK353" i="17"/>
  <c r="Q354" i="17"/>
  <c r="Y354" i="17"/>
  <c r="Z354" i="17"/>
  <c r="R354" i="17"/>
  <c r="O355" i="17"/>
  <c r="S354" i="17"/>
  <c r="T354" i="17"/>
  <c r="U354" i="17"/>
  <c r="N354" i="17"/>
  <c r="X354" i="17"/>
  <c r="V354" i="17"/>
  <c r="W354" i="17"/>
  <c r="A345" i="17"/>
  <c r="I345" i="17"/>
  <c r="F345" i="17"/>
  <c r="B346" i="17"/>
  <c r="G345" i="17"/>
  <c r="J345" i="17"/>
  <c r="D345" i="17"/>
  <c r="E345" i="17"/>
  <c r="C345" i="17"/>
  <c r="H345" i="17"/>
  <c r="K345" i="17"/>
  <c r="L345" i="17"/>
  <c r="W104" i="17"/>
  <c r="A106" i="17"/>
  <c r="O117" i="17"/>
  <c r="X117" i="17" s="1"/>
  <c r="N116" i="17"/>
  <c r="J106" i="17"/>
  <c r="V105" i="17"/>
  <c r="U105" i="17"/>
  <c r="I105" i="17"/>
  <c r="G106" i="17"/>
  <c r="B107" i="17"/>
  <c r="H106" i="17"/>
  <c r="AJ354" i="17" l="1"/>
  <c r="AS354" i="17"/>
  <c r="AL354" i="17"/>
  <c r="AM354" i="17"/>
  <c r="AD354" i="17"/>
  <c r="AO354" i="17" s="1"/>
  <c r="AN354" i="17"/>
  <c r="AE354" i="17"/>
  <c r="AF354" i="17"/>
  <c r="AQ354" i="17"/>
  <c r="AK354" i="17"/>
  <c r="AU354" i="17"/>
  <c r="AG354" i="17"/>
  <c r="AB355" i="17" s="1"/>
  <c r="AI354" i="17"/>
  <c r="AR354" i="17"/>
  <c r="AT354" i="17"/>
  <c r="T355" i="17"/>
  <c r="N355" i="17"/>
  <c r="X355" i="17"/>
  <c r="Y355" i="17"/>
  <c r="Q355" i="17"/>
  <c r="Z355" i="17"/>
  <c r="R355" i="17"/>
  <c r="S355" i="17"/>
  <c r="W355" i="17"/>
  <c r="V355" i="17"/>
  <c r="U355" i="17"/>
  <c r="O356" i="17"/>
  <c r="E346" i="17"/>
  <c r="J346" i="17"/>
  <c r="C346" i="17"/>
  <c r="K346" i="17"/>
  <c r="I346" i="17"/>
  <c r="F346" i="17"/>
  <c r="G346" i="17"/>
  <c r="A346" i="17"/>
  <c r="H346" i="17"/>
  <c r="B347" i="17"/>
  <c r="D346" i="17"/>
  <c r="L346" i="17"/>
  <c r="N117" i="17"/>
  <c r="A107" i="17"/>
  <c r="O118" i="17"/>
  <c r="X118" i="17" s="1"/>
  <c r="W105" i="17"/>
  <c r="J107" i="17"/>
  <c r="V106" i="17"/>
  <c r="U106" i="17"/>
  <c r="I106" i="17"/>
  <c r="B108" i="17"/>
  <c r="H107" i="17"/>
  <c r="G107" i="17"/>
  <c r="AI355" i="17" l="1"/>
  <c r="AR355" i="17"/>
  <c r="AJ355" i="17"/>
  <c r="AS355" i="17"/>
  <c r="AK355" i="17"/>
  <c r="AT355" i="17"/>
  <c r="AL355" i="17"/>
  <c r="AU355" i="17"/>
  <c r="AD355" i="17"/>
  <c r="AO355" i="17" s="1"/>
  <c r="AM355" i="17"/>
  <c r="AG355" i="17"/>
  <c r="AB356" i="17" s="1"/>
  <c r="AQ355" i="17"/>
  <c r="AE355" i="17"/>
  <c r="AF355" i="17"/>
  <c r="AN355" i="17"/>
  <c r="S356" i="17"/>
  <c r="T356" i="17"/>
  <c r="U356" i="17"/>
  <c r="O357" i="17"/>
  <c r="V356" i="17"/>
  <c r="N356" i="17"/>
  <c r="W356" i="17"/>
  <c r="R356" i="17"/>
  <c r="Z356" i="17"/>
  <c r="X356" i="17"/>
  <c r="Y356" i="17"/>
  <c r="Q356" i="17"/>
  <c r="A347" i="17"/>
  <c r="I347" i="17"/>
  <c r="F347" i="17"/>
  <c r="B348" i="17"/>
  <c r="G347" i="17"/>
  <c r="K347" i="17"/>
  <c r="E347" i="17"/>
  <c r="H347" i="17"/>
  <c r="L347" i="17"/>
  <c r="C347" i="17"/>
  <c r="D347" i="17"/>
  <c r="J347" i="17"/>
  <c r="W106" i="17"/>
  <c r="O119" i="17"/>
  <c r="X119" i="17" s="1"/>
  <c r="A108" i="17"/>
  <c r="N118" i="17"/>
  <c r="J108" i="17"/>
  <c r="U107" i="17"/>
  <c r="V107" i="17"/>
  <c r="B109" i="17"/>
  <c r="G108" i="17"/>
  <c r="H108" i="17"/>
  <c r="I107" i="17"/>
  <c r="V357" i="17" l="1"/>
  <c r="N357" i="17"/>
  <c r="W357" i="17"/>
  <c r="X357" i="17"/>
  <c r="Q357" i="17"/>
  <c r="Y357" i="17"/>
  <c r="R357" i="17"/>
  <c r="Z357" i="17"/>
  <c r="U357" i="17"/>
  <c r="O358" i="17"/>
  <c r="S357" i="17"/>
  <c r="T357" i="17"/>
  <c r="AL356" i="17"/>
  <c r="AU356" i="17"/>
  <c r="AD356" i="17"/>
  <c r="AO356" i="17" s="1"/>
  <c r="AM356" i="17"/>
  <c r="AE356" i="17"/>
  <c r="AN356" i="17"/>
  <c r="AF356" i="17"/>
  <c r="AG356" i="17"/>
  <c r="AB357" i="17" s="1"/>
  <c r="AQ356" i="17"/>
  <c r="AK356" i="17"/>
  <c r="AT356" i="17"/>
  <c r="AI356" i="17"/>
  <c r="AJ356" i="17"/>
  <c r="AR356" i="17"/>
  <c r="AS356" i="17"/>
  <c r="E348" i="17"/>
  <c r="J348" i="17"/>
  <c r="C348" i="17"/>
  <c r="K348" i="17"/>
  <c r="L348" i="17"/>
  <c r="G348" i="17"/>
  <c r="H348" i="17"/>
  <c r="D348" i="17"/>
  <c r="I348" i="17"/>
  <c r="B349" i="17"/>
  <c r="A348" i="17"/>
  <c r="F348" i="17"/>
  <c r="W107" i="17"/>
  <c r="N119" i="17"/>
  <c r="A109" i="17"/>
  <c r="O120" i="17"/>
  <c r="X120" i="17" s="1"/>
  <c r="J109" i="17"/>
  <c r="V108" i="17"/>
  <c r="U108" i="17"/>
  <c r="I108" i="17"/>
  <c r="H109" i="17"/>
  <c r="G109" i="17"/>
  <c r="B110" i="17"/>
  <c r="AF357" i="17" l="1"/>
  <c r="AG357" i="17"/>
  <c r="AB358" i="17" s="1"/>
  <c r="AQ357" i="17"/>
  <c r="AI357" i="17"/>
  <c r="AR357" i="17"/>
  <c r="AJ357" i="17"/>
  <c r="AS357" i="17"/>
  <c r="AK357" i="17"/>
  <c r="AT357" i="17"/>
  <c r="AE357" i="17"/>
  <c r="AN357" i="17"/>
  <c r="AL357" i="17"/>
  <c r="AM357" i="17"/>
  <c r="AU357" i="17"/>
  <c r="AD357" i="17"/>
  <c r="AO357" i="17" s="1"/>
  <c r="Q358" i="17"/>
  <c r="Y358" i="17"/>
  <c r="R358" i="17"/>
  <c r="Z358" i="17"/>
  <c r="S358" i="17"/>
  <c r="T358" i="17"/>
  <c r="U358" i="17"/>
  <c r="O359" i="17"/>
  <c r="X358" i="17"/>
  <c r="N358" i="17"/>
  <c r="V358" i="17"/>
  <c r="W358" i="17"/>
  <c r="A349" i="17"/>
  <c r="I349" i="17"/>
  <c r="F349" i="17"/>
  <c r="B350" i="17"/>
  <c r="G349" i="17"/>
  <c r="L349" i="17"/>
  <c r="H349" i="17"/>
  <c r="J349" i="17"/>
  <c r="E349" i="17"/>
  <c r="C349" i="17"/>
  <c r="D349" i="17"/>
  <c r="K349" i="17"/>
  <c r="A110" i="17"/>
  <c r="O121" i="17"/>
  <c r="X121" i="17" s="1"/>
  <c r="W108" i="17"/>
  <c r="N120" i="17"/>
  <c r="J110" i="17"/>
  <c r="V109" i="17"/>
  <c r="U109" i="17"/>
  <c r="I109" i="17"/>
  <c r="G110" i="17"/>
  <c r="H110" i="17"/>
  <c r="B111" i="17"/>
  <c r="T359" i="17" l="1"/>
  <c r="U359" i="17"/>
  <c r="O360" i="17"/>
  <c r="V359" i="17"/>
  <c r="N359" i="17"/>
  <c r="W359" i="17"/>
  <c r="X359" i="17"/>
  <c r="S359" i="17"/>
  <c r="Q359" i="17"/>
  <c r="R359" i="17"/>
  <c r="Y359" i="17"/>
  <c r="Z359" i="17"/>
  <c r="AJ358" i="17"/>
  <c r="AS358" i="17"/>
  <c r="AK358" i="17"/>
  <c r="AT358" i="17"/>
  <c r="AL358" i="17"/>
  <c r="AU358" i="17"/>
  <c r="AD358" i="17"/>
  <c r="AO358" i="17" s="1"/>
  <c r="AM358" i="17"/>
  <c r="AE358" i="17"/>
  <c r="AN358" i="17"/>
  <c r="AI358" i="17"/>
  <c r="AR358" i="17"/>
  <c r="AQ358" i="17"/>
  <c r="AF358" i="17"/>
  <c r="AG358" i="17"/>
  <c r="AB359" i="17" s="1"/>
  <c r="E350" i="17"/>
  <c r="J350" i="17"/>
  <c r="K350" i="17"/>
  <c r="G350" i="17"/>
  <c r="H350" i="17"/>
  <c r="B351" i="17"/>
  <c r="F350" i="17"/>
  <c r="I350" i="17"/>
  <c r="A350" i="17"/>
  <c r="L350" i="17"/>
  <c r="D350" i="17"/>
  <c r="C350" i="17"/>
  <c r="W109" i="17"/>
  <c r="N121" i="17"/>
  <c r="O122" i="17"/>
  <c r="X122" i="17" s="1"/>
  <c r="A111" i="17"/>
  <c r="J111" i="17"/>
  <c r="U110" i="17"/>
  <c r="V110" i="17"/>
  <c r="H111" i="17"/>
  <c r="G111" i="17"/>
  <c r="B112" i="17"/>
  <c r="I110" i="17"/>
  <c r="N360" i="17" l="1"/>
  <c r="W360" i="17"/>
  <c r="X360" i="17"/>
  <c r="Q360" i="17"/>
  <c r="Y360" i="17"/>
  <c r="R360" i="17"/>
  <c r="Z360" i="17"/>
  <c r="S360" i="17"/>
  <c r="V360" i="17"/>
  <c r="O361" i="17"/>
  <c r="T360" i="17"/>
  <c r="U360" i="17"/>
  <c r="AD359" i="17"/>
  <c r="AO359" i="17" s="1"/>
  <c r="AM359" i="17"/>
  <c r="AE359" i="17"/>
  <c r="AN359" i="17"/>
  <c r="AF359" i="17"/>
  <c r="AG359" i="17"/>
  <c r="AB360" i="17" s="1"/>
  <c r="AQ359" i="17"/>
  <c r="AI359" i="17"/>
  <c r="AR359" i="17"/>
  <c r="AL359" i="17"/>
  <c r="AU359" i="17"/>
  <c r="AS359" i="17"/>
  <c r="AT359" i="17"/>
  <c r="AJ359" i="17"/>
  <c r="AK359" i="17"/>
  <c r="A351" i="17"/>
  <c r="I351" i="17"/>
  <c r="F351" i="17"/>
  <c r="B352" i="17"/>
  <c r="J351" i="17"/>
  <c r="E351" i="17"/>
  <c r="G351" i="17"/>
  <c r="L351" i="17"/>
  <c r="H351" i="17"/>
  <c r="K351" i="17"/>
  <c r="C351" i="17"/>
  <c r="D351" i="17"/>
  <c r="N122" i="17"/>
  <c r="W110" i="17"/>
  <c r="A112" i="17"/>
  <c r="O123" i="17"/>
  <c r="X123" i="17" s="1"/>
  <c r="J112" i="17"/>
  <c r="V111" i="17"/>
  <c r="U111" i="17"/>
  <c r="B113" i="17"/>
  <c r="G112" i="17"/>
  <c r="H112" i="17"/>
  <c r="I111" i="17"/>
  <c r="R361" i="17" l="1"/>
  <c r="Z361" i="17"/>
  <c r="S361" i="17"/>
  <c r="T361" i="17"/>
  <c r="U361" i="17"/>
  <c r="O362" i="17"/>
  <c r="V361" i="17"/>
  <c r="Q361" i="17"/>
  <c r="Y361" i="17"/>
  <c r="N361" i="17"/>
  <c r="W361" i="17"/>
  <c r="X361" i="17"/>
  <c r="AG360" i="17"/>
  <c r="AB361" i="17" s="1"/>
  <c r="AQ360" i="17"/>
  <c r="AI360" i="17"/>
  <c r="AR360" i="17"/>
  <c r="AJ360" i="17"/>
  <c r="AS360" i="17"/>
  <c r="AK360" i="17"/>
  <c r="AT360" i="17"/>
  <c r="AL360" i="17"/>
  <c r="AU360" i="17"/>
  <c r="AF360" i="17"/>
  <c r="AM360" i="17"/>
  <c r="AN360" i="17"/>
  <c r="AD360" i="17"/>
  <c r="AO360" i="17" s="1"/>
  <c r="AE360" i="17"/>
  <c r="E352" i="17"/>
  <c r="J352" i="17"/>
  <c r="H352" i="17"/>
  <c r="D352" i="17"/>
  <c r="F352" i="17"/>
  <c r="G352" i="17"/>
  <c r="A352" i="17"/>
  <c r="L352" i="17"/>
  <c r="B353" i="17"/>
  <c r="C352" i="17"/>
  <c r="I352" i="17"/>
  <c r="K352" i="17"/>
  <c r="W111" i="17"/>
  <c r="A113" i="17"/>
  <c r="O124" i="17"/>
  <c r="X124" i="17" s="1"/>
  <c r="N123" i="17"/>
  <c r="J113" i="17"/>
  <c r="V112" i="17"/>
  <c r="U112" i="17"/>
  <c r="I112" i="17"/>
  <c r="H113" i="17"/>
  <c r="G113" i="17"/>
  <c r="B114" i="17"/>
  <c r="AK361" i="17" l="1"/>
  <c r="AT361" i="17"/>
  <c r="AL361" i="17"/>
  <c r="AU361" i="17"/>
  <c r="AD361" i="17"/>
  <c r="AO361" i="17" s="1"/>
  <c r="AM361" i="17"/>
  <c r="AE361" i="17"/>
  <c r="AN361" i="17"/>
  <c r="AF361" i="17"/>
  <c r="AJ361" i="17"/>
  <c r="AS361" i="17"/>
  <c r="AG361" i="17"/>
  <c r="AB362" i="17" s="1"/>
  <c r="AI361" i="17"/>
  <c r="AR361" i="17"/>
  <c r="AQ361" i="17"/>
  <c r="U362" i="17"/>
  <c r="O363" i="17"/>
  <c r="V362" i="17"/>
  <c r="N362" i="17"/>
  <c r="W362" i="17"/>
  <c r="X362" i="17"/>
  <c r="Q362" i="17"/>
  <c r="Y362" i="17"/>
  <c r="T362" i="17"/>
  <c r="R362" i="17"/>
  <c r="S362" i="17"/>
  <c r="Z362" i="17"/>
  <c r="A353" i="17"/>
  <c r="I353" i="17"/>
  <c r="F353" i="17"/>
  <c r="B354" i="17"/>
  <c r="G353" i="17"/>
  <c r="C353" i="17"/>
  <c r="D353" i="17"/>
  <c r="K353" i="17"/>
  <c r="E353" i="17"/>
  <c r="H353" i="17"/>
  <c r="L353" i="17"/>
  <c r="J353" i="17"/>
  <c r="N124" i="17"/>
  <c r="W112" i="17"/>
  <c r="A114" i="17"/>
  <c r="O125" i="17"/>
  <c r="X125" i="17" s="1"/>
  <c r="J114" i="17"/>
  <c r="V113" i="17"/>
  <c r="U113" i="17"/>
  <c r="G114" i="17"/>
  <c r="B115" i="17"/>
  <c r="H114" i="17"/>
  <c r="I113" i="17"/>
  <c r="AE362" i="17" l="1"/>
  <c r="AN362" i="17"/>
  <c r="AF362" i="17"/>
  <c r="AG362" i="17"/>
  <c r="AB363" i="17" s="1"/>
  <c r="AQ362" i="17"/>
  <c r="AI362" i="17"/>
  <c r="AJ362" i="17"/>
  <c r="AS362" i="17"/>
  <c r="AD362" i="17"/>
  <c r="AO362" i="17" s="1"/>
  <c r="AM362" i="17"/>
  <c r="AU362" i="17"/>
  <c r="AR362" i="17"/>
  <c r="AT362" i="17"/>
  <c r="AK362" i="17"/>
  <c r="AL362" i="17"/>
  <c r="X363" i="17"/>
  <c r="Q363" i="17"/>
  <c r="Y363" i="17"/>
  <c r="R363" i="17"/>
  <c r="Z363" i="17"/>
  <c r="T363" i="17"/>
  <c r="N363" i="17"/>
  <c r="W363" i="17"/>
  <c r="S363" i="17"/>
  <c r="U363" i="17"/>
  <c r="V363" i="17"/>
  <c r="O364" i="17"/>
  <c r="E354" i="17"/>
  <c r="J354" i="17"/>
  <c r="F354" i="17"/>
  <c r="A354" i="17"/>
  <c r="L354" i="17"/>
  <c r="C354" i="17"/>
  <c r="B355" i="17"/>
  <c r="I354" i="17"/>
  <c r="K354" i="17"/>
  <c r="D354" i="17"/>
  <c r="G354" i="17"/>
  <c r="H354" i="17"/>
  <c r="W113" i="17"/>
  <c r="O126" i="17"/>
  <c r="X126" i="17" s="1"/>
  <c r="A115" i="17"/>
  <c r="N125" i="17"/>
  <c r="J115" i="17"/>
  <c r="V114" i="17"/>
  <c r="U114" i="17"/>
  <c r="I114" i="17"/>
  <c r="B116" i="17"/>
  <c r="H115" i="17"/>
  <c r="G115" i="17"/>
  <c r="S364" i="17" l="1"/>
  <c r="N364" i="17"/>
  <c r="W364" i="17"/>
  <c r="R364" i="17"/>
  <c r="Z364" i="17"/>
  <c r="U364" i="17"/>
  <c r="V364" i="17"/>
  <c r="X364" i="17"/>
  <c r="Y364" i="17"/>
  <c r="Q364" i="17"/>
  <c r="T364" i="17"/>
  <c r="O365" i="17"/>
  <c r="AI363" i="17"/>
  <c r="AR363" i="17"/>
  <c r="AK363" i="17"/>
  <c r="AT363" i="17"/>
  <c r="AD363" i="17"/>
  <c r="AO363" i="17" s="1"/>
  <c r="AM363" i="17"/>
  <c r="AG363" i="17"/>
  <c r="AB364" i="17" s="1"/>
  <c r="AQ363" i="17"/>
  <c r="AL363" i="17"/>
  <c r="AN363" i="17"/>
  <c r="AS363" i="17"/>
  <c r="AE363" i="17"/>
  <c r="AF363" i="17"/>
  <c r="AJ363" i="17"/>
  <c r="AU363" i="17"/>
  <c r="A355" i="17"/>
  <c r="I355" i="17"/>
  <c r="F355" i="17"/>
  <c r="B356" i="17"/>
  <c r="D355" i="17"/>
  <c r="K355" i="17"/>
  <c r="L355" i="17"/>
  <c r="E355" i="17"/>
  <c r="G355" i="17"/>
  <c r="H355" i="17"/>
  <c r="C355" i="17"/>
  <c r="J355" i="17"/>
  <c r="W114" i="17"/>
  <c r="N126" i="17"/>
  <c r="A116" i="17"/>
  <c r="O127" i="17"/>
  <c r="X127" i="17" s="1"/>
  <c r="J116" i="17"/>
  <c r="U115" i="17"/>
  <c r="V115" i="17"/>
  <c r="I115" i="17"/>
  <c r="B117" i="17"/>
  <c r="H116" i="17"/>
  <c r="G116" i="17"/>
  <c r="V365" i="17" l="1"/>
  <c r="R365" i="17"/>
  <c r="Z365" i="17"/>
  <c r="U365" i="17"/>
  <c r="O366" i="17"/>
  <c r="Q365" i="17"/>
  <c r="S365" i="17"/>
  <c r="T365" i="17"/>
  <c r="W365" i="17"/>
  <c r="N365" i="17"/>
  <c r="X365" i="17"/>
  <c r="Y365" i="17"/>
  <c r="AL364" i="17"/>
  <c r="AU364" i="17"/>
  <c r="AG364" i="17"/>
  <c r="AB365" i="17" s="1"/>
  <c r="AQ364" i="17"/>
  <c r="AK364" i="17"/>
  <c r="AT364" i="17"/>
  <c r="AJ364" i="17"/>
  <c r="AM364" i="17"/>
  <c r="AN364" i="17"/>
  <c r="AD364" i="17"/>
  <c r="AO364" i="17" s="1"/>
  <c r="AI364" i="17"/>
  <c r="AE364" i="17"/>
  <c r="AF364" i="17"/>
  <c r="AR364" i="17"/>
  <c r="AS364" i="17"/>
  <c r="E356" i="17"/>
  <c r="J356" i="17"/>
  <c r="C356" i="17"/>
  <c r="B357" i="17"/>
  <c r="I356" i="17"/>
  <c r="K356" i="17"/>
  <c r="H356" i="17"/>
  <c r="D356" i="17"/>
  <c r="F356" i="17"/>
  <c r="A356" i="17"/>
  <c r="G356" i="17"/>
  <c r="L356" i="17"/>
  <c r="O128" i="17"/>
  <c r="X128" i="17" s="1"/>
  <c r="A117" i="17"/>
  <c r="W115" i="17"/>
  <c r="N127" i="17"/>
  <c r="J117" i="17"/>
  <c r="V116" i="17"/>
  <c r="U116" i="17"/>
  <c r="I116" i="17"/>
  <c r="H117" i="17"/>
  <c r="G117" i="17"/>
  <c r="B118" i="17"/>
  <c r="U366" i="17" l="1"/>
  <c r="X366" i="17"/>
  <c r="W366" i="17"/>
  <c r="Y366" i="17"/>
  <c r="N366" i="17"/>
  <c r="Z366" i="17"/>
  <c r="Q366" i="17"/>
  <c r="R366" i="17"/>
  <c r="S366" i="17"/>
  <c r="T366" i="17"/>
  <c r="V366" i="17"/>
  <c r="O367" i="17"/>
  <c r="AF365" i="17"/>
  <c r="AK365" i="17"/>
  <c r="AT365" i="17"/>
  <c r="AE365" i="17"/>
  <c r="AN365" i="17"/>
  <c r="AG365" i="17"/>
  <c r="AB366" i="17" s="1"/>
  <c r="AS365" i="17"/>
  <c r="AI365" i="17"/>
  <c r="AU365" i="17"/>
  <c r="AJ365" i="17"/>
  <c r="AL365" i="17"/>
  <c r="AQ365" i="17"/>
  <c r="AR365" i="17"/>
  <c r="AD365" i="17"/>
  <c r="AO365" i="17" s="1"/>
  <c r="AM365" i="17"/>
  <c r="A357" i="17"/>
  <c r="I357" i="17"/>
  <c r="F357" i="17"/>
  <c r="B358" i="17"/>
  <c r="L357" i="17"/>
  <c r="H357" i="17"/>
  <c r="J357" i="17"/>
  <c r="G357" i="17"/>
  <c r="K357" i="17"/>
  <c r="E357" i="17"/>
  <c r="D357" i="17"/>
  <c r="C357" i="17"/>
  <c r="W116" i="17"/>
  <c r="N128" i="17"/>
  <c r="O129" i="17"/>
  <c r="X129" i="17" s="1"/>
  <c r="A118" i="17"/>
  <c r="J118" i="17"/>
  <c r="V117" i="17"/>
  <c r="U117" i="17"/>
  <c r="G118" i="17"/>
  <c r="B119" i="17"/>
  <c r="H118" i="17"/>
  <c r="I117" i="17"/>
  <c r="T367" i="17" l="1"/>
  <c r="U367" i="17"/>
  <c r="O368" i="17"/>
  <c r="V367" i="17"/>
  <c r="N367" i="17"/>
  <c r="W367" i="17"/>
  <c r="R367" i="17"/>
  <c r="S367" i="17"/>
  <c r="X367" i="17"/>
  <c r="Y367" i="17"/>
  <c r="Z367" i="17"/>
  <c r="Q367" i="17"/>
  <c r="AE366" i="17"/>
  <c r="AJ366" i="17"/>
  <c r="AS366" i="17"/>
  <c r="AK366" i="17"/>
  <c r="AT366" i="17"/>
  <c r="AL366" i="17"/>
  <c r="AU366" i="17"/>
  <c r="AM366" i="17"/>
  <c r="AG366" i="17"/>
  <c r="AB367" i="17" s="1"/>
  <c r="AI366" i="17"/>
  <c r="AN366" i="17"/>
  <c r="AR366" i="17"/>
  <c r="AQ366" i="17"/>
  <c r="AD366" i="17"/>
  <c r="AO366" i="17" s="1"/>
  <c r="AF366" i="17"/>
  <c r="J358" i="17"/>
  <c r="I358" i="17"/>
  <c r="F358" i="17"/>
  <c r="G358" i="17"/>
  <c r="C358" i="17"/>
  <c r="L358" i="17"/>
  <c r="E358" i="17"/>
  <c r="H358" i="17"/>
  <c r="A358" i="17"/>
  <c r="D358" i="17"/>
  <c r="K358" i="17"/>
  <c r="B359" i="17"/>
  <c r="W117" i="17"/>
  <c r="A119" i="17"/>
  <c r="O130" i="17"/>
  <c r="X130" i="17" s="1"/>
  <c r="N129" i="17"/>
  <c r="J119" i="17"/>
  <c r="V118" i="17"/>
  <c r="U118" i="17"/>
  <c r="I118" i="17"/>
  <c r="B120" i="17"/>
  <c r="H119" i="17"/>
  <c r="G119" i="17"/>
  <c r="AD367" i="17" l="1"/>
  <c r="AO367" i="17" s="1"/>
  <c r="AM367" i="17"/>
  <c r="AE367" i="17"/>
  <c r="AN367" i="17"/>
  <c r="AF367" i="17"/>
  <c r="AG367" i="17"/>
  <c r="AB368" i="17" s="1"/>
  <c r="AQ367" i="17"/>
  <c r="AK367" i="17"/>
  <c r="AL367" i="17"/>
  <c r="AR367" i="17"/>
  <c r="AS367" i="17"/>
  <c r="AT367" i="17"/>
  <c r="AU367" i="17"/>
  <c r="AI367" i="17"/>
  <c r="AJ367" i="17"/>
  <c r="N368" i="17"/>
  <c r="W368" i="17"/>
  <c r="X368" i="17"/>
  <c r="Q368" i="17"/>
  <c r="Y368" i="17"/>
  <c r="R368" i="17"/>
  <c r="Z368" i="17"/>
  <c r="U368" i="17"/>
  <c r="V368" i="17"/>
  <c r="O369" i="17"/>
  <c r="S368" i="17"/>
  <c r="T368" i="17"/>
  <c r="F359" i="17"/>
  <c r="G359" i="17"/>
  <c r="C359" i="17"/>
  <c r="L359" i="17"/>
  <c r="D359" i="17"/>
  <c r="E359" i="17"/>
  <c r="B360" i="17"/>
  <c r="A359" i="17"/>
  <c r="I359" i="17"/>
  <c r="J359" i="17"/>
  <c r="H359" i="17"/>
  <c r="K359" i="17"/>
  <c r="N130" i="17"/>
  <c r="A120" i="17"/>
  <c r="O131" i="17"/>
  <c r="X131" i="17" s="1"/>
  <c r="W118" i="17"/>
  <c r="I119" i="17"/>
  <c r="J120" i="17"/>
  <c r="V119" i="17"/>
  <c r="U119" i="17"/>
  <c r="B121" i="17"/>
  <c r="H120" i="17"/>
  <c r="G120" i="17"/>
  <c r="AG368" i="17" l="1"/>
  <c r="AB369" i="17" s="1"/>
  <c r="AQ368" i="17"/>
  <c r="AI368" i="17"/>
  <c r="AR368" i="17"/>
  <c r="AJ368" i="17"/>
  <c r="AS368" i="17"/>
  <c r="AK368" i="17"/>
  <c r="AT368" i="17"/>
  <c r="AN368" i="17"/>
  <c r="AU368" i="17"/>
  <c r="AD368" i="17"/>
  <c r="AO368" i="17" s="1"/>
  <c r="AF368" i="17"/>
  <c r="AE368" i="17"/>
  <c r="AL368" i="17"/>
  <c r="AM368" i="17"/>
  <c r="R369" i="17"/>
  <c r="Z369" i="17"/>
  <c r="S369" i="17"/>
  <c r="T369" i="17"/>
  <c r="U369" i="17"/>
  <c r="O370" i="17"/>
  <c r="X369" i="17"/>
  <c r="Y369" i="17"/>
  <c r="Q369" i="17"/>
  <c r="N369" i="17"/>
  <c r="V369" i="17"/>
  <c r="W369" i="17"/>
  <c r="C360" i="17"/>
  <c r="K360" i="17"/>
  <c r="H360" i="17"/>
  <c r="A360" i="17"/>
  <c r="I360" i="17"/>
  <c r="F360" i="17"/>
  <c r="B361" i="17"/>
  <c r="D360" i="17"/>
  <c r="E360" i="17"/>
  <c r="G360" i="17"/>
  <c r="J360" i="17"/>
  <c r="L360" i="17"/>
  <c r="W119" i="17"/>
  <c r="O132" i="17"/>
  <c r="X132" i="17" s="1"/>
  <c r="A121" i="17"/>
  <c r="N131" i="17"/>
  <c r="J121" i="17"/>
  <c r="V120" i="17"/>
  <c r="U120" i="17"/>
  <c r="I120" i="17"/>
  <c r="H121" i="17"/>
  <c r="G121" i="17"/>
  <c r="B122" i="17"/>
  <c r="U370" i="17" l="1"/>
  <c r="O371" i="17"/>
  <c r="V370" i="17"/>
  <c r="N370" i="17"/>
  <c r="W370" i="17"/>
  <c r="X370" i="17"/>
  <c r="Q370" i="17"/>
  <c r="R370" i="17"/>
  <c r="T370" i="17"/>
  <c r="S370" i="17"/>
  <c r="Y370" i="17"/>
  <c r="Z370" i="17"/>
  <c r="AK369" i="17"/>
  <c r="AT369" i="17"/>
  <c r="AL369" i="17"/>
  <c r="AU369" i="17"/>
  <c r="AD369" i="17"/>
  <c r="AO369" i="17" s="1"/>
  <c r="AM369" i="17"/>
  <c r="AE369" i="17"/>
  <c r="AN369" i="17"/>
  <c r="AR369" i="17"/>
  <c r="AS369" i="17"/>
  <c r="AF369" i="17"/>
  <c r="AG369" i="17"/>
  <c r="AB370" i="17" s="1"/>
  <c r="AI369" i="17"/>
  <c r="AJ369" i="17"/>
  <c r="AQ369" i="17"/>
  <c r="G361" i="17"/>
  <c r="D361" i="17"/>
  <c r="L361" i="17"/>
  <c r="E361" i="17"/>
  <c r="H361" i="17"/>
  <c r="C361" i="17"/>
  <c r="K361" i="17"/>
  <c r="B362" i="17"/>
  <c r="F361" i="17"/>
  <c r="I361" i="17"/>
  <c r="A361" i="17"/>
  <c r="J361" i="17"/>
  <c r="N132" i="17"/>
  <c r="A122" i="17"/>
  <c r="W120" i="17"/>
  <c r="O133" i="17"/>
  <c r="X133" i="17" s="1"/>
  <c r="J122" i="17"/>
  <c r="V121" i="17"/>
  <c r="U121" i="17"/>
  <c r="G122" i="17"/>
  <c r="B123" i="17"/>
  <c r="H122" i="17"/>
  <c r="I121" i="17"/>
  <c r="AE370" i="17" l="1"/>
  <c r="AN370" i="17"/>
  <c r="AF370" i="17"/>
  <c r="AG370" i="17"/>
  <c r="AB371" i="17" s="1"/>
  <c r="AQ370" i="17"/>
  <c r="AI370" i="17"/>
  <c r="AR370" i="17"/>
  <c r="AU370" i="17"/>
  <c r="AD370" i="17"/>
  <c r="AO370" i="17" s="1"/>
  <c r="AJ370" i="17"/>
  <c r="AM370" i="17"/>
  <c r="AK370" i="17"/>
  <c r="AL370" i="17"/>
  <c r="AS370" i="17"/>
  <c r="AT370" i="17"/>
  <c r="X371" i="17"/>
  <c r="Q371" i="17"/>
  <c r="Y371" i="17"/>
  <c r="R371" i="17"/>
  <c r="Z371" i="17"/>
  <c r="S371" i="17"/>
  <c r="N371" i="17"/>
  <c r="T371" i="17"/>
  <c r="U371" i="17"/>
  <c r="V371" i="17"/>
  <c r="W371" i="17"/>
  <c r="O372" i="17"/>
  <c r="C362" i="17"/>
  <c r="K362" i="17"/>
  <c r="H362" i="17"/>
  <c r="A362" i="17"/>
  <c r="I362" i="17"/>
  <c r="G362" i="17"/>
  <c r="D362" i="17"/>
  <c r="E362" i="17"/>
  <c r="B363" i="17"/>
  <c r="L362" i="17"/>
  <c r="F362" i="17"/>
  <c r="J362" i="17"/>
  <c r="W121" i="17"/>
  <c r="O134" i="17"/>
  <c r="X134" i="17" s="1"/>
  <c r="A123" i="17"/>
  <c r="N133" i="17"/>
  <c r="J123" i="17"/>
  <c r="V122" i="17"/>
  <c r="U122" i="17"/>
  <c r="I122" i="17"/>
  <c r="B124" i="17"/>
  <c r="H123" i="17"/>
  <c r="G123" i="17"/>
  <c r="AI371" i="17" l="1"/>
  <c r="AR371" i="17"/>
  <c r="AJ371" i="17"/>
  <c r="AS371" i="17"/>
  <c r="AK371" i="17"/>
  <c r="AT371" i="17"/>
  <c r="AL371" i="17"/>
  <c r="AU371" i="17"/>
  <c r="AF371" i="17"/>
  <c r="AG371" i="17"/>
  <c r="AB372" i="17" s="1"/>
  <c r="AM371" i="17"/>
  <c r="AN371" i="17"/>
  <c r="AQ371" i="17"/>
  <c r="AD371" i="17"/>
  <c r="AO371" i="17" s="1"/>
  <c r="AE371" i="17"/>
  <c r="S372" i="17"/>
  <c r="T372" i="17"/>
  <c r="U372" i="17"/>
  <c r="O373" i="17"/>
  <c r="V372" i="17"/>
  <c r="Q372" i="17"/>
  <c r="R372" i="17"/>
  <c r="W372" i="17"/>
  <c r="Z372" i="17"/>
  <c r="X372" i="17"/>
  <c r="Y372" i="17"/>
  <c r="N372" i="17"/>
  <c r="G363" i="17"/>
  <c r="D363" i="17"/>
  <c r="L363" i="17"/>
  <c r="E363" i="17"/>
  <c r="I363" i="17"/>
  <c r="C363" i="17"/>
  <c r="F363" i="17"/>
  <c r="J363" i="17"/>
  <c r="K363" i="17"/>
  <c r="A363" i="17"/>
  <c r="H363" i="17"/>
  <c r="B364" i="17"/>
  <c r="N134" i="17"/>
  <c r="W122" i="17"/>
  <c r="A124" i="17"/>
  <c r="O135" i="17"/>
  <c r="X135" i="17" s="1"/>
  <c r="J124" i="17"/>
  <c r="U123" i="17"/>
  <c r="V123" i="17"/>
  <c r="I123" i="17"/>
  <c r="B125" i="17"/>
  <c r="H124" i="17"/>
  <c r="G124" i="17"/>
  <c r="V373" i="17" l="1"/>
  <c r="N373" i="17"/>
  <c r="W373" i="17"/>
  <c r="X373" i="17"/>
  <c r="Q373" i="17"/>
  <c r="Y373" i="17"/>
  <c r="T373" i="17"/>
  <c r="U373" i="17"/>
  <c r="Z373" i="17"/>
  <c r="O374" i="17"/>
  <c r="R373" i="17"/>
  <c r="S373" i="17"/>
  <c r="AL372" i="17"/>
  <c r="AU372" i="17"/>
  <c r="AD372" i="17"/>
  <c r="AO372" i="17" s="1"/>
  <c r="AM372" i="17"/>
  <c r="AE372" i="17"/>
  <c r="AN372" i="17"/>
  <c r="AF372" i="17"/>
  <c r="AJ372" i="17"/>
  <c r="AK372" i="17"/>
  <c r="AQ372" i="17"/>
  <c r="AR372" i="17"/>
  <c r="AS372" i="17"/>
  <c r="AT372" i="17"/>
  <c r="AG372" i="17"/>
  <c r="AB373" i="17" s="1"/>
  <c r="AI372" i="17"/>
  <c r="C364" i="17"/>
  <c r="K364" i="17"/>
  <c r="H364" i="17"/>
  <c r="A364" i="17"/>
  <c r="I364" i="17"/>
  <c r="J364" i="17"/>
  <c r="E364" i="17"/>
  <c r="F364" i="17"/>
  <c r="L364" i="17"/>
  <c r="G364" i="17"/>
  <c r="B365" i="17"/>
  <c r="D364" i="17"/>
  <c r="W123" i="17"/>
  <c r="A125" i="17"/>
  <c r="O136" i="17"/>
  <c r="X136" i="17" s="1"/>
  <c r="N135" i="17"/>
  <c r="J125" i="17"/>
  <c r="V124" i="17"/>
  <c r="U124" i="17"/>
  <c r="W124" i="17" s="1"/>
  <c r="I124" i="17"/>
  <c r="H125" i="17"/>
  <c r="G125" i="17"/>
  <c r="B126" i="17"/>
  <c r="AF373" i="17" l="1"/>
  <c r="AG373" i="17"/>
  <c r="AB374" i="17" s="1"/>
  <c r="AQ373" i="17"/>
  <c r="AI373" i="17"/>
  <c r="AR373" i="17"/>
  <c r="AJ373" i="17"/>
  <c r="AS373" i="17"/>
  <c r="AM373" i="17"/>
  <c r="AN373" i="17"/>
  <c r="AT373" i="17"/>
  <c r="AU373" i="17"/>
  <c r="AE373" i="17"/>
  <c r="AD373" i="17"/>
  <c r="AO373" i="17" s="1"/>
  <c r="AK373" i="17"/>
  <c r="AL373" i="17"/>
  <c r="Q374" i="17"/>
  <c r="Y374" i="17"/>
  <c r="R374" i="17"/>
  <c r="Z374" i="17"/>
  <c r="S374" i="17"/>
  <c r="T374" i="17"/>
  <c r="W374" i="17"/>
  <c r="X374" i="17"/>
  <c r="O375" i="17"/>
  <c r="N374" i="17"/>
  <c r="U374" i="17"/>
  <c r="V374" i="17"/>
  <c r="G365" i="17"/>
  <c r="D365" i="17"/>
  <c r="L365" i="17"/>
  <c r="E365" i="17"/>
  <c r="J365" i="17"/>
  <c r="F365" i="17"/>
  <c r="H365" i="17"/>
  <c r="C365" i="17"/>
  <c r="I365" i="17"/>
  <c r="A365" i="17"/>
  <c r="K365" i="17"/>
  <c r="B366" i="17"/>
  <c r="N136" i="17"/>
  <c r="A126" i="17"/>
  <c r="O137" i="17"/>
  <c r="X137" i="17" s="1"/>
  <c r="J126" i="17"/>
  <c r="V125" i="17"/>
  <c r="U125" i="17"/>
  <c r="W125" i="17" s="1"/>
  <c r="I125" i="17"/>
  <c r="G126" i="17"/>
  <c r="B127" i="17"/>
  <c r="H126" i="17"/>
  <c r="T375" i="17" l="1"/>
  <c r="U375" i="17"/>
  <c r="O376" i="17"/>
  <c r="V375" i="17"/>
  <c r="N375" i="17"/>
  <c r="W375" i="17"/>
  <c r="Z375" i="17"/>
  <c r="Q375" i="17"/>
  <c r="S375" i="17"/>
  <c r="R375" i="17"/>
  <c r="X375" i="17"/>
  <c r="Y375" i="17"/>
  <c r="AJ374" i="17"/>
  <c r="AS374" i="17"/>
  <c r="AK374" i="17"/>
  <c r="AT374" i="17"/>
  <c r="AL374" i="17"/>
  <c r="AU374" i="17"/>
  <c r="AD374" i="17"/>
  <c r="AO374" i="17" s="1"/>
  <c r="AM374" i="17"/>
  <c r="AQ374" i="17"/>
  <c r="AR374" i="17"/>
  <c r="AE374" i="17"/>
  <c r="AF374" i="17"/>
  <c r="AG374" i="17"/>
  <c r="AB375" i="17" s="1"/>
  <c r="AI374" i="17"/>
  <c r="AN374" i="17"/>
  <c r="C366" i="17"/>
  <c r="K366" i="17"/>
  <c r="H366" i="17"/>
  <c r="A366" i="17"/>
  <c r="I366" i="17"/>
  <c r="L366" i="17"/>
  <c r="F366" i="17"/>
  <c r="G366" i="17"/>
  <c r="B367" i="17"/>
  <c r="E366" i="17"/>
  <c r="J366" i="17"/>
  <c r="D366" i="17"/>
  <c r="O138" i="17"/>
  <c r="X138" i="17" s="1"/>
  <c r="A127" i="17"/>
  <c r="N137" i="17"/>
  <c r="J127" i="17"/>
  <c r="V126" i="17"/>
  <c r="U126" i="17"/>
  <c r="I126" i="17"/>
  <c r="B128" i="17"/>
  <c r="H127" i="17"/>
  <c r="G127" i="17"/>
  <c r="N376" i="17" l="1"/>
  <c r="W376" i="17"/>
  <c r="X376" i="17"/>
  <c r="Q376" i="17"/>
  <c r="Y376" i="17"/>
  <c r="R376" i="17"/>
  <c r="Z376" i="17"/>
  <c r="O377" i="17"/>
  <c r="S376" i="17"/>
  <c r="T376" i="17"/>
  <c r="U376" i="17"/>
  <c r="V376" i="17"/>
  <c r="AD375" i="17"/>
  <c r="AO375" i="17" s="1"/>
  <c r="AM375" i="17"/>
  <c r="AE375" i="17"/>
  <c r="AN375" i="17"/>
  <c r="AF375" i="17"/>
  <c r="AG375" i="17"/>
  <c r="AB376" i="17" s="1"/>
  <c r="AQ375" i="17"/>
  <c r="AT375" i="17"/>
  <c r="AU375" i="17"/>
  <c r="AI375" i="17"/>
  <c r="AL375" i="17"/>
  <c r="AJ375" i="17"/>
  <c r="AK375" i="17"/>
  <c r="AR375" i="17"/>
  <c r="AS375" i="17"/>
  <c r="G367" i="17"/>
  <c r="D367" i="17"/>
  <c r="L367" i="17"/>
  <c r="E367" i="17"/>
  <c r="K367" i="17"/>
  <c r="H367" i="17"/>
  <c r="I367" i="17"/>
  <c r="C367" i="17"/>
  <c r="A367" i="17"/>
  <c r="F367" i="17"/>
  <c r="J367" i="17"/>
  <c r="B368" i="17"/>
  <c r="N138" i="17"/>
  <c r="W126" i="17"/>
  <c r="A128" i="17"/>
  <c r="O139" i="17"/>
  <c r="X139" i="17" s="1"/>
  <c r="J128" i="17"/>
  <c r="V127" i="17"/>
  <c r="U127" i="17"/>
  <c r="I127" i="17"/>
  <c r="B129" i="17"/>
  <c r="H128" i="17"/>
  <c r="G128" i="17"/>
  <c r="R377" i="17" l="1"/>
  <c r="Z377" i="17"/>
  <c r="S377" i="17"/>
  <c r="T377" i="17"/>
  <c r="U377" i="17"/>
  <c r="O378" i="17"/>
  <c r="Q377" i="17"/>
  <c r="V377" i="17"/>
  <c r="Y377" i="17"/>
  <c r="W377" i="17"/>
  <c r="X377" i="17"/>
  <c r="N377" i="17"/>
  <c r="AG376" i="17"/>
  <c r="AB377" i="17" s="1"/>
  <c r="AQ376" i="17"/>
  <c r="AI376" i="17"/>
  <c r="AR376" i="17"/>
  <c r="AJ376" i="17"/>
  <c r="AS376" i="17"/>
  <c r="AK376" i="17"/>
  <c r="AT376" i="17"/>
  <c r="AE376" i="17"/>
  <c r="AF376" i="17"/>
  <c r="AL376" i="17"/>
  <c r="AM376" i="17"/>
  <c r="AN376" i="17"/>
  <c r="AU376" i="17"/>
  <c r="AD376" i="17"/>
  <c r="AO376" i="17" s="1"/>
  <c r="C368" i="17"/>
  <c r="K368" i="17"/>
  <c r="H368" i="17"/>
  <c r="A368" i="17"/>
  <c r="I368" i="17"/>
  <c r="G368" i="17"/>
  <c r="J368" i="17"/>
  <c r="L368" i="17"/>
  <c r="B369" i="17"/>
  <c r="D368" i="17"/>
  <c r="E368" i="17"/>
  <c r="F368" i="17"/>
  <c r="W127" i="17"/>
  <c r="O140" i="17"/>
  <c r="X140" i="17" s="1"/>
  <c r="N139" i="17"/>
  <c r="A129" i="17"/>
  <c r="J129" i="17"/>
  <c r="V128" i="17"/>
  <c r="U128" i="17"/>
  <c r="I128" i="17"/>
  <c r="H129" i="17"/>
  <c r="G129" i="17"/>
  <c r="B130" i="17"/>
  <c r="U378" i="17" l="1"/>
  <c r="O379" i="17"/>
  <c r="V378" i="17"/>
  <c r="N378" i="17"/>
  <c r="W378" i="17"/>
  <c r="X378" i="17"/>
  <c r="S378" i="17"/>
  <c r="T378" i="17"/>
  <c r="Y378" i="17"/>
  <c r="Z378" i="17"/>
  <c r="Q378" i="17"/>
  <c r="R378" i="17"/>
  <c r="AK377" i="17"/>
  <c r="AT377" i="17"/>
  <c r="AL377" i="17"/>
  <c r="AU377" i="17"/>
  <c r="AD377" i="17"/>
  <c r="AO377" i="17" s="1"/>
  <c r="AM377" i="17"/>
  <c r="AE377" i="17"/>
  <c r="AN377" i="17"/>
  <c r="AI377" i="17"/>
  <c r="AJ377" i="17"/>
  <c r="AQ377" i="17"/>
  <c r="AR377" i="17"/>
  <c r="AS377" i="17"/>
  <c r="AF377" i="17"/>
  <c r="AG377" i="17"/>
  <c r="AB378" i="17" s="1"/>
  <c r="G369" i="17"/>
  <c r="D369" i="17"/>
  <c r="L369" i="17"/>
  <c r="E369" i="17"/>
  <c r="A369" i="17"/>
  <c r="B370" i="17"/>
  <c r="I369" i="17"/>
  <c r="J369" i="17"/>
  <c r="K369" i="17"/>
  <c r="H369" i="17"/>
  <c r="C369" i="17"/>
  <c r="F369" i="17"/>
  <c r="N140" i="17"/>
  <c r="W128" i="17"/>
  <c r="A130" i="17"/>
  <c r="O141" i="17"/>
  <c r="X141" i="17" s="1"/>
  <c r="J130" i="17"/>
  <c r="V129" i="17"/>
  <c r="U129" i="17"/>
  <c r="I129" i="17"/>
  <c r="G130" i="17"/>
  <c r="B131" i="17"/>
  <c r="H130" i="17"/>
  <c r="AE378" i="17" l="1"/>
  <c r="AN378" i="17"/>
  <c r="AF378" i="17"/>
  <c r="AG378" i="17"/>
  <c r="AB379" i="17" s="1"/>
  <c r="AI378" i="17"/>
  <c r="AR378" i="17"/>
  <c r="AL378" i="17"/>
  <c r="AM378" i="17"/>
  <c r="AQ378" i="17"/>
  <c r="AS378" i="17"/>
  <c r="AD378" i="17"/>
  <c r="AO378" i="17" s="1"/>
  <c r="AT378" i="17"/>
  <c r="AU378" i="17"/>
  <c r="AJ378" i="17"/>
  <c r="AK378" i="17"/>
  <c r="X379" i="17"/>
  <c r="Q379" i="17"/>
  <c r="Y379" i="17"/>
  <c r="S379" i="17"/>
  <c r="T379" i="17"/>
  <c r="O380" i="17"/>
  <c r="U379" i="17"/>
  <c r="V379" i="17"/>
  <c r="W379" i="17"/>
  <c r="Z379" i="17"/>
  <c r="N379" i="17"/>
  <c r="R379" i="17"/>
  <c r="C370" i="17"/>
  <c r="K370" i="17"/>
  <c r="H370" i="17"/>
  <c r="A370" i="17"/>
  <c r="I370" i="17"/>
  <c r="B371" i="17"/>
  <c r="J370" i="17"/>
  <c r="L370" i="17"/>
  <c r="F370" i="17"/>
  <c r="G370" i="17"/>
  <c r="D370" i="17"/>
  <c r="E370" i="17"/>
  <c r="W129" i="17"/>
  <c r="O142" i="17"/>
  <c r="X142" i="17" s="1"/>
  <c r="N141" i="17"/>
  <c r="A131" i="17"/>
  <c r="J131" i="17"/>
  <c r="V130" i="17"/>
  <c r="U130" i="17"/>
  <c r="I130" i="17"/>
  <c r="B132" i="17"/>
  <c r="H131" i="17"/>
  <c r="G131" i="17"/>
  <c r="AI379" i="17" l="1"/>
  <c r="AR379" i="17"/>
  <c r="AJ379" i="17"/>
  <c r="AS379" i="17"/>
  <c r="AL379" i="17"/>
  <c r="AU379" i="17"/>
  <c r="AG379" i="17"/>
  <c r="AB380" i="17" s="1"/>
  <c r="AK379" i="17"/>
  <c r="AM379" i="17"/>
  <c r="AD379" i="17"/>
  <c r="AO379" i="17" s="1"/>
  <c r="AN379" i="17"/>
  <c r="AQ379" i="17"/>
  <c r="AE379" i="17"/>
  <c r="AT379" i="17"/>
  <c r="AF379" i="17"/>
  <c r="S380" i="17"/>
  <c r="T380" i="17"/>
  <c r="V380" i="17"/>
  <c r="Q380" i="17"/>
  <c r="R380" i="17"/>
  <c r="O381" i="17"/>
  <c r="U380" i="17"/>
  <c r="W380" i="17"/>
  <c r="X380" i="17"/>
  <c r="Y380" i="17"/>
  <c r="N380" i="17"/>
  <c r="Z380" i="17"/>
  <c r="G371" i="17"/>
  <c r="D371" i="17"/>
  <c r="L371" i="17"/>
  <c r="E371" i="17"/>
  <c r="J371" i="17"/>
  <c r="K371" i="17"/>
  <c r="H371" i="17"/>
  <c r="I371" i="17"/>
  <c r="A371" i="17"/>
  <c r="F371" i="17"/>
  <c r="B372" i="17"/>
  <c r="C371" i="17"/>
  <c r="N142" i="17"/>
  <c r="W130" i="17"/>
  <c r="A132" i="17"/>
  <c r="O143" i="17"/>
  <c r="X143" i="17" s="1"/>
  <c r="J132" i="17"/>
  <c r="U131" i="17"/>
  <c r="V131" i="17"/>
  <c r="I131" i="17"/>
  <c r="B133" i="17"/>
  <c r="H132" i="17"/>
  <c r="G132" i="17"/>
  <c r="V381" i="17" l="1"/>
  <c r="N381" i="17"/>
  <c r="W381" i="17"/>
  <c r="Q381" i="17"/>
  <c r="Y381" i="17"/>
  <c r="Z381" i="17"/>
  <c r="T381" i="17"/>
  <c r="R381" i="17"/>
  <c r="S381" i="17"/>
  <c r="U381" i="17"/>
  <c r="X381" i="17"/>
  <c r="O382" i="17"/>
  <c r="AL380" i="17"/>
  <c r="AU380" i="17"/>
  <c r="AD380" i="17"/>
  <c r="AO380" i="17" s="1"/>
  <c r="AM380" i="17"/>
  <c r="AF380" i="17"/>
  <c r="AE380" i="17"/>
  <c r="AS380" i="17"/>
  <c r="AG380" i="17"/>
  <c r="AB381" i="17" s="1"/>
  <c r="AT380" i="17"/>
  <c r="AI380" i="17"/>
  <c r="AJ380" i="17"/>
  <c r="AN380" i="17"/>
  <c r="AK380" i="17"/>
  <c r="AQ380" i="17"/>
  <c r="AR380" i="17"/>
  <c r="C372" i="17"/>
  <c r="K372" i="17"/>
  <c r="H372" i="17"/>
  <c r="A372" i="17"/>
  <c r="I372" i="17"/>
  <c r="D372" i="17"/>
  <c r="L372" i="17"/>
  <c r="E372" i="17"/>
  <c r="F372" i="17"/>
  <c r="B373" i="17"/>
  <c r="G372" i="17"/>
  <c r="J372" i="17"/>
  <c r="W131" i="17"/>
  <c r="O144" i="17"/>
  <c r="X144" i="17" s="1"/>
  <c r="N143" i="17"/>
  <c r="A133" i="17"/>
  <c r="J133" i="17"/>
  <c r="V132" i="17"/>
  <c r="U132" i="17"/>
  <c r="I132" i="17"/>
  <c r="B134" i="17"/>
  <c r="H133" i="17"/>
  <c r="G133" i="17"/>
  <c r="Q382" i="17" l="1"/>
  <c r="Y382" i="17"/>
  <c r="T382" i="17"/>
  <c r="R382" i="17"/>
  <c r="S382" i="17"/>
  <c r="U382" i="17"/>
  <c r="V382" i="17"/>
  <c r="W382" i="17"/>
  <c r="X382" i="17"/>
  <c r="N382" i="17"/>
  <c r="Z382" i="17"/>
  <c r="O383" i="17"/>
  <c r="AF381" i="17"/>
  <c r="AJ381" i="17"/>
  <c r="AS381" i="17"/>
  <c r="AM381" i="17"/>
  <c r="AN381" i="17"/>
  <c r="AD381" i="17"/>
  <c r="AO381" i="17" s="1"/>
  <c r="AQ381" i="17"/>
  <c r="AE381" i="17"/>
  <c r="AR381" i="17"/>
  <c r="AU381" i="17"/>
  <c r="AG381" i="17"/>
  <c r="AB382" i="17" s="1"/>
  <c r="AT381" i="17"/>
  <c r="AI381" i="17"/>
  <c r="AK381" i="17"/>
  <c r="AL381" i="17"/>
  <c r="G373" i="17"/>
  <c r="D373" i="17"/>
  <c r="L373" i="17"/>
  <c r="E373" i="17"/>
  <c r="C373" i="17"/>
  <c r="K373" i="17"/>
  <c r="A373" i="17"/>
  <c r="B374" i="17"/>
  <c r="J373" i="17"/>
  <c r="F373" i="17"/>
  <c r="H373" i="17"/>
  <c r="I373" i="17"/>
  <c r="N144" i="17"/>
  <c r="A134" i="17"/>
  <c r="W132" i="17"/>
  <c r="O145" i="17"/>
  <c r="X145" i="17" s="1"/>
  <c r="J134" i="17"/>
  <c r="V133" i="17"/>
  <c r="U133" i="17"/>
  <c r="I133" i="17"/>
  <c r="B135" i="17"/>
  <c r="H134" i="17"/>
  <c r="G134" i="17"/>
  <c r="Q383" i="17" l="1"/>
  <c r="Y383" i="17"/>
  <c r="R383" i="17"/>
  <c r="Z383" i="17"/>
  <c r="S383" i="17"/>
  <c r="T383" i="17"/>
  <c r="U383" i="17"/>
  <c r="O384" i="17"/>
  <c r="V383" i="17"/>
  <c r="N383" i="17"/>
  <c r="W383" i="17"/>
  <c r="X383" i="17"/>
  <c r="AJ382" i="17"/>
  <c r="AD382" i="17"/>
  <c r="AO382" i="17" s="1"/>
  <c r="AE382" i="17"/>
  <c r="AF382" i="17"/>
  <c r="AQ382" i="17"/>
  <c r="AG382" i="17"/>
  <c r="AB383" i="17" s="1"/>
  <c r="AR382" i="17"/>
  <c r="AL382" i="17"/>
  <c r="AI382" i="17"/>
  <c r="AS382" i="17"/>
  <c r="AU382" i="17"/>
  <c r="AK382" i="17"/>
  <c r="AT382" i="17"/>
  <c r="AM382" i="17"/>
  <c r="AN382" i="17"/>
  <c r="C374" i="17"/>
  <c r="K374" i="17"/>
  <c r="H374" i="17"/>
  <c r="A374" i="17"/>
  <c r="I374" i="17"/>
  <c r="E374" i="17"/>
  <c r="B375" i="17"/>
  <c r="D374" i="17"/>
  <c r="L374" i="17"/>
  <c r="F374" i="17"/>
  <c r="G374" i="17"/>
  <c r="J374" i="17"/>
  <c r="W133" i="17"/>
  <c r="A135" i="17"/>
  <c r="O146" i="17"/>
  <c r="X146" i="17" s="1"/>
  <c r="N145" i="17"/>
  <c r="J135" i="17"/>
  <c r="V134" i="17"/>
  <c r="U134" i="17"/>
  <c r="I134" i="17"/>
  <c r="H135" i="17"/>
  <c r="G135" i="17"/>
  <c r="B136" i="17"/>
  <c r="T384" i="17" l="1"/>
  <c r="U384" i="17"/>
  <c r="O385" i="17"/>
  <c r="V384" i="17"/>
  <c r="N384" i="17"/>
  <c r="W384" i="17"/>
  <c r="Y384" i="17"/>
  <c r="X384" i="17"/>
  <c r="Q384" i="17"/>
  <c r="R384" i="17"/>
  <c r="Z384" i="17"/>
  <c r="S384" i="17"/>
  <c r="AJ383" i="17"/>
  <c r="AS383" i="17"/>
  <c r="AK383" i="17"/>
  <c r="AT383" i="17"/>
  <c r="AL383" i="17"/>
  <c r="AU383" i="17"/>
  <c r="AF383" i="17"/>
  <c r="AD383" i="17"/>
  <c r="AO383" i="17" s="1"/>
  <c r="AM383" i="17"/>
  <c r="AE383" i="17"/>
  <c r="AN383" i="17"/>
  <c r="AG383" i="17"/>
  <c r="AB384" i="17" s="1"/>
  <c r="AQ383" i="17"/>
  <c r="AI383" i="17"/>
  <c r="AR383" i="17"/>
  <c r="G375" i="17"/>
  <c r="D375" i="17"/>
  <c r="L375" i="17"/>
  <c r="E375" i="17"/>
  <c r="F375" i="17"/>
  <c r="A375" i="17"/>
  <c r="B376" i="17"/>
  <c r="I375" i="17"/>
  <c r="J375" i="17"/>
  <c r="C375" i="17"/>
  <c r="H375" i="17"/>
  <c r="K375" i="17"/>
  <c r="W134" i="17"/>
  <c r="N146" i="17"/>
  <c r="A136" i="17"/>
  <c r="O147" i="17"/>
  <c r="X147" i="17" s="1"/>
  <c r="J136" i="17"/>
  <c r="V135" i="17"/>
  <c r="U135" i="17"/>
  <c r="I135" i="17"/>
  <c r="B137" i="17"/>
  <c r="H136" i="17"/>
  <c r="G136" i="17"/>
  <c r="AD384" i="17" l="1"/>
  <c r="AO384" i="17" s="1"/>
  <c r="AM384" i="17"/>
  <c r="AE384" i="17"/>
  <c r="AN384" i="17"/>
  <c r="AF384" i="17"/>
  <c r="AJ384" i="17"/>
  <c r="AG384" i="17"/>
  <c r="AB385" i="17" s="1"/>
  <c r="AQ384" i="17"/>
  <c r="AI384" i="17"/>
  <c r="AR384" i="17"/>
  <c r="AS384" i="17"/>
  <c r="AK384" i="17"/>
  <c r="AT384" i="17"/>
  <c r="AL384" i="17"/>
  <c r="AU384" i="17"/>
  <c r="N385" i="17"/>
  <c r="W385" i="17"/>
  <c r="X385" i="17"/>
  <c r="Q385" i="17"/>
  <c r="Y385" i="17"/>
  <c r="R385" i="17"/>
  <c r="Z385" i="17"/>
  <c r="T385" i="17"/>
  <c r="S385" i="17"/>
  <c r="U385" i="17"/>
  <c r="O386" i="17"/>
  <c r="V385" i="17"/>
  <c r="C376" i="17"/>
  <c r="K376" i="17"/>
  <c r="H376" i="17"/>
  <c r="A376" i="17"/>
  <c r="I376" i="17"/>
  <c r="F376" i="17"/>
  <c r="B377" i="17"/>
  <c r="D376" i="17"/>
  <c r="J376" i="17"/>
  <c r="L376" i="17"/>
  <c r="G376" i="17"/>
  <c r="E376" i="17"/>
  <c r="A137" i="17"/>
  <c r="O148" i="17"/>
  <c r="X148" i="17" s="1"/>
  <c r="W135" i="17"/>
  <c r="N147" i="17"/>
  <c r="J137" i="17"/>
  <c r="V136" i="17"/>
  <c r="U136" i="17"/>
  <c r="I136" i="17"/>
  <c r="B138" i="17"/>
  <c r="H137" i="17"/>
  <c r="G137" i="17"/>
  <c r="AG385" i="17" l="1"/>
  <c r="AB386" i="17" s="1"/>
  <c r="AQ385" i="17"/>
  <c r="AI385" i="17"/>
  <c r="AR385" i="17"/>
  <c r="AJ385" i="17"/>
  <c r="AS385" i="17"/>
  <c r="AD385" i="17"/>
  <c r="AO385" i="17" s="1"/>
  <c r="AK385" i="17"/>
  <c r="AT385" i="17"/>
  <c r="AL385" i="17"/>
  <c r="AU385" i="17"/>
  <c r="AM385" i="17"/>
  <c r="AE385" i="17"/>
  <c r="AN385" i="17"/>
  <c r="AF385" i="17"/>
  <c r="R386" i="17"/>
  <c r="Z386" i="17"/>
  <c r="S386" i="17"/>
  <c r="T386" i="17"/>
  <c r="W386" i="17"/>
  <c r="U386" i="17"/>
  <c r="O387" i="17"/>
  <c r="N386" i="17"/>
  <c r="V386" i="17"/>
  <c r="X386" i="17"/>
  <c r="Q386" i="17"/>
  <c r="Y386" i="17"/>
  <c r="G377" i="17"/>
  <c r="D377" i="17"/>
  <c r="L377" i="17"/>
  <c r="E377" i="17"/>
  <c r="H377" i="17"/>
  <c r="C377" i="17"/>
  <c r="F377" i="17"/>
  <c r="I377" i="17"/>
  <c r="A377" i="17"/>
  <c r="J377" i="17"/>
  <c r="B378" i="17"/>
  <c r="K377" i="17"/>
  <c r="W136" i="17"/>
  <c r="N148" i="17"/>
  <c r="A138" i="17"/>
  <c r="O149" i="17"/>
  <c r="X149" i="17" s="1"/>
  <c r="J138" i="17"/>
  <c r="V137" i="17"/>
  <c r="U137" i="17"/>
  <c r="I137" i="17"/>
  <c r="B139" i="17"/>
  <c r="H138" i="17"/>
  <c r="G138" i="17"/>
  <c r="U387" i="17" l="1"/>
  <c r="O388" i="17"/>
  <c r="V387" i="17"/>
  <c r="N387" i="17"/>
  <c r="W387" i="17"/>
  <c r="R387" i="17"/>
  <c r="X387" i="17"/>
  <c r="Q387" i="17"/>
  <c r="Y387" i="17"/>
  <c r="Z387" i="17"/>
  <c r="T387" i="17"/>
  <c r="S387" i="17"/>
  <c r="AK386" i="17"/>
  <c r="AT386" i="17"/>
  <c r="AL386" i="17"/>
  <c r="AU386" i="17"/>
  <c r="AD386" i="17"/>
  <c r="AO386" i="17" s="1"/>
  <c r="AM386" i="17"/>
  <c r="AE386" i="17"/>
  <c r="AN386" i="17"/>
  <c r="AQ386" i="17"/>
  <c r="AS386" i="17"/>
  <c r="AF386" i="17"/>
  <c r="AG386" i="17"/>
  <c r="AB387" i="17" s="1"/>
  <c r="AI386" i="17"/>
  <c r="AR386" i="17"/>
  <c r="AJ386" i="17"/>
  <c r="C378" i="17"/>
  <c r="K378" i="17"/>
  <c r="H378" i="17"/>
  <c r="A378" i="17"/>
  <c r="I378" i="17"/>
  <c r="G378" i="17"/>
  <c r="D378" i="17"/>
  <c r="E378" i="17"/>
  <c r="B379" i="17"/>
  <c r="F378" i="17"/>
  <c r="J378" i="17"/>
  <c r="L378" i="17"/>
  <c r="W137" i="17"/>
  <c r="O150" i="17"/>
  <c r="X150" i="17" s="1"/>
  <c r="A139" i="17"/>
  <c r="N149" i="17"/>
  <c r="J139" i="17"/>
  <c r="V138" i="17"/>
  <c r="U138" i="17"/>
  <c r="I138" i="17"/>
  <c r="H139" i="17"/>
  <c r="G139" i="17"/>
  <c r="B140" i="17"/>
  <c r="AE387" i="17" l="1"/>
  <c r="AN387" i="17"/>
  <c r="AF387" i="17"/>
  <c r="AG387" i="17"/>
  <c r="AB388" i="17" s="1"/>
  <c r="AQ387" i="17"/>
  <c r="AD387" i="17"/>
  <c r="AO387" i="17" s="1"/>
  <c r="AI387" i="17"/>
  <c r="AR387" i="17"/>
  <c r="AK387" i="17"/>
  <c r="AJ387" i="17"/>
  <c r="AS387" i="17"/>
  <c r="AT387" i="17"/>
  <c r="AL387" i="17"/>
  <c r="AU387" i="17"/>
  <c r="AM387" i="17"/>
  <c r="X388" i="17"/>
  <c r="Q388" i="17"/>
  <c r="R388" i="17"/>
  <c r="Z388" i="17"/>
  <c r="U388" i="17"/>
  <c r="O389" i="17"/>
  <c r="S388" i="17"/>
  <c r="T388" i="17"/>
  <c r="V388" i="17"/>
  <c r="N388" i="17"/>
  <c r="W388" i="17"/>
  <c r="Y388" i="17"/>
  <c r="G379" i="17"/>
  <c r="D379" i="17"/>
  <c r="L379" i="17"/>
  <c r="E379" i="17"/>
  <c r="I379" i="17"/>
  <c r="C379" i="17"/>
  <c r="F379" i="17"/>
  <c r="A379" i="17"/>
  <c r="B380" i="17"/>
  <c r="K379" i="17"/>
  <c r="H379" i="17"/>
  <c r="J379" i="17"/>
  <c r="N150" i="17"/>
  <c r="W138" i="17"/>
  <c r="A140" i="17"/>
  <c r="O151" i="17"/>
  <c r="X151" i="17" s="1"/>
  <c r="J140" i="17"/>
  <c r="U139" i="17"/>
  <c r="V139" i="17"/>
  <c r="I139" i="17"/>
  <c r="B141" i="17"/>
  <c r="H140" i="17"/>
  <c r="G140" i="17"/>
  <c r="AI388" i="17" l="1"/>
  <c r="AR388" i="17"/>
  <c r="AK388" i="17"/>
  <c r="AT388" i="17"/>
  <c r="AL388" i="17"/>
  <c r="AU388" i="17"/>
  <c r="AE388" i="17"/>
  <c r="AQ388" i="17"/>
  <c r="AD388" i="17"/>
  <c r="AO388" i="17" s="1"/>
  <c r="AM388" i="17"/>
  <c r="AN388" i="17"/>
  <c r="AF388" i="17"/>
  <c r="AG388" i="17"/>
  <c r="AB389" i="17" s="1"/>
  <c r="AJ388" i="17"/>
  <c r="AS388" i="17"/>
  <c r="S389" i="17"/>
  <c r="U389" i="17"/>
  <c r="O390" i="17"/>
  <c r="Z389" i="17"/>
  <c r="V389" i="17"/>
  <c r="X389" i="17"/>
  <c r="N389" i="17"/>
  <c r="W389" i="17"/>
  <c r="Q389" i="17"/>
  <c r="Y389" i="17"/>
  <c r="R389" i="17"/>
  <c r="T389" i="17"/>
  <c r="C380" i="17"/>
  <c r="K380" i="17"/>
  <c r="H380" i="17"/>
  <c r="G380" i="17"/>
  <c r="D380" i="17"/>
  <c r="B381" i="17"/>
  <c r="E380" i="17"/>
  <c r="I380" i="17"/>
  <c r="J380" i="17"/>
  <c r="A380" i="17"/>
  <c r="F380" i="17"/>
  <c r="L380" i="17"/>
  <c r="W139" i="17"/>
  <c r="O152" i="17"/>
  <c r="X152" i="17" s="1"/>
  <c r="A141" i="17"/>
  <c r="N151" i="17"/>
  <c r="J141" i="17"/>
  <c r="V140" i="17"/>
  <c r="U140" i="17"/>
  <c r="I140" i="17"/>
  <c r="B142" i="17"/>
  <c r="H141" i="17"/>
  <c r="G141" i="17"/>
  <c r="AL389" i="17" l="1"/>
  <c r="AU389" i="17"/>
  <c r="AE389" i="17"/>
  <c r="AN389" i="17"/>
  <c r="AI389" i="17"/>
  <c r="AF389" i="17"/>
  <c r="AT389" i="17"/>
  <c r="AG389" i="17"/>
  <c r="AB390" i="17" s="1"/>
  <c r="AQ389" i="17"/>
  <c r="AR389" i="17"/>
  <c r="AK389" i="17"/>
  <c r="AJ389" i="17"/>
  <c r="AS389" i="17"/>
  <c r="AD389" i="17"/>
  <c r="AO389" i="17" s="1"/>
  <c r="AM389" i="17"/>
  <c r="V390" i="17"/>
  <c r="X390" i="17"/>
  <c r="Q390" i="17"/>
  <c r="Y390" i="17"/>
  <c r="S390" i="17"/>
  <c r="O391" i="17"/>
  <c r="R390" i="17"/>
  <c r="Z390" i="17"/>
  <c r="T390" i="17"/>
  <c r="U390" i="17"/>
  <c r="W390" i="17"/>
  <c r="N390" i="17"/>
  <c r="G381" i="17"/>
  <c r="D381" i="17"/>
  <c r="L381" i="17"/>
  <c r="F381" i="17"/>
  <c r="C381" i="17"/>
  <c r="B382" i="17"/>
  <c r="K381" i="17"/>
  <c r="H381" i="17"/>
  <c r="I381" i="17"/>
  <c r="A381" i="17"/>
  <c r="E381" i="17"/>
  <c r="J381" i="17"/>
  <c r="N152" i="17"/>
  <c r="W140" i="17"/>
  <c r="A142" i="17"/>
  <c r="O153" i="17"/>
  <c r="X153" i="17" s="1"/>
  <c r="J142" i="17"/>
  <c r="U141" i="17"/>
  <c r="V141" i="17"/>
  <c r="B143" i="17"/>
  <c r="H142" i="17"/>
  <c r="G142" i="17"/>
  <c r="I141" i="17"/>
  <c r="AF390" i="17" l="1"/>
  <c r="AI390" i="17"/>
  <c r="AR390" i="17"/>
  <c r="AE390" i="17"/>
  <c r="AJ390" i="17"/>
  <c r="AS390" i="17"/>
  <c r="AU390" i="17"/>
  <c r="AK390" i="17"/>
  <c r="AT390" i="17"/>
  <c r="AL390" i="17"/>
  <c r="AN390" i="17"/>
  <c r="AD390" i="17"/>
  <c r="AO390" i="17" s="1"/>
  <c r="AM390" i="17"/>
  <c r="AG390" i="17"/>
  <c r="AB391" i="17" s="1"/>
  <c r="AQ390" i="17"/>
  <c r="Q391" i="17"/>
  <c r="Y391" i="17"/>
  <c r="S391" i="17"/>
  <c r="V391" i="17"/>
  <c r="T391" i="17"/>
  <c r="U391" i="17"/>
  <c r="O392" i="17"/>
  <c r="N391" i="17"/>
  <c r="W391" i="17"/>
  <c r="X391" i="17"/>
  <c r="R391" i="17"/>
  <c r="Z391" i="17"/>
  <c r="C382" i="17"/>
  <c r="K382" i="17"/>
  <c r="H382" i="17"/>
  <c r="E382" i="17"/>
  <c r="A382" i="17"/>
  <c r="L382" i="17"/>
  <c r="D382" i="17"/>
  <c r="J382" i="17"/>
  <c r="B383" i="17"/>
  <c r="I382" i="17"/>
  <c r="F382" i="17"/>
  <c r="G382" i="17"/>
  <c r="A143" i="17"/>
  <c r="O154" i="17"/>
  <c r="X154" i="17" s="1"/>
  <c r="W141" i="17"/>
  <c r="N153" i="17"/>
  <c r="J143" i="17"/>
  <c r="U142" i="17"/>
  <c r="V142" i="17"/>
  <c r="I142" i="17"/>
  <c r="H143" i="17"/>
  <c r="G143" i="17"/>
  <c r="B144" i="17"/>
  <c r="T392" i="17" l="1"/>
  <c r="V392" i="17"/>
  <c r="Q392" i="17"/>
  <c r="N392" i="17"/>
  <c r="W392" i="17"/>
  <c r="X392" i="17"/>
  <c r="Y392" i="17"/>
  <c r="S392" i="17"/>
  <c r="R392" i="17"/>
  <c r="Z392" i="17"/>
  <c r="O393" i="17"/>
  <c r="U392" i="17"/>
  <c r="AJ391" i="17"/>
  <c r="AS391" i="17"/>
  <c r="AL391" i="17"/>
  <c r="AU391" i="17"/>
  <c r="AI391" i="17"/>
  <c r="AD391" i="17"/>
  <c r="AO391" i="17" s="1"/>
  <c r="AM391" i="17"/>
  <c r="AR391" i="17"/>
  <c r="AE391" i="17"/>
  <c r="AN391" i="17"/>
  <c r="AF391" i="17"/>
  <c r="AG391" i="17"/>
  <c r="AB392" i="17" s="1"/>
  <c r="AQ391" i="17"/>
  <c r="AT391" i="17"/>
  <c r="AK391" i="17"/>
  <c r="G383" i="17"/>
  <c r="D383" i="17"/>
  <c r="L383" i="17"/>
  <c r="C383" i="17"/>
  <c r="B384" i="17"/>
  <c r="J383" i="17"/>
  <c r="A383" i="17"/>
  <c r="K383" i="17"/>
  <c r="F383" i="17"/>
  <c r="H383" i="17"/>
  <c r="E383" i="17"/>
  <c r="I383" i="17"/>
  <c r="N154" i="17"/>
  <c r="W142" i="17"/>
  <c r="A144" i="17"/>
  <c r="O155" i="17"/>
  <c r="X155" i="17" s="1"/>
  <c r="J144" i="17"/>
  <c r="U143" i="17"/>
  <c r="V143" i="17"/>
  <c r="I143" i="17"/>
  <c r="B145" i="17"/>
  <c r="H144" i="17"/>
  <c r="G144" i="17"/>
  <c r="AD392" i="17" l="1"/>
  <c r="AO392" i="17" s="1"/>
  <c r="AM392" i="17"/>
  <c r="AF392" i="17"/>
  <c r="AS392" i="17"/>
  <c r="AG392" i="17"/>
  <c r="AB393" i="17" s="1"/>
  <c r="AQ392" i="17"/>
  <c r="AJ392" i="17"/>
  <c r="AL392" i="17"/>
  <c r="AI392" i="17"/>
  <c r="AR392" i="17"/>
  <c r="AK392" i="17"/>
  <c r="AT392" i="17"/>
  <c r="AE392" i="17"/>
  <c r="AN392" i="17"/>
  <c r="AU392" i="17"/>
  <c r="N393" i="17"/>
  <c r="W393" i="17"/>
  <c r="Q393" i="17"/>
  <c r="Y393" i="17"/>
  <c r="R393" i="17"/>
  <c r="Z393" i="17"/>
  <c r="S393" i="17"/>
  <c r="T393" i="17"/>
  <c r="U393" i="17"/>
  <c r="O394" i="17"/>
  <c r="V393" i="17"/>
  <c r="X393" i="17"/>
  <c r="C384" i="17"/>
  <c r="K384" i="17"/>
  <c r="H384" i="17"/>
  <c r="I384" i="17"/>
  <c r="J384" i="17"/>
  <c r="L384" i="17"/>
  <c r="B385" i="17"/>
  <c r="E384" i="17"/>
  <c r="F384" i="17"/>
  <c r="D384" i="17"/>
  <c r="G384" i="17"/>
  <c r="A384" i="17"/>
  <c r="W143" i="17"/>
  <c r="A145" i="17"/>
  <c r="O156" i="17"/>
  <c r="X156" i="17" s="1"/>
  <c r="N155" i="17"/>
  <c r="J145" i="17"/>
  <c r="V144" i="17"/>
  <c r="U144" i="17"/>
  <c r="I144" i="17"/>
  <c r="B146" i="17"/>
  <c r="H145" i="17"/>
  <c r="G145" i="17"/>
  <c r="AG393" i="17" l="1"/>
  <c r="AB394" i="17" s="1"/>
  <c r="AQ393" i="17"/>
  <c r="AJ393" i="17"/>
  <c r="AS393" i="17"/>
  <c r="AM393" i="17"/>
  <c r="AK393" i="17"/>
  <c r="AT393" i="17"/>
  <c r="AD393" i="17"/>
  <c r="AO393" i="17" s="1"/>
  <c r="AL393" i="17"/>
  <c r="AU393" i="17"/>
  <c r="AE393" i="17"/>
  <c r="AN393" i="17"/>
  <c r="AR393" i="17"/>
  <c r="AI393" i="17"/>
  <c r="AF393" i="17"/>
  <c r="R394" i="17"/>
  <c r="Z394" i="17"/>
  <c r="T394" i="17"/>
  <c r="U394" i="17"/>
  <c r="O395" i="17"/>
  <c r="W394" i="17"/>
  <c r="V394" i="17"/>
  <c r="N394" i="17"/>
  <c r="X394" i="17"/>
  <c r="Q394" i="17"/>
  <c r="S394" i="17"/>
  <c r="Y394" i="17"/>
  <c r="D385" i="17"/>
  <c r="L385" i="17"/>
  <c r="A385" i="17"/>
  <c r="J385" i="17"/>
  <c r="G385" i="17"/>
  <c r="H385" i="17"/>
  <c r="B386" i="17"/>
  <c r="I385" i="17"/>
  <c r="K385" i="17"/>
  <c r="F385" i="17"/>
  <c r="C385" i="17"/>
  <c r="E385" i="17"/>
  <c r="W144" i="17"/>
  <c r="N156" i="17"/>
  <c r="A146" i="17"/>
  <c r="O157" i="17"/>
  <c r="X157" i="17" s="1"/>
  <c r="I145" i="17"/>
  <c r="J146" i="17"/>
  <c r="U145" i="17"/>
  <c r="V145" i="17"/>
  <c r="B147" i="17"/>
  <c r="H146" i="17"/>
  <c r="G146" i="17"/>
  <c r="U395" i="17" l="1"/>
  <c r="O396" i="17"/>
  <c r="N395" i="17"/>
  <c r="W395" i="17"/>
  <c r="Z395" i="17"/>
  <c r="X395" i="17"/>
  <c r="R395" i="17"/>
  <c r="Q395" i="17"/>
  <c r="Y395" i="17"/>
  <c r="S395" i="17"/>
  <c r="V395" i="17"/>
  <c r="T395" i="17"/>
  <c r="AK394" i="17"/>
  <c r="AT394" i="17"/>
  <c r="AD394" i="17"/>
  <c r="AO394" i="17" s="1"/>
  <c r="AM394" i="17"/>
  <c r="AG394" i="17"/>
  <c r="AB395" i="17" s="1"/>
  <c r="AE394" i="17"/>
  <c r="AN394" i="17"/>
  <c r="AF394" i="17"/>
  <c r="AQ394" i="17"/>
  <c r="AI394" i="17"/>
  <c r="AR394" i="17"/>
  <c r="AS394" i="17"/>
  <c r="AL394" i="17"/>
  <c r="AU394" i="17"/>
  <c r="AJ394" i="17"/>
  <c r="H386" i="17"/>
  <c r="G386" i="17"/>
  <c r="D386" i="17"/>
  <c r="E386" i="17"/>
  <c r="B387" i="17"/>
  <c r="C386" i="17"/>
  <c r="K386" i="17"/>
  <c r="L386" i="17"/>
  <c r="A386" i="17"/>
  <c r="F386" i="17"/>
  <c r="I386" i="17"/>
  <c r="J386" i="17"/>
  <c r="A147" i="17"/>
  <c r="O158" i="17"/>
  <c r="X158" i="17" s="1"/>
  <c r="W145" i="17"/>
  <c r="N157" i="17"/>
  <c r="J147" i="17"/>
  <c r="V146" i="17"/>
  <c r="U146" i="17"/>
  <c r="I146" i="17"/>
  <c r="H147" i="17"/>
  <c r="G147" i="17"/>
  <c r="B148" i="17"/>
  <c r="X396" i="17" l="1"/>
  <c r="R396" i="17"/>
  <c r="Z396" i="17"/>
  <c r="U396" i="17"/>
  <c r="S396" i="17"/>
  <c r="O397" i="17"/>
  <c r="T396" i="17"/>
  <c r="V396" i="17"/>
  <c r="N396" i="17"/>
  <c r="Q396" i="17"/>
  <c r="Y396" i="17"/>
  <c r="W396" i="17"/>
  <c r="AE395" i="17"/>
  <c r="AN395" i="17"/>
  <c r="AG395" i="17"/>
  <c r="AB396" i="17" s="1"/>
  <c r="AQ395" i="17"/>
  <c r="AI395" i="17"/>
  <c r="AR395" i="17"/>
  <c r="AT395" i="17"/>
  <c r="AJ395" i="17"/>
  <c r="AS395" i="17"/>
  <c r="AK395" i="17"/>
  <c r="AL395" i="17"/>
  <c r="AU395" i="17"/>
  <c r="AD395" i="17"/>
  <c r="AO395" i="17" s="1"/>
  <c r="AF395" i="17"/>
  <c r="AM395" i="17"/>
  <c r="D387" i="17"/>
  <c r="L387" i="17"/>
  <c r="E387" i="17"/>
  <c r="B388" i="17"/>
  <c r="A387" i="17"/>
  <c r="J387" i="17"/>
  <c r="K387" i="17"/>
  <c r="F387" i="17"/>
  <c r="G387" i="17"/>
  <c r="C387" i="17"/>
  <c r="H387" i="17"/>
  <c r="I387" i="17"/>
  <c r="W146" i="17"/>
  <c r="N158" i="17"/>
  <c r="A148" i="17"/>
  <c r="O159" i="17"/>
  <c r="X159" i="17" s="1"/>
  <c r="J148" i="17"/>
  <c r="V147" i="17"/>
  <c r="U147" i="17"/>
  <c r="I147" i="17"/>
  <c r="B149" i="17"/>
  <c r="H148" i="17"/>
  <c r="G148" i="17"/>
  <c r="AI396" i="17" l="1"/>
  <c r="AR396" i="17"/>
  <c r="AK396" i="17"/>
  <c r="AT396" i="17"/>
  <c r="AL396" i="17"/>
  <c r="AU396" i="17"/>
  <c r="AD396" i="17"/>
  <c r="AO396" i="17" s="1"/>
  <c r="AM396" i="17"/>
  <c r="AN396" i="17"/>
  <c r="AF396" i="17"/>
  <c r="AS396" i="17"/>
  <c r="AG396" i="17"/>
  <c r="AB397" i="17" s="1"/>
  <c r="AQ396" i="17"/>
  <c r="AE396" i="17"/>
  <c r="AJ396" i="17"/>
  <c r="S397" i="17"/>
  <c r="U397" i="17"/>
  <c r="O398" i="17"/>
  <c r="X397" i="17"/>
  <c r="V397" i="17"/>
  <c r="N397" i="17"/>
  <c r="W397" i="17"/>
  <c r="Q397" i="17"/>
  <c r="Y397" i="17"/>
  <c r="R397" i="17"/>
  <c r="T397" i="17"/>
  <c r="Z397" i="17"/>
  <c r="H388" i="17"/>
  <c r="K388" i="17"/>
  <c r="G388" i="17"/>
  <c r="F388" i="17"/>
  <c r="I388" i="17"/>
  <c r="C388" i="17"/>
  <c r="B389" i="17"/>
  <c r="D388" i="17"/>
  <c r="A388" i="17"/>
  <c r="E388" i="17"/>
  <c r="J388" i="17"/>
  <c r="L388" i="17"/>
  <c r="W147" i="17"/>
  <c r="A149" i="17"/>
  <c r="O160" i="17"/>
  <c r="X160" i="17" s="1"/>
  <c r="N159" i="17"/>
  <c r="J149" i="17"/>
  <c r="V148" i="17"/>
  <c r="U148" i="17"/>
  <c r="I148" i="17"/>
  <c r="H149" i="17"/>
  <c r="G149" i="17"/>
  <c r="B150" i="17"/>
  <c r="AL397" i="17" l="1"/>
  <c r="AU397" i="17"/>
  <c r="AE397" i="17"/>
  <c r="AN397" i="17"/>
  <c r="AF397" i="17"/>
  <c r="AR397" i="17"/>
  <c r="AG397" i="17"/>
  <c r="AB398" i="17" s="1"/>
  <c r="AQ397" i="17"/>
  <c r="AI397" i="17"/>
  <c r="AJ397" i="17"/>
  <c r="AS397" i="17"/>
  <c r="AK397" i="17"/>
  <c r="AD397" i="17"/>
  <c r="AO397" i="17" s="1"/>
  <c r="AM397" i="17"/>
  <c r="AT397" i="17"/>
  <c r="V398" i="17"/>
  <c r="X398" i="17"/>
  <c r="Y398" i="17"/>
  <c r="S398" i="17"/>
  <c r="Q398" i="17"/>
  <c r="R398" i="17"/>
  <c r="Z398" i="17"/>
  <c r="T398" i="17"/>
  <c r="N398" i="17"/>
  <c r="U398" i="17"/>
  <c r="W398" i="17"/>
  <c r="D389" i="17"/>
  <c r="L389" i="17"/>
  <c r="H389" i="17"/>
  <c r="E389" i="17"/>
  <c r="B390" i="17"/>
  <c r="G389" i="17"/>
  <c r="I389" i="17"/>
  <c r="C389" i="17"/>
  <c r="A389" i="17"/>
  <c r="F389" i="17"/>
  <c r="J389" i="17"/>
  <c r="K389" i="17"/>
  <c r="N160" i="17"/>
  <c r="O161" i="17"/>
  <c r="X161" i="17" s="1"/>
  <c r="A150" i="17"/>
  <c r="W148" i="17"/>
  <c r="J150" i="17"/>
  <c r="V149" i="17"/>
  <c r="U149" i="17"/>
  <c r="I149" i="17"/>
  <c r="B151" i="17"/>
  <c r="H150" i="17"/>
  <c r="G150" i="17"/>
  <c r="AF398" i="17" l="1"/>
  <c r="AI398" i="17"/>
  <c r="AR398" i="17"/>
  <c r="AU398" i="17"/>
  <c r="AJ398" i="17"/>
  <c r="AS398" i="17"/>
  <c r="AK398" i="17"/>
  <c r="AT398" i="17"/>
  <c r="AL398" i="17"/>
  <c r="AD398" i="17"/>
  <c r="AO398" i="17" s="1"/>
  <c r="AM398" i="17"/>
  <c r="AE398" i="17"/>
  <c r="AG398" i="17"/>
  <c r="AN398" i="17"/>
  <c r="AQ398" i="17"/>
  <c r="H390" i="17"/>
  <c r="E390" i="17"/>
  <c r="B391" i="17"/>
  <c r="K390" i="17"/>
  <c r="G390" i="17"/>
  <c r="I390" i="17"/>
  <c r="C390" i="17"/>
  <c r="D390" i="17"/>
  <c r="A390" i="17"/>
  <c r="F390" i="17"/>
  <c r="J390" i="17"/>
  <c r="L390" i="17"/>
  <c r="W149" i="17"/>
  <c r="A151" i="17"/>
  <c r="O162" i="17"/>
  <c r="X162" i="17" s="1"/>
  <c r="N161" i="17"/>
  <c r="J151" i="17"/>
  <c r="U150" i="17"/>
  <c r="V150" i="17"/>
  <c r="H151" i="17"/>
  <c r="G151" i="17"/>
  <c r="B152" i="17"/>
  <c r="I150" i="17"/>
  <c r="D391" i="17" l="1"/>
  <c r="L391" i="17"/>
  <c r="K391" i="17"/>
  <c r="H391" i="17"/>
  <c r="G391" i="17"/>
  <c r="I391" i="17"/>
  <c r="C391" i="17"/>
  <c r="E391" i="17"/>
  <c r="B392" i="17"/>
  <c r="A391" i="17"/>
  <c r="F391" i="17"/>
  <c r="J391" i="17"/>
  <c r="W150" i="17"/>
  <c r="N162" i="17"/>
  <c r="O163" i="17"/>
  <c r="X163" i="17" s="1"/>
  <c r="A152" i="17"/>
  <c r="J152" i="17"/>
  <c r="V151" i="17"/>
  <c r="U151" i="17"/>
  <c r="I151" i="17"/>
  <c r="B153" i="17"/>
  <c r="H152" i="17"/>
  <c r="G152" i="17"/>
  <c r="H392" i="17" l="1"/>
  <c r="I392" i="17"/>
  <c r="E392" i="17"/>
  <c r="B393" i="17"/>
  <c r="G392" i="17"/>
  <c r="J392" i="17"/>
  <c r="C392" i="17"/>
  <c r="D392" i="17"/>
  <c r="F392" i="17"/>
  <c r="K392" i="17"/>
  <c r="A392" i="17"/>
  <c r="L392" i="17"/>
  <c r="W151" i="17"/>
  <c r="A153" i="17"/>
  <c r="O164" i="17"/>
  <c r="X164" i="17" s="1"/>
  <c r="N163" i="17"/>
  <c r="J153" i="17"/>
  <c r="V152" i="17"/>
  <c r="U152" i="17"/>
  <c r="I152" i="17"/>
  <c r="B154" i="17"/>
  <c r="H153" i="17"/>
  <c r="G153" i="17"/>
  <c r="D393" i="17" l="1"/>
  <c r="F393" i="17"/>
  <c r="B394" i="17"/>
  <c r="K393" i="17"/>
  <c r="H393" i="17"/>
  <c r="I393" i="17"/>
  <c r="C393" i="17"/>
  <c r="E393" i="17"/>
  <c r="A393" i="17"/>
  <c r="G393" i="17"/>
  <c r="J393" i="17"/>
  <c r="L393" i="17"/>
  <c r="W152" i="17"/>
  <c r="N164" i="17"/>
  <c r="O165" i="17"/>
  <c r="X165" i="17" s="1"/>
  <c r="A154" i="17"/>
  <c r="J154" i="17"/>
  <c r="V153" i="17"/>
  <c r="U153" i="17"/>
  <c r="I153" i="17"/>
  <c r="B155" i="17"/>
  <c r="H154" i="17"/>
  <c r="G154" i="17"/>
  <c r="J394" i="17" l="1"/>
  <c r="G394" i="17"/>
  <c r="F394" i="17"/>
  <c r="H394" i="17"/>
  <c r="C394" i="17"/>
  <c r="D394" i="17"/>
  <c r="B395" i="17"/>
  <c r="A394" i="17"/>
  <c r="E394" i="17"/>
  <c r="I394" i="17"/>
  <c r="K394" i="17"/>
  <c r="L394" i="17"/>
  <c r="W153" i="17"/>
  <c r="A155" i="17"/>
  <c r="O166" i="17"/>
  <c r="X166" i="17" s="1"/>
  <c r="N165" i="17"/>
  <c r="J155" i="17"/>
  <c r="U154" i="17"/>
  <c r="V154" i="17"/>
  <c r="I154" i="17"/>
  <c r="H155" i="17"/>
  <c r="G155" i="17"/>
  <c r="B156" i="17"/>
  <c r="F395" i="17" l="1"/>
  <c r="B396" i="17"/>
  <c r="C395" i="17"/>
  <c r="K395" i="17"/>
  <c r="E395" i="17"/>
  <c r="G395" i="17"/>
  <c r="A395" i="17"/>
  <c r="L395" i="17"/>
  <c r="J395" i="17"/>
  <c r="D395" i="17"/>
  <c r="H395" i="17"/>
  <c r="I395" i="17"/>
  <c r="N166" i="17"/>
  <c r="A156" i="17"/>
  <c r="W154" i="17"/>
  <c r="O167" i="17"/>
  <c r="X167" i="17" s="1"/>
  <c r="J156" i="17"/>
  <c r="V155" i="17"/>
  <c r="U155" i="17"/>
  <c r="I155" i="17"/>
  <c r="H156" i="17"/>
  <c r="G156" i="17"/>
  <c r="B157" i="17"/>
  <c r="J396" i="17" l="1"/>
  <c r="G396" i="17"/>
  <c r="D396" i="17"/>
  <c r="B397" i="17"/>
  <c r="E396" i="17"/>
  <c r="K396" i="17"/>
  <c r="A396" i="17"/>
  <c r="L396" i="17"/>
  <c r="C396" i="17"/>
  <c r="F396" i="17"/>
  <c r="I396" i="17"/>
  <c r="H396" i="17"/>
  <c r="W155" i="17"/>
  <c r="O168" i="17"/>
  <c r="X168" i="17" s="1"/>
  <c r="A157" i="17"/>
  <c r="N167" i="17"/>
  <c r="J157" i="17"/>
  <c r="U156" i="17"/>
  <c r="V156" i="17"/>
  <c r="I156" i="17"/>
  <c r="B158" i="17"/>
  <c r="H157" i="17"/>
  <c r="G157" i="17"/>
  <c r="F397" i="17" l="1"/>
  <c r="B398" i="17"/>
  <c r="C397" i="17"/>
  <c r="K397" i="17"/>
  <c r="D397" i="17"/>
  <c r="I397" i="17"/>
  <c r="J397" i="17"/>
  <c r="H397" i="17"/>
  <c r="L397" i="17"/>
  <c r="A397" i="17"/>
  <c r="E397" i="17"/>
  <c r="G397" i="17"/>
  <c r="N168" i="17"/>
  <c r="A158" i="17"/>
  <c r="W156" i="17"/>
  <c r="O169" i="17"/>
  <c r="X169" i="17" s="1"/>
  <c r="J158" i="17"/>
  <c r="V157" i="17"/>
  <c r="U157" i="17"/>
  <c r="I157" i="17"/>
  <c r="H158" i="17"/>
  <c r="G158" i="17"/>
  <c r="B159" i="17"/>
  <c r="J398" i="17" l="1"/>
  <c r="G398" i="17"/>
  <c r="A398" i="17"/>
  <c r="L398" i="17"/>
  <c r="C398" i="17"/>
  <c r="H398" i="17"/>
  <c r="D398" i="17"/>
  <c r="E398" i="17"/>
  <c r="F398" i="17"/>
  <c r="I398" i="17"/>
  <c r="K398" i="17"/>
  <c r="W157" i="17"/>
  <c r="O170" i="17"/>
  <c r="X170" i="17" s="1"/>
  <c r="A159" i="17"/>
  <c r="N169" i="17"/>
  <c r="J159" i="17"/>
  <c r="U158" i="17"/>
  <c r="V158" i="17"/>
  <c r="I158" i="17"/>
  <c r="B160" i="17"/>
  <c r="H159" i="17"/>
  <c r="G159" i="17"/>
  <c r="N170" i="17" l="1"/>
  <c r="W158" i="17"/>
  <c r="A160" i="17"/>
  <c r="O171" i="17"/>
  <c r="X171" i="17" s="1"/>
  <c r="J160" i="17"/>
  <c r="V159" i="17"/>
  <c r="U159" i="17"/>
  <c r="I159" i="17"/>
  <c r="H160" i="17"/>
  <c r="G160" i="17"/>
  <c r="B161" i="17"/>
  <c r="W159" i="17" l="1"/>
  <c r="I160" i="17"/>
  <c r="O172" i="17"/>
  <c r="X172" i="17" s="1"/>
  <c r="N171" i="17"/>
  <c r="A161" i="17"/>
  <c r="J161" i="17"/>
  <c r="V160" i="17"/>
  <c r="U160" i="17"/>
  <c r="B162" i="17"/>
  <c r="G161" i="17"/>
  <c r="H161" i="17"/>
  <c r="N172" i="17" l="1"/>
  <c r="W160" i="17"/>
  <c r="A162" i="17"/>
  <c r="O173" i="17"/>
  <c r="X173" i="17" s="1"/>
  <c r="J162" i="17"/>
  <c r="V161" i="17"/>
  <c r="U161" i="17"/>
  <c r="H162" i="17"/>
  <c r="B163" i="17"/>
  <c r="G162" i="17"/>
  <c r="I161" i="17"/>
  <c r="W161" i="17" l="1"/>
  <c r="O174" i="17"/>
  <c r="X174" i="17" s="1"/>
  <c r="A163" i="17"/>
  <c r="N173" i="17"/>
  <c r="J163" i="17"/>
  <c r="U162" i="17"/>
  <c r="V162" i="17"/>
  <c r="I162" i="17"/>
  <c r="B164" i="17"/>
  <c r="H163" i="17"/>
  <c r="G163" i="17"/>
  <c r="N174" i="17" l="1"/>
  <c r="W162" i="17"/>
  <c r="A164" i="17"/>
  <c r="O175" i="17"/>
  <c r="X175" i="17" s="1"/>
  <c r="J164" i="17"/>
  <c r="V163" i="17"/>
  <c r="U163" i="17"/>
  <c r="I163" i="17"/>
  <c r="H164" i="17"/>
  <c r="G164" i="17"/>
  <c r="B165" i="17"/>
  <c r="O176" i="17" l="1"/>
  <c r="X176" i="17" s="1"/>
  <c r="W163" i="17"/>
  <c r="A165" i="17"/>
  <c r="N175" i="17"/>
  <c r="J165" i="17"/>
  <c r="U164" i="17"/>
  <c r="V164" i="17"/>
  <c r="B166" i="17"/>
  <c r="H165" i="17"/>
  <c r="G165" i="17"/>
  <c r="I164" i="17"/>
  <c r="N176" i="17" l="1"/>
  <c r="W164" i="17"/>
  <c r="A166" i="17"/>
  <c r="O177" i="17"/>
  <c r="X177" i="17" s="1"/>
  <c r="J166" i="17"/>
  <c r="V165" i="17"/>
  <c r="U165" i="17"/>
  <c r="I165" i="17"/>
  <c r="H166" i="17"/>
  <c r="B167" i="17"/>
  <c r="G166" i="17"/>
  <c r="W165" i="17" l="1"/>
  <c r="A167" i="17"/>
  <c r="O178" i="17"/>
  <c r="X178" i="17" s="1"/>
  <c r="N177" i="17"/>
  <c r="J167" i="17"/>
  <c r="U166" i="17"/>
  <c r="V166" i="17"/>
  <c r="I166" i="17"/>
  <c r="B168" i="17"/>
  <c r="G167" i="17"/>
  <c r="H167" i="17"/>
  <c r="N178" i="17" l="1"/>
  <c r="W166" i="17"/>
  <c r="A168" i="17"/>
  <c r="O179" i="17"/>
  <c r="X179" i="17" s="1"/>
  <c r="J168" i="17"/>
  <c r="V167" i="17"/>
  <c r="U167" i="17"/>
  <c r="I167" i="17"/>
  <c r="H168" i="17"/>
  <c r="G168" i="17"/>
  <c r="B169" i="17"/>
  <c r="O180" i="17" l="1"/>
  <c r="X180" i="17" s="1"/>
  <c r="A169" i="17"/>
  <c r="W167" i="17"/>
  <c r="N179" i="17"/>
  <c r="J169" i="17"/>
  <c r="V168" i="17"/>
  <c r="U168" i="17"/>
  <c r="B170" i="17"/>
  <c r="H169" i="17"/>
  <c r="G169" i="17"/>
  <c r="I168" i="17"/>
  <c r="W168" i="17" l="1"/>
  <c r="N180" i="17"/>
  <c r="A170" i="17"/>
  <c r="O181" i="17"/>
  <c r="X181" i="17" s="1"/>
  <c r="J170" i="17"/>
  <c r="V169" i="17"/>
  <c r="U169" i="17"/>
  <c r="I169" i="17"/>
  <c r="H170" i="17"/>
  <c r="G170" i="17"/>
  <c r="B171" i="17"/>
  <c r="W169" i="17" l="1"/>
  <c r="O182" i="17"/>
  <c r="X182" i="17" s="1"/>
  <c r="A171" i="17"/>
  <c r="N181" i="17"/>
  <c r="J171" i="17"/>
  <c r="V170" i="17"/>
  <c r="U170" i="17"/>
  <c r="I170" i="17"/>
  <c r="B172" i="17"/>
  <c r="H171" i="17"/>
  <c r="G171" i="17"/>
  <c r="N182" i="17" l="1"/>
  <c r="W170" i="17"/>
  <c r="A172" i="17"/>
  <c r="O183" i="17"/>
  <c r="X183" i="17" s="1"/>
  <c r="J172" i="17"/>
  <c r="V171" i="17"/>
  <c r="U171" i="17"/>
  <c r="I171" i="17"/>
  <c r="H172" i="17"/>
  <c r="G172" i="17"/>
  <c r="B173" i="17"/>
  <c r="W171" i="17" l="1"/>
  <c r="A173" i="17"/>
  <c r="O184" i="17"/>
  <c r="X184" i="17" s="1"/>
  <c r="N183" i="17"/>
  <c r="J173" i="17"/>
  <c r="V172" i="17"/>
  <c r="U172" i="17"/>
  <c r="I172" i="17"/>
  <c r="B174" i="17"/>
  <c r="H173" i="17"/>
  <c r="G173" i="17"/>
  <c r="W172" i="17" l="1"/>
  <c r="N184" i="17"/>
  <c r="A174" i="17"/>
  <c r="O185" i="17"/>
  <c r="X185" i="17" s="1"/>
  <c r="J174" i="17"/>
  <c r="U173" i="17"/>
  <c r="V173" i="17"/>
  <c r="I173" i="17"/>
  <c r="B175" i="17"/>
  <c r="H174" i="17"/>
  <c r="G174" i="17"/>
  <c r="W173" i="17" l="1"/>
  <c r="O186" i="17"/>
  <c r="X186" i="17" s="1"/>
  <c r="N185" i="17"/>
  <c r="A175" i="17"/>
  <c r="J175" i="17"/>
  <c r="U174" i="17"/>
  <c r="V174" i="17"/>
  <c r="I174" i="17"/>
  <c r="B176" i="17"/>
  <c r="H175" i="17"/>
  <c r="G175" i="17"/>
  <c r="N186" i="17" l="1"/>
  <c r="A176" i="17"/>
  <c r="W174" i="17"/>
  <c r="O187" i="17"/>
  <c r="X187" i="17" s="1"/>
  <c r="J176" i="17"/>
  <c r="U175" i="17"/>
  <c r="V175" i="17"/>
  <c r="I175" i="17"/>
  <c r="H176" i="17"/>
  <c r="G176" i="17"/>
  <c r="B177" i="17"/>
  <c r="A177" i="17" l="1"/>
  <c r="O188" i="17"/>
  <c r="X188" i="17" s="1"/>
  <c r="W175" i="17"/>
  <c r="N187" i="17"/>
  <c r="J177" i="17"/>
  <c r="V176" i="17"/>
  <c r="U176" i="17"/>
  <c r="I176" i="17"/>
  <c r="B178" i="17"/>
  <c r="H177" i="17"/>
  <c r="G177" i="17"/>
  <c r="W176" i="17" l="1"/>
  <c r="N188" i="17"/>
  <c r="A178" i="17"/>
  <c r="O189" i="17"/>
  <c r="X189" i="17" s="1"/>
  <c r="J178" i="17"/>
  <c r="U177" i="17"/>
  <c r="V177" i="17"/>
  <c r="I177" i="17"/>
  <c r="B179" i="17"/>
  <c r="H178" i="17"/>
  <c r="G178" i="17"/>
  <c r="W177" i="17" l="1"/>
  <c r="A179" i="17"/>
  <c r="O190" i="17"/>
  <c r="X190" i="17" s="1"/>
  <c r="N189" i="17"/>
  <c r="J179" i="17"/>
  <c r="V178" i="17"/>
  <c r="U178" i="17"/>
  <c r="I178" i="17"/>
  <c r="B180" i="17"/>
  <c r="H179" i="17"/>
  <c r="G179" i="17"/>
  <c r="W178" i="17" l="1"/>
  <c r="N190" i="17"/>
  <c r="A180" i="17"/>
  <c r="O191" i="17"/>
  <c r="X191" i="17" s="1"/>
  <c r="J180" i="17"/>
  <c r="V179" i="17"/>
  <c r="U179" i="17"/>
  <c r="H180" i="17"/>
  <c r="G180" i="17"/>
  <c r="B181" i="17"/>
  <c r="I179" i="17"/>
  <c r="W179" i="17" l="1"/>
  <c r="A181" i="17"/>
  <c r="O192" i="17"/>
  <c r="X192" i="17" s="1"/>
  <c r="N191" i="17"/>
  <c r="J181" i="17"/>
  <c r="V180" i="17"/>
  <c r="U180" i="17"/>
  <c r="I180" i="17"/>
  <c r="B182" i="17"/>
  <c r="H181" i="17"/>
  <c r="G181" i="17"/>
  <c r="N192" i="17" l="1"/>
  <c r="A182" i="17"/>
  <c r="O193" i="17"/>
  <c r="X193" i="17" s="1"/>
  <c r="W180" i="17"/>
  <c r="J182" i="17"/>
  <c r="V181" i="17"/>
  <c r="U181" i="17"/>
  <c r="I181" i="17"/>
  <c r="B183" i="17"/>
  <c r="H182" i="17"/>
  <c r="G182" i="17"/>
  <c r="W181" i="17" l="1"/>
  <c r="O194" i="17"/>
  <c r="X194" i="17" s="1"/>
  <c r="A183" i="17"/>
  <c r="N193" i="17"/>
  <c r="J183" i="17"/>
  <c r="U182" i="17"/>
  <c r="V182" i="17"/>
  <c r="I182" i="17"/>
  <c r="B184" i="17"/>
  <c r="H183" i="17"/>
  <c r="G183" i="17"/>
  <c r="W182" i="17" l="1"/>
  <c r="N194" i="17"/>
  <c r="A184" i="17"/>
  <c r="O195" i="17"/>
  <c r="X195" i="17" s="1"/>
  <c r="J184" i="17"/>
  <c r="V183" i="17"/>
  <c r="U183" i="17"/>
  <c r="W183" i="17" s="1"/>
  <c r="I183" i="17"/>
  <c r="H184" i="17"/>
  <c r="G184" i="17"/>
  <c r="B185" i="17"/>
  <c r="O196" i="17" l="1"/>
  <c r="X196" i="17" s="1"/>
  <c r="A185" i="17"/>
  <c r="N195" i="17"/>
  <c r="J185" i="17"/>
  <c r="V184" i="17"/>
  <c r="U184" i="17"/>
  <c r="I184" i="17"/>
  <c r="B186" i="17"/>
  <c r="H185" i="17"/>
  <c r="G185" i="17"/>
  <c r="W184" i="17" l="1"/>
  <c r="N196" i="17"/>
  <c r="A186" i="17"/>
  <c r="O197" i="17"/>
  <c r="X197" i="17" s="1"/>
  <c r="J186" i="17"/>
  <c r="V185" i="17"/>
  <c r="U185" i="17"/>
  <c r="I185" i="17"/>
  <c r="B187" i="17"/>
  <c r="H186" i="17"/>
  <c r="G186" i="17"/>
  <c r="O198" i="17" l="1"/>
  <c r="X198" i="17" s="1"/>
  <c r="A187" i="17"/>
  <c r="W185" i="17"/>
  <c r="N197" i="17"/>
  <c r="J187" i="17"/>
  <c r="U186" i="17"/>
  <c r="V186" i="17"/>
  <c r="I186" i="17"/>
  <c r="B188" i="17"/>
  <c r="H187" i="17"/>
  <c r="G187" i="17"/>
  <c r="N198" i="17" l="1"/>
  <c r="W186" i="17"/>
  <c r="A188" i="17"/>
  <c r="O199" i="17"/>
  <c r="X199" i="17" s="1"/>
  <c r="J188" i="17"/>
  <c r="V187" i="17"/>
  <c r="U187" i="17"/>
  <c r="I187" i="17"/>
  <c r="H188" i="17"/>
  <c r="G188" i="17"/>
  <c r="I188" i="17" s="1"/>
  <c r="B189" i="17"/>
  <c r="W187" i="17" l="1"/>
  <c r="O200" i="17"/>
  <c r="X200" i="17" s="1"/>
  <c r="A189" i="17"/>
  <c r="N199" i="17"/>
  <c r="J189" i="17"/>
  <c r="U188" i="17"/>
  <c r="V188" i="17"/>
  <c r="B190" i="17"/>
  <c r="H189" i="17"/>
  <c r="G189" i="17"/>
  <c r="N200" i="17" l="1"/>
  <c r="A190" i="17"/>
  <c r="W188" i="17"/>
  <c r="I189" i="17"/>
  <c r="O201" i="17"/>
  <c r="X201" i="17" s="1"/>
  <c r="J190" i="17"/>
  <c r="V189" i="17"/>
  <c r="U189" i="17"/>
  <c r="B191" i="17"/>
  <c r="H190" i="17"/>
  <c r="G190" i="17"/>
  <c r="W189" i="17" l="1"/>
  <c r="O202" i="17"/>
  <c r="X202" i="17" s="1"/>
  <c r="A191" i="17"/>
  <c r="N201" i="17"/>
  <c r="J191" i="17"/>
  <c r="V190" i="17"/>
  <c r="U190" i="17"/>
  <c r="I190" i="17"/>
  <c r="B192" i="17"/>
  <c r="H191" i="17"/>
  <c r="G191" i="17"/>
  <c r="N202" i="17" l="1"/>
  <c r="A192" i="17"/>
  <c r="W190" i="17"/>
  <c r="O203" i="17"/>
  <c r="X203" i="17" s="1"/>
  <c r="J192" i="17"/>
  <c r="V191" i="17"/>
  <c r="U191" i="17"/>
  <c r="I191" i="17"/>
  <c r="H192" i="17"/>
  <c r="G192" i="17"/>
  <c r="B193" i="17"/>
  <c r="W191" i="17" l="1"/>
  <c r="O204" i="17"/>
  <c r="X204" i="17" s="1"/>
  <c r="A193" i="17"/>
  <c r="N203" i="17"/>
  <c r="J193" i="17"/>
  <c r="V192" i="17"/>
  <c r="U192" i="17"/>
  <c r="I192" i="17"/>
  <c r="B194" i="17"/>
  <c r="H193" i="17"/>
  <c r="G193" i="17"/>
  <c r="W192" i="17" l="1"/>
  <c r="N204" i="17"/>
  <c r="A194" i="17"/>
  <c r="O205" i="17"/>
  <c r="X205" i="17" s="1"/>
  <c r="J194" i="17"/>
  <c r="V193" i="17"/>
  <c r="U193" i="17"/>
  <c r="I193" i="17"/>
  <c r="B195" i="17"/>
  <c r="H194" i="17"/>
  <c r="G194" i="17"/>
  <c r="W193" i="17" l="1"/>
  <c r="O206" i="17"/>
  <c r="X206" i="17" s="1"/>
  <c r="A195" i="17"/>
  <c r="N205" i="17"/>
  <c r="J195" i="17"/>
  <c r="V194" i="17"/>
  <c r="U194" i="17"/>
  <c r="I194" i="17"/>
  <c r="H195" i="17"/>
  <c r="B196" i="17"/>
  <c r="G195" i="17"/>
  <c r="N206" i="17" l="1"/>
  <c r="W194" i="17"/>
  <c r="A196" i="17"/>
  <c r="O207" i="17"/>
  <c r="X207" i="17" s="1"/>
  <c r="J196" i="17"/>
  <c r="V195" i="17"/>
  <c r="U195" i="17"/>
  <c r="I195" i="17"/>
  <c r="G196" i="17"/>
  <c r="B197" i="17"/>
  <c r="H196" i="17"/>
  <c r="W195" i="17" l="1"/>
  <c r="O208" i="17"/>
  <c r="X208" i="17" s="1"/>
  <c r="A197" i="17"/>
  <c r="N207" i="17"/>
  <c r="J197" i="17"/>
  <c r="U196" i="17"/>
  <c r="V196" i="17"/>
  <c r="I196" i="17"/>
  <c r="B198" i="17"/>
  <c r="H197" i="17"/>
  <c r="G197" i="17"/>
  <c r="N208" i="17" l="1"/>
  <c r="W196" i="17"/>
  <c r="A198" i="17"/>
  <c r="O209" i="17"/>
  <c r="X209" i="17" s="1"/>
  <c r="J198" i="17"/>
  <c r="V197" i="17"/>
  <c r="U197" i="17"/>
  <c r="B199" i="17"/>
  <c r="G198" i="17"/>
  <c r="H198" i="17"/>
  <c r="I197" i="17"/>
  <c r="W197" i="17" l="1"/>
  <c r="A199" i="17"/>
  <c r="O210" i="17"/>
  <c r="X210" i="17" s="1"/>
  <c r="N209" i="17"/>
  <c r="J199" i="17"/>
  <c r="V198" i="17"/>
  <c r="U198" i="17"/>
  <c r="I198" i="17"/>
  <c r="H199" i="17"/>
  <c r="G199" i="17"/>
  <c r="B200" i="17"/>
  <c r="W198" i="17" l="1"/>
  <c r="N210" i="17"/>
  <c r="A200" i="17"/>
  <c r="O211" i="17"/>
  <c r="X211" i="17" s="1"/>
  <c r="J200" i="17"/>
  <c r="V199" i="17"/>
  <c r="U199" i="17"/>
  <c r="I199" i="17"/>
  <c r="G200" i="17"/>
  <c r="H200" i="17"/>
  <c r="B201" i="17"/>
  <c r="O212" i="17" l="1"/>
  <c r="X212" i="17" s="1"/>
  <c r="A201" i="17"/>
  <c r="W199" i="17"/>
  <c r="N211" i="17"/>
  <c r="J201" i="17"/>
  <c r="U200" i="17"/>
  <c r="V200" i="17"/>
  <c r="I200" i="17"/>
  <c r="H201" i="17"/>
  <c r="G201" i="17"/>
  <c r="B202" i="17"/>
  <c r="N212" i="17" l="1"/>
  <c r="W200" i="17"/>
  <c r="A202" i="17"/>
  <c r="O213" i="17"/>
  <c r="X213" i="17" s="1"/>
  <c r="J202" i="17"/>
  <c r="V201" i="17"/>
  <c r="U201" i="17"/>
  <c r="B203" i="17"/>
  <c r="G202" i="17"/>
  <c r="H202" i="17"/>
  <c r="I201" i="17"/>
  <c r="W201" i="17" l="1"/>
  <c r="I202" i="17"/>
  <c r="O214" i="17"/>
  <c r="X214" i="17" s="1"/>
  <c r="A203" i="17"/>
  <c r="N213" i="17"/>
  <c r="J203" i="17"/>
  <c r="U202" i="17"/>
  <c r="V202" i="17"/>
  <c r="H203" i="17"/>
  <c r="B204" i="17"/>
  <c r="G203" i="17"/>
  <c r="N214" i="17" l="1"/>
  <c r="A204" i="17"/>
  <c r="W202" i="17"/>
  <c r="O215" i="17"/>
  <c r="X215" i="17" s="1"/>
  <c r="J204" i="17"/>
  <c r="V203" i="17"/>
  <c r="U203" i="17"/>
  <c r="I203" i="17"/>
  <c r="G204" i="17"/>
  <c r="B205" i="17"/>
  <c r="H204" i="17"/>
  <c r="W203" i="17" l="1"/>
  <c r="A205" i="17"/>
  <c r="O216" i="17"/>
  <c r="X216" i="17" s="1"/>
  <c r="N215" i="17"/>
  <c r="J205" i="17"/>
  <c r="U204" i="17"/>
  <c r="V204" i="17"/>
  <c r="I204" i="17"/>
  <c r="B206" i="17"/>
  <c r="H205" i="17"/>
  <c r="G205" i="17"/>
  <c r="N216" i="17" l="1"/>
  <c r="O217" i="17"/>
  <c r="X217" i="17" s="1"/>
  <c r="A206" i="17"/>
  <c r="W204" i="17"/>
  <c r="J206" i="17"/>
  <c r="V205" i="17"/>
  <c r="U205" i="17"/>
  <c r="I205" i="17"/>
  <c r="B207" i="17"/>
  <c r="H206" i="17"/>
  <c r="G206" i="17"/>
  <c r="W205" i="17" l="1"/>
  <c r="O218" i="17"/>
  <c r="X218" i="17" s="1"/>
  <c r="A207" i="17"/>
  <c r="N217" i="17"/>
  <c r="J207" i="17"/>
  <c r="U206" i="17"/>
  <c r="V206" i="17"/>
  <c r="I206" i="17"/>
  <c r="H207" i="17"/>
  <c r="G207" i="17"/>
  <c r="B208" i="17"/>
  <c r="W206" i="17" l="1"/>
  <c r="N218" i="17"/>
  <c r="I207" i="17"/>
  <c r="A208" i="17"/>
  <c r="O219" i="17"/>
  <c r="X219" i="17" s="1"/>
  <c r="J208" i="17"/>
  <c r="U207" i="17"/>
  <c r="V207" i="17"/>
  <c r="G208" i="17"/>
  <c r="B209" i="17"/>
  <c r="H208" i="17"/>
  <c r="W207" i="17" l="1"/>
  <c r="O220" i="17"/>
  <c r="X220" i="17" s="1"/>
  <c r="A209" i="17"/>
  <c r="N219" i="17"/>
  <c r="J209" i="17"/>
  <c r="U208" i="17"/>
  <c r="V208" i="17"/>
  <c r="I208" i="17"/>
  <c r="B210" i="17"/>
  <c r="H209" i="17"/>
  <c r="G209" i="17"/>
  <c r="N220" i="17" l="1"/>
  <c r="W208" i="17"/>
  <c r="A210" i="17"/>
  <c r="O221" i="17"/>
  <c r="X221" i="17" s="1"/>
  <c r="J210" i="17"/>
  <c r="V209" i="17"/>
  <c r="U209" i="17"/>
  <c r="I209" i="17"/>
  <c r="B211" i="17"/>
  <c r="H210" i="17"/>
  <c r="G210" i="17"/>
  <c r="W209" i="17" l="1"/>
  <c r="O222" i="17"/>
  <c r="X222" i="17" s="1"/>
  <c r="A211" i="17"/>
  <c r="N221" i="17"/>
  <c r="J211" i="17"/>
  <c r="U210" i="17"/>
  <c r="V210" i="17"/>
  <c r="I210" i="17"/>
  <c r="H211" i="17"/>
  <c r="G211" i="17"/>
  <c r="B212" i="17"/>
  <c r="N222" i="17" l="1"/>
  <c r="W210" i="17"/>
  <c r="A212" i="17"/>
  <c r="O223" i="17"/>
  <c r="X223" i="17" s="1"/>
  <c r="J212" i="17"/>
  <c r="V211" i="17"/>
  <c r="U211" i="17"/>
  <c r="I211" i="17"/>
  <c r="G212" i="17"/>
  <c r="B213" i="17"/>
  <c r="H212" i="17"/>
  <c r="W211" i="17" l="1"/>
  <c r="O224" i="17"/>
  <c r="X224" i="17" s="1"/>
  <c r="A213" i="17"/>
  <c r="N223" i="17"/>
  <c r="J213" i="17"/>
  <c r="V212" i="17"/>
  <c r="U212" i="17"/>
  <c r="I212" i="17"/>
  <c r="B214" i="17"/>
  <c r="H213" i="17"/>
  <c r="G213" i="17"/>
  <c r="N224" i="17" l="1"/>
  <c r="W212" i="17"/>
  <c r="O225" i="17"/>
  <c r="X225" i="17" s="1"/>
  <c r="A214" i="17"/>
  <c r="J214" i="17"/>
  <c r="V213" i="17"/>
  <c r="U213" i="17"/>
  <c r="I213" i="17"/>
  <c r="B215" i="17"/>
  <c r="H214" i="17"/>
  <c r="G214" i="17"/>
  <c r="A215" i="17" l="1"/>
  <c r="O226" i="17"/>
  <c r="X226" i="17" s="1"/>
  <c r="W213" i="17"/>
  <c r="N225" i="17"/>
  <c r="J215" i="17"/>
  <c r="V214" i="17"/>
  <c r="U214" i="17"/>
  <c r="I214" i="17"/>
  <c r="H215" i="17"/>
  <c r="G215" i="17"/>
  <c r="B216" i="17"/>
  <c r="W214" i="17" l="1"/>
  <c r="N226" i="17"/>
  <c r="A216" i="17"/>
  <c r="O227" i="17"/>
  <c r="X227" i="17" s="1"/>
  <c r="J216" i="17"/>
  <c r="V215" i="17"/>
  <c r="U215" i="17"/>
  <c r="I215" i="17"/>
  <c r="G216" i="17"/>
  <c r="B217" i="17"/>
  <c r="H216" i="17"/>
  <c r="W215" i="17" l="1"/>
  <c r="A217" i="17"/>
  <c r="O228" i="17"/>
  <c r="X228" i="17" s="1"/>
  <c r="N227" i="17"/>
  <c r="J217" i="17"/>
  <c r="U216" i="17"/>
  <c r="V216" i="17"/>
  <c r="I216" i="17"/>
  <c r="B218" i="17"/>
  <c r="H217" i="17"/>
  <c r="G217" i="17"/>
  <c r="N228" i="17" l="1"/>
  <c r="W216" i="17"/>
  <c r="O229" i="17"/>
  <c r="X229" i="17" s="1"/>
  <c r="A218" i="17"/>
  <c r="J218" i="17"/>
  <c r="V217" i="17"/>
  <c r="U217" i="17"/>
  <c r="I217" i="17"/>
  <c r="B219" i="17"/>
  <c r="H218" i="17"/>
  <c r="G218" i="17"/>
  <c r="I218" i="17" l="1"/>
  <c r="W217" i="17"/>
  <c r="A219" i="17"/>
  <c r="O230" i="17"/>
  <c r="X230" i="17" s="1"/>
  <c r="N229" i="17"/>
  <c r="J219" i="17"/>
  <c r="U218" i="17"/>
  <c r="V218" i="17"/>
  <c r="H219" i="17"/>
  <c r="G219" i="17"/>
  <c r="B220" i="17"/>
  <c r="N230" i="17" l="1"/>
  <c r="W218" i="17"/>
  <c r="O231" i="17"/>
  <c r="X231" i="17" s="1"/>
  <c r="A220" i="17"/>
  <c r="J220" i="17"/>
  <c r="V219" i="17"/>
  <c r="U219" i="17"/>
  <c r="B221" i="17"/>
  <c r="G220" i="17"/>
  <c r="H220" i="17"/>
  <c r="I219" i="17"/>
  <c r="A221" i="17" l="1"/>
  <c r="O232" i="17"/>
  <c r="X232" i="17" s="1"/>
  <c r="N231" i="17"/>
  <c r="W219" i="17"/>
  <c r="J221" i="17"/>
  <c r="V220" i="17"/>
  <c r="U220" i="17"/>
  <c r="I220" i="17"/>
  <c r="H221" i="17"/>
  <c r="B222" i="17"/>
  <c r="G221" i="17"/>
  <c r="W220" i="17" l="1"/>
  <c r="N232" i="17"/>
  <c r="A222" i="17"/>
  <c r="O233" i="17"/>
  <c r="X233" i="17" s="1"/>
  <c r="J222" i="17"/>
  <c r="V221" i="17"/>
  <c r="U221" i="17"/>
  <c r="I221" i="17"/>
  <c r="H222" i="17"/>
  <c r="B223" i="17"/>
  <c r="G222" i="17"/>
  <c r="A223" i="17" l="1"/>
  <c r="O234" i="17"/>
  <c r="X234" i="17" s="1"/>
  <c r="N233" i="17"/>
  <c r="W221" i="17"/>
  <c r="J223" i="17"/>
  <c r="U222" i="17"/>
  <c r="V222" i="17"/>
  <c r="B224" i="17"/>
  <c r="G223" i="17"/>
  <c r="H223" i="17"/>
  <c r="I222" i="17"/>
  <c r="N234" i="17" l="1"/>
  <c r="W222" i="17"/>
  <c r="O235" i="17"/>
  <c r="X235" i="17" s="1"/>
  <c r="A224" i="17"/>
  <c r="J224" i="17"/>
  <c r="V223" i="17"/>
  <c r="U223" i="17"/>
  <c r="I223" i="17"/>
  <c r="B225" i="17"/>
  <c r="H224" i="17"/>
  <c r="G224" i="17"/>
  <c r="W223" i="17" l="1"/>
  <c r="A225" i="17"/>
  <c r="O236" i="17"/>
  <c r="X236" i="17" s="1"/>
  <c r="N235" i="17"/>
  <c r="J225" i="17"/>
  <c r="U224" i="17"/>
  <c r="V224" i="17"/>
  <c r="I224" i="17"/>
  <c r="H225" i="17"/>
  <c r="B226" i="17"/>
  <c r="G225" i="17"/>
  <c r="N236" i="17" l="1"/>
  <c r="W224" i="17"/>
  <c r="O237" i="17"/>
  <c r="X237" i="17" s="1"/>
  <c r="A226" i="17"/>
  <c r="J226" i="17"/>
  <c r="V225" i="17"/>
  <c r="U225" i="17"/>
  <c r="I225" i="17"/>
  <c r="H226" i="17"/>
  <c r="G226" i="17"/>
  <c r="B227" i="17"/>
  <c r="W225" i="17" l="1"/>
  <c r="A227" i="17"/>
  <c r="O238" i="17"/>
  <c r="X238" i="17" s="1"/>
  <c r="N237" i="17"/>
  <c r="J227" i="17"/>
  <c r="U226" i="17"/>
  <c r="V226" i="17"/>
  <c r="I226" i="17"/>
  <c r="B228" i="17"/>
  <c r="G227" i="17"/>
  <c r="H227" i="17"/>
  <c r="N238" i="17" l="1"/>
  <c r="W226" i="17"/>
  <c r="O239" i="17"/>
  <c r="X239" i="17" s="1"/>
  <c r="A228" i="17"/>
  <c r="J228" i="17"/>
  <c r="U227" i="17"/>
  <c r="V227" i="17"/>
  <c r="I227" i="17"/>
  <c r="B229" i="17"/>
  <c r="H228" i="17"/>
  <c r="G228" i="17"/>
  <c r="A229" i="17" l="1"/>
  <c r="O240" i="17"/>
  <c r="X240" i="17" s="1"/>
  <c r="W227" i="17"/>
  <c r="N239" i="17"/>
  <c r="I228" i="17"/>
  <c r="J229" i="17"/>
  <c r="V228" i="17"/>
  <c r="U228" i="17"/>
  <c r="H229" i="17"/>
  <c r="B230" i="17"/>
  <c r="G229" i="17"/>
  <c r="W228" i="17" l="1"/>
  <c r="N240" i="17"/>
  <c r="O241" i="17"/>
  <c r="X241" i="17" s="1"/>
  <c r="A230" i="17"/>
  <c r="J230" i="17"/>
  <c r="V229" i="17"/>
  <c r="U229" i="17"/>
  <c r="W229" i="17" s="1"/>
  <c r="H230" i="17"/>
  <c r="B231" i="17"/>
  <c r="G230" i="17"/>
  <c r="I229" i="17"/>
  <c r="A231" i="17" l="1"/>
  <c r="O242" i="17"/>
  <c r="X242" i="17" s="1"/>
  <c r="N241" i="17"/>
  <c r="J231" i="17"/>
  <c r="V230" i="17"/>
  <c r="U230" i="17"/>
  <c r="W230" i="17" s="1"/>
  <c r="I230" i="17"/>
  <c r="B232" i="17"/>
  <c r="G231" i="17"/>
  <c r="H231" i="17"/>
  <c r="N242" i="17" l="1"/>
  <c r="A232" i="17"/>
  <c r="O243" i="17"/>
  <c r="X243" i="17" s="1"/>
  <c r="J232" i="17"/>
  <c r="V231" i="17"/>
  <c r="U231" i="17"/>
  <c r="W231" i="17" s="1"/>
  <c r="I231" i="17"/>
  <c r="B233" i="17"/>
  <c r="H232" i="17"/>
  <c r="G232" i="17"/>
  <c r="O244" i="17" l="1"/>
  <c r="X244" i="17" s="1"/>
  <c r="N243" i="17"/>
  <c r="A233" i="17"/>
  <c r="J233" i="17"/>
  <c r="U232" i="17"/>
  <c r="V232" i="17"/>
  <c r="I232" i="17"/>
  <c r="H233" i="17"/>
  <c r="B234" i="17"/>
  <c r="G233" i="17"/>
  <c r="N244" i="17" l="1"/>
  <c r="W232" i="17"/>
  <c r="O245" i="17"/>
  <c r="X245" i="17" s="1"/>
  <c r="A234" i="17"/>
  <c r="J234" i="17"/>
  <c r="U233" i="17"/>
  <c r="V233" i="17"/>
  <c r="I233" i="17"/>
  <c r="G234" i="17"/>
  <c r="B235" i="17"/>
  <c r="H234" i="17"/>
  <c r="W233" i="17" l="1"/>
  <c r="O246" i="17"/>
  <c r="X246" i="17" s="1"/>
  <c r="A235" i="17"/>
  <c r="N245" i="17"/>
  <c r="J235" i="17"/>
  <c r="U234" i="17"/>
  <c r="V234" i="17"/>
  <c r="I234" i="17"/>
  <c r="B236" i="17"/>
  <c r="H235" i="17"/>
  <c r="G235" i="17"/>
  <c r="N246" i="17" l="1"/>
  <c r="W234" i="17"/>
  <c r="A236" i="17"/>
  <c r="O247" i="17"/>
  <c r="X247" i="17" s="1"/>
  <c r="J236" i="17"/>
  <c r="U235" i="17"/>
  <c r="V235" i="17"/>
  <c r="I235" i="17"/>
  <c r="G236" i="17"/>
  <c r="H236" i="17"/>
  <c r="B237" i="17"/>
  <c r="O248" i="17" l="1"/>
  <c r="X248" i="17" s="1"/>
  <c r="A237" i="17"/>
  <c r="W235" i="17"/>
  <c r="N247" i="17"/>
  <c r="J237" i="17"/>
  <c r="V236" i="17"/>
  <c r="U236" i="17"/>
  <c r="I236" i="17"/>
  <c r="B238" i="17"/>
  <c r="H237" i="17"/>
  <c r="G237" i="17"/>
  <c r="W236" i="17" l="1"/>
  <c r="N248" i="17"/>
  <c r="A238" i="17"/>
  <c r="O249" i="17"/>
  <c r="X249" i="17" s="1"/>
  <c r="J238" i="17"/>
  <c r="V237" i="17"/>
  <c r="U237" i="17"/>
  <c r="I237" i="17"/>
  <c r="B239" i="17"/>
  <c r="H238" i="17"/>
  <c r="G238" i="17"/>
  <c r="O250" i="17" l="1"/>
  <c r="X250" i="17" s="1"/>
  <c r="A239" i="17"/>
  <c r="W237" i="17"/>
  <c r="N249" i="17"/>
  <c r="J239" i="17"/>
  <c r="V238" i="17"/>
  <c r="U238" i="17"/>
  <c r="I238" i="17"/>
  <c r="H239" i="17"/>
  <c r="B240" i="17"/>
  <c r="G239" i="17"/>
  <c r="N250" i="17" l="1"/>
  <c r="W238" i="17"/>
  <c r="A240" i="17"/>
  <c r="O251" i="17"/>
  <c r="X251" i="17" s="1"/>
  <c r="J240" i="17"/>
  <c r="V239" i="17"/>
  <c r="U239" i="17"/>
  <c r="W239" i="17" s="1"/>
  <c r="G240" i="17"/>
  <c r="B241" i="17"/>
  <c r="H240" i="17"/>
  <c r="I239" i="17"/>
  <c r="A241" i="17" l="1"/>
  <c r="O252" i="17"/>
  <c r="X252" i="17" s="1"/>
  <c r="N251" i="17"/>
  <c r="J241" i="17"/>
  <c r="U240" i="17"/>
  <c r="V240" i="17"/>
  <c r="I240" i="17"/>
  <c r="B242" i="17"/>
  <c r="G241" i="17"/>
  <c r="H241" i="17"/>
  <c r="N252" i="17" l="1"/>
  <c r="A242" i="17"/>
  <c r="W240" i="17"/>
  <c r="O253" i="17"/>
  <c r="X253" i="17" s="1"/>
  <c r="J242" i="17"/>
  <c r="V241" i="17"/>
  <c r="U241" i="17"/>
  <c r="I241" i="17"/>
  <c r="B243" i="17"/>
  <c r="H242" i="17"/>
  <c r="G242" i="17"/>
  <c r="W241" i="17" l="1"/>
  <c r="O254" i="17"/>
  <c r="X254" i="17" s="1"/>
  <c r="A243" i="17"/>
  <c r="N253" i="17"/>
  <c r="J243" i="17"/>
  <c r="U242" i="17"/>
  <c r="V242" i="17"/>
  <c r="I242" i="17"/>
  <c r="H243" i="17"/>
  <c r="B244" i="17"/>
  <c r="G243" i="17"/>
  <c r="N254" i="17" l="1"/>
  <c r="A244" i="17"/>
  <c r="W242" i="17"/>
  <c r="O255" i="17"/>
  <c r="X255" i="17" s="1"/>
  <c r="J244" i="17"/>
  <c r="U243" i="17"/>
  <c r="V243" i="17"/>
  <c r="I243" i="17"/>
  <c r="G244" i="17"/>
  <c r="B245" i="17"/>
  <c r="H244" i="17"/>
  <c r="O256" i="17" l="1"/>
  <c r="X256" i="17" s="1"/>
  <c r="A245" i="17"/>
  <c r="W243" i="17"/>
  <c r="N255" i="17"/>
  <c r="J245" i="17"/>
  <c r="V244" i="17"/>
  <c r="U244" i="17"/>
  <c r="I244" i="17"/>
  <c r="B246" i="17"/>
  <c r="H245" i="17"/>
  <c r="G245" i="17"/>
  <c r="N256" i="17" l="1"/>
  <c r="A246" i="17"/>
  <c r="W244" i="17"/>
  <c r="O257" i="17"/>
  <c r="X257" i="17" s="1"/>
  <c r="J246" i="17"/>
  <c r="V245" i="17"/>
  <c r="U245" i="17"/>
  <c r="I245" i="17"/>
  <c r="B247" i="17"/>
  <c r="H246" i="17"/>
  <c r="G246" i="17"/>
  <c r="W245" i="17" l="1"/>
  <c r="O258" i="17"/>
  <c r="X258" i="17" s="1"/>
  <c r="N257" i="17"/>
  <c r="A247" i="17"/>
  <c r="J247" i="17"/>
  <c r="V246" i="17"/>
  <c r="U246" i="17"/>
  <c r="I246" i="17"/>
  <c r="H247" i="17"/>
  <c r="G247" i="17"/>
  <c r="B248" i="17"/>
  <c r="W246" i="17" l="1"/>
  <c r="N258" i="17"/>
  <c r="A248" i="17"/>
  <c r="O259" i="17"/>
  <c r="X259" i="17" s="1"/>
  <c r="J248" i="17"/>
  <c r="V247" i="17"/>
  <c r="U247" i="17"/>
  <c r="I247" i="17"/>
  <c r="G248" i="17"/>
  <c r="B249" i="17"/>
  <c r="H248" i="17"/>
  <c r="A249" i="17" l="1"/>
  <c r="O260" i="17"/>
  <c r="X260" i="17" s="1"/>
  <c r="N259" i="17"/>
  <c r="W247" i="17"/>
  <c r="J249" i="17"/>
  <c r="U248" i="17"/>
  <c r="V248" i="17"/>
  <c r="I248" i="17"/>
  <c r="B250" i="17"/>
  <c r="H249" i="17"/>
  <c r="G249" i="17"/>
  <c r="N260" i="17" l="1"/>
  <c r="W248" i="17"/>
  <c r="O261" i="17"/>
  <c r="X261" i="17" s="1"/>
  <c r="A250" i="17"/>
  <c r="J250" i="17"/>
  <c r="V249" i="17"/>
  <c r="U249" i="17"/>
  <c r="I249" i="17"/>
  <c r="B251" i="17"/>
  <c r="H250" i="17"/>
  <c r="G250" i="17"/>
  <c r="W249" i="17" l="1"/>
  <c r="A251" i="17"/>
  <c r="O262" i="17"/>
  <c r="X262" i="17" s="1"/>
  <c r="N261" i="17"/>
  <c r="J251" i="17"/>
  <c r="U250" i="17"/>
  <c r="V250" i="17"/>
  <c r="I250" i="17"/>
  <c r="H251" i="17"/>
  <c r="G251" i="17"/>
  <c r="B252" i="17"/>
  <c r="N262" i="17" l="1"/>
  <c r="O263" i="17"/>
  <c r="X263" i="17" s="1"/>
  <c r="W250" i="17"/>
  <c r="A252" i="17"/>
  <c r="J252" i="17"/>
  <c r="V251" i="17"/>
  <c r="U251" i="17"/>
  <c r="I251" i="17"/>
  <c r="G252" i="17"/>
  <c r="B253" i="17"/>
  <c r="H252" i="17"/>
  <c r="W251" i="17" l="1"/>
  <c r="O264" i="17"/>
  <c r="X264" i="17" s="1"/>
  <c r="A253" i="17"/>
  <c r="N263" i="17"/>
  <c r="J253" i="17"/>
  <c r="V252" i="17"/>
  <c r="U252" i="17"/>
  <c r="I252" i="17"/>
  <c r="G253" i="17"/>
  <c r="H253" i="17"/>
  <c r="B254" i="17"/>
  <c r="W252" i="17" l="1"/>
  <c r="N264" i="17"/>
  <c r="A254" i="17"/>
  <c r="O265" i="17"/>
  <c r="X265" i="17" s="1"/>
  <c r="J254" i="17"/>
  <c r="V253" i="17"/>
  <c r="U253" i="17"/>
  <c r="B255" i="17"/>
  <c r="H254" i="17"/>
  <c r="G254" i="17"/>
  <c r="I253" i="17"/>
  <c r="A255" i="17" l="1"/>
  <c r="O266" i="17"/>
  <c r="X266" i="17" s="1"/>
  <c r="W253" i="17"/>
  <c r="N265" i="17"/>
  <c r="J255" i="17"/>
  <c r="V254" i="17"/>
  <c r="U254" i="17"/>
  <c r="I254" i="17"/>
  <c r="B256" i="17"/>
  <c r="H255" i="17"/>
  <c r="G255" i="17"/>
  <c r="W254" i="17" l="1"/>
  <c r="N266" i="17"/>
  <c r="O267" i="17"/>
  <c r="X267" i="17" s="1"/>
  <c r="A256" i="17"/>
  <c r="J256" i="17"/>
  <c r="V255" i="17"/>
  <c r="U255" i="17"/>
  <c r="I255" i="17"/>
  <c r="H256" i="17"/>
  <c r="B257" i="17"/>
  <c r="G256" i="17"/>
  <c r="A257" i="17" l="1"/>
  <c r="U267" i="17"/>
  <c r="O268" i="17"/>
  <c r="X268" i="17" s="1"/>
  <c r="V267" i="17"/>
  <c r="W255" i="17"/>
  <c r="N267" i="17"/>
  <c r="J257" i="17"/>
  <c r="U256" i="17"/>
  <c r="V256" i="17"/>
  <c r="I256" i="17"/>
  <c r="G257" i="17"/>
  <c r="B258" i="17"/>
  <c r="H257" i="17"/>
  <c r="W256" i="17" l="1"/>
  <c r="A258" i="17"/>
  <c r="N268" i="17"/>
  <c r="V268" i="17"/>
  <c r="U268" i="17"/>
  <c r="O269" i="17"/>
  <c r="X269" i="17" s="1"/>
  <c r="J258" i="17"/>
  <c r="V257" i="17"/>
  <c r="U257" i="17"/>
  <c r="I257" i="17"/>
  <c r="B259" i="17"/>
  <c r="H258" i="17"/>
  <c r="G258" i="17"/>
  <c r="W257" i="17" l="1"/>
  <c r="U269" i="17"/>
  <c r="N269" i="17"/>
  <c r="O270" i="17"/>
  <c r="X270" i="17" s="1"/>
  <c r="V269" i="17"/>
  <c r="A259" i="17"/>
  <c r="J259" i="17"/>
  <c r="U258" i="17"/>
  <c r="V258" i="17"/>
  <c r="I258" i="17"/>
  <c r="H259" i="17"/>
  <c r="B260" i="17"/>
  <c r="G259" i="17"/>
  <c r="N270" i="17" l="1"/>
  <c r="A260" i="17"/>
  <c r="W258" i="17"/>
  <c r="U270" i="17"/>
  <c r="V270" i="17"/>
  <c r="O271" i="17"/>
  <c r="X271" i="17" s="1"/>
  <c r="J260" i="17"/>
  <c r="V259" i="17"/>
  <c r="U259" i="17"/>
  <c r="H260" i="17"/>
  <c r="B261" i="17"/>
  <c r="G260" i="17"/>
  <c r="I259" i="17"/>
  <c r="W259" i="17" l="1"/>
  <c r="N271" i="17"/>
  <c r="V271" i="17"/>
  <c r="O272" i="17"/>
  <c r="X272" i="17" s="1"/>
  <c r="U271" i="17"/>
  <c r="A261" i="17"/>
  <c r="I260" i="17"/>
  <c r="J261" i="17"/>
  <c r="V260" i="17"/>
  <c r="U260" i="17"/>
  <c r="G261" i="17"/>
  <c r="B262" i="17"/>
  <c r="H261" i="17"/>
  <c r="W260" i="17" l="1"/>
  <c r="A262" i="17"/>
  <c r="O273" i="17"/>
  <c r="X273" i="17" s="1"/>
  <c r="U272" i="17"/>
  <c r="V272" i="17"/>
  <c r="N272" i="17"/>
  <c r="J262" i="17"/>
  <c r="V261" i="17"/>
  <c r="U261" i="17"/>
  <c r="I261" i="17"/>
  <c r="B263" i="17"/>
  <c r="H262" i="17"/>
  <c r="G262" i="17"/>
  <c r="W261" i="17" l="1"/>
  <c r="N273" i="17"/>
  <c r="O274" i="17"/>
  <c r="X274" i="17" s="1"/>
  <c r="V273" i="17"/>
  <c r="U273" i="17"/>
  <c r="A263" i="17"/>
  <c r="J263" i="17"/>
  <c r="V262" i="17"/>
  <c r="U262" i="17"/>
  <c r="I262" i="17"/>
  <c r="B264" i="17"/>
  <c r="H263" i="17"/>
  <c r="G263" i="17"/>
  <c r="N274" i="17" l="1"/>
  <c r="W262" i="17"/>
  <c r="A264" i="17"/>
  <c r="O275" i="17"/>
  <c r="X275" i="17" s="1"/>
  <c r="X25" i="17" s="1"/>
  <c r="U274" i="17"/>
  <c r="V274" i="17"/>
  <c r="J264" i="17"/>
  <c r="V263" i="17"/>
  <c r="U263" i="17"/>
  <c r="H264" i="17"/>
  <c r="G264" i="17"/>
  <c r="B265" i="17"/>
  <c r="I263" i="17"/>
  <c r="W263" i="17" l="1"/>
  <c r="U275" i="17"/>
  <c r="N275" i="17"/>
  <c r="V275" i="17"/>
  <c r="A265" i="17"/>
  <c r="J265" i="17"/>
  <c r="U264" i="17"/>
  <c r="V264" i="17"/>
  <c r="I264" i="17"/>
  <c r="H265" i="17"/>
  <c r="G265" i="17"/>
  <c r="B266" i="17"/>
  <c r="W264" i="17" l="1"/>
  <c r="A266" i="17"/>
  <c r="J266" i="17"/>
  <c r="U265" i="17"/>
  <c r="V265" i="17"/>
  <c r="I265" i="17"/>
  <c r="H266" i="17"/>
  <c r="G266" i="17"/>
  <c r="B267" i="17"/>
  <c r="W267" i="17" l="1"/>
  <c r="W265" i="17"/>
  <c r="A267" i="17"/>
  <c r="J267" i="17"/>
  <c r="U266" i="17"/>
  <c r="V266" i="17"/>
  <c r="I266" i="17"/>
  <c r="H267" i="17"/>
  <c r="G267" i="17"/>
  <c r="W268" i="17" l="1"/>
  <c r="W266" i="17"/>
  <c r="I267" i="17"/>
  <c r="W269" i="17" l="1"/>
  <c r="W270" i="17" l="1"/>
  <c r="W271" i="17" l="1"/>
  <c r="W272" i="17" l="1"/>
  <c r="W273" i="17" l="1"/>
  <c r="W274" i="17" l="1"/>
  <c r="W275" i="17" l="1"/>
  <c r="J25" i="17" l="1"/>
  <c r="G24" i="10" l="1"/>
  <c r="F23" i="10"/>
  <c r="G23" i="10"/>
  <c r="F25" i="10"/>
  <c r="G25" i="10"/>
  <c r="G21" i="10"/>
  <c r="F21" i="10"/>
  <c r="F24" i="10"/>
  <c r="G22" i="10"/>
  <c r="F22" i="10"/>
  <c r="K29" i="17" l="1"/>
  <c r="C28" i="17" l="1"/>
  <c r="D28" i="17" s="1"/>
  <c r="F28" i="17" s="1"/>
  <c r="E29" i="17" s="1"/>
  <c r="L29" i="17"/>
  <c r="AS28" i="17" l="1"/>
  <c r="AT28" i="17" s="1"/>
  <c r="AU28" i="17" s="1"/>
  <c r="AH28" i="17"/>
  <c r="AG28" i="17" s="1"/>
  <c r="AB29" i="17" s="1"/>
  <c r="AI29" i="17" s="1"/>
  <c r="AJ28" i="17"/>
  <c r="AK28" i="17" s="1"/>
  <c r="AL28" i="17" s="1"/>
  <c r="Y31" i="17"/>
  <c r="AQ29" i="17" l="1"/>
  <c r="AR29" i="17" s="1"/>
  <c r="AN29" i="17"/>
  <c r="AO29" i="17" s="1"/>
  <c r="AM29" i="17"/>
  <c r="C29" i="17"/>
  <c r="AH29" i="17"/>
  <c r="Z31" i="17"/>
  <c r="Y32" i="17"/>
  <c r="Z32" i="17" s="1"/>
  <c r="K30" i="17"/>
  <c r="AJ29" i="17" l="1"/>
  <c r="AS29" i="17"/>
  <c r="AT29" i="17" s="1"/>
  <c r="AU29" i="17" s="1"/>
  <c r="D29" i="17"/>
  <c r="F29" i="17" s="1"/>
  <c r="E30" i="17" s="1"/>
  <c r="AG29" i="17"/>
  <c r="AB30" i="17" s="1"/>
  <c r="AM30" i="17" s="1"/>
  <c r="AK29" i="17"/>
  <c r="L30" i="17"/>
  <c r="Y33" i="17"/>
  <c r="Z33" i="17" s="1"/>
  <c r="AQ30" i="17" l="1"/>
  <c r="AR30" i="17" s="1"/>
  <c r="AI30" i="17"/>
  <c r="AF30" i="17"/>
  <c r="AN30" i="17"/>
  <c r="AL29" i="17"/>
  <c r="K31" i="17" l="1"/>
  <c r="Y34" i="17" l="1"/>
  <c r="L31" i="17"/>
  <c r="Y35" i="17" l="1"/>
  <c r="Z35" i="17" s="1"/>
  <c r="Z34" i="17"/>
  <c r="K32" i="17" l="1"/>
  <c r="L32" i="17" l="1"/>
  <c r="Y36" i="17" l="1"/>
  <c r="Z36" i="17" l="1"/>
  <c r="K33" i="17"/>
  <c r="L33" i="17" l="1"/>
  <c r="Y37" i="17" l="1"/>
  <c r="K34" i="17" l="1"/>
  <c r="L34" i="17" s="1"/>
  <c r="Y38" i="17"/>
  <c r="Z38" i="17" s="1"/>
  <c r="Z37" i="17"/>
  <c r="K35" i="17" l="1"/>
  <c r="L35" i="17" s="1"/>
  <c r="Y39" i="17"/>
  <c r="Z39" i="17" s="1"/>
  <c r="K36" i="17" l="1"/>
  <c r="L36" i="17" s="1"/>
  <c r="Y40" i="17"/>
  <c r="Z40" i="17" s="1"/>
  <c r="K37" i="17" l="1"/>
  <c r="L37" i="17" s="1"/>
  <c r="Y41" i="17"/>
  <c r="Z41" i="17" s="1"/>
  <c r="K38" i="17" l="1"/>
  <c r="L38" i="17" s="1"/>
  <c r="K39" i="17" l="1"/>
  <c r="L39" i="17" s="1"/>
  <c r="Y43" i="17" l="1"/>
  <c r="Z43" i="17" s="1"/>
  <c r="Y44" i="17"/>
  <c r="Z44" i="17" s="1"/>
  <c r="K40" i="17" l="1"/>
  <c r="Y45" i="17" l="1"/>
  <c r="Z45" i="17" s="1"/>
  <c r="L40" i="17"/>
  <c r="Y46" i="17" l="1"/>
  <c r="Z46" i="17" s="1"/>
  <c r="K41" i="17" l="1"/>
  <c r="Y47" i="17" l="1"/>
  <c r="Z47" i="17" s="1"/>
  <c r="L41" i="17"/>
  <c r="Y48" i="17" l="1"/>
  <c r="Z48" i="17" l="1"/>
  <c r="K42" i="17"/>
  <c r="L42" i="17" l="1"/>
  <c r="Y49" i="17" l="1"/>
  <c r="Z49" i="17" l="1"/>
  <c r="K43" i="17"/>
  <c r="L43" i="17" l="1"/>
  <c r="Y50" i="17" l="1"/>
  <c r="K44" i="17" l="1"/>
  <c r="Z50" i="17"/>
  <c r="L44" i="17" l="1"/>
  <c r="Y51" i="17" l="1"/>
  <c r="Z51" i="17" l="1"/>
  <c r="K45" i="17"/>
  <c r="L45" i="17" s="1"/>
  <c r="K46" i="17" l="1"/>
  <c r="L46" i="17" s="1"/>
  <c r="Y52" i="17"/>
  <c r="Z52" i="17" l="1"/>
  <c r="K47" i="17" l="1"/>
  <c r="L47" i="17" s="1"/>
  <c r="Y53" i="17" l="1"/>
  <c r="Z53" i="17" s="1"/>
  <c r="Y54" i="17" l="1"/>
  <c r="Z54" i="17" s="1"/>
  <c r="K48" i="17"/>
  <c r="L48" i="17" s="1"/>
  <c r="Y55" i="17" l="1"/>
  <c r="Z55" i="17" s="1"/>
  <c r="K49" i="17"/>
  <c r="L49" i="17" s="1"/>
  <c r="Y56" i="17" l="1"/>
  <c r="Z56" i="17" s="1"/>
  <c r="Y57" i="17" l="1"/>
  <c r="Z57" i="17" s="1"/>
  <c r="K50" i="17"/>
  <c r="L50" i="17" s="1"/>
  <c r="Y58" i="17" l="1"/>
  <c r="Z58" i="17" s="1"/>
  <c r="K51" i="17" l="1"/>
  <c r="L51" i="17" s="1"/>
  <c r="Y59" i="17" l="1"/>
  <c r="Z59" i="17" s="1"/>
  <c r="Y60" i="17" l="1"/>
  <c r="Z60" i="17" s="1"/>
  <c r="K52" i="17"/>
  <c r="L52" i="17" s="1"/>
  <c r="Y61" i="17" l="1"/>
  <c r="Z61" i="17" s="1"/>
  <c r="Y62" i="17" l="1"/>
  <c r="Z62" i="17" s="1"/>
  <c r="K53" i="17"/>
  <c r="L53" i="17" s="1"/>
  <c r="Y63" i="17" l="1"/>
  <c r="Z63" i="17" s="1"/>
  <c r="K54" i="17"/>
  <c r="L54" i="17" s="1"/>
  <c r="Y64" i="17" l="1"/>
  <c r="Z64" i="17" s="1"/>
  <c r="K55" i="17" l="1"/>
  <c r="L55" i="17" s="1"/>
  <c r="Y65" i="17" l="1"/>
  <c r="Z65" i="17" s="1"/>
  <c r="Y66" i="17" l="1"/>
  <c r="Z66" i="17" s="1"/>
  <c r="K56" i="17"/>
  <c r="L56" i="17" s="1"/>
  <c r="Y67" i="17" l="1"/>
  <c r="Z67" i="17" s="1"/>
  <c r="K57" i="17"/>
  <c r="L57" i="17" s="1"/>
  <c r="Y68" i="17" l="1"/>
  <c r="Z68" i="17" s="1"/>
  <c r="Y69" i="17" l="1"/>
  <c r="Z69" i="17" s="1"/>
  <c r="K58" i="17"/>
  <c r="L58" i="17" s="1"/>
  <c r="Y70" i="17" l="1"/>
  <c r="Z70" i="17" s="1"/>
  <c r="K59" i="17" l="1"/>
  <c r="L59" i="17" s="1"/>
  <c r="Y71" i="17" l="1"/>
  <c r="Z71" i="17" s="1"/>
  <c r="Y72" i="17" l="1"/>
  <c r="Z72" i="17" s="1"/>
  <c r="K60" i="17"/>
  <c r="L60" i="17" s="1"/>
  <c r="Y73" i="17" l="1"/>
  <c r="Z73" i="17" s="1"/>
  <c r="K61" i="17"/>
  <c r="L61" i="17" s="1"/>
  <c r="Y74" i="17" l="1"/>
  <c r="Z74" i="17" s="1"/>
  <c r="K62" i="17" l="1"/>
  <c r="L62" i="17" s="1"/>
  <c r="Y75" i="17"/>
  <c r="Z75" i="17" l="1"/>
  <c r="K63" i="17" l="1"/>
  <c r="L63" i="17" s="1"/>
  <c r="Y76" i="17" l="1"/>
  <c r="Z76" i="17" l="1"/>
  <c r="K64" i="17"/>
  <c r="L64" i="17" s="1"/>
  <c r="Y77" i="17" l="1"/>
  <c r="K65" i="17"/>
  <c r="L65" i="17" s="1"/>
  <c r="Z77" i="17" l="1"/>
  <c r="K66" i="17" l="1"/>
  <c r="L66" i="17" s="1"/>
  <c r="Y78" i="17" l="1"/>
  <c r="Z78" i="17" l="1"/>
  <c r="K67" i="17"/>
  <c r="L67" i="17" l="1"/>
  <c r="Y79" i="17" l="1"/>
  <c r="Z79" i="17" l="1"/>
  <c r="K68" i="17"/>
  <c r="L68" i="17" l="1"/>
  <c r="Y80" i="17" l="1"/>
  <c r="K69" i="17" l="1"/>
  <c r="Z80" i="17"/>
  <c r="L69" i="17" l="1"/>
  <c r="Y81" i="17" l="1"/>
  <c r="Z81" i="17" s="1"/>
  <c r="Y82" i="17" l="1"/>
  <c r="Z82" i="17" s="1"/>
  <c r="K70" i="17"/>
  <c r="Y83" i="17" l="1"/>
  <c r="Z83" i="17" s="1"/>
  <c r="L70" i="17"/>
  <c r="Y84" i="17" l="1"/>
  <c r="Z84" i="17" s="1"/>
  <c r="Y85" i="17" l="1"/>
  <c r="Z85" i="17" s="1"/>
  <c r="K71" i="17"/>
  <c r="Y86" i="17" l="1"/>
  <c r="Z86" i="17" s="1"/>
  <c r="L71" i="17"/>
  <c r="Y87" i="17" l="1"/>
  <c r="Z87" i="17" s="1"/>
  <c r="Y88" i="17" l="1"/>
  <c r="Z88" i="17" s="1"/>
  <c r="K72" i="17"/>
  <c r="Y89" i="17" l="1"/>
  <c r="Z89" i="17" s="1"/>
  <c r="L72" i="17"/>
  <c r="Y90" i="17" l="1"/>
  <c r="Z90" i="17" s="1"/>
  <c r="Y91" i="17" l="1"/>
  <c r="Z91" i="17" s="1"/>
  <c r="K73" i="17"/>
  <c r="L73" i="17" s="1"/>
  <c r="Y92" i="17" l="1"/>
  <c r="Z92" i="17" s="1"/>
  <c r="Y93" i="17" l="1"/>
  <c r="Z93" i="17" s="1"/>
  <c r="K74" i="17"/>
  <c r="L74" i="17" s="1"/>
  <c r="Y94" i="17" l="1"/>
  <c r="Z94" i="17" s="1"/>
  <c r="Y95" i="17" l="1"/>
  <c r="Z95" i="17" s="1"/>
  <c r="K75" i="17"/>
  <c r="L75" i="17" s="1"/>
  <c r="Y96" i="17" l="1"/>
  <c r="Z96" i="17" s="1"/>
  <c r="Y97" i="17" l="1"/>
  <c r="Z97" i="17" s="1"/>
  <c r="K76" i="17"/>
  <c r="L76" i="17" s="1"/>
  <c r="Y98" i="17" l="1"/>
  <c r="Z98" i="17" s="1"/>
  <c r="Y99" i="17" l="1"/>
  <c r="Z99" i="17" s="1"/>
  <c r="K77" i="17"/>
  <c r="L77" i="17" s="1"/>
  <c r="Y100" i="17" l="1"/>
  <c r="Z100" i="17" s="1"/>
  <c r="Y101" i="17" l="1"/>
  <c r="Z101" i="17" s="1"/>
  <c r="K78" i="17"/>
  <c r="L78" i="17" s="1"/>
  <c r="Y102" i="17" l="1"/>
  <c r="Z102" i="17" s="1"/>
  <c r="Y103" i="17" l="1"/>
  <c r="Z103" i="17" s="1"/>
  <c r="K79" i="17"/>
  <c r="L79" i="17" s="1"/>
  <c r="Y104" i="17" l="1"/>
  <c r="Z104" i="17" s="1"/>
  <c r="Y105" i="17" l="1"/>
  <c r="Z105" i="17" s="1"/>
  <c r="K80" i="17"/>
  <c r="L80" i="17" s="1"/>
  <c r="Y106" i="17" l="1"/>
  <c r="Z106" i="17" s="1"/>
  <c r="Y107" i="17" l="1"/>
  <c r="Z107" i="17" s="1"/>
  <c r="K81" i="17"/>
  <c r="L81" i="17" s="1"/>
  <c r="Y108" i="17" l="1"/>
  <c r="Z108" i="17" s="1"/>
  <c r="Y109" i="17" l="1"/>
  <c r="Z109" i="17" s="1"/>
  <c r="K82" i="17"/>
  <c r="L82" i="17" s="1"/>
  <c r="Y110" i="17" l="1"/>
  <c r="Z110" i="17" s="1"/>
  <c r="Y111" i="17" l="1"/>
  <c r="Z111" i="17" s="1"/>
  <c r="K83" i="17"/>
  <c r="L83" i="17" s="1"/>
  <c r="Y112" i="17" l="1"/>
  <c r="Z112" i="17" s="1"/>
  <c r="Y113" i="17" l="1"/>
  <c r="Z113" i="17" s="1"/>
  <c r="K84" i="17"/>
  <c r="L84" i="17" s="1"/>
  <c r="Y114" i="17" l="1"/>
  <c r="Z114" i="17" s="1"/>
  <c r="K85" i="17"/>
  <c r="L85" i="17" s="1"/>
  <c r="Y115" i="17" l="1"/>
  <c r="Z115" i="17" s="1"/>
  <c r="Y116" i="17" l="1"/>
  <c r="Z116" i="17" s="1"/>
  <c r="K86" i="17"/>
  <c r="L86" i="17" s="1"/>
  <c r="Y117" i="17" l="1"/>
  <c r="Z117" i="17" s="1"/>
  <c r="Y118" i="17" l="1"/>
  <c r="Z118" i="17" s="1"/>
  <c r="K87" i="17"/>
  <c r="L87" i="17" s="1"/>
  <c r="Y119" i="17" l="1"/>
  <c r="Z119" i="17" s="1"/>
  <c r="Y120" i="17" l="1"/>
  <c r="Z120" i="17" s="1"/>
  <c r="K88" i="17"/>
  <c r="L88" i="17" s="1"/>
  <c r="Y121" i="17" l="1"/>
  <c r="Z121" i="17" s="1"/>
  <c r="Y122" i="17" l="1"/>
  <c r="Z122" i="17" s="1"/>
  <c r="K89" i="17"/>
  <c r="L89" i="17" s="1"/>
  <c r="Y123" i="17" l="1"/>
  <c r="Z123" i="17" s="1"/>
  <c r="Y124" i="17" l="1"/>
  <c r="Z124" i="17" s="1"/>
  <c r="K90" i="17"/>
  <c r="L90" i="17" s="1"/>
  <c r="Y125" i="17" l="1"/>
  <c r="Z125" i="17" s="1"/>
  <c r="Y126" i="17" l="1"/>
  <c r="Z126" i="17" s="1"/>
  <c r="K91" i="17"/>
  <c r="L91" i="17" s="1"/>
  <c r="Y127" i="17" l="1"/>
  <c r="Z127" i="17" s="1"/>
  <c r="Y128" i="17" l="1"/>
  <c r="Z128" i="17" s="1"/>
  <c r="K92" i="17"/>
  <c r="L92" i="17" s="1"/>
  <c r="Y129" i="17" l="1"/>
  <c r="Z129" i="17" s="1"/>
  <c r="Y130" i="17" l="1"/>
  <c r="Z130" i="17" s="1"/>
  <c r="K93" i="17"/>
  <c r="L93" i="17" s="1"/>
  <c r="Y131" i="17" l="1"/>
  <c r="Z131" i="17" s="1"/>
  <c r="K94" i="17"/>
  <c r="L94" i="17" s="1"/>
  <c r="Y132" i="17" l="1"/>
  <c r="Z132" i="17" s="1"/>
  <c r="Y133" i="17" l="1"/>
  <c r="Z133" i="17" s="1"/>
  <c r="K95" i="17"/>
  <c r="L95" i="17" s="1"/>
  <c r="Y134" i="17" l="1"/>
  <c r="Z134" i="17" s="1"/>
  <c r="K96" i="17" l="1"/>
  <c r="L96" i="17" s="1"/>
  <c r="Y136" i="17" l="1"/>
  <c r="Z136" i="17" s="1"/>
  <c r="Y137" i="17" l="1"/>
  <c r="Z137" i="17" s="1"/>
  <c r="K97" i="17"/>
  <c r="L97" i="17" s="1"/>
  <c r="Y138" i="17" l="1"/>
  <c r="Z138" i="17" s="1"/>
  <c r="Y139" i="17"/>
  <c r="Z139" i="17" s="1"/>
  <c r="K98" i="17" l="1"/>
  <c r="L98" i="17" s="1"/>
  <c r="Y141" i="17" l="1"/>
  <c r="Z141" i="17" s="1"/>
  <c r="K99" i="17"/>
  <c r="L99" i="17" s="1"/>
  <c r="Y142" i="17" l="1"/>
  <c r="Z142" i="17" s="1"/>
  <c r="Y143" i="17" l="1"/>
  <c r="Z143" i="17" s="1"/>
  <c r="Y144" i="17"/>
  <c r="Z144" i="17" s="1"/>
  <c r="K100" i="17"/>
  <c r="L100" i="17" s="1"/>
  <c r="Y145" i="17" l="1"/>
  <c r="Z145" i="17" s="1"/>
  <c r="K101" i="17" l="1"/>
  <c r="L101" i="17" s="1"/>
  <c r="Y147" i="17" l="1"/>
  <c r="Z147" i="17" s="1"/>
  <c r="K102" i="17"/>
  <c r="L102" i="17" s="1"/>
  <c r="Y148" i="17" l="1"/>
  <c r="Z148" i="17" s="1"/>
  <c r="Y149" i="17" l="1"/>
  <c r="Z149" i="17" s="1"/>
  <c r="K103" i="17"/>
  <c r="L103" i="17" s="1"/>
  <c r="Y151" i="17" l="1"/>
  <c r="Z151" i="17" s="1"/>
  <c r="K104" i="17"/>
  <c r="L104" i="17" s="1"/>
  <c r="Y152" i="17" l="1"/>
  <c r="Z152" i="17" s="1"/>
  <c r="Y153" i="17" l="1"/>
  <c r="Z153" i="17" s="1"/>
  <c r="K105" i="17"/>
  <c r="L105" i="17" s="1"/>
  <c r="Y154" i="17" l="1"/>
  <c r="Z154" i="17" s="1"/>
  <c r="Y155" i="17" l="1"/>
  <c r="Z155" i="17" s="1"/>
  <c r="K106" i="17"/>
  <c r="L106" i="17" s="1"/>
  <c r="Y156" i="17" l="1"/>
  <c r="Z156" i="17" s="1"/>
  <c r="Y157" i="17" l="1"/>
  <c r="Z157" i="17" s="1"/>
  <c r="K107" i="17"/>
  <c r="L107" i="17" s="1"/>
  <c r="Y158" i="17" l="1"/>
  <c r="Z158" i="17" s="1"/>
  <c r="Y159" i="17" l="1"/>
  <c r="Z159" i="17" s="1"/>
  <c r="K108" i="17"/>
  <c r="L108" i="17" s="1"/>
  <c r="Y160" i="17" l="1"/>
  <c r="Z160" i="17" s="1"/>
  <c r="K109" i="17" l="1"/>
  <c r="L109" i="17" s="1"/>
  <c r="K110" i="17" l="1"/>
  <c r="L110" i="17" s="1"/>
  <c r="Y163" i="17"/>
  <c r="Z163" i="17" s="1"/>
  <c r="Y164" i="17" l="1"/>
  <c r="Z164" i="17" s="1"/>
  <c r="Y165" i="17" l="1"/>
  <c r="Z165" i="17" s="1"/>
  <c r="K111" i="17"/>
  <c r="L111" i="17" s="1"/>
  <c r="Y166" i="17" l="1"/>
  <c r="Z166" i="17" s="1"/>
  <c r="K112" i="17"/>
  <c r="L112" i="17" s="1"/>
  <c r="Y167" i="17" l="1"/>
  <c r="Z167" i="17" s="1"/>
  <c r="K113" i="17" l="1"/>
  <c r="L113" i="17" s="1"/>
  <c r="Y170" i="17" l="1"/>
  <c r="Z170" i="17" s="1"/>
  <c r="K114" i="17"/>
  <c r="L114" i="17" s="1"/>
  <c r="Y171" i="17" l="1"/>
  <c r="Z171" i="17" s="1"/>
  <c r="Y172" i="17" l="1"/>
  <c r="Z172" i="17" s="1"/>
  <c r="K115" i="17"/>
  <c r="L115" i="17" s="1"/>
  <c r="Y173" i="17" l="1"/>
  <c r="Z173" i="17" s="1"/>
  <c r="Y174" i="17" l="1"/>
  <c r="Z174" i="17" s="1"/>
  <c r="K116" i="17"/>
  <c r="L116" i="17" s="1"/>
  <c r="Y175" i="17" l="1"/>
  <c r="Z175" i="17" s="1"/>
  <c r="K117" i="17" l="1"/>
  <c r="L117" i="17" s="1"/>
  <c r="K118" i="17" l="1"/>
  <c r="L118" i="17" s="1"/>
  <c r="Y178" i="17"/>
  <c r="Z178" i="17" s="1"/>
  <c r="Y179" i="17" l="1"/>
  <c r="Z179" i="17" s="1"/>
  <c r="K119" i="17"/>
  <c r="L119" i="17" s="1"/>
  <c r="Y180" i="17" l="1"/>
  <c r="Z180" i="17" s="1"/>
  <c r="Y181" i="17" l="1"/>
  <c r="Z181" i="17" s="1"/>
  <c r="K120" i="17"/>
  <c r="L120" i="17" s="1"/>
  <c r="Y182" i="17" l="1"/>
  <c r="Z182" i="17" s="1"/>
  <c r="Y183" i="17" l="1"/>
  <c r="Z183" i="17" s="1"/>
  <c r="K121" i="17"/>
  <c r="L121" i="17" s="1"/>
  <c r="Y184" i="17" l="1"/>
  <c r="Z184" i="17" s="1"/>
  <c r="K122" i="17" l="1"/>
  <c r="L122" i="17" s="1"/>
  <c r="Y185" i="17" l="1"/>
  <c r="Z185" i="17" s="1"/>
  <c r="K123" i="17" l="1"/>
  <c r="L123" i="17" s="1"/>
  <c r="Y188" i="17" l="1"/>
  <c r="Z188" i="17" s="1"/>
  <c r="K124" i="17"/>
  <c r="L124" i="17" s="1"/>
  <c r="Y189" i="17" l="1"/>
  <c r="Z189" i="17" s="1"/>
  <c r="Y190" i="17" l="1"/>
  <c r="Z190" i="17" s="1"/>
  <c r="K125" i="17"/>
  <c r="L125" i="17" s="1"/>
  <c r="Y191" i="17" l="1"/>
  <c r="Z191" i="17" s="1"/>
  <c r="Y192" i="17" l="1"/>
  <c r="Z192" i="17" s="1"/>
  <c r="K126" i="17"/>
  <c r="L126" i="17" s="1"/>
  <c r="Y193" i="17" l="1"/>
  <c r="Z193" i="17" s="1"/>
  <c r="Y194" i="17" l="1"/>
  <c r="Z194" i="17" s="1"/>
  <c r="K127" i="17"/>
  <c r="L127" i="17" s="1"/>
  <c r="Y195" i="17" l="1"/>
  <c r="Z195" i="17" s="1"/>
  <c r="K128" i="17" l="1"/>
  <c r="L128" i="17" s="1"/>
  <c r="Y196" i="17" l="1"/>
  <c r="Z196" i="17" s="1"/>
  <c r="Y197" i="17" l="1"/>
  <c r="Z197" i="17" s="1"/>
  <c r="K129" i="17"/>
  <c r="L129" i="17" s="1"/>
  <c r="Y198" i="17" l="1"/>
  <c r="Z198" i="17" s="1"/>
  <c r="Y199" i="17" l="1"/>
  <c r="Z199" i="17" s="1"/>
  <c r="K130" i="17"/>
  <c r="L130" i="17" s="1"/>
  <c r="Y200" i="17" l="1"/>
  <c r="Z200" i="17" s="1"/>
  <c r="Y201" i="17" l="1"/>
  <c r="Z201" i="17" s="1"/>
  <c r="K131" i="17"/>
  <c r="L131" i="17" s="1"/>
  <c r="Y202" i="17" l="1"/>
  <c r="Z202" i="17" s="1"/>
  <c r="Y203" i="17" l="1"/>
  <c r="Z203" i="17" s="1"/>
  <c r="K132" i="17"/>
  <c r="L132" i="17" s="1"/>
  <c r="K133" i="17" l="1"/>
  <c r="L133" i="17" s="1"/>
  <c r="Y204" i="17"/>
  <c r="Z204" i="17" s="1"/>
  <c r="Y205" i="17" l="1"/>
  <c r="Z205" i="17" s="1"/>
  <c r="Y206" i="17" l="1"/>
  <c r="Z206" i="17" s="1"/>
  <c r="K134" i="17"/>
  <c r="L134" i="17" s="1"/>
  <c r="Y207" i="17" l="1"/>
  <c r="Z207" i="17" s="1"/>
  <c r="Y208" i="17" l="1"/>
  <c r="Z208" i="17" s="1"/>
  <c r="K135" i="17"/>
  <c r="L135" i="17" s="1"/>
  <c r="Y209" i="17" l="1"/>
  <c r="Z209" i="17" s="1"/>
  <c r="K136" i="17"/>
  <c r="L136" i="17" s="1"/>
  <c r="Y210" i="17" l="1"/>
  <c r="Z210" i="17" s="1"/>
  <c r="K137" i="17" l="1"/>
  <c r="L137" i="17" s="1"/>
  <c r="Y212" i="17" l="1"/>
  <c r="Z212" i="17" s="1"/>
  <c r="Y213" i="17" l="1"/>
  <c r="Z213" i="17" s="1"/>
  <c r="K138" i="17"/>
  <c r="L138" i="17" s="1"/>
  <c r="Y214" i="17" l="1"/>
  <c r="Z214" i="17" s="1"/>
  <c r="Y215" i="17" l="1"/>
  <c r="Z215" i="17" s="1"/>
  <c r="K139" i="17"/>
  <c r="L139" i="17" s="1"/>
  <c r="Y216" i="17" l="1"/>
  <c r="Z216" i="17" s="1"/>
  <c r="K140" i="17"/>
  <c r="L140" i="17" s="1"/>
  <c r="Y217" i="17" l="1"/>
  <c r="Z217" i="17" s="1"/>
  <c r="Y218" i="17" l="1"/>
  <c r="Z218" i="17" s="1"/>
  <c r="K141" i="17"/>
  <c r="L141" i="17" s="1"/>
  <c r="Y219" i="17" l="1"/>
  <c r="Z219" i="17" s="1"/>
  <c r="Y220" i="17" l="1"/>
  <c r="Z220" i="17" s="1"/>
  <c r="K142" i="17"/>
  <c r="L142" i="17" s="1"/>
  <c r="Y221" i="17" l="1"/>
  <c r="Z221" i="17" s="1"/>
  <c r="Y222" i="17" l="1"/>
  <c r="Z222" i="17" s="1"/>
  <c r="K143" i="17"/>
  <c r="L143" i="17" s="1"/>
  <c r="Y223" i="17" l="1"/>
  <c r="Z223" i="17" s="1"/>
  <c r="Y224" i="17" l="1"/>
  <c r="Z224" i="17" s="1"/>
  <c r="K144" i="17"/>
  <c r="L144" i="17" s="1"/>
  <c r="Y226" i="17" l="1"/>
  <c r="Z226" i="17" s="1"/>
  <c r="K145" i="17"/>
  <c r="L145" i="17" s="1"/>
  <c r="Y227" i="17" l="1"/>
  <c r="Z227" i="17" s="1"/>
  <c r="K146" i="17" l="1"/>
  <c r="L146" i="17" s="1"/>
  <c r="Y229" i="17" l="1"/>
  <c r="Z229" i="17" s="1"/>
  <c r="K147" i="17" l="1"/>
  <c r="L147" i="17" s="1"/>
  <c r="Y230" i="17"/>
  <c r="Z230" i="17" s="1"/>
  <c r="Y231" i="17" l="1"/>
  <c r="Z231" i="17" s="1"/>
  <c r="Y232" i="17" l="1"/>
  <c r="Z232" i="17" s="1"/>
  <c r="K148" i="17"/>
  <c r="L148" i="17" s="1"/>
  <c r="Y233" i="17" l="1"/>
  <c r="Z233" i="17" s="1"/>
  <c r="Y234" i="17" l="1"/>
  <c r="Z234" i="17" s="1"/>
  <c r="K149" i="17"/>
  <c r="L149" i="17" s="1"/>
  <c r="Y235" i="17" l="1"/>
  <c r="Z235" i="17" s="1"/>
  <c r="Y236" i="17" l="1"/>
  <c r="Z236" i="17" s="1"/>
  <c r="K150" i="17"/>
  <c r="L150" i="17" s="1"/>
  <c r="Y237" i="17" l="1"/>
  <c r="Z237" i="17" s="1"/>
  <c r="Y238" i="17" l="1"/>
  <c r="Z238" i="17" s="1"/>
  <c r="K151" i="17"/>
  <c r="L151" i="17" s="1"/>
  <c r="Y239" i="17" l="1"/>
  <c r="Z239" i="17" s="1"/>
  <c r="Y240" i="17" l="1"/>
  <c r="Z240" i="17" s="1"/>
  <c r="K152" i="17"/>
  <c r="L152" i="17" s="1"/>
  <c r="Y241" i="17" l="1"/>
  <c r="Z241" i="17" s="1"/>
  <c r="Y242" i="17" l="1"/>
  <c r="Z242" i="17" s="1"/>
  <c r="K153" i="17"/>
  <c r="L153" i="17" s="1"/>
  <c r="Y243" i="17" l="1"/>
  <c r="Z243" i="17" s="1"/>
  <c r="Y244" i="17" l="1"/>
  <c r="Z244" i="17" s="1"/>
  <c r="K154" i="17"/>
  <c r="L154" i="17" s="1"/>
  <c r="K155" i="17" l="1"/>
  <c r="L155" i="17" s="1"/>
  <c r="Y246" i="17" l="1"/>
  <c r="Z246" i="17" s="1"/>
  <c r="Y247" i="17" l="1"/>
  <c r="Z247" i="17" s="1"/>
  <c r="K156" i="17"/>
  <c r="L156" i="17" s="1"/>
  <c r="Y248" i="17" l="1"/>
  <c r="Z248" i="17" s="1"/>
  <c r="K157" i="17" l="1"/>
  <c r="L157" i="17" s="1"/>
  <c r="Y250" i="17" l="1"/>
  <c r="Z250" i="17" s="1"/>
  <c r="Y251" i="17" l="1"/>
  <c r="Z251" i="17" s="1"/>
  <c r="Y252" i="17"/>
  <c r="Z252" i="17" s="1"/>
  <c r="K158" i="17"/>
  <c r="L158" i="17" s="1"/>
  <c r="Y253" i="17" l="1"/>
  <c r="Z253" i="17" s="1"/>
  <c r="Y254" i="17" l="1"/>
  <c r="Z254" i="17" s="1"/>
  <c r="K159" i="17"/>
  <c r="L159" i="17" s="1"/>
  <c r="Y255" i="17" l="1"/>
  <c r="Z255" i="17" s="1"/>
  <c r="Y256" i="17" l="1"/>
  <c r="Z256" i="17" s="1"/>
  <c r="K160" i="17"/>
  <c r="L160" i="17" s="1"/>
  <c r="Y257" i="17" l="1"/>
  <c r="Z257" i="17" s="1"/>
  <c r="Y258" i="17" l="1"/>
  <c r="Z258" i="17" s="1"/>
  <c r="K161" i="17"/>
  <c r="L161" i="17" s="1"/>
  <c r="Y259" i="17" l="1"/>
  <c r="Z259" i="17" s="1"/>
  <c r="K162" i="17" l="1"/>
  <c r="L162" i="17" s="1"/>
  <c r="Y260" i="17" l="1"/>
  <c r="Z260" i="17" s="1"/>
  <c r="K163" i="17" l="1"/>
  <c r="L163" i="17" s="1"/>
  <c r="Y262" i="17" l="1"/>
  <c r="Z262" i="17" s="1"/>
  <c r="Y263" i="17" l="1"/>
  <c r="Z263" i="17" s="1"/>
  <c r="K164" i="17"/>
  <c r="L164" i="17" s="1"/>
  <c r="Y264" i="17" l="1"/>
  <c r="Z264" i="17" s="1"/>
  <c r="Y265" i="17" l="1"/>
  <c r="Z265" i="17" s="1"/>
  <c r="K165" i="17"/>
  <c r="L165" i="17" s="1"/>
  <c r="Y266" i="17" l="1"/>
  <c r="Z266" i="17" s="1"/>
  <c r="Y267" i="17" l="1"/>
  <c r="Z267" i="17" s="1"/>
  <c r="K166" i="17"/>
  <c r="L166" i="17" s="1"/>
  <c r="Y269" i="17" l="1"/>
  <c r="Z269" i="17" s="1"/>
  <c r="K167" i="17"/>
  <c r="L167" i="17" s="1"/>
  <c r="Y270" i="17" l="1"/>
  <c r="Z270" i="17" s="1"/>
  <c r="Y271" i="17"/>
  <c r="Z271" i="17" s="1"/>
  <c r="Y272" i="17" l="1"/>
  <c r="Z272" i="17" s="1"/>
  <c r="K168" i="17"/>
  <c r="L168" i="17" s="1"/>
  <c r="Y273" i="17" l="1"/>
  <c r="Z273" i="17" s="1"/>
  <c r="K169" i="17" l="1"/>
  <c r="L169" i="17" s="1"/>
  <c r="Y274" i="17" l="1"/>
  <c r="Z274" i="17" s="1"/>
  <c r="Y275" i="17" l="1"/>
  <c r="Z275" i="17" s="1"/>
  <c r="K170" i="17"/>
  <c r="L170" i="17" s="1"/>
  <c r="K171" i="17" l="1"/>
  <c r="L171" i="17" s="1"/>
  <c r="K172" i="17" l="1"/>
  <c r="L172" i="17" s="1"/>
  <c r="K173" i="17" l="1"/>
  <c r="L173" i="17" s="1"/>
  <c r="K174" i="17" l="1"/>
  <c r="L174" i="17" s="1"/>
  <c r="K175" i="17" l="1"/>
  <c r="L175" i="17" s="1"/>
  <c r="K176" i="17" l="1"/>
  <c r="L176" i="17" s="1"/>
  <c r="K177" i="17" l="1"/>
  <c r="L177" i="17" s="1"/>
  <c r="K178" i="17" l="1"/>
  <c r="L178" i="17" s="1"/>
  <c r="K179" i="17" l="1"/>
  <c r="L179" i="17" s="1"/>
  <c r="K180" i="17" l="1"/>
  <c r="L180" i="17" s="1"/>
  <c r="K181" i="17" l="1"/>
  <c r="L181" i="17" s="1"/>
  <c r="K182" i="17" l="1"/>
  <c r="L182" i="17" s="1"/>
  <c r="K183" i="17" l="1"/>
  <c r="L183" i="17" s="1"/>
  <c r="K184" i="17" l="1"/>
  <c r="L184" i="17" s="1"/>
  <c r="K185" i="17" l="1"/>
  <c r="L185" i="17" s="1"/>
  <c r="K186" i="17" l="1"/>
  <c r="L186" i="17" s="1"/>
  <c r="K187" i="17" l="1"/>
  <c r="L187" i="17" s="1"/>
  <c r="K188" i="17" l="1"/>
  <c r="L188" i="17" s="1"/>
  <c r="K189" i="17" l="1"/>
  <c r="L189" i="17" s="1"/>
  <c r="K190" i="17" l="1"/>
  <c r="L190" i="17" s="1"/>
  <c r="K191" i="17" l="1"/>
  <c r="L191" i="17" s="1"/>
  <c r="K192" i="17" l="1"/>
  <c r="L192" i="17" s="1"/>
  <c r="K193" i="17" l="1"/>
  <c r="L193" i="17" s="1"/>
  <c r="K194" i="17" l="1"/>
  <c r="L194" i="17" s="1"/>
  <c r="K195" i="17" l="1"/>
  <c r="L195" i="17" s="1"/>
  <c r="K196" i="17" l="1"/>
  <c r="L196" i="17" s="1"/>
  <c r="K197" i="17" l="1"/>
  <c r="L197" i="17" s="1"/>
  <c r="K198" i="17" l="1"/>
  <c r="L198" i="17" s="1"/>
  <c r="K199" i="17" l="1"/>
  <c r="L199" i="17" s="1"/>
  <c r="K200" i="17" l="1"/>
  <c r="L200" i="17" s="1"/>
  <c r="K201" i="17" l="1"/>
  <c r="L201" i="17" s="1"/>
  <c r="K202" i="17" l="1"/>
  <c r="L202" i="17" s="1"/>
  <c r="K203" i="17" l="1"/>
  <c r="L203" i="17" s="1"/>
  <c r="K204" i="17" l="1"/>
  <c r="L204" i="17" s="1"/>
  <c r="K205" i="17" l="1"/>
  <c r="L205" i="17" s="1"/>
  <c r="K206" i="17" l="1"/>
  <c r="L206" i="17" s="1"/>
  <c r="K207" i="17" l="1"/>
  <c r="L207" i="17" s="1"/>
  <c r="K208" i="17" l="1"/>
  <c r="L208" i="17" s="1"/>
  <c r="K209" i="17" l="1"/>
  <c r="L209" i="17" s="1"/>
  <c r="K210" i="17" l="1"/>
  <c r="L210" i="17" s="1"/>
  <c r="K211" i="17" l="1"/>
  <c r="L211" i="17" s="1"/>
  <c r="K212" i="17" l="1"/>
  <c r="L212" i="17" s="1"/>
  <c r="K213" i="17" l="1"/>
  <c r="L213" i="17" s="1"/>
  <c r="K214" i="17" l="1"/>
  <c r="L214" i="17" s="1"/>
  <c r="K215" i="17" l="1"/>
  <c r="L215" i="17" s="1"/>
  <c r="K216" i="17" l="1"/>
  <c r="L216" i="17" s="1"/>
  <c r="K217" i="17" l="1"/>
  <c r="L217" i="17" s="1"/>
  <c r="K218" i="17" l="1"/>
  <c r="L218" i="17" s="1"/>
  <c r="K219" i="17" l="1"/>
  <c r="L219" i="17" s="1"/>
  <c r="K220" i="17" l="1"/>
  <c r="L220" i="17" s="1"/>
  <c r="K221" i="17" l="1"/>
  <c r="L221" i="17" s="1"/>
  <c r="K222" i="17" l="1"/>
  <c r="L222" i="17" s="1"/>
  <c r="K223" i="17" l="1"/>
  <c r="L223" i="17" s="1"/>
  <c r="K224" i="17" l="1"/>
  <c r="L224" i="17" s="1"/>
  <c r="K225" i="17" l="1"/>
  <c r="L225" i="17" s="1"/>
  <c r="K226" i="17" l="1"/>
  <c r="L226" i="17" s="1"/>
  <c r="K227" i="17" l="1"/>
  <c r="L227" i="17" s="1"/>
  <c r="K228" i="17" l="1"/>
  <c r="L228" i="17" s="1"/>
  <c r="K229" i="17" l="1"/>
  <c r="L229" i="17" s="1"/>
  <c r="K230" i="17" l="1"/>
  <c r="L230" i="17" s="1"/>
  <c r="K231" i="17" l="1"/>
  <c r="L231" i="17" s="1"/>
  <c r="K232" i="17" l="1"/>
  <c r="L232" i="17" s="1"/>
  <c r="K233" i="17" l="1"/>
  <c r="L233" i="17" s="1"/>
  <c r="K234" i="17" l="1"/>
  <c r="L234" i="17" s="1"/>
  <c r="K235" i="17" l="1"/>
  <c r="L235" i="17" s="1"/>
  <c r="K236" i="17" l="1"/>
  <c r="L236" i="17" s="1"/>
  <c r="K237" i="17" l="1"/>
  <c r="L237" i="17" s="1"/>
  <c r="K238" i="17" l="1"/>
  <c r="L238" i="17" s="1"/>
  <c r="K239" i="17" l="1"/>
  <c r="L239" i="17" s="1"/>
  <c r="K240" i="17" l="1"/>
  <c r="L240" i="17" s="1"/>
  <c r="K241" i="17" l="1"/>
  <c r="L241" i="17" s="1"/>
  <c r="K242" i="17" l="1"/>
  <c r="L242" i="17" s="1"/>
  <c r="K243" i="17" l="1"/>
  <c r="L243" i="17" s="1"/>
  <c r="K244" i="17" l="1"/>
  <c r="L244" i="17" s="1"/>
  <c r="K245" i="17" l="1"/>
  <c r="L245" i="17" s="1"/>
  <c r="K246" i="17" l="1"/>
  <c r="L246" i="17" s="1"/>
  <c r="K247" i="17" l="1"/>
  <c r="L247" i="17" s="1"/>
  <c r="K248" i="17" l="1"/>
  <c r="L248" i="17" s="1"/>
  <c r="K249" i="17" l="1"/>
  <c r="L249" i="17" s="1"/>
  <c r="K250" i="17" l="1"/>
  <c r="L250" i="17" s="1"/>
  <c r="K251" i="17" l="1"/>
  <c r="L251" i="17" s="1"/>
  <c r="K252" i="17" l="1"/>
  <c r="L252" i="17" s="1"/>
  <c r="K253" i="17" l="1"/>
  <c r="L253" i="17" s="1"/>
  <c r="K254" i="17" l="1"/>
  <c r="L254" i="17" s="1"/>
  <c r="K255" i="17" l="1"/>
  <c r="L255" i="17" s="1"/>
  <c r="K256" i="17" l="1"/>
  <c r="L256" i="17" s="1"/>
  <c r="K257" i="17" l="1"/>
  <c r="L257" i="17" s="1"/>
  <c r="K258" i="17" l="1"/>
  <c r="L258" i="17" s="1"/>
  <c r="K259" i="17" l="1"/>
  <c r="L259" i="17" s="1"/>
  <c r="K260" i="17" l="1"/>
  <c r="L260" i="17" s="1"/>
  <c r="K261" i="17" l="1"/>
  <c r="L261" i="17" s="1"/>
  <c r="K262" i="17" l="1"/>
  <c r="L262" i="17" s="1"/>
  <c r="K263" i="17" l="1"/>
  <c r="L263" i="17" s="1"/>
  <c r="K264" i="17" l="1"/>
  <c r="L264" i="17" s="1"/>
  <c r="K265" i="17" l="1"/>
  <c r="L265" i="17" s="1"/>
  <c r="K266" i="17" l="1"/>
  <c r="L266" i="17" s="1"/>
  <c r="K267" i="17" l="1"/>
  <c r="L267" i="17" l="1"/>
  <c r="L25" i="17" s="1"/>
  <c r="K4" i="17" s="1"/>
  <c r="K25" i="17"/>
  <c r="AD30" i="17" l="1"/>
  <c r="AE30" i="17" s="1"/>
  <c r="AG30" i="17" s="1"/>
  <c r="AB31" i="17" s="1"/>
  <c r="AM31" i="17" s="1"/>
  <c r="Y42" i="17"/>
  <c r="Z42" i="17" s="1"/>
  <c r="Y135" i="17"/>
  <c r="Z135" i="17" s="1"/>
  <c r="Y140" i="17"/>
  <c r="Z140" i="17" s="1"/>
  <c r="Y146" i="17"/>
  <c r="Z146" i="17" s="1"/>
  <c r="Y150" i="17"/>
  <c r="Z150" i="17" s="1"/>
  <c r="Y161" i="17"/>
  <c r="Z161" i="17" s="1"/>
  <c r="Y162" i="17"/>
  <c r="Z162" i="17" s="1"/>
  <c r="Y168" i="17"/>
  <c r="Z168" i="17" s="1"/>
  <c r="Y169" i="17"/>
  <c r="Z169" i="17" s="1"/>
  <c r="Y176" i="17"/>
  <c r="Z176" i="17" s="1"/>
  <c r="Y177" i="17"/>
  <c r="Z177" i="17" s="1"/>
  <c r="Y186" i="17"/>
  <c r="Z186" i="17" s="1"/>
  <c r="Y187" i="17"/>
  <c r="Z187" i="17" s="1"/>
  <c r="Y211" i="17"/>
  <c r="Z211" i="17" s="1"/>
  <c r="Y225" i="17"/>
  <c r="Z225" i="17" s="1"/>
  <c r="Y228" i="17"/>
  <c r="Z228" i="17" s="1"/>
  <c r="Y245" i="17"/>
  <c r="Z245" i="17" s="1"/>
  <c r="Y249" i="17"/>
  <c r="Z249" i="17" s="1"/>
  <c r="Y261" i="17"/>
  <c r="Z261" i="17" s="1"/>
  <c r="Y268" i="17"/>
  <c r="Z268" i="17" s="1"/>
  <c r="AO30" i="17" l="1"/>
  <c r="Y25" i="17"/>
  <c r="AQ31" i="17"/>
  <c r="AR31" i="17" s="1"/>
  <c r="Z25" i="17"/>
  <c r="AI31" i="17"/>
  <c r="AH31" i="17" s="1"/>
  <c r="AN31" i="17"/>
  <c r="AG31" i="17" l="1"/>
  <c r="AB32" i="17" s="1"/>
  <c r="AO31" i="17"/>
  <c r="K7" i="17"/>
  <c r="K5" i="17"/>
  <c r="AI32" i="17" l="1"/>
  <c r="AH32" i="17" s="1"/>
  <c r="AG32" i="17" s="1"/>
  <c r="AB33" i="17" s="1"/>
  <c r="AN32" i="17"/>
  <c r="AM32" i="17"/>
  <c r="AQ32" i="17"/>
  <c r="AR32" i="17" s="1"/>
  <c r="AF33" i="17" l="1"/>
  <c r="AD33" i="17"/>
  <c r="AM33" i="17"/>
  <c r="AN33" i="17"/>
  <c r="AQ33" i="17"/>
  <c r="AR33" i="17" s="1"/>
  <c r="AI33" i="17"/>
  <c r="AO32" i="17"/>
  <c r="AO33" i="17" l="1"/>
  <c r="AE33" i="17"/>
  <c r="AG33" i="17" l="1"/>
  <c r="AB34" i="17" s="1"/>
  <c r="AI34" i="17" l="1"/>
  <c r="AH34" i="17" s="1"/>
  <c r="AG34" i="17" s="1"/>
  <c r="AB35" i="17" s="1"/>
  <c r="AM34" i="17"/>
  <c r="AN34" i="17"/>
  <c r="AQ34" i="17"/>
  <c r="AR34" i="17" s="1"/>
  <c r="AF35" i="17" l="1"/>
  <c r="AM35" i="17"/>
  <c r="AN35" i="17"/>
  <c r="AD35" i="17"/>
  <c r="AQ35" i="17"/>
  <c r="AR35" i="17" s="1"/>
  <c r="AI35" i="17"/>
  <c r="AO34" i="17"/>
  <c r="AO35" i="17" l="1"/>
  <c r="AE35" i="17"/>
  <c r="AG35" i="17" l="1"/>
  <c r="AB36" i="17" s="1"/>
  <c r="AF36" i="17" l="1"/>
  <c r="AD36" i="17"/>
  <c r="AE36" i="17" s="1"/>
  <c r="AM36" i="17"/>
  <c r="AN36" i="17"/>
  <c r="AQ36" i="17"/>
  <c r="AR36" i="17" s="1"/>
  <c r="AI36" i="17"/>
  <c r="AG36" i="17" l="1"/>
  <c r="AB37" i="17" s="1"/>
  <c r="AO36" i="17"/>
  <c r="AI37" i="17" l="1"/>
  <c r="AH37" i="17" s="1"/>
  <c r="AG37" i="17" s="1"/>
  <c r="AB38" i="17" s="1"/>
  <c r="AN37" i="17"/>
  <c r="AM37" i="17"/>
  <c r="AQ37" i="17"/>
  <c r="AR37" i="17" s="1"/>
  <c r="AO37" i="17" l="1"/>
  <c r="AF38" i="17"/>
  <c r="AM38" i="17"/>
  <c r="AN38" i="17"/>
  <c r="AD38" i="17"/>
  <c r="AE38" i="17" s="1"/>
  <c r="AQ38" i="17"/>
  <c r="AR38" i="17" s="1"/>
  <c r="AI38" i="17"/>
  <c r="AG38" i="17" l="1"/>
  <c r="AB39" i="17" s="1"/>
  <c r="AO38" i="17"/>
  <c r="AF39" i="17" l="1"/>
  <c r="AD39" i="17"/>
  <c r="AN39" i="17"/>
  <c r="AM39" i="17"/>
  <c r="AQ39" i="17"/>
  <c r="AR39" i="17" s="1"/>
  <c r="AI39" i="17"/>
  <c r="AO39" i="17" l="1"/>
  <c r="AE39" i="17"/>
  <c r="AG39" i="17" l="1"/>
  <c r="AB40" i="17" s="1"/>
  <c r="AI40" i="17" l="1"/>
  <c r="AH40" i="17" s="1"/>
  <c r="AG40" i="17" s="1"/>
  <c r="AB41" i="17" s="1"/>
  <c r="AM40" i="17"/>
  <c r="AQ40" i="17"/>
  <c r="AN40" i="17"/>
  <c r="AR40" i="17"/>
  <c r="AF41" i="17" l="1"/>
  <c r="AM41" i="17"/>
  <c r="AD41" i="17"/>
  <c r="AN41" i="17"/>
  <c r="AQ41" i="17"/>
  <c r="AR41" i="17"/>
  <c r="AI41" i="17"/>
  <c r="AO40" i="17"/>
  <c r="AO41" i="17" l="1"/>
  <c r="AE41" i="17"/>
  <c r="AG41" i="17" s="1"/>
  <c r="AB42" i="17" s="1"/>
  <c r="AF42" i="17" l="1"/>
  <c r="AD42" i="17"/>
  <c r="AE42" i="17" s="1"/>
  <c r="AG42" i="17" s="1"/>
  <c r="AB43" i="17" s="1"/>
  <c r="AM42" i="17"/>
  <c r="AN42" i="17"/>
  <c r="AQ42" i="17"/>
  <c r="AR42" i="17" s="1"/>
  <c r="AI42" i="17"/>
  <c r="AI43" i="17" l="1"/>
  <c r="AH43" i="17" s="1"/>
  <c r="AH25" i="17" s="1"/>
  <c r="AN43" i="17"/>
  <c r="AM43" i="17"/>
  <c r="AQ43" i="17"/>
  <c r="AR43" i="17" s="1"/>
  <c r="AO42" i="17"/>
  <c r="AO43" i="17" l="1"/>
  <c r="AG43" i="17"/>
  <c r="AB44" i="17" s="1"/>
  <c r="AF44" i="17" l="1"/>
  <c r="AD44" i="17"/>
  <c r="AM44" i="17"/>
  <c r="AN44" i="17"/>
  <c r="AQ44" i="17"/>
  <c r="AR44" i="17"/>
  <c r="AI44" i="17"/>
  <c r="AO44" i="17" l="1"/>
  <c r="AE44" i="17"/>
  <c r="AG44" i="17" s="1"/>
  <c r="AB45" i="17" s="1"/>
  <c r="AF45" i="17" l="1"/>
  <c r="AN45" i="17"/>
  <c r="AD45" i="17"/>
  <c r="AO45" i="17" s="1"/>
  <c r="AM45" i="17"/>
  <c r="AQ45" i="17"/>
  <c r="AR45" i="17" s="1"/>
  <c r="AI45" i="17"/>
  <c r="AE45" i="17" l="1"/>
  <c r="AG45" i="17" s="1"/>
  <c r="AB46" i="17" s="1"/>
  <c r="AF46" i="17" l="1"/>
  <c r="AD46" i="17"/>
  <c r="AM46" i="17"/>
  <c r="AN46" i="17"/>
  <c r="AQ46" i="17"/>
  <c r="AR46" i="17" s="1"/>
  <c r="AI46" i="17"/>
  <c r="AO46" i="17" l="1"/>
  <c r="AE46" i="17"/>
  <c r="AG46" i="17" s="1"/>
  <c r="AB47" i="17" s="1"/>
  <c r="AF47" i="17" l="1"/>
  <c r="AN47" i="17"/>
  <c r="AM47" i="17"/>
  <c r="AD47" i="17"/>
  <c r="AO47" i="17" s="1"/>
  <c r="AQ47" i="17"/>
  <c r="AR47" i="17" s="1"/>
  <c r="AI47" i="17"/>
  <c r="AE47" i="17" l="1"/>
  <c r="AG47" i="17" s="1"/>
  <c r="AB48" i="17" s="1"/>
  <c r="AF48" i="17" l="1"/>
  <c r="AD48" i="17"/>
  <c r="AM48" i="17"/>
  <c r="AN48" i="17"/>
  <c r="AQ48" i="17"/>
  <c r="AR48" i="17" s="1"/>
  <c r="AI48" i="17"/>
  <c r="AO48" i="17" l="1"/>
  <c r="AE48" i="17"/>
  <c r="AG48" i="17" s="1"/>
  <c r="AB49" i="17" s="1"/>
  <c r="AF49" i="17" l="1"/>
  <c r="AN49" i="17"/>
  <c r="AM49" i="17"/>
  <c r="AD49" i="17"/>
  <c r="AO49" i="17" s="1"/>
  <c r="AQ49" i="17"/>
  <c r="AR49" i="17" s="1"/>
  <c r="AI49" i="17"/>
  <c r="AE49" i="17" l="1"/>
  <c r="AG49" i="17" s="1"/>
  <c r="AB50" i="17" s="1"/>
  <c r="AF50" i="17" l="1"/>
  <c r="AD50" i="17"/>
  <c r="AN50" i="17"/>
  <c r="AM50" i="17"/>
  <c r="AQ50" i="17"/>
  <c r="AR50" i="17" s="1"/>
  <c r="AI50" i="17"/>
  <c r="AO50" i="17" l="1"/>
  <c r="AE50" i="17"/>
  <c r="AG50" i="17" s="1"/>
  <c r="AB51" i="17" s="1"/>
  <c r="AF51" i="17" l="1"/>
  <c r="AN51" i="17"/>
  <c r="AD51" i="17"/>
  <c r="AO51" i="17" s="1"/>
  <c r="AM51" i="17"/>
  <c r="AQ51" i="17"/>
  <c r="AR51" i="17" s="1"/>
  <c r="AI51" i="17"/>
  <c r="AE51" i="17" l="1"/>
  <c r="AG51" i="17" s="1"/>
  <c r="AB52" i="17" s="1"/>
  <c r="AF52" i="17" l="1"/>
  <c r="AD52" i="17"/>
  <c r="AM52" i="17"/>
  <c r="AN52" i="17"/>
  <c r="AQ52" i="17"/>
  <c r="AR52" i="17" s="1"/>
  <c r="AI52" i="17"/>
  <c r="AO52" i="17" l="1"/>
  <c r="AE52" i="17"/>
  <c r="AG52" i="17" s="1"/>
  <c r="AB53" i="17" s="1"/>
  <c r="AF53" i="17" l="1"/>
  <c r="AN53" i="17"/>
  <c r="AM53" i="17"/>
  <c r="AD53" i="17"/>
  <c r="AO53" i="17" s="1"/>
  <c r="AQ53" i="17"/>
  <c r="AR53" i="17" s="1"/>
  <c r="AI53" i="17"/>
  <c r="AE53" i="17" l="1"/>
  <c r="AG53" i="17" s="1"/>
  <c r="AB54" i="17" s="1"/>
  <c r="AF54" i="17" l="1"/>
  <c r="AD54" i="17"/>
  <c r="AM54" i="17"/>
  <c r="AN54" i="17"/>
  <c r="AQ54" i="17"/>
  <c r="AR54" i="17"/>
  <c r="AI54" i="17"/>
  <c r="AO54" i="17" l="1"/>
  <c r="AE54" i="17"/>
  <c r="AG54" i="17" s="1"/>
  <c r="AB55" i="17" s="1"/>
  <c r="AF55" i="17" l="1"/>
  <c r="AN55" i="17"/>
  <c r="AD55" i="17"/>
  <c r="AO55" i="17" s="1"/>
  <c r="AM55" i="17"/>
  <c r="AQ55" i="17"/>
  <c r="AR55" i="17" s="1"/>
  <c r="AI55" i="17"/>
  <c r="AE55" i="17" l="1"/>
  <c r="AG55" i="17" s="1"/>
  <c r="AB56" i="17" s="1"/>
  <c r="AF56" i="17" l="1"/>
  <c r="AD56" i="17"/>
  <c r="AE56" i="17" s="1"/>
  <c r="AG56" i="17" s="1"/>
  <c r="AB57" i="17" s="1"/>
  <c r="AN56" i="17"/>
  <c r="AM56" i="17"/>
  <c r="AQ56" i="17"/>
  <c r="AR56" i="17" s="1"/>
  <c r="AI56" i="17"/>
  <c r="AO56" i="17" l="1"/>
  <c r="AF57" i="17"/>
  <c r="AN57" i="17"/>
  <c r="AM57" i="17"/>
  <c r="AD57" i="17"/>
  <c r="AO57" i="17" s="1"/>
  <c r="AQ57" i="17"/>
  <c r="AR57" i="17" s="1"/>
  <c r="AI57" i="17"/>
  <c r="AE57" i="17" l="1"/>
  <c r="AG57" i="17" s="1"/>
  <c r="AB58" i="17" s="1"/>
  <c r="AF58" i="17" l="1"/>
  <c r="AD58" i="17"/>
  <c r="AE58" i="17" s="1"/>
  <c r="AG58" i="17" s="1"/>
  <c r="AB59" i="17" s="1"/>
  <c r="AM58" i="17"/>
  <c r="AN58" i="17"/>
  <c r="AQ58" i="17"/>
  <c r="AR58" i="17"/>
  <c r="AI58" i="17"/>
  <c r="AF59" i="17" l="1"/>
  <c r="AN59" i="17"/>
  <c r="AD59" i="17"/>
  <c r="AO59" i="17" s="1"/>
  <c r="AM59" i="17"/>
  <c r="AQ59" i="17"/>
  <c r="AR59" i="17" s="1"/>
  <c r="AI59" i="17"/>
  <c r="AO58" i="17"/>
  <c r="AE59" i="17" l="1"/>
  <c r="AG59" i="17" s="1"/>
  <c r="AB60" i="17" s="1"/>
  <c r="AF60" i="17" l="1"/>
  <c r="AD60" i="17"/>
  <c r="AE60" i="17" s="1"/>
  <c r="AG60" i="17" s="1"/>
  <c r="AB61" i="17" s="1"/>
  <c r="AM60" i="17"/>
  <c r="AN60" i="17"/>
  <c r="AQ60" i="17"/>
  <c r="AR60" i="17" s="1"/>
  <c r="AI60" i="17"/>
  <c r="AF61" i="17" l="1"/>
  <c r="AN61" i="17"/>
  <c r="AD61" i="17"/>
  <c r="AO61" i="17" s="1"/>
  <c r="AM61" i="17"/>
  <c r="AQ61" i="17"/>
  <c r="AR61" i="17" s="1"/>
  <c r="AI61" i="17"/>
  <c r="AO60" i="17"/>
  <c r="AE61" i="17" l="1"/>
  <c r="AG61" i="17" s="1"/>
  <c r="AB62" i="17" s="1"/>
  <c r="AF62" i="17" l="1"/>
  <c r="AD62" i="17"/>
  <c r="AN62" i="17"/>
  <c r="AM62" i="17"/>
  <c r="AQ62" i="17"/>
  <c r="AR62" i="17" s="1"/>
  <c r="AI62" i="17"/>
  <c r="AO62" i="17" l="1"/>
  <c r="AE62" i="17"/>
  <c r="AG62" i="17" s="1"/>
  <c r="AB63" i="17" s="1"/>
  <c r="AF63" i="17" l="1"/>
  <c r="AN63" i="17"/>
  <c r="AD63" i="17"/>
  <c r="AO63" i="17" s="1"/>
  <c r="AM63" i="17"/>
  <c r="AQ63" i="17"/>
  <c r="AR63" i="17"/>
  <c r="AI63" i="17"/>
  <c r="AE63" i="17" l="1"/>
  <c r="AG63" i="17" s="1"/>
  <c r="AB64" i="17" s="1"/>
  <c r="AF64" i="17" l="1"/>
  <c r="AM64" i="17"/>
  <c r="AN64" i="17"/>
  <c r="AD64" i="17"/>
  <c r="AO64" i="17" s="1"/>
  <c r="AQ64" i="17"/>
  <c r="AR64" i="17" s="1"/>
  <c r="AI64" i="17"/>
  <c r="AE64" i="17" l="1"/>
  <c r="AG64" i="17" s="1"/>
  <c r="AB65" i="17" s="1"/>
  <c r="AF65" i="17" l="1"/>
  <c r="AN65" i="17"/>
  <c r="AD65" i="17"/>
  <c r="AO65" i="17" s="1"/>
  <c r="AM65" i="17"/>
  <c r="AQ65" i="17"/>
  <c r="AR65" i="17" s="1"/>
  <c r="AI65" i="17"/>
  <c r="AE65" i="17" l="1"/>
  <c r="AG65" i="17" s="1"/>
  <c r="AB66" i="17" s="1"/>
  <c r="AF66" i="17" l="1"/>
  <c r="AN66" i="17"/>
  <c r="AD66" i="17"/>
  <c r="AO66" i="17" s="1"/>
  <c r="AM66" i="17"/>
  <c r="AQ66" i="17"/>
  <c r="AR66" i="17" s="1"/>
  <c r="AI66" i="17"/>
  <c r="AE66" i="17" l="1"/>
  <c r="AG66" i="17" s="1"/>
  <c r="AB67" i="17" s="1"/>
  <c r="AF67" i="17" l="1"/>
  <c r="AN67" i="17"/>
  <c r="AD67" i="17"/>
  <c r="AO67" i="17" s="1"/>
  <c r="AQ67" i="17"/>
  <c r="AR67" i="17" s="1"/>
  <c r="AM67" i="17"/>
  <c r="AI67" i="17"/>
  <c r="AE67" i="17" l="1"/>
  <c r="AG67" i="17" s="1"/>
  <c r="AB68" i="17" s="1"/>
  <c r="AF68" i="17" l="1"/>
  <c r="AD68" i="17"/>
  <c r="AM68" i="17"/>
  <c r="AN68" i="17"/>
  <c r="AQ68" i="17"/>
  <c r="AR68" i="17" s="1"/>
  <c r="AI68" i="17"/>
  <c r="AO68" i="17" l="1"/>
  <c r="AE68" i="17"/>
  <c r="AG68" i="17" s="1"/>
  <c r="AB69" i="17" s="1"/>
  <c r="AF69" i="17" l="1"/>
  <c r="AN69" i="17"/>
  <c r="AD69" i="17"/>
  <c r="AO69" i="17" s="1"/>
  <c r="AM69" i="17"/>
  <c r="AQ69" i="17"/>
  <c r="AR69" i="17"/>
  <c r="AI69" i="17"/>
  <c r="AE69" i="17" l="1"/>
  <c r="AG69" i="17" s="1"/>
  <c r="AB70" i="17" s="1"/>
  <c r="AF70" i="17" l="1"/>
  <c r="AM70" i="17"/>
  <c r="AN70" i="17"/>
  <c r="AD70" i="17"/>
  <c r="AO70" i="17" s="1"/>
  <c r="AQ70" i="17"/>
  <c r="AR70" i="17" s="1"/>
  <c r="AI70" i="17"/>
  <c r="AE70" i="17" l="1"/>
  <c r="AG70" i="17" s="1"/>
  <c r="AB71" i="17" s="1"/>
  <c r="AF71" i="17" l="1"/>
  <c r="AN71" i="17"/>
  <c r="AD71" i="17"/>
  <c r="AO71" i="17" s="1"/>
  <c r="AM71" i="17"/>
  <c r="AQ71" i="17"/>
  <c r="AR71" i="17" s="1"/>
  <c r="AI71" i="17"/>
  <c r="AE71" i="17" l="1"/>
  <c r="AG71" i="17" s="1"/>
  <c r="AB72" i="17" s="1"/>
  <c r="AF72" i="17" l="1"/>
  <c r="AM72" i="17"/>
  <c r="AD72" i="17"/>
  <c r="AN72" i="17"/>
  <c r="AQ72" i="17"/>
  <c r="AR72" i="17"/>
  <c r="AI72" i="17"/>
  <c r="AO72" i="17" l="1"/>
  <c r="AE72" i="17"/>
  <c r="AG72" i="17" s="1"/>
  <c r="AB73" i="17" s="1"/>
  <c r="AF73" i="17" l="1"/>
  <c r="AN73" i="17"/>
  <c r="AM73" i="17"/>
  <c r="AD73" i="17"/>
  <c r="AO73" i="17" s="1"/>
  <c r="AQ73" i="17"/>
  <c r="AR73" i="17" s="1"/>
  <c r="AI73" i="17"/>
  <c r="AE73" i="17" l="1"/>
  <c r="AG73" i="17" s="1"/>
  <c r="AB74" i="17" s="1"/>
  <c r="AF74" i="17" l="1"/>
  <c r="AD74" i="17"/>
  <c r="AE74" i="17" s="1"/>
  <c r="AG74" i="17" s="1"/>
  <c r="AB75" i="17" s="1"/>
  <c r="AM74" i="17"/>
  <c r="AN74" i="17"/>
  <c r="AQ74" i="17"/>
  <c r="AR74" i="17" s="1"/>
  <c r="AI74" i="17"/>
  <c r="AF75" i="17" l="1"/>
  <c r="AN75" i="17"/>
  <c r="AM75" i="17"/>
  <c r="AD75" i="17"/>
  <c r="AO75" i="17" s="1"/>
  <c r="AQ75" i="17"/>
  <c r="AR75" i="17" s="1"/>
  <c r="AI75" i="17"/>
  <c r="AO74" i="17"/>
  <c r="AE75" i="17" l="1"/>
  <c r="AG75" i="17" s="1"/>
  <c r="AB76" i="17" s="1"/>
  <c r="AF76" i="17" l="1"/>
  <c r="AD76" i="17"/>
  <c r="AM76" i="17"/>
  <c r="AN76" i="17"/>
  <c r="AQ76" i="17"/>
  <c r="AR76" i="17" s="1"/>
  <c r="AI76" i="17"/>
  <c r="AO76" i="17" l="1"/>
  <c r="AE76" i="17"/>
  <c r="AG76" i="17" s="1"/>
  <c r="AB77" i="17" s="1"/>
  <c r="AF77" i="17" l="1"/>
  <c r="AN77" i="17"/>
  <c r="AM77" i="17"/>
  <c r="AD77" i="17"/>
  <c r="AO77" i="17" s="1"/>
  <c r="AQ77" i="17"/>
  <c r="AR77" i="17"/>
  <c r="AI77" i="17"/>
  <c r="AE77" i="17" l="1"/>
  <c r="AG77" i="17" s="1"/>
  <c r="AB78" i="17" s="1"/>
  <c r="AF78" i="17" l="1"/>
  <c r="AD78" i="17"/>
  <c r="AE78" i="17" s="1"/>
  <c r="AG78" i="17" s="1"/>
  <c r="AB79" i="17" s="1"/>
  <c r="AM78" i="17"/>
  <c r="AN78" i="17"/>
  <c r="AQ78" i="17"/>
  <c r="AR78" i="17" s="1"/>
  <c r="AI78" i="17"/>
  <c r="AF79" i="17" l="1"/>
  <c r="AN79" i="17"/>
  <c r="AD79" i="17"/>
  <c r="AO79" i="17" s="1"/>
  <c r="AM79" i="17"/>
  <c r="AQ79" i="17"/>
  <c r="AR79" i="17" s="1"/>
  <c r="AI79" i="17"/>
  <c r="AO78" i="17"/>
  <c r="AE79" i="17" l="1"/>
  <c r="AG79" i="17" s="1"/>
  <c r="AB80" i="17" s="1"/>
  <c r="AF80" i="17" l="1"/>
  <c r="AM80" i="17"/>
  <c r="AD80" i="17"/>
  <c r="AN80" i="17"/>
  <c r="AQ80" i="17"/>
  <c r="AR80" i="17" s="1"/>
  <c r="AI80" i="17"/>
  <c r="AO80" i="17" l="1"/>
  <c r="AE80" i="17"/>
  <c r="AG80" i="17" s="1"/>
  <c r="AB81" i="17" s="1"/>
  <c r="AF81" i="17" l="1"/>
  <c r="AN81" i="17"/>
  <c r="AD81" i="17"/>
  <c r="AO81" i="17" s="1"/>
  <c r="AM81" i="17"/>
  <c r="AQ81" i="17"/>
  <c r="AR81" i="17"/>
  <c r="AI81" i="17"/>
  <c r="AE81" i="17" l="1"/>
  <c r="AG81" i="17" s="1"/>
  <c r="AB82" i="17" s="1"/>
  <c r="AF82" i="17" l="1"/>
  <c r="AN82" i="17"/>
  <c r="AD82" i="17"/>
  <c r="AO82" i="17" s="1"/>
  <c r="AM82" i="17"/>
  <c r="AQ82" i="17"/>
  <c r="AR82" i="17" s="1"/>
  <c r="AI82" i="17"/>
  <c r="AE82" i="17" l="1"/>
  <c r="AG82" i="17" s="1"/>
  <c r="AB83" i="17" s="1"/>
  <c r="AF83" i="17" l="1"/>
  <c r="AN83" i="17"/>
  <c r="AM83" i="17"/>
  <c r="AD83" i="17"/>
  <c r="AO83" i="17" s="1"/>
  <c r="AQ83" i="17"/>
  <c r="AR83" i="17" s="1"/>
  <c r="AI83" i="17"/>
  <c r="AE83" i="17" l="1"/>
  <c r="AG83" i="17" s="1"/>
  <c r="AB84" i="17" s="1"/>
  <c r="AF84" i="17" l="1"/>
  <c r="AD84" i="17"/>
  <c r="AM84" i="17"/>
  <c r="AN84" i="17"/>
  <c r="AQ84" i="17"/>
  <c r="AR84" i="17" s="1"/>
  <c r="AI84" i="17"/>
  <c r="AO84" i="17" l="1"/>
  <c r="AE84" i="17"/>
  <c r="AG84" i="17" s="1"/>
  <c r="AB85" i="17" s="1"/>
  <c r="AF85" i="17" l="1"/>
  <c r="AN85" i="17"/>
  <c r="AM85" i="17"/>
  <c r="AD85" i="17"/>
  <c r="AO85" i="17" s="1"/>
  <c r="AQ85" i="17"/>
  <c r="AR85" i="17" s="1"/>
  <c r="AI85" i="17"/>
  <c r="AE85" i="17" l="1"/>
  <c r="AG85" i="17" s="1"/>
  <c r="AB86" i="17" s="1"/>
  <c r="AF86" i="17" l="1"/>
  <c r="AD86" i="17"/>
  <c r="AM86" i="17"/>
  <c r="AN86" i="17"/>
  <c r="AQ86" i="17"/>
  <c r="AR86" i="17" s="1"/>
  <c r="AI86" i="17"/>
  <c r="AO86" i="17" l="1"/>
  <c r="AE86" i="17"/>
  <c r="AG86" i="17" s="1"/>
  <c r="AB87" i="17" s="1"/>
  <c r="AF87" i="17" l="1"/>
  <c r="AN87" i="17"/>
  <c r="AD87" i="17"/>
  <c r="AO87" i="17" s="1"/>
  <c r="AM87" i="17"/>
  <c r="AQ87" i="17"/>
  <c r="AR87" i="17" s="1"/>
  <c r="AI87" i="17"/>
  <c r="AE87" i="17" l="1"/>
  <c r="AG87" i="17" s="1"/>
  <c r="AB88" i="17" s="1"/>
  <c r="AF88" i="17" l="1"/>
  <c r="AD88" i="17"/>
  <c r="AE88" i="17" s="1"/>
  <c r="AG88" i="17" s="1"/>
  <c r="AB89" i="17" s="1"/>
  <c r="AN88" i="17"/>
  <c r="AM88" i="17"/>
  <c r="AQ88" i="17"/>
  <c r="AR88" i="17" s="1"/>
  <c r="AI88" i="17"/>
  <c r="AF89" i="17" l="1"/>
  <c r="AN89" i="17"/>
  <c r="AM89" i="17"/>
  <c r="AD89" i="17"/>
  <c r="AO89" i="17" s="1"/>
  <c r="AQ89" i="17"/>
  <c r="AR89" i="17" s="1"/>
  <c r="AI89" i="17"/>
  <c r="AO88" i="17"/>
  <c r="AE89" i="17" l="1"/>
  <c r="AG89" i="17" s="1"/>
  <c r="AB90" i="17" s="1"/>
  <c r="AF90" i="17" l="1"/>
  <c r="AN90" i="17"/>
  <c r="AD90" i="17"/>
  <c r="AO90" i="17" s="1"/>
  <c r="AM90" i="17"/>
  <c r="AQ90" i="17"/>
  <c r="AR90" i="17" s="1"/>
  <c r="AI90" i="17"/>
  <c r="AE90" i="17" l="1"/>
  <c r="AG90" i="17" s="1"/>
  <c r="AB91" i="17" s="1"/>
  <c r="AF91" i="17" l="1"/>
  <c r="AN91" i="17"/>
  <c r="AD91" i="17"/>
  <c r="AO91" i="17" s="1"/>
  <c r="AM91" i="17"/>
  <c r="AQ91" i="17"/>
  <c r="AR91" i="17" s="1"/>
  <c r="AI91" i="17"/>
  <c r="AE91" i="17" l="1"/>
  <c r="AG91" i="17" s="1"/>
  <c r="AB92" i="17" s="1"/>
  <c r="AF92" i="17" l="1"/>
  <c r="AD92" i="17"/>
  <c r="AM92" i="17"/>
  <c r="AN92" i="17"/>
  <c r="AQ92" i="17"/>
  <c r="AR92" i="17"/>
  <c r="AI92" i="17"/>
  <c r="AO92" i="17" l="1"/>
  <c r="AE92" i="17"/>
  <c r="AG92" i="17" s="1"/>
  <c r="AB93" i="17" s="1"/>
  <c r="AF93" i="17" l="1"/>
  <c r="AN93" i="17"/>
  <c r="AD93" i="17"/>
  <c r="AO93" i="17" s="1"/>
  <c r="AQ93" i="17"/>
  <c r="AR93" i="17" s="1"/>
  <c r="AM93" i="17"/>
  <c r="AI93" i="17"/>
  <c r="AE93" i="17" l="1"/>
  <c r="AG93" i="17" s="1"/>
  <c r="AB94" i="17" s="1"/>
  <c r="AF94" i="17" l="1"/>
  <c r="AD94" i="17"/>
  <c r="AM94" i="17"/>
  <c r="AN94" i="17"/>
  <c r="AQ94" i="17"/>
  <c r="AR94" i="17" s="1"/>
  <c r="AI94" i="17"/>
  <c r="AO94" i="17" l="1"/>
  <c r="AE94" i="17"/>
  <c r="AG94" i="17" s="1"/>
  <c r="AB95" i="17" s="1"/>
  <c r="AF95" i="17" l="1"/>
  <c r="AN95" i="17"/>
  <c r="AD95" i="17"/>
  <c r="AO95" i="17" s="1"/>
  <c r="AQ95" i="17"/>
  <c r="AR95" i="17" s="1"/>
  <c r="AM95" i="17"/>
  <c r="AI95" i="17"/>
  <c r="AE95" i="17" l="1"/>
  <c r="AG95" i="17" s="1"/>
  <c r="AB96" i="17" s="1"/>
  <c r="AF96" i="17" l="1"/>
  <c r="AM96" i="17"/>
  <c r="AN96" i="17"/>
  <c r="AD96" i="17"/>
  <c r="AO96" i="17" s="1"/>
  <c r="AQ96" i="17"/>
  <c r="AR96" i="17" s="1"/>
  <c r="AI96" i="17"/>
  <c r="AE96" i="17" l="1"/>
  <c r="AG96" i="17" s="1"/>
  <c r="AB97" i="17" s="1"/>
  <c r="AF97" i="17" l="1"/>
  <c r="AN97" i="17"/>
  <c r="AD97" i="17"/>
  <c r="AO97" i="17" s="1"/>
  <c r="AM97" i="17"/>
  <c r="AQ97" i="17"/>
  <c r="AR97" i="17" s="1"/>
  <c r="AI97" i="17"/>
  <c r="AE97" i="17" l="1"/>
  <c r="AG97" i="17" s="1"/>
  <c r="AB98" i="17" s="1"/>
  <c r="AF98" i="17" l="1"/>
  <c r="AN98" i="17"/>
  <c r="AM98" i="17"/>
  <c r="AD98" i="17"/>
  <c r="AO98" i="17" s="1"/>
  <c r="AQ98" i="17"/>
  <c r="AR98" i="17" s="1"/>
  <c r="AI98" i="17"/>
  <c r="AE98" i="17" l="1"/>
  <c r="AG98" i="17" s="1"/>
  <c r="AB99" i="17" s="1"/>
  <c r="AF99" i="17" l="1"/>
  <c r="AD99" i="17"/>
  <c r="AM99" i="17"/>
  <c r="AN99" i="17"/>
  <c r="AQ99" i="17"/>
  <c r="AR99" i="17" s="1"/>
  <c r="AI99" i="17"/>
  <c r="AO99" i="17" l="1"/>
  <c r="AE99" i="17"/>
  <c r="AG99" i="17" s="1"/>
  <c r="AB100" i="17" s="1"/>
  <c r="AF100" i="17" l="1"/>
  <c r="AN100" i="17"/>
  <c r="AD100" i="17"/>
  <c r="AO100" i="17" s="1"/>
  <c r="AM100" i="17"/>
  <c r="AQ100" i="17"/>
  <c r="AR100" i="17" s="1"/>
  <c r="AI100" i="17"/>
  <c r="AE100" i="17" l="1"/>
  <c r="AG100" i="17" s="1"/>
  <c r="AB101" i="17" s="1"/>
  <c r="AF101" i="17" l="1"/>
  <c r="AM101" i="17"/>
  <c r="AN101" i="17"/>
  <c r="AD101" i="17"/>
  <c r="AQ101" i="17"/>
  <c r="AR101" i="17" s="1"/>
  <c r="AI101" i="17"/>
  <c r="AO101" i="17" l="1"/>
  <c r="AE101" i="17"/>
  <c r="AG101" i="17" s="1"/>
  <c r="AB102" i="17" s="1"/>
  <c r="AF102" i="17" l="1"/>
  <c r="AN102" i="17"/>
  <c r="AD102" i="17"/>
  <c r="AO102" i="17" s="1"/>
  <c r="AM102" i="17"/>
  <c r="AQ102" i="17"/>
  <c r="AR102" i="17" s="1"/>
  <c r="AI102" i="17"/>
  <c r="AE102" i="17" l="1"/>
  <c r="AG102" i="17" s="1"/>
  <c r="AB103" i="17" s="1"/>
  <c r="AF103" i="17" l="1"/>
  <c r="AD103" i="17"/>
  <c r="AN103" i="17"/>
  <c r="AQ103" i="17"/>
  <c r="AR103" i="17" s="1"/>
  <c r="AM103" i="17"/>
  <c r="AI103" i="17"/>
  <c r="AO103" i="17" l="1"/>
  <c r="AE103" i="17"/>
  <c r="AG103" i="17" s="1"/>
  <c r="AB104" i="17" s="1"/>
  <c r="AF104" i="17" l="1"/>
  <c r="AN104" i="17"/>
  <c r="AD104" i="17"/>
  <c r="AO104" i="17" s="1"/>
  <c r="AM104" i="17"/>
  <c r="AQ104" i="17"/>
  <c r="AR104" i="17" s="1"/>
  <c r="AI104" i="17"/>
  <c r="AE104" i="17" l="1"/>
  <c r="AG104" i="17" s="1"/>
  <c r="AB105" i="17" s="1"/>
  <c r="AF105" i="17" l="1"/>
  <c r="AM105" i="17"/>
  <c r="AN105" i="17"/>
  <c r="AD105" i="17"/>
  <c r="AO105" i="17" s="1"/>
  <c r="AQ105" i="17"/>
  <c r="AR105" i="17" s="1"/>
  <c r="AI105" i="17"/>
  <c r="AE105" i="17" l="1"/>
  <c r="AG105" i="17" s="1"/>
  <c r="AB106" i="17" s="1"/>
  <c r="AF106" i="17" l="1"/>
  <c r="AN106" i="17"/>
  <c r="AD106" i="17"/>
  <c r="AO106" i="17" s="1"/>
  <c r="AM106" i="17"/>
  <c r="AQ106" i="17"/>
  <c r="AR106" i="17" s="1"/>
  <c r="AI106" i="17"/>
  <c r="AE106" i="17" l="1"/>
  <c r="AG106" i="17" s="1"/>
  <c r="AB107" i="17" s="1"/>
  <c r="AF107" i="17" l="1"/>
  <c r="AN107" i="17"/>
  <c r="AD107" i="17"/>
  <c r="AO107" i="17" s="1"/>
  <c r="AQ107" i="17"/>
  <c r="AR107" i="17" s="1"/>
  <c r="AM107" i="17"/>
  <c r="AI107" i="17"/>
  <c r="AE107" i="17" l="1"/>
  <c r="AG107" i="17" s="1"/>
  <c r="AB108" i="17" s="1"/>
  <c r="AF108" i="17" l="1"/>
  <c r="AN108" i="17"/>
  <c r="AD108" i="17"/>
  <c r="AO108" i="17" s="1"/>
  <c r="AM108" i="17"/>
  <c r="AQ108" i="17"/>
  <c r="AR108" i="17" s="1"/>
  <c r="AI108" i="17"/>
  <c r="AE108" i="17" l="1"/>
  <c r="AG108" i="17" s="1"/>
  <c r="AB109" i="17" s="1"/>
  <c r="AF109" i="17" l="1"/>
  <c r="AD109" i="17"/>
  <c r="AM109" i="17"/>
  <c r="AN109" i="17"/>
  <c r="AQ109" i="17"/>
  <c r="AR109" i="17" s="1"/>
  <c r="AI109" i="17"/>
  <c r="AO109" i="17" l="1"/>
  <c r="AE109" i="17"/>
  <c r="AG109" i="17" s="1"/>
  <c r="AB110" i="17" s="1"/>
  <c r="AF110" i="17" l="1"/>
  <c r="AN110" i="17"/>
  <c r="AM110" i="17"/>
  <c r="AD110" i="17"/>
  <c r="AO110" i="17" s="1"/>
  <c r="AQ110" i="17"/>
  <c r="AR110" i="17" s="1"/>
  <c r="AI110" i="17"/>
  <c r="AE110" i="17" l="1"/>
  <c r="AG110" i="17" s="1"/>
  <c r="AB111" i="17" s="1"/>
  <c r="AF111" i="17" l="1"/>
  <c r="AD111" i="17"/>
  <c r="AM111" i="17"/>
  <c r="AN111" i="17"/>
  <c r="AQ111" i="17"/>
  <c r="AR111" i="17" s="1"/>
  <c r="AI111" i="17"/>
  <c r="AO111" i="17" l="1"/>
  <c r="AE111" i="17"/>
  <c r="AG111" i="17" s="1"/>
  <c r="AB112" i="17" s="1"/>
  <c r="AF112" i="17" l="1"/>
  <c r="AN112" i="17"/>
  <c r="AD112" i="17"/>
  <c r="AO112" i="17" s="1"/>
  <c r="AM112" i="17"/>
  <c r="AQ112" i="17"/>
  <c r="AR112" i="17" s="1"/>
  <c r="AI112" i="17"/>
  <c r="AE112" i="17" l="1"/>
  <c r="AG112" i="17" s="1"/>
  <c r="AB113" i="17" s="1"/>
  <c r="AF113" i="17" l="1"/>
  <c r="AD113" i="17"/>
  <c r="AM113" i="17"/>
  <c r="AN113" i="17"/>
  <c r="AQ113" i="17"/>
  <c r="AR113" i="17" s="1"/>
  <c r="AI113" i="17"/>
  <c r="AO113" i="17" l="1"/>
  <c r="AE113" i="17"/>
  <c r="AG113" i="17" s="1"/>
  <c r="AB114" i="17" s="1"/>
  <c r="AF114" i="17" l="1"/>
  <c r="AN114" i="17"/>
  <c r="AM114" i="17"/>
  <c r="AD114" i="17"/>
  <c r="AO114" i="17" s="1"/>
  <c r="AQ114" i="17"/>
  <c r="AR114" i="17" s="1"/>
  <c r="AI114" i="17"/>
  <c r="AE114" i="17" l="1"/>
  <c r="AG114" i="17" s="1"/>
  <c r="AB115" i="17" s="1"/>
  <c r="AF115" i="17" l="1"/>
  <c r="AD115" i="17"/>
  <c r="AM115" i="17"/>
  <c r="AN115" i="17"/>
  <c r="AQ115" i="17"/>
  <c r="AR115" i="17" s="1"/>
  <c r="AI115" i="17"/>
  <c r="AO115" i="17" l="1"/>
  <c r="AE115" i="17"/>
  <c r="AG115" i="17" s="1"/>
  <c r="AB116" i="17" s="1"/>
  <c r="AF116" i="17" l="1"/>
  <c r="AN116" i="17"/>
  <c r="AD116" i="17"/>
  <c r="AO116" i="17" s="1"/>
  <c r="AM116" i="17"/>
  <c r="AQ116" i="17"/>
  <c r="AR116" i="17" s="1"/>
  <c r="AI116" i="17"/>
  <c r="AE116" i="17" l="1"/>
  <c r="AG116" i="17" s="1"/>
  <c r="AB117" i="17" s="1"/>
  <c r="AF117" i="17" l="1"/>
  <c r="AM117" i="17"/>
  <c r="AN117" i="17"/>
  <c r="AD117" i="17"/>
  <c r="AO117" i="17" s="1"/>
  <c r="AQ117" i="17"/>
  <c r="AR117" i="17" s="1"/>
  <c r="AI117" i="17"/>
  <c r="AE117" i="17" l="1"/>
  <c r="AG117" i="17" s="1"/>
  <c r="AB118" i="17" s="1"/>
  <c r="AF118" i="17" l="1"/>
  <c r="AN118" i="17"/>
  <c r="AD118" i="17"/>
  <c r="AO118" i="17" s="1"/>
  <c r="AM118" i="17"/>
  <c r="AQ118" i="17"/>
  <c r="AR118" i="17" s="1"/>
  <c r="AI118" i="17"/>
  <c r="AE118" i="17" l="1"/>
  <c r="AG118" i="17" s="1"/>
  <c r="AB119" i="17" s="1"/>
  <c r="AF119" i="17" l="1"/>
  <c r="AD119" i="17"/>
  <c r="AN119" i="17"/>
  <c r="AQ119" i="17"/>
  <c r="AR119" i="17" s="1"/>
  <c r="AM119" i="17"/>
  <c r="AI119" i="17"/>
  <c r="AO119" i="17" l="1"/>
  <c r="AE119" i="17"/>
  <c r="AG119" i="17" s="1"/>
  <c r="AB120" i="17" s="1"/>
  <c r="AF120" i="17" l="1"/>
  <c r="AN120" i="17"/>
  <c r="AD120" i="17"/>
  <c r="AO120" i="17" s="1"/>
  <c r="AM120" i="17"/>
  <c r="AQ120" i="17"/>
  <c r="AR120" i="17" s="1"/>
  <c r="AI120" i="17"/>
  <c r="AE120" i="17" l="1"/>
  <c r="AG120" i="17" s="1"/>
  <c r="AB121" i="17" s="1"/>
  <c r="AF121" i="17" l="1"/>
  <c r="AM121" i="17"/>
  <c r="AD121" i="17"/>
  <c r="AO121" i="17" s="1"/>
  <c r="AN121" i="17"/>
  <c r="AQ121" i="17"/>
  <c r="AR121" i="17" s="1"/>
  <c r="AI121" i="17"/>
  <c r="AE121" i="17" l="1"/>
  <c r="AG121" i="17" s="1"/>
  <c r="AB122" i="17" s="1"/>
  <c r="AF122" i="17" l="1"/>
  <c r="AN122" i="17"/>
  <c r="AD122" i="17"/>
  <c r="AO122" i="17" s="1"/>
  <c r="AM122" i="17"/>
  <c r="AQ122" i="17"/>
  <c r="AR122" i="17" s="1"/>
  <c r="AI122" i="17"/>
  <c r="AE122" i="17" l="1"/>
  <c r="AG122" i="17" s="1"/>
  <c r="AB123" i="17" s="1"/>
  <c r="AF123" i="17" l="1"/>
  <c r="AN123" i="17"/>
  <c r="AD123" i="17"/>
  <c r="AO123" i="17" s="1"/>
  <c r="AM123" i="17"/>
  <c r="AQ123" i="17"/>
  <c r="AR123" i="17" s="1"/>
  <c r="AI123" i="17"/>
  <c r="AE123" i="17" l="1"/>
  <c r="AG123" i="17" s="1"/>
  <c r="AB124" i="17" s="1"/>
  <c r="AF124" i="17" l="1"/>
  <c r="AN124" i="17"/>
  <c r="AD124" i="17"/>
  <c r="AO124" i="17" s="1"/>
  <c r="AM124" i="17"/>
  <c r="AQ124" i="17"/>
  <c r="AR124" i="17" s="1"/>
  <c r="AI124" i="17"/>
  <c r="AE124" i="17" l="1"/>
  <c r="AG124" i="17" s="1"/>
  <c r="AB125" i="17" s="1"/>
  <c r="AF125" i="17" l="1"/>
  <c r="AD125" i="17"/>
  <c r="AO125" i="17" s="1"/>
  <c r="AM125" i="17"/>
  <c r="AN125" i="17"/>
  <c r="AQ125" i="17"/>
  <c r="AR125" i="17" s="1"/>
  <c r="AI125" i="17"/>
  <c r="AE125" i="17" l="1"/>
  <c r="AG125" i="17" s="1"/>
  <c r="AB126" i="17" s="1"/>
  <c r="AF126" i="17" l="1"/>
  <c r="AN126" i="17"/>
  <c r="AM126" i="17"/>
  <c r="AD126" i="17"/>
  <c r="AO126" i="17" s="1"/>
  <c r="AQ126" i="17"/>
  <c r="AR126" i="17" s="1"/>
  <c r="AI126" i="17"/>
  <c r="AE126" i="17" l="1"/>
  <c r="AG126" i="17" s="1"/>
  <c r="AB127" i="17" s="1"/>
  <c r="AF127" i="17" l="1"/>
  <c r="AD127" i="17"/>
  <c r="AM127" i="17"/>
  <c r="AN127" i="17"/>
  <c r="AQ127" i="17"/>
  <c r="AR127" i="17" s="1"/>
  <c r="AI127" i="17"/>
  <c r="AO127" i="17" l="1"/>
  <c r="AE127" i="17"/>
  <c r="AG127" i="17" s="1"/>
  <c r="AB128" i="17" s="1"/>
  <c r="AF128" i="17" l="1"/>
  <c r="AN128" i="17"/>
  <c r="AD128" i="17"/>
  <c r="AO128" i="17" s="1"/>
  <c r="AM128" i="17"/>
  <c r="AQ128" i="17"/>
  <c r="AR128" i="17" s="1"/>
  <c r="AI128" i="17"/>
  <c r="AE128" i="17" l="1"/>
  <c r="AG128" i="17" s="1"/>
  <c r="AB129" i="17" s="1"/>
  <c r="AF129" i="17" l="1"/>
  <c r="AD129" i="17"/>
  <c r="AM129" i="17"/>
  <c r="AN129" i="17"/>
  <c r="AQ129" i="17"/>
  <c r="AR129" i="17" s="1"/>
  <c r="AI129" i="17"/>
  <c r="AO129" i="17" l="1"/>
  <c r="AE129" i="17"/>
  <c r="AG129" i="17" s="1"/>
  <c r="AB130" i="17" s="1"/>
  <c r="AF130" i="17" l="1"/>
  <c r="AN130" i="17"/>
  <c r="AM130" i="17"/>
  <c r="AD130" i="17"/>
  <c r="AO130" i="17" s="1"/>
  <c r="AQ130" i="17"/>
  <c r="AR130" i="17" s="1"/>
  <c r="AI130" i="17"/>
  <c r="AE130" i="17" l="1"/>
  <c r="AG130" i="17" s="1"/>
  <c r="AB131" i="17" s="1"/>
  <c r="AF131" i="17" l="1"/>
  <c r="AM131" i="17"/>
  <c r="AD131" i="17"/>
  <c r="AO131" i="17" s="1"/>
  <c r="AN131" i="17"/>
  <c r="AQ131" i="17"/>
  <c r="AR131" i="17" s="1"/>
  <c r="AI131" i="17"/>
  <c r="AE131" i="17" l="1"/>
  <c r="AG131" i="17" s="1"/>
  <c r="AB132" i="17" s="1"/>
  <c r="AF132" i="17" l="1"/>
  <c r="AN132" i="17"/>
  <c r="AD132" i="17"/>
  <c r="AO132" i="17" s="1"/>
  <c r="AM132" i="17"/>
  <c r="AQ132" i="17"/>
  <c r="AR132" i="17"/>
  <c r="AI132" i="17"/>
  <c r="AE132" i="17" l="1"/>
  <c r="AG132" i="17" s="1"/>
  <c r="AB133" i="17" s="1"/>
  <c r="AF133" i="17" l="1"/>
  <c r="AN133" i="17"/>
  <c r="AD133" i="17"/>
  <c r="AO133" i="17" s="1"/>
  <c r="AM133" i="17"/>
  <c r="AQ133" i="17"/>
  <c r="AR133" i="17" s="1"/>
  <c r="AI133" i="17"/>
  <c r="AE133" i="17" l="1"/>
  <c r="AG133" i="17" s="1"/>
  <c r="AB134" i="17" s="1"/>
  <c r="AF134" i="17" l="1"/>
  <c r="AN134" i="17"/>
  <c r="AD134" i="17"/>
  <c r="AO134" i="17" s="1"/>
  <c r="AM134" i="17"/>
  <c r="AQ134" i="17"/>
  <c r="AR134" i="17" s="1"/>
  <c r="AI134" i="17"/>
  <c r="AE134" i="17" l="1"/>
  <c r="AG134" i="17" s="1"/>
  <c r="AB135" i="17" s="1"/>
  <c r="AF135" i="17" l="1"/>
  <c r="AD135" i="17"/>
  <c r="AM135" i="17"/>
  <c r="AN135" i="17"/>
  <c r="AQ135" i="17"/>
  <c r="AR135" i="17" s="1"/>
  <c r="AI135" i="17"/>
  <c r="AO135" i="17" l="1"/>
  <c r="AE135" i="17"/>
  <c r="AG135" i="17" s="1"/>
  <c r="AB136" i="17" s="1"/>
  <c r="AF136" i="17" l="1"/>
  <c r="AN136" i="17"/>
  <c r="AD136" i="17"/>
  <c r="AO136" i="17" s="1"/>
  <c r="AM136" i="17"/>
  <c r="AQ136" i="17"/>
  <c r="AR136" i="17"/>
  <c r="AI136" i="17"/>
  <c r="AE136" i="17" l="1"/>
  <c r="AG136" i="17" s="1"/>
  <c r="AB137" i="17" s="1"/>
  <c r="AF137" i="17" l="1"/>
  <c r="AM137" i="17"/>
  <c r="AD137" i="17"/>
  <c r="AN137" i="17"/>
  <c r="AQ137" i="17"/>
  <c r="AR137" i="17"/>
  <c r="AI137" i="17"/>
  <c r="AO137" i="17" l="1"/>
  <c r="AE137" i="17"/>
  <c r="AG137" i="17" s="1"/>
  <c r="AB138" i="17" s="1"/>
  <c r="AF138" i="17" l="1"/>
  <c r="AN138" i="17"/>
  <c r="AD138" i="17"/>
  <c r="AO138" i="17" s="1"/>
  <c r="AM138" i="17"/>
  <c r="AQ138" i="17"/>
  <c r="AR138" i="17" s="1"/>
  <c r="AI138" i="17"/>
  <c r="AE138" i="17" l="1"/>
  <c r="AG138" i="17" s="1"/>
  <c r="AB139" i="17" s="1"/>
  <c r="AF139" i="17" l="1"/>
  <c r="AN139" i="17"/>
  <c r="AD139" i="17"/>
  <c r="AO139" i="17" s="1"/>
  <c r="AM139" i="17"/>
  <c r="AQ139" i="17"/>
  <c r="AR139" i="17" s="1"/>
  <c r="AI139" i="17"/>
  <c r="AE139" i="17" l="1"/>
  <c r="AG139" i="17" s="1"/>
  <c r="AB140" i="17" s="1"/>
  <c r="AF140" i="17" l="1"/>
  <c r="AN140" i="17"/>
  <c r="AM140" i="17"/>
  <c r="AD140" i="17"/>
  <c r="AO140" i="17" s="1"/>
  <c r="AQ140" i="17"/>
  <c r="AR140" i="17" s="1"/>
  <c r="AI140" i="17"/>
  <c r="AE140" i="17" l="1"/>
  <c r="AG140" i="17" s="1"/>
  <c r="AB141" i="17" s="1"/>
  <c r="AF141" i="17" l="1"/>
  <c r="AM141" i="17"/>
  <c r="AD141" i="17"/>
  <c r="AN141" i="17"/>
  <c r="AQ141" i="17"/>
  <c r="AR141" i="17" s="1"/>
  <c r="AI141" i="17"/>
  <c r="AO141" i="17" l="1"/>
  <c r="AE141" i="17"/>
  <c r="AG141" i="17" s="1"/>
  <c r="AB142" i="17" s="1"/>
  <c r="AF142" i="17" l="1"/>
  <c r="AN142" i="17"/>
  <c r="AD142" i="17"/>
  <c r="AO142" i="17" s="1"/>
  <c r="AM142" i="17"/>
  <c r="AQ142" i="17"/>
  <c r="AR142" i="17" s="1"/>
  <c r="AI142" i="17"/>
  <c r="AE142" i="17" l="1"/>
  <c r="AG142" i="17" s="1"/>
  <c r="AB143" i="17" s="1"/>
  <c r="AF143" i="17" l="1"/>
  <c r="AM143" i="17"/>
  <c r="AD143" i="17"/>
  <c r="AO143" i="17" s="1"/>
  <c r="AN143" i="17"/>
  <c r="AQ143" i="17"/>
  <c r="AR143" i="17"/>
  <c r="AI143" i="17"/>
  <c r="AE143" i="17" l="1"/>
  <c r="AG143" i="17" s="1"/>
  <c r="AB144" i="17" s="1"/>
  <c r="AF144" i="17" l="1"/>
  <c r="AN144" i="17"/>
  <c r="AD144" i="17"/>
  <c r="AO144" i="17" s="1"/>
  <c r="AM144" i="17"/>
  <c r="AQ144" i="17"/>
  <c r="AR144" i="17" s="1"/>
  <c r="AI144" i="17"/>
  <c r="AE144" i="17" l="1"/>
  <c r="AG144" i="17" s="1"/>
  <c r="AB145" i="17" s="1"/>
  <c r="AF145" i="17" l="1"/>
  <c r="AD145" i="17"/>
  <c r="AE145" i="17" s="1"/>
  <c r="AG145" i="17" s="1"/>
  <c r="AB146" i="17" s="1"/>
  <c r="AM145" i="17"/>
  <c r="AN145" i="17"/>
  <c r="AQ145" i="17"/>
  <c r="AR145" i="17" s="1"/>
  <c r="AI145" i="17"/>
  <c r="AF146" i="17" l="1"/>
  <c r="AN146" i="17"/>
  <c r="AM146" i="17"/>
  <c r="AD146" i="17"/>
  <c r="AO146" i="17" s="1"/>
  <c r="AQ146" i="17"/>
  <c r="AR146" i="17" s="1"/>
  <c r="AI146" i="17"/>
  <c r="AO145" i="17"/>
  <c r="AE146" i="17" l="1"/>
  <c r="AG146" i="17" s="1"/>
  <c r="AB147" i="17" s="1"/>
  <c r="AF147" i="17" l="1"/>
  <c r="AM147" i="17"/>
  <c r="AN147" i="17"/>
  <c r="AD147" i="17"/>
  <c r="AO147" i="17" s="1"/>
  <c r="AQ147" i="17"/>
  <c r="AR147" i="17" s="1"/>
  <c r="AI147" i="17"/>
  <c r="AE147" i="17" l="1"/>
  <c r="AG147" i="17" s="1"/>
  <c r="AB148" i="17" s="1"/>
  <c r="AF148" i="17" l="1"/>
  <c r="AN148" i="17"/>
  <c r="AD148" i="17"/>
  <c r="AO148" i="17" s="1"/>
  <c r="AM148" i="17"/>
  <c r="AQ148" i="17"/>
  <c r="AR148" i="17" s="1"/>
  <c r="AI148" i="17"/>
  <c r="AE148" i="17" l="1"/>
  <c r="AG148" i="17" s="1"/>
  <c r="AB149" i="17" s="1"/>
  <c r="AF149" i="17" l="1"/>
  <c r="AN149" i="17"/>
  <c r="AM149" i="17"/>
  <c r="AD149" i="17"/>
  <c r="AO149" i="17" s="1"/>
  <c r="AQ149" i="17"/>
  <c r="AR149" i="17" s="1"/>
  <c r="AI149" i="17"/>
  <c r="AE149" i="17" l="1"/>
  <c r="AG149" i="17" s="1"/>
  <c r="AB150" i="17" s="1"/>
  <c r="AF150" i="17" l="1"/>
  <c r="AN150" i="17"/>
  <c r="AM150" i="17"/>
  <c r="AD150" i="17"/>
  <c r="AO150" i="17" s="1"/>
  <c r="AQ150" i="17"/>
  <c r="AR150" i="17" s="1"/>
  <c r="AI150" i="17"/>
  <c r="AE150" i="17" l="1"/>
  <c r="AG150" i="17" s="1"/>
  <c r="AB151" i="17" s="1"/>
  <c r="AF151" i="17" l="1"/>
  <c r="AD151" i="17"/>
  <c r="AM151" i="17"/>
  <c r="AN151" i="17"/>
  <c r="AQ151" i="17"/>
  <c r="AR151" i="17" s="1"/>
  <c r="AI151" i="17"/>
  <c r="AO151" i="17" l="1"/>
  <c r="AE151" i="17"/>
  <c r="AG151" i="17" s="1"/>
  <c r="AB152" i="17" s="1"/>
  <c r="AF152" i="17" l="1"/>
  <c r="AN152" i="17"/>
  <c r="AM152" i="17"/>
  <c r="AD152" i="17"/>
  <c r="AO152" i="17" s="1"/>
  <c r="AQ152" i="17"/>
  <c r="AR152" i="17" s="1"/>
  <c r="AI152" i="17"/>
  <c r="AE152" i="17" l="1"/>
  <c r="AG152" i="17" s="1"/>
  <c r="AB153" i="17" s="1"/>
  <c r="AF153" i="17" l="1"/>
  <c r="AM153" i="17"/>
  <c r="AN153" i="17"/>
  <c r="AD153" i="17"/>
  <c r="AO153" i="17" s="1"/>
  <c r="AQ153" i="17"/>
  <c r="AR153" i="17" s="1"/>
  <c r="AI153" i="17"/>
  <c r="AE153" i="17" l="1"/>
  <c r="AG153" i="17" s="1"/>
  <c r="AB154" i="17" s="1"/>
  <c r="AF154" i="17" l="1"/>
  <c r="AN154" i="17"/>
  <c r="AD154" i="17"/>
  <c r="AO154" i="17" s="1"/>
  <c r="AM154" i="17"/>
  <c r="AQ154" i="17"/>
  <c r="AR154" i="17" s="1"/>
  <c r="AI154" i="17"/>
  <c r="AE154" i="17" l="1"/>
  <c r="AG154" i="17" s="1"/>
  <c r="AB155" i="17" s="1"/>
  <c r="AF155" i="17" l="1"/>
  <c r="AN155" i="17"/>
  <c r="AM155" i="17"/>
  <c r="AD155" i="17"/>
  <c r="AO155" i="17" s="1"/>
  <c r="AQ155" i="17"/>
  <c r="AR155" i="17" s="1"/>
  <c r="AI155" i="17"/>
  <c r="AE155" i="17" l="1"/>
  <c r="AG155" i="17" s="1"/>
  <c r="AB156" i="17" s="1"/>
  <c r="AF156" i="17" l="1"/>
  <c r="AN156" i="17"/>
  <c r="AM156" i="17"/>
  <c r="AD156" i="17"/>
  <c r="AO156" i="17" s="1"/>
  <c r="AQ156" i="17"/>
  <c r="AR156" i="17" s="1"/>
  <c r="AI156" i="17"/>
  <c r="AE156" i="17" l="1"/>
  <c r="AG156" i="17" s="1"/>
  <c r="AB157" i="17" s="1"/>
  <c r="AF157" i="17" l="1"/>
  <c r="AM157" i="17"/>
  <c r="AD157" i="17"/>
  <c r="AO157" i="17" s="1"/>
  <c r="AN157" i="17"/>
  <c r="AQ157" i="17"/>
  <c r="AR157" i="17" s="1"/>
  <c r="AI157" i="17"/>
  <c r="AE157" i="17" l="1"/>
  <c r="AG157" i="17" s="1"/>
  <c r="AB158" i="17" s="1"/>
  <c r="AF158" i="17" l="1"/>
  <c r="AN158" i="17"/>
  <c r="AM158" i="17"/>
  <c r="AD158" i="17"/>
  <c r="AO158" i="17" s="1"/>
  <c r="AQ158" i="17"/>
  <c r="AR158" i="17" s="1"/>
  <c r="AI158" i="17"/>
  <c r="AE158" i="17" l="1"/>
  <c r="AG158" i="17" s="1"/>
  <c r="AB159" i="17" s="1"/>
  <c r="AF159" i="17" l="1"/>
  <c r="AN159" i="17"/>
  <c r="AD159" i="17"/>
  <c r="AO159" i="17" s="1"/>
  <c r="AM159" i="17"/>
  <c r="AQ159" i="17"/>
  <c r="AR159" i="17" s="1"/>
  <c r="AI159" i="17"/>
  <c r="AE159" i="17" l="1"/>
  <c r="AG159" i="17" s="1"/>
  <c r="AB160" i="17" s="1"/>
  <c r="AF160" i="17" l="1"/>
  <c r="AN160" i="17"/>
  <c r="AD160" i="17"/>
  <c r="AO160" i="17" s="1"/>
  <c r="AM160" i="17"/>
  <c r="AQ160" i="17"/>
  <c r="AR160" i="17" s="1"/>
  <c r="AI160" i="17"/>
  <c r="AE160" i="17" l="1"/>
  <c r="AG160" i="17" s="1"/>
  <c r="AB161" i="17" s="1"/>
  <c r="AF161" i="17" l="1"/>
  <c r="AD161" i="17"/>
  <c r="AO161" i="17" s="1"/>
  <c r="AN161" i="17"/>
  <c r="AM161" i="17"/>
  <c r="AQ161" i="17"/>
  <c r="AR161" i="17" s="1"/>
  <c r="AI161" i="17"/>
  <c r="AE161" i="17" l="1"/>
  <c r="AG161" i="17" s="1"/>
  <c r="AB162" i="17" s="1"/>
  <c r="AF162" i="17" l="1"/>
  <c r="AN162" i="17"/>
  <c r="AM162" i="17"/>
  <c r="AD162" i="17"/>
  <c r="AO162" i="17" s="1"/>
  <c r="AQ162" i="17"/>
  <c r="AR162" i="17" s="1"/>
  <c r="AI162" i="17"/>
  <c r="AE162" i="17" l="1"/>
  <c r="AG162" i="17" s="1"/>
  <c r="AB163" i="17" s="1"/>
  <c r="AF163" i="17" l="1"/>
  <c r="AM163" i="17"/>
  <c r="AD163" i="17"/>
  <c r="AN163" i="17"/>
  <c r="AQ163" i="17"/>
  <c r="AR163" i="17" s="1"/>
  <c r="AI163" i="17"/>
  <c r="AO163" i="17" l="1"/>
  <c r="AE163" i="17"/>
  <c r="AG163" i="17" s="1"/>
  <c r="AB164" i="17" s="1"/>
  <c r="AF164" i="17" l="1"/>
  <c r="AN164" i="17"/>
  <c r="AM164" i="17"/>
  <c r="AD164" i="17"/>
  <c r="AO164" i="17" s="1"/>
  <c r="AQ164" i="17"/>
  <c r="AR164" i="17" s="1"/>
  <c r="AI164" i="17"/>
  <c r="AE164" i="17" l="1"/>
  <c r="AG164" i="17" s="1"/>
  <c r="AB165" i="17" s="1"/>
  <c r="AF165" i="17" l="1"/>
  <c r="AN165" i="17"/>
  <c r="AM165" i="17"/>
  <c r="AD165" i="17"/>
  <c r="AO165" i="17" s="1"/>
  <c r="AQ165" i="17"/>
  <c r="AR165" i="17" s="1"/>
  <c r="AI165" i="17"/>
  <c r="AE165" i="17" l="1"/>
  <c r="AG165" i="17" s="1"/>
  <c r="AB166" i="17" s="1"/>
  <c r="AF166" i="17" l="1"/>
  <c r="AN166" i="17"/>
  <c r="AM166" i="17"/>
  <c r="AD166" i="17"/>
  <c r="AO166" i="17" s="1"/>
  <c r="AQ166" i="17"/>
  <c r="AR166" i="17" s="1"/>
  <c r="AI166" i="17"/>
  <c r="AE166" i="17" l="1"/>
  <c r="AG166" i="17" s="1"/>
  <c r="AB167" i="17" s="1"/>
  <c r="AF167" i="17" l="1"/>
  <c r="AD167" i="17"/>
  <c r="AN167" i="17"/>
  <c r="AM167" i="17"/>
  <c r="AQ167" i="17"/>
  <c r="AR167" i="17" s="1"/>
  <c r="AI167" i="17"/>
  <c r="AO167" i="17" l="1"/>
  <c r="AE167" i="17"/>
  <c r="AG167" i="17" s="1"/>
  <c r="AB168" i="17" s="1"/>
  <c r="AF168" i="17" l="1"/>
  <c r="AN168" i="17"/>
  <c r="AD168" i="17"/>
  <c r="AO168" i="17" s="1"/>
  <c r="AM168" i="17"/>
  <c r="AQ168" i="17"/>
  <c r="AR168" i="17" s="1"/>
  <c r="AI168" i="17"/>
  <c r="AE168" i="17" l="1"/>
  <c r="AG168" i="17" s="1"/>
  <c r="AB169" i="17" s="1"/>
  <c r="AF169" i="17" l="1"/>
  <c r="AM169" i="17"/>
  <c r="AN169" i="17"/>
  <c r="AD169" i="17"/>
  <c r="AO169" i="17" s="1"/>
  <c r="AQ169" i="17"/>
  <c r="AR169" i="17" s="1"/>
  <c r="AI169" i="17"/>
  <c r="AE169" i="17" l="1"/>
  <c r="AG169" i="17" s="1"/>
  <c r="AB170" i="17" s="1"/>
  <c r="AF170" i="17" l="1"/>
  <c r="AN170" i="17"/>
  <c r="AD170" i="17"/>
  <c r="AO170" i="17" s="1"/>
  <c r="AM170" i="17"/>
  <c r="AQ170" i="17"/>
  <c r="AR170" i="17" s="1"/>
  <c r="AI170" i="17"/>
  <c r="AE170" i="17" l="1"/>
  <c r="AG170" i="17" s="1"/>
  <c r="AB171" i="17" s="1"/>
  <c r="AF171" i="17" l="1"/>
  <c r="AN171" i="17"/>
  <c r="AD171" i="17"/>
  <c r="AO171" i="17" s="1"/>
  <c r="AM171" i="17"/>
  <c r="AQ171" i="17"/>
  <c r="AR171" i="17" s="1"/>
  <c r="AI171" i="17"/>
  <c r="AE171" i="17" l="1"/>
  <c r="AG171" i="17" s="1"/>
  <c r="AB172" i="17" s="1"/>
  <c r="AF172" i="17" l="1"/>
  <c r="AN172" i="17"/>
  <c r="AM172" i="17"/>
  <c r="AD172" i="17"/>
  <c r="AO172" i="17" s="1"/>
  <c r="AQ172" i="17"/>
  <c r="AR172" i="17" s="1"/>
  <c r="AI172" i="17"/>
  <c r="AE172" i="17" l="1"/>
  <c r="AG172" i="17" s="1"/>
  <c r="AB173" i="17" s="1"/>
  <c r="AF173" i="17" l="1"/>
  <c r="AN173" i="17"/>
  <c r="AM173" i="17"/>
  <c r="AD173" i="17"/>
  <c r="AO173" i="17" s="1"/>
  <c r="AQ173" i="17"/>
  <c r="AR173" i="17" s="1"/>
  <c r="AI173" i="17"/>
  <c r="AE173" i="17" l="1"/>
  <c r="AG173" i="17" s="1"/>
  <c r="AB174" i="17" s="1"/>
  <c r="AF174" i="17" l="1"/>
  <c r="AN174" i="17"/>
  <c r="AD174" i="17"/>
  <c r="AO174" i="17" s="1"/>
  <c r="AM174" i="17"/>
  <c r="AQ174" i="17"/>
  <c r="AR174" i="17" s="1"/>
  <c r="AI174" i="17"/>
  <c r="AE174" i="17" l="1"/>
  <c r="AG174" i="17" s="1"/>
  <c r="AB175" i="17" s="1"/>
  <c r="AF175" i="17" l="1"/>
  <c r="AD175" i="17"/>
  <c r="AN175" i="17"/>
  <c r="AM175" i="17"/>
  <c r="AQ175" i="17"/>
  <c r="AR175" i="17" s="1"/>
  <c r="AI175" i="17"/>
  <c r="AO175" i="17" l="1"/>
  <c r="AE175" i="17"/>
  <c r="AG175" i="17" s="1"/>
  <c r="AB176" i="17" s="1"/>
  <c r="AF176" i="17" l="1"/>
  <c r="AN176" i="17"/>
  <c r="AD176" i="17"/>
  <c r="AO176" i="17" s="1"/>
  <c r="AM176" i="17"/>
  <c r="AQ176" i="17"/>
  <c r="AR176" i="17" s="1"/>
  <c r="AI176" i="17"/>
  <c r="AE176" i="17" l="1"/>
  <c r="AG176" i="17" s="1"/>
  <c r="AB177" i="17" s="1"/>
  <c r="AF177" i="17" l="1"/>
  <c r="AD177" i="17"/>
  <c r="AN177" i="17"/>
  <c r="AM177" i="17"/>
  <c r="AQ177" i="17"/>
  <c r="AR177" i="17" s="1"/>
  <c r="AI177" i="17"/>
  <c r="AO177" i="17" l="1"/>
  <c r="AE177" i="17"/>
  <c r="AG177" i="17" s="1"/>
  <c r="AB178" i="17" s="1"/>
  <c r="AF178" i="17" l="1"/>
  <c r="AN178" i="17"/>
  <c r="AM178" i="17"/>
  <c r="AD178" i="17"/>
  <c r="AO178" i="17" s="1"/>
  <c r="AQ178" i="17"/>
  <c r="AR178" i="17" s="1"/>
  <c r="AI178" i="17"/>
  <c r="AE178" i="17" l="1"/>
  <c r="AG178" i="17" s="1"/>
  <c r="AB179" i="17" s="1"/>
  <c r="AF179" i="17" l="1"/>
  <c r="AM179" i="17"/>
  <c r="AD179" i="17"/>
  <c r="AN179" i="17"/>
  <c r="AQ179" i="17"/>
  <c r="AR179" i="17" s="1"/>
  <c r="AI179" i="17"/>
  <c r="AO179" i="17" l="1"/>
  <c r="AE179" i="17"/>
  <c r="AG179" i="17" s="1"/>
  <c r="AB180" i="17" s="1"/>
  <c r="AF180" i="17" l="1"/>
  <c r="AN180" i="17"/>
  <c r="AD180" i="17"/>
  <c r="AO180" i="17" s="1"/>
  <c r="AM180" i="17"/>
  <c r="AQ180" i="17"/>
  <c r="AR180" i="17" s="1"/>
  <c r="AI180" i="17"/>
  <c r="AE180" i="17" l="1"/>
  <c r="AG180" i="17" s="1"/>
  <c r="AB181" i="17" s="1"/>
  <c r="AF181" i="17" l="1"/>
  <c r="AN181" i="17"/>
  <c r="AD181" i="17"/>
  <c r="AO181" i="17" s="1"/>
  <c r="AM181" i="17"/>
  <c r="AQ181" i="17"/>
  <c r="AR181" i="17" s="1"/>
  <c r="AI181" i="17"/>
  <c r="AE181" i="17" l="1"/>
  <c r="AG181" i="17" s="1"/>
  <c r="AB182" i="17" s="1"/>
  <c r="AF182" i="17" l="1"/>
  <c r="AN182" i="17"/>
  <c r="AD182" i="17"/>
  <c r="AO182" i="17" s="1"/>
  <c r="AM182" i="17"/>
  <c r="AQ182" i="17"/>
  <c r="AR182" i="17" s="1"/>
  <c r="AI182" i="17"/>
  <c r="AE182" i="17" l="1"/>
  <c r="AG182" i="17" s="1"/>
  <c r="AB183" i="17" s="1"/>
  <c r="AF183" i="17" l="1"/>
  <c r="AD183" i="17"/>
  <c r="AM183" i="17"/>
  <c r="AN183" i="17"/>
  <c r="AQ183" i="17"/>
  <c r="AR183" i="17" s="1"/>
  <c r="AI183" i="17"/>
  <c r="AO183" i="17" l="1"/>
  <c r="AE183" i="17"/>
  <c r="AG183" i="17" s="1"/>
  <c r="AB184" i="17" s="1"/>
  <c r="AF184" i="17" l="1"/>
  <c r="AD184" i="17"/>
  <c r="AO184" i="17" s="1"/>
  <c r="AN184" i="17"/>
  <c r="AM184" i="17"/>
  <c r="AQ184" i="17"/>
  <c r="AR184" i="17" s="1"/>
  <c r="AI184" i="17"/>
  <c r="AE184" i="17" l="1"/>
  <c r="AG184" i="17" s="1"/>
  <c r="AB185" i="17" s="1"/>
  <c r="AF185" i="17" l="1"/>
  <c r="AD185" i="17"/>
  <c r="AO185" i="17" s="1"/>
  <c r="AN185" i="17"/>
  <c r="AM185" i="17"/>
  <c r="AQ185" i="17"/>
  <c r="AR185" i="17" s="1"/>
  <c r="AI185" i="17"/>
  <c r="AE185" i="17" l="1"/>
  <c r="AG185" i="17" s="1"/>
  <c r="AB186" i="17" s="1"/>
  <c r="AF186" i="17" l="1"/>
  <c r="AN186" i="17"/>
  <c r="AD186" i="17"/>
  <c r="AO186" i="17" s="1"/>
  <c r="AM186" i="17"/>
  <c r="AQ186" i="17"/>
  <c r="AR186" i="17" s="1"/>
  <c r="AI186" i="17"/>
  <c r="AE186" i="17" l="1"/>
  <c r="AG186" i="17" s="1"/>
  <c r="AB187" i="17" s="1"/>
  <c r="AF187" i="17" l="1"/>
  <c r="AD187" i="17"/>
  <c r="AE187" i="17" s="1"/>
  <c r="AG187" i="17" s="1"/>
  <c r="AB188" i="17" s="1"/>
  <c r="AM187" i="17"/>
  <c r="AN187" i="17"/>
  <c r="AQ187" i="17"/>
  <c r="AR187" i="17" s="1"/>
  <c r="AI187" i="17"/>
  <c r="AF188" i="17" l="1"/>
  <c r="AM188" i="17"/>
  <c r="AN188" i="17"/>
  <c r="AD188" i="17"/>
  <c r="AO188" i="17" s="1"/>
  <c r="AQ188" i="17"/>
  <c r="AR188" i="17" s="1"/>
  <c r="AI188" i="17"/>
  <c r="AO187" i="17"/>
  <c r="AE188" i="17" l="1"/>
  <c r="AG188" i="17" s="1"/>
  <c r="AB189" i="17" s="1"/>
  <c r="AF189" i="17" l="1"/>
  <c r="AD189" i="17"/>
  <c r="AM189" i="17"/>
  <c r="AN189" i="17"/>
  <c r="AQ189" i="17"/>
  <c r="AR189" i="17" s="1"/>
  <c r="AI189" i="17"/>
  <c r="AO189" i="17" l="1"/>
  <c r="AE189" i="17"/>
  <c r="AG189" i="17" s="1"/>
  <c r="AB190" i="17" s="1"/>
  <c r="AF190" i="17" l="1"/>
  <c r="AD190" i="17"/>
  <c r="AM190" i="17"/>
  <c r="AN190" i="17"/>
  <c r="AQ190" i="17"/>
  <c r="AR190" i="17" s="1"/>
  <c r="AI190" i="17"/>
  <c r="AO190" i="17" l="1"/>
  <c r="AE190" i="17"/>
  <c r="AG190" i="17" s="1"/>
  <c r="AB191" i="17" s="1"/>
  <c r="AF191" i="17" l="1"/>
  <c r="AD191" i="17"/>
  <c r="AM191" i="17"/>
  <c r="AN191" i="17"/>
  <c r="AQ191" i="17"/>
  <c r="AR191" i="17" s="1"/>
  <c r="AI191" i="17"/>
  <c r="AO191" i="17" l="1"/>
  <c r="AE191" i="17"/>
  <c r="AG191" i="17" s="1"/>
  <c r="AB192" i="17" s="1"/>
  <c r="AF192" i="17" l="1"/>
  <c r="AD192" i="17"/>
  <c r="AN192" i="17"/>
  <c r="AM192" i="17"/>
  <c r="AQ192" i="17"/>
  <c r="AR192" i="17" s="1"/>
  <c r="AI192" i="17"/>
  <c r="AO192" i="17" l="1"/>
  <c r="AE192" i="17"/>
  <c r="AG192" i="17" s="1"/>
  <c r="AB193" i="17" s="1"/>
  <c r="AF193" i="17" l="1"/>
  <c r="AD193" i="17"/>
  <c r="AO193" i="17" s="1"/>
  <c r="AN193" i="17"/>
  <c r="AM193" i="17"/>
  <c r="AQ193" i="17"/>
  <c r="AR193" i="17" s="1"/>
  <c r="AI193" i="17"/>
  <c r="AE193" i="17" l="1"/>
  <c r="AG193" i="17" s="1"/>
  <c r="AB194" i="17" s="1"/>
  <c r="AF194" i="17" l="1"/>
  <c r="AN194" i="17"/>
  <c r="AD194" i="17"/>
  <c r="AO194" i="17" s="1"/>
  <c r="AM194" i="17"/>
  <c r="AQ194" i="17"/>
  <c r="AR194" i="17" s="1"/>
  <c r="AI194" i="17"/>
  <c r="AE194" i="17" l="1"/>
  <c r="AG194" i="17" s="1"/>
  <c r="AB195" i="17" s="1"/>
  <c r="AF195" i="17" l="1"/>
  <c r="AD195" i="17"/>
  <c r="AO195" i="17" s="1"/>
  <c r="AM195" i="17"/>
  <c r="AN195" i="17"/>
  <c r="AQ195" i="17"/>
  <c r="AR195" i="17" s="1"/>
  <c r="AI195" i="17"/>
  <c r="AE195" i="17" l="1"/>
  <c r="AG195" i="17" s="1"/>
  <c r="AB196" i="17" s="1"/>
  <c r="AF196" i="17" l="1"/>
  <c r="AM196" i="17"/>
  <c r="AD196" i="17"/>
  <c r="AO196" i="17" s="1"/>
  <c r="AN196" i="17"/>
  <c r="AQ196" i="17"/>
  <c r="AR196" i="17" s="1"/>
  <c r="AI196" i="17"/>
  <c r="AE196" i="17" l="1"/>
  <c r="AG196" i="17" s="1"/>
  <c r="AB197" i="17" s="1"/>
  <c r="AF197" i="17" l="1"/>
  <c r="AD197" i="17"/>
  <c r="AM197" i="17"/>
  <c r="AN197" i="17"/>
  <c r="AQ197" i="17"/>
  <c r="AR197" i="17" s="1"/>
  <c r="AI197" i="17"/>
  <c r="AO197" i="17" l="1"/>
  <c r="AE197" i="17"/>
  <c r="AG197" i="17" s="1"/>
  <c r="AB198" i="17" s="1"/>
  <c r="AF198" i="17" l="1"/>
  <c r="AD198" i="17"/>
  <c r="AM198" i="17"/>
  <c r="AN198" i="17"/>
  <c r="AQ198" i="17"/>
  <c r="AR198" i="17" s="1"/>
  <c r="AI198" i="17"/>
  <c r="AO198" i="17" l="1"/>
  <c r="AE198" i="17"/>
  <c r="AG198" i="17" s="1"/>
  <c r="AB199" i="17" s="1"/>
  <c r="AF199" i="17" l="1"/>
  <c r="AD199" i="17"/>
  <c r="AN199" i="17"/>
  <c r="AM199" i="17"/>
  <c r="AQ199" i="17"/>
  <c r="AR199" i="17" s="1"/>
  <c r="AI199" i="17"/>
  <c r="AO199" i="17" l="1"/>
  <c r="AE199" i="17"/>
  <c r="AG199" i="17" s="1"/>
  <c r="AB200" i="17" s="1"/>
  <c r="AF200" i="17" l="1"/>
  <c r="AD200" i="17"/>
  <c r="AO200" i="17" s="1"/>
  <c r="AM200" i="17"/>
  <c r="AN200" i="17"/>
  <c r="AQ200" i="17"/>
  <c r="AR200" i="17"/>
  <c r="AI200" i="17"/>
  <c r="AE200" i="17" l="1"/>
  <c r="AG200" i="17" s="1"/>
  <c r="AB201" i="17" s="1"/>
  <c r="AF201" i="17" l="1"/>
  <c r="AD201" i="17"/>
  <c r="AO201" i="17" s="1"/>
  <c r="AN201" i="17"/>
  <c r="AM201" i="17"/>
  <c r="AQ201" i="17"/>
  <c r="AR201" i="17" s="1"/>
  <c r="AI201" i="17"/>
  <c r="AE201" i="17" l="1"/>
  <c r="AG201" i="17" s="1"/>
  <c r="AB202" i="17" s="1"/>
  <c r="AF202" i="17" l="1"/>
  <c r="AN202" i="17"/>
  <c r="AD202" i="17"/>
  <c r="AO202" i="17" s="1"/>
  <c r="AM202" i="17"/>
  <c r="AQ202" i="17"/>
  <c r="AR202" i="17" s="1"/>
  <c r="AI202" i="17"/>
  <c r="AE202" i="17" l="1"/>
  <c r="AG202" i="17" s="1"/>
  <c r="AB203" i="17" s="1"/>
  <c r="AD203" i="17" l="1"/>
  <c r="AF203" i="17"/>
  <c r="AM203" i="17"/>
  <c r="AN203" i="17"/>
  <c r="AQ203" i="17"/>
  <c r="AR203" i="17" s="1"/>
  <c r="AI203" i="17"/>
  <c r="AO203" i="17" l="1"/>
  <c r="AE203" i="17"/>
  <c r="AG203" i="17" s="1"/>
  <c r="AB204" i="17" s="1"/>
  <c r="AF204" i="17" l="1"/>
  <c r="AM204" i="17"/>
  <c r="AD204" i="17"/>
  <c r="AN204" i="17"/>
  <c r="AQ204" i="17"/>
  <c r="AR204" i="17"/>
  <c r="AI204" i="17"/>
  <c r="AO204" i="17" l="1"/>
  <c r="AE204" i="17"/>
  <c r="AG204" i="17" s="1"/>
  <c r="AB205" i="17" s="1"/>
  <c r="AF205" i="17" l="1"/>
  <c r="AD205" i="17"/>
  <c r="AM205" i="17"/>
  <c r="AN205" i="17"/>
  <c r="AQ205" i="17"/>
  <c r="AR205" i="17" s="1"/>
  <c r="AI205" i="17"/>
  <c r="AO205" i="17" l="1"/>
  <c r="AE205" i="17"/>
  <c r="AG205" i="17" s="1"/>
  <c r="AB206" i="17" s="1"/>
  <c r="AF206" i="17" l="1"/>
  <c r="AN206" i="17"/>
  <c r="AD206" i="17"/>
  <c r="AO206" i="17" s="1"/>
  <c r="AM206" i="17"/>
  <c r="AQ206" i="17"/>
  <c r="AR206" i="17" s="1"/>
  <c r="AI206" i="17"/>
  <c r="AE206" i="17" l="1"/>
  <c r="AG206" i="17" s="1"/>
  <c r="AB207" i="17" s="1"/>
  <c r="AF207" i="17" l="1"/>
  <c r="AD207" i="17"/>
  <c r="AM207" i="17"/>
  <c r="AN207" i="17"/>
  <c r="AQ207" i="17"/>
  <c r="AR207" i="17"/>
  <c r="AI207" i="17"/>
  <c r="AO207" i="17" l="1"/>
  <c r="AE207" i="17"/>
  <c r="AG207" i="17" s="1"/>
  <c r="AB208" i="17" s="1"/>
  <c r="AF208" i="17" l="1"/>
  <c r="AD208" i="17"/>
  <c r="AM208" i="17"/>
  <c r="AN208" i="17"/>
  <c r="AQ208" i="17"/>
  <c r="AR208" i="17"/>
  <c r="AI208" i="17"/>
  <c r="AO208" i="17" l="1"/>
  <c r="AE208" i="17"/>
  <c r="AG208" i="17" s="1"/>
  <c r="AB209" i="17" s="1"/>
  <c r="AF209" i="17" l="1"/>
  <c r="AD209" i="17"/>
  <c r="AN209" i="17"/>
  <c r="AM209" i="17"/>
  <c r="AQ209" i="17"/>
  <c r="AR209" i="17" s="1"/>
  <c r="AI209" i="17"/>
  <c r="AO209" i="17" l="1"/>
  <c r="AE209" i="17"/>
  <c r="AG209" i="17" s="1"/>
  <c r="AB210" i="17" s="1"/>
  <c r="AF210" i="17" l="1"/>
  <c r="AN210" i="17"/>
  <c r="AM210" i="17"/>
  <c r="AD210" i="17"/>
  <c r="AO210" i="17" s="1"/>
  <c r="AQ210" i="17"/>
  <c r="AR210" i="17" s="1"/>
  <c r="AI210" i="17"/>
  <c r="AE210" i="17" l="1"/>
  <c r="AG210" i="17" s="1"/>
  <c r="AB211" i="17" s="1"/>
  <c r="AD211" i="17" l="1"/>
  <c r="AF211" i="17"/>
  <c r="AM211" i="17"/>
  <c r="AN211" i="17"/>
  <c r="AQ211" i="17"/>
  <c r="AR211" i="17" s="1"/>
  <c r="AI211" i="17"/>
  <c r="AO211" i="17" l="1"/>
  <c r="AE211" i="17"/>
  <c r="AG211" i="17" s="1"/>
  <c r="AB212" i="17" s="1"/>
  <c r="AF212" i="17" l="1"/>
  <c r="AM212" i="17"/>
  <c r="AD212" i="17"/>
  <c r="AO212" i="17" s="1"/>
  <c r="AN212" i="17"/>
  <c r="AQ212" i="17"/>
  <c r="AR212" i="17" s="1"/>
  <c r="AI212" i="17"/>
  <c r="AE212" i="17" l="1"/>
  <c r="AG212" i="17" s="1"/>
  <c r="AB213" i="17" s="1"/>
  <c r="AF213" i="17" l="1"/>
  <c r="AD213" i="17"/>
  <c r="AO213" i="17" s="1"/>
  <c r="AM213" i="17"/>
  <c r="AN213" i="17"/>
  <c r="AQ213" i="17"/>
  <c r="AR213" i="17" s="1"/>
  <c r="AI213" i="17"/>
  <c r="AE213" i="17" l="1"/>
  <c r="AG213" i="17" s="1"/>
  <c r="AB214" i="17" s="1"/>
  <c r="AF214" i="17" l="1"/>
  <c r="AD214" i="17"/>
  <c r="AO214" i="17" s="1"/>
  <c r="AM214" i="17"/>
  <c r="AN214" i="17"/>
  <c r="AQ214" i="17"/>
  <c r="AR214" i="17" s="1"/>
  <c r="AI214" i="17"/>
  <c r="AE214" i="17" l="1"/>
  <c r="AG214" i="17" s="1"/>
  <c r="AB215" i="17" s="1"/>
  <c r="AF215" i="17" l="1"/>
  <c r="AD215" i="17"/>
  <c r="AO215" i="17" s="1"/>
  <c r="AM215" i="17"/>
  <c r="AN215" i="17"/>
  <c r="AQ215" i="17"/>
  <c r="AR215" i="17" s="1"/>
  <c r="AI215" i="17"/>
  <c r="AE215" i="17" l="1"/>
  <c r="AG215" i="17" s="1"/>
  <c r="AB216" i="17" s="1"/>
  <c r="AF216" i="17" l="1"/>
  <c r="AD216" i="17"/>
  <c r="AO216" i="17" s="1"/>
  <c r="AM216" i="17"/>
  <c r="AN216" i="17"/>
  <c r="AQ216" i="17"/>
  <c r="AR216" i="17" s="1"/>
  <c r="AI216" i="17"/>
  <c r="AE216" i="17" l="1"/>
  <c r="AG216" i="17" s="1"/>
  <c r="AB217" i="17" s="1"/>
  <c r="AF217" i="17" l="1"/>
  <c r="AD217" i="17"/>
  <c r="AO217" i="17" s="1"/>
  <c r="AN217" i="17"/>
  <c r="AM217" i="17"/>
  <c r="AQ217" i="17"/>
  <c r="AR217" i="17" s="1"/>
  <c r="AI217" i="17"/>
  <c r="AE217" i="17" l="1"/>
  <c r="AG217" i="17" s="1"/>
  <c r="AB218" i="17" s="1"/>
  <c r="AF218" i="17" l="1"/>
  <c r="AN218" i="17"/>
  <c r="AD218" i="17"/>
  <c r="AO218" i="17" s="1"/>
  <c r="AM218" i="17"/>
  <c r="AQ218" i="17"/>
  <c r="AR218" i="17" s="1"/>
  <c r="AI218" i="17"/>
  <c r="AE218" i="17" l="1"/>
  <c r="AG218" i="17" s="1"/>
  <c r="AB219" i="17" s="1"/>
  <c r="AD219" i="17" l="1"/>
  <c r="AF219" i="17"/>
  <c r="AM219" i="17"/>
  <c r="AN219" i="17"/>
  <c r="AQ219" i="17"/>
  <c r="AR219" i="17" s="1"/>
  <c r="AI219" i="17"/>
  <c r="AO219" i="17" l="1"/>
  <c r="AE219" i="17"/>
  <c r="AG219" i="17" s="1"/>
  <c r="AB220" i="17" s="1"/>
  <c r="AF220" i="17" l="1"/>
  <c r="AM220" i="17"/>
  <c r="AD220" i="17"/>
  <c r="AO220" i="17" s="1"/>
  <c r="AN220" i="17"/>
  <c r="AQ220" i="17"/>
  <c r="AR220" i="17"/>
  <c r="AI220" i="17"/>
  <c r="AE220" i="17" l="1"/>
  <c r="AG220" i="17" s="1"/>
  <c r="AB221" i="17" s="1"/>
  <c r="AF221" i="17" l="1"/>
  <c r="AD221" i="17"/>
  <c r="AM221" i="17"/>
  <c r="AN221" i="17"/>
  <c r="AQ221" i="17"/>
  <c r="AR221" i="17" s="1"/>
  <c r="AI221" i="17"/>
  <c r="AO221" i="17" l="1"/>
  <c r="AE221" i="17"/>
  <c r="AG221" i="17" s="1"/>
  <c r="AB222" i="17" s="1"/>
  <c r="AF222" i="17" l="1"/>
  <c r="AD222" i="17"/>
  <c r="AO222" i="17" s="1"/>
  <c r="AM222" i="17"/>
  <c r="AN222" i="17"/>
  <c r="AQ222" i="17"/>
  <c r="AR222" i="17" s="1"/>
  <c r="AI222" i="17"/>
  <c r="AE222" i="17" l="1"/>
  <c r="AG222" i="17" s="1"/>
  <c r="AB223" i="17" s="1"/>
  <c r="AF223" i="17" l="1"/>
  <c r="AD223" i="17"/>
  <c r="AM223" i="17"/>
  <c r="AN223" i="17"/>
  <c r="AQ223" i="17"/>
  <c r="AR223" i="17" s="1"/>
  <c r="AI223" i="17"/>
  <c r="AO223" i="17" l="1"/>
  <c r="AE223" i="17"/>
  <c r="AG223" i="17" s="1"/>
  <c r="AB224" i="17" s="1"/>
  <c r="AF224" i="17" l="1"/>
  <c r="AD224" i="17"/>
  <c r="AN224" i="17"/>
  <c r="AM224" i="17"/>
  <c r="AQ224" i="17"/>
  <c r="AR224" i="17" s="1"/>
  <c r="AI224" i="17"/>
  <c r="AO224" i="17" l="1"/>
  <c r="AE224" i="17"/>
  <c r="AG224" i="17" s="1"/>
  <c r="AB225" i="17" s="1"/>
  <c r="AF225" i="17" l="1"/>
  <c r="AD225" i="17"/>
  <c r="AO225" i="17" s="1"/>
  <c r="AN225" i="17"/>
  <c r="AM225" i="17"/>
  <c r="AQ225" i="17"/>
  <c r="AR225" i="17" s="1"/>
  <c r="AI225" i="17"/>
  <c r="AE225" i="17" l="1"/>
  <c r="AG225" i="17" s="1"/>
  <c r="AB226" i="17" s="1"/>
  <c r="AF226" i="17" l="1"/>
  <c r="AN226" i="17"/>
  <c r="AD226" i="17"/>
  <c r="AO226" i="17" s="1"/>
  <c r="AM226" i="17"/>
  <c r="AQ226" i="17"/>
  <c r="AR226" i="17" s="1"/>
  <c r="AI226" i="17"/>
  <c r="AE226" i="17" l="1"/>
  <c r="AG226" i="17" s="1"/>
  <c r="AB227" i="17" s="1"/>
  <c r="AD227" i="17" l="1"/>
  <c r="AF227" i="17"/>
  <c r="AM227" i="17"/>
  <c r="AN227" i="17"/>
  <c r="AQ227" i="17"/>
  <c r="AR227" i="17" s="1"/>
  <c r="AI227" i="17"/>
  <c r="AO227" i="17" l="1"/>
  <c r="AE227" i="17"/>
  <c r="AG227" i="17" s="1"/>
  <c r="AB228" i="17" s="1"/>
  <c r="AF228" i="17" l="1"/>
  <c r="AM228" i="17"/>
  <c r="AD228" i="17"/>
  <c r="AO228" i="17" s="1"/>
  <c r="AN228" i="17"/>
  <c r="AQ228" i="17"/>
  <c r="AR228" i="17" s="1"/>
  <c r="AI228" i="17"/>
  <c r="AE228" i="17" l="1"/>
  <c r="AG228" i="17" s="1"/>
  <c r="AB229" i="17" s="1"/>
  <c r="AF229" i="17" l="1"/>
  <c r="AD229" i="17"/>
  <c r="AM229" i="17"/>
  <c r="AN229" i="17"/>
  <c r="AQ229" i="17"/>
  <c r="AR229" i="17" s="1"/>
  <c r="AI229" i="17"/>
  <c r="AO229" i="17" l="1"/>
  <c r="AE229" i="17"/>
  <c r="AG229" i="17" s="1"/>
  <c r="AB230" i="17" s="1"/>
  <c r="AF230" i="17" l="1"/>
  <c r="AD230" i="17"/>
  <c r="AM230" i="17"/>
  <c r="AN230" i="17"/>
  <c r="AQ230" i="17"/>
  <c r="AR230" i="17" s="1"/>
  <c r="AI230" i="17"/>
  <c r="AO230" i="17" l="1"/>
  <c r="AE230" i="17"/>
  <c r="AG230" i="17" s="1"/>
  <c r="AB231" i="17" s="1"/>
  <c r="AF231" i="17" l="1"/>
  <c r="AD231" i="17"/>
  <c r="AO231" i="17" s="1"/>
  <c r="AN231" i="17"/>
  <c r="AM231" i="17"/>
  <c r="AQ231" i="17"/>
  <c r="AR231" i="17" s="1"/>
  <c r="AI231" i="17"/>
  <c r="AE231" i="17" l="1"/>
  <c r="AG231" i="17" s="1"/>
  <c r="AB232" i="17" s="1"/>
  <c r="AF232" i="17" l="1"/>
  <c r="AD232" i="17"/>
  <c r="AM232" i="17"/>
  <c r="AN232" i="17"/>
  <c r="AQ232" i="17"/>
  <c r="AR232" i="17" s="1"/>
  <c r="AI232" i="17"/>
  <c r="AO232" i="17" l="1"/>
  <c r="AE232" i="17"/>
  <c r="AG232" i="17" s="1"/>
  <c r="AB233" i="17" s="1"/>
  <c r="AF233" i="17" l="1"/>
  <c r="AD233" i="17"/>
  <c r="AO233" i="17" s="1"/>
  <c r="AN233" i="17"/>
  <c r="AM233" i="17"/>
  <c r="AQ233" i="17"/>
  <c r="AR233" i="17" s="1"/>
  <c r="AI233" i="17"/>
  <c r="AE233" i="17" l="1"/>
  <c r="AG233" i="17" s="1"/>
  <c r="AB234" i="17" s="1"/>
  <c r="AF234" i="17" l="1"/>
  <c r="AN234" i="17"/>
  <c r="AD234" i="17"/>
  <c r="AO234" i="17" s="1"/>
  <c r="AM234" i="17"/>
  <c r="AQ234" i="17"/>
  <c r="AR234" i="17" s="1"/>
  <c r="AI234" i="17"/>
  <c r="AE234" i="17" l="1"/>
  <c r="AG234" i="17" s="1"/>
  <c r="AB235" i="17" s="1"/>
  <c r="AF235" i="17" l="1"/>
  <c r="AD235" i="17"/>
  <c r="AM235" i="17"/>
  <c r="AN235" i="17"/>
  <c r="AQ235" i="17"/>
  <c r="AR235" i="17" s="1"/>
  <c r="AI235" i="17"/>
  <c r="AO235" i="17" l="1"/>
  <c r="AE235" i="17"/>
  <c r="AG235" i="17" s="1"/>
  <c r="AB236" i="17" s="1"/>
  <c r="AF236" i="17" s="1"/>
  <c r="AI236" i="17" l="1"/>
  <c r="AQ236" i="17"/>
  <c r="AR236" i="17" s="1"/>
  <c r="AN236" i="17"/>
  <c r="AD236" i="17"/>
  <c r="AE236" i="17" s="1"/>
  <c r="AG236" i="17" s="1"/>
  <c r="AB237" i="17" s="1"/>
  <c r="AM236" i="17"/>
  <c r="AO236" i="17" l="1"/>
  <c r="AF237" i="17"/>
  <c r="AD237" i="17"/>
  <c r="AO237" i="17" s="1"/>
  <c r="AM237" i="17"/>
  <c r="AN237" i="17"/>
  <c r="AQ237" i="17"/>
  <c r="AR237" i="17" s="1"/>
  <c r="AI237" i="17"/>
  <c r="AE237" i="17" l="1"/>
  <c r="AG237" i="17" s="1"/>
  <c r="AB238" i="17" s="1"/>
  <c r="AF238" i="17" l="1"/>
  <c r="AN238" i="17"/>
  <c r="AD238" i="17"/>
  <c r="AO238" i="17" s="1"/>
  <c r="AM238" i="17"/>
  <c r="AQ238" i="17"/>
  <c r="AR238" i="17" s="1"/>
  <c r="AI238" i="17"/>
  <c r="AE238" i="17" l="1"/>
  <c r="AG238" i="17" s="1"/>
  <c r="AB239" i="17" s="1"/>
  <c r="AF239" i="17" l="1"/>
  <c r="AD239" i="17"/>
  <c r="AM239" i="17"/>
  <c r="AN239" i="17"/>
  <c r="AQ239" i="17"/>
  <c r="AR239" i="17" s="1"/>
  <c r="AI239" i="17"/>
  <c r="AO239" i="17" l="1"/>
  <c r="AE239" i="17"/>
  <c r="AG239" i="17" s="1"/>
  <c r="AB240" i="17" s="1"/>
  <c r="AF240" i="17" l="1"/>
  <c r="AD240" i="17"/>
  <c r="AM240" i="17"/>
  <c r="AN240" i="17"/>
  <c r="AQ240" i="17"/>
  <c r="AR240" i="17" s="1"/>
  <c r="AI240" i="17"/>
  <c r="AO240" i="17" l="1"/>
  <c r="AE240" i="17"/>
  <c r="AG240" i="17" s="1"/>
  <c r="AB241" i="17" s="1"/>
  <c r="AF241" i="17" l="1"/>
  <c r="AD241" i="17"/>
  <c r="AN241" i="17"/>
  <c r="AM241" i="17"/>
  <c r="AQ241" i="17"/>
  <c r="AR241" i="17" s="1"/>
  <c r="AI241" i="17"/>
  <c r="AO241" i="17" l="1"/>
  <c r="AE241" i="17"/>
  <c r="AG241" i="17" s="1"/>
  <c r="AB242" i="17" s="1"/>
  <c r="AF242" i="17" l="1"/>
  <c r="AN242" i="17"/>
  <c r="AM242" i="17"/>
  <c r="AD242" i="17"/>
  <c r="AO242" i="17" s="1"/>
  <c r="AQ242" i="17"/>
  <c r="AR242" i="17" s="1"/>
  <c r="AI242" i="17"/>
  <c r="AE242" i="17" l="1"/>
  <c r="AG242" i="17" s="1"/>
  <c r="AB243" i="17" s="1"/>
  <c r="AD243" i="17" l="1"/>
  <c r="AF243" i="17"/>
  <c r="AM243" i="17"/>
  <c r="AN243" i="17"/>
  <c r="AQ243" i="17"/>
  <c r="AR243" i="17" s="1"/>
  <c r="AI243" i="17"/>
  <c r="AO243" i="17" l="1"/>
  <c r="AE243" i="17"/>
  <c r="AG243" i="17" s="1"/>
  <c r="AB244" i="17" s="1"/>
  <c r="AF244" i="17" l="1"/>
  <c r="AM244" i="17"/>
  <c r="AD244" i="17"/>
  <c r="AO244" i="17" s="1"/>
  <c r="AN244" i="17"/>
  <c r="AQ244" i="17"/>
  <c r="AR244" i="17" s="1"/>
  <c r="AI244" i="17"/>
  <c r="AE244" i="17" l="1"/>
  <c r="AG244" i="17" s="1"/>
  <c r="AB245" i="17" s="1"/>
  <c r="AF245" i="17" l="1"/>
  <c r="AD245" i="17"/>
  <c r="AM245" i="17"/>
  <c r="AN245" i="17"/>
  <c r="AQ245" i="17"/>
  <c r="AR245" i="17" s="1"/>
  <c r="AI245" i="17"/>
  <c r="AO245" i="17" l="1"/>
  <c r="AE245" i="17"/>
  <c r="AG245" i="17" s="1"/>
  <c r="AB246" i="17" s="1"/>
  <c r="AF246" i="17" l="1"/>
  <c r="AD246" i="17"/>
  <c r="AM246" i="17"/>
  <c r="AN246" i="17"/>
  <c r="AQ246" i="17"/>
  <c r="AR246" i="17" s="1"/>
  <c r="AI246" i="17"/>
  <c r="AO246" i="17" l="1"/>
  <c r="AE246" i="17"/>
  <c r="AG246" i="17" s="1"/>
  <c r="AB247" i="17" s="1"/>
  <c r="AF247" i="17" l="1"/>
  <c r="AD247" i="17"/>
  <c r="AO247" i="17" s="1"/>
  <c r="AM247" i="17"/>
  <c r="AN247" i="17"/>
  <c r="AQ247" i="17"/>
  <c r="AR247" i="17" s="1"/>
  <c r="AI247" i="17"/>
  <c r="AE247" i="17" l="1"/>
  <c r="AG247" i="17" s="1"/>
  <c r="AB248" i="17" s="1"/>
  <c r="AF248" i="17" l="1"/>
  <c r="AD248" i="17"/>
  <c r="AM248" i="17"/>
  <c r="AN248" i="17"/>
  <c r="AQ248" i="17"/>
  <c r="AR248" i="17" s="1"/>
  <c r="AI248" i="17"/>
  <c r="AO248" i="17" l="1"/>
  <c r="AE248" i="17"/>
  <c r="AG248" i="17" s="1"/>
  <c r="AB249" i="17" s="1"/>
  <c r="AF249" i="17" l="1"/>
  <c r="AD249" i="17"/>
  <c r="AN249" i="17"/>
  <c r="AM249" i="17"/>
  <c r="AQ249" i="17"/>
  <c r="AR249" i="17" s="1"/>
  <c r="AI249" i="17"/>
  <c r="AO249" i="17" l="1"/>
  <c r="AE249" i="17"/>
  <c r="AG249" i="17" s="1"/>
  <c r="AB250" i="17" s="1"/>
  <c r="AF250" i="17" l="1"/>
  <c r="AN250" i="17"/>
  <c r="AD250" i="17"/>
  <c r="AO250" i="17" s="1"/>
  <c r="AM250" i="17"/>
  <c r="AQ250" i="17"/>
  <c r="AR250" i="17" s="1"/>
  <c r="AI250" i="17"/>
  <c r="AE250" i="17" l="1"/>
  <c r="AG250" i="17" s="1"/>
  <c r="AB251" i="17" s="1"/>
  <c r="AD251" i="17" l="1"/>
  <c r="AF251" i="17"/>
  <c r="AM251" i="17"/>
  <c r="AN251" i="17"/>
  <c r="AQ251" i="17"/>
  <c r="AR251" i="17"/>
  <c r="AI251" i="17"/>
  <c r="AO251" i="17" l="1"/>
  <c r="AE251" i="17"/>
  <c r="AG251" i="17" s="1"/>
  <c r="AB252" i="17" s="1"/>
  <c r="AF252" i="17" l="1"/>
  <c r="AM252" i="17"/>
  <c r="AD252" i="17"/>
  <c r="AO252" i="17" s="1"/>
  <c r="AN252" i="17"/>
  <c r="AQ252" i="17"/>
  <c r="AR252" i="17" s="1"/>
  <c r="AI252" i="17"/>
  <c r="AE252" i="17" l="1"/>
  <c r="AG252" i="17" s="1"/>
  <c r="AB253" i="17" s="1"/>
  <c r="AF253" i="17" l="1"/>
  <c r="AD253" i="17"/>
  <c r="AO253" i="17" s="1"/>
  <c r="AM253" i="17"/>
  <c r="AN253" i="17"/>
  <c r="AQ253" i="17"/>
  <c r="AR253" i="17" s="1"/>
  <c r="AI253" i="17"/>
  <c r="AE253" i="17" l="1"/>
  <c r="AG253" i="17" s="1"/>
  <c r="AB254" i="17" s="1"/>
  <c r="AF254" i="17" l="1"/>
  <c r="AD254" i="17"/>
  <c r="AM254" i="17"/>
  <c r="AN254" i="17"/>
  <c r="AQ254" i="17"/>
  <c r="AR254" i="17" s="1"/>
  <c r="AI254" i="17"/>
  <c r="AO254" i="17" l="1"/>
  <c r="AE254" i="17"/>
  <c r="AG254" i="17" s="1"/>
  <c r="AB255" i="17" s="1"/>
  <c r="AF255" i="17" l="1"/>
  <c r="AD255" i="17"/>
  <c r="AO255" i="17" s="1"/>
  <c r="AM255" i="17"/>
  <c r="AN255" i="17"/>
  <c r="AQ255" i="17"/>
  <c r="AR255" i="17" s="1"/>
  <c r="AI255" i="17"/>
  <c r="AE255" i="17" l="1"/>
  <c r="AG255" i="17" s="1"/>
  <c r="AB256" i="17" s="1"/>
  <c r="AF256" i="17" l="1"/>
  <c r="AD256" i="17"/>
  <c r="AN256" i="17"/>
  <c r="AM256" i="17"/>
  <c r="AQ256" i="17"/>
  <c r="AR256" i="17" s="1"/>
  <c r="AI256" i="17"/>
  <c r="AO256" i="17" l="1"/>
  <c r="AE256" i="17"/>
  <c r="AG256" i="17" s="1"/>
  <c r="AB257" i="17" s="1"/>
  <c r="AF257" i="17" l="1"/>
  <c r="AD257" i="17"/>
  <c r="AO257" i="17" s="1"/>
  <c r="AN257" i="17"/>
  <c r="AM257" i="17"/>
  <c r="AQ257" i="17"/>
  <c r="AR257" i="17" s="1"/>
  <c r="AI257" i="17"/>
  <c r="AE257" i="17" l="1"/>
  <c r="AG257" i="17" s="1"/>
  <c r="AB258" i="17" s="1"/>
  <c r="AF258" i="17" l="1"/>
  <c r="AN258" i="17"/>
  <c r="AD258" i="17"/>
  <c r="AO258" i="17" s="1"/>
  <c r="AM258" i="17"/>
  <c r="AQ258" i="17"/>
  <c r="AR258" i="17" s="1"/>
  <c r="AI258" i="17"/>
  <c r="AE258" i="17" l="1"/>
  <c r="AG258" i="17" s="1"/>
  <c r="AB259" i="17" s="1"/>
  <c r="AF259" i="17" l="1"/>
  <c r="AD259" i="17"/>
  <c r="AO259" i="17" s="1"/>
  <c r="AM259" i="17"/>
  <c r="AN259" i="17"/>
  <c r="AQ259" i="17"/>
  <c r="AR259" i="17"/>
  <c r="AI259" i="17"/>
  <c r="AE259" i="17" l="1"/>
  <c r="AG259" i="17" s="1"/>
  <c r="AB260" i="17" s="1"/>
  <c r="AF260" i="17" l="1"/>
  <c r="AM260" i="17"/>
  <c r="AD260" i="17"/>
  <c r="AO260" i="17" s="1"/>
  <c r="AN260" i="17"/>
  <c r="AQ260" i="17"/>
  <c r="AR260" i="17"/>
  <c r="AI260" i="17"/>
  <c r="AE260" i="17" l="1"/>
  <c r="AG260" i="17" s="1"/>
  <c r="AB261" i="17" s="1"/>
  <c r="AF261" i="17" l="1"/>
  <c r="AD261" i="17"/>
  <c r="AO261" i="17" s="1"/>
  <c r="AM261" i="17"/>
  <c r="AN261" i="17"/>
  <c r="AQ261" i="17"/>
  <c r="AR261" i="17" s="1"/>
  <c r="AI261" i="17"/>
  <c r="AE261" i="17" l="1"/>
  <c r="AG261" i="17" s="1"/>
  <c r="AB262" i="17" s="1"/>
  <c r="AF262" i="17" l="1"/>
  <c r="AD262" i="17"/>
  <c r="AO262" i="17" s="1"/>
  <c r="AM262" i="17"/>
  <c r="AN262" i="17"/>
  <c r="AQ262" i="17"/>
  <c r="AR262" i="17" s="1"/>
  <c r="AI262" i="17"/>
  <c r="AE262" i="17" l="1"/>
  <c r="AG262" i="17" s="1"/>
  <c r="AB263" i="17" s="1"/>
  <c r="AF263" i="17" l="1"/>
  <c r="AD263" i="17"/>
  <c r="AN263" i="17"/>
  <c r="AM263" i="17"/>
  <c r="AQ263" i="17"/>
  <c r="AR263" i="17" s="1"/>
  <c r="AI263" i="17"/>
  <c r="AO263" i="17" l="1"/>
  <c r="AE263" i="17"/>
  <c r="AG263" i="17" s="1"/>
  <c r="AB264" i="17" s="1"/>
  <c r="AF264" i="17" l="1"/>
  <c r="AD264" i="17"/>
  <c r="AM264" i="17"/>
  <c r="AN264" i="17"/>
  <c r="AQ264" i="17"/>
  <c r="AR264" i="17" s="1"/>
  <c r="AI264" i="17"/>
  <c r="AO264" i="17" l="1"/>
  <c r="AE264" i="17"/>
  <c r="AG264" i="17" s="1"/>
  <c r="AB265" i="17" s="1"/>
  <c r="AF265" i="17" l="1"/>
  <c r="AD265" i="17"/>
  <c r="AN265" i="17"/>
  <c r="AM265" i="17"/>
  <c r="AQ265" i="17"/>
  <c r="AR265" i="17" s="1"/>
  <c r="AI265" i="17"/>
  <c r="AO265" i="17" l="1"/>
  <c r="AE265" i="17"/>
  <c r="AG265" i="17" s="1"/>
  <c r="AB266" i="17" s="1"/>
  <c r="AF266" i="17" l="1"/>
  <c r="AN266" i="17"/>
  <c r="AD266" i="17"/>
  <c r="AO266" i="17" s="1"/>
  <c r="AM266" i="17"/>
  <c r="AQ266" i="17"/>
  <c r="AR266" i="17" s="1"/>
  <c r="AI266" i="17"/>
  <c r="AE266" i="17" l="1"/>
  <c r="AG266" i="17" s="1"/>
  <c r="AB267" i="17" s="1"/>
  <c r="AD267" i="17" l="1"/>
  <c r="AF267" i="17"/>
  <c r="AM267" i="17"/>
  <c r="AN267" i="17"/>
  <c r="AQ267" i="17"/>
  <c r="AR267" i="17"/>
  <c r="AI267" i="17"/>
  <c r="AO267" i="17" l="1"/>
  <c r="AE267" i="17"/>
  <c r="AG267" i="17" s="1"/>
  <c r="AB268" i="17" s="1"/>
  <c r="AF268" i="17" l="1"/>
  <c r="AM268" i="17"/>
  <c r="AD268" i="17"/>
  <c r="AO268" i="17" s="1"/>
  <c r="AN268" i="17"/>
  <c r="AQ268" i="17"/>
  <c r="AR268" i="17" s="1"/>
  <c r="AS268" i="17"/>
  <c r="AI268" i="17"/>
  <c r="AJ268" i="17" l="1"/>
  <c r="AE268" i="17"/>
  <c r="AG268" i="17" s="1"/>
  <c r="AB269" i="17" s="1"/>
  <c r="AF269" i="17" l="1"/>
  <c r="AD269" i="17"/>
  <c r="AO269" i="17" s="1"/>
  <c r="AM269" i="17"/>
  <c r="AN269" i="17"/>
  <c r="AQ269" i="17"/>
  <c r="AR269" i="17" s="1"/>
  <c r="AS269" i="17"/>
  <c r="AI269" i="17"/>
  <c r="AJ269" i="17" l="1"/>
  <c r="AE269" i="17"/>
  <c r="AG269" i="17" s="1"/>
  <c r="AB270" i="17" s="1"/>
  <c r="AF270" i="17" l="1"/>
  <c r="AN270" i="17"/>
  <c r="AD270" i="17"/>
  <c r="AO270" i="17" s="1"/>
  <c r="AM270" i="17"/>
  <c r="AQ270" i="17"/>
  <c r="AR270" i="17" s="1"/>
  <c r="AS270" i="17"/>
  <c r="AI270" i="17"/>
  <c r="AJ270" i="17" l="1"/>
  <c r="AE270" i="17"/>
  <c r="AG270" i="17" s="1"/>
  <c r="AB271" i="17" s="1"/>
  <c r="AF271" i="17" l="1"/>
  <c r="AD271" i="17"/>
  <c r="AM271" i="17"/>
  <c r="AN271" i="17"/>
  <c r="AQ271" i="17"/>
  <c r="AR271" i="17" s="1"/>
  <c r="AS271" i="17"/>
  <c r="AI271" i="17"/>
  <c r="AO271" i="17" l="1"/>
  <c r="AJ271" i="17"/>
  <c r="AE271" i="17"/>
  <c r="AG271" i="17" s="1"/>
  <c r="AB272" i="17" s="1"/>
  <c r="AF272" i="17" l="1"/>
  <c r="AD272" i="17"/>
  <c r="AM272" i="17"/>
  <c r="AN272" i="17"/>
  <c r="AQ272" i="17"/>
  <c r="AR272" i="17" s="1"/>
  <c r="AS272" i="17"/>
  <c r="AI272" i="17"/>
  <c r="AO272" i="17" l="1"/>
  <c r="AJ272" i="17"/>
  <c r="AE272" i="17"/>
  <c r="AG272" i="17" s="1"/>
  <c r="AB273" i="17" s="1"/>
  <c r="AF273" i="17" l="1"/>
  <c r="AD273" i="17"/>
  <c r="AN273" i="17"/>
  <c r="AM273" i="17"/>
  <c r="AQ273" i="17"/>
  <c r="AR273" i="17" s="1"/>
  <c r="AS273" i="17"/>
  <c r="AI273" i="17"/>
  <c r="AO273" i="17" l="1"/>
  <c r="AJ273" i="17"/>
  <c r="AE273" i="17"/>
  <c r="AG273" i="17" s="1"/>
  <c r="AB274" i="17" s="1"/>
  <c r="AF274" i="17" l="1"/>
  <c r="AN274" i="17"/>
  <c r="AM274" i="17"/>
  <c r="AD274" i="17"/>
  <c r="AO274" i="17" s="1"/>
  <c r="AQ274" i="17"/>
  <c r="AR274" i="17" s="1"/>
  <c r="AS274" i="17"/>
  <c r="AI274" i="17"/>
  <c r="AJ274" i="17" l="1"/>
  <c r="AE274" i="17"/>
  <c r="AG274" i="17" s="1"/>
  <c r="AB275" i="17" s="1"/>
  <c r="AD275" i="17" l="1"/>
  <c r="AF275" i="17"/>
  <c r="AM275" i="17"/>
  <c r="AN275" i="17"/>
  <c r="AQ275" i="17"/>
  <c r="AR275" i="17" s="1"/>
  <c r="AS275" i="17"/>
  <c r="AI275" i="17"/>
  <c r="AO275" i="17" l="1"/>
  <c r="AJ275" i="17"/>
  <c r="AE275" i="17"/>
  <c r="AG275" i="17" s="1"/>
  <c r="C30" i="17" l="1"/>
  <c r="AJ30" i="17" s="1"/>
  <c r="AK30" i="17" s="1"/>
  <c r="AL30" i="17" s="1"/>
  <c r="Q30" i="17"/>
  <c r="R30" i="17" l="1"/>
  <c r="AS30" i="17"/>
  <c r="D30" i="17"/>
  <c r="F30" i="17" l="1"/>
  <c r="AT30" i="17"/>
  <c r="T30" i="17"/>
  <c r="T31" i="17" s="1"/>
  <c r="T32" i="17" s="1"/>
  <c r="AU30" i="17" l="1"/>
  <c r="Q33" i="17"/>
  <c r="S33" i="17"/>
  <c r="E31" i="17"/>
  <c r="C31" i="17"/>
  <c r="R33" i="17" l="1"/>
  <c r="D31" i="17"/>
  <c r="AJ31" i="17"/>
  <c r="AS31" i="17"/>
  <c r="F31" i="17" l="1"/>
  <c r="AT31" i="17"/>
  <c r="AK31" i="17"/>
  <c r="T33" i="17"/>
  <c r="T34" i="17" s="1"/>
  <c r="AL31" i="17" l="1"/>
  <c r="S35" i="17"/>
  <c r="Q35" i="17"/>
  <c r="C32" i="17"/>
  <c r="E32" i="17"/>
  <c r="AU31" i="17"/>
  <c r="R35" i="17" l="1"/>
  <c r="D32" i="17"/>
  <c r="AJ32" i="17"/>
  <c r="AS32" i="17"/>
  <c r="AT32" i="17" l="1"/>
  <c r="AK32" i="17"/>
  <c r="F32" i="17"/>
  <c r="T35" i="17"/>
  <c r="S36" i="17" l="1"/>
  <c r="Q36" i="17"/>
  <c r="AL32" i="17"/>
  <c r="C33" i="17"/>
  <c r="E33" i="17"/>
  <c r="AU32" i="17"/>
  <c r="R36" i="17" l="1"/>
  <c r="AJ33" i="17"/>
  <c r="D33" i="17"/>
  <c r="AS33" i="17"/>
  <c r="AT33" i="17" l="1"/>
  <c r="F33" i="17"/>
  <c r="AK33" i="17"/>
  <c r="T36" i="17"/>
  <c r="T37" i="17" s="1"/>
  <c r="AL33" i="17" l="1"/>
  <c r="C34" i="17"/>
  <c r="E34" i="17"/>
  <c r="S38" i="17"/>
  <c r="Q38" i="17"/>
  <c r="AU33" i="17"/>
  <c r="AJ34" i="17" l="1"/>
  <c r="D34" i="17"/>
  <c r="AS34" i="17"/>
  <c r="R38" i="17"/>
  <c r="T38" i="17" l="1"/>
  <c r="AT34" i="17"/>
  <c r="F34" i="17"/>
  <c r="AK34" i="17"/>
  <c r="AL34" i="17" l="1"/>
  <c r="E35" i="17"/>
  <c r="C35" i="17"/>
  <c r="AU34" i="17"/>
  <c r="S39" i="17"/>
  <c r="Q39" i="17"/>
  <c r="D35" i="17" l="1"/>
  <c r="F35" i="17" s="1"/>
  <c r="AJ35" i="17"/>
  <c r="AS35" i="17"/>
  <c r="AT35" i="17" s="1"/>
  <c r="R39" i="17"/>
  <c r="T39" i="17" s="1"/>
  <c r="T40" i="17" s="1"/>
  <c r="AU35" i="17" l="1"/>
  <c r="AK35" i="17"/>
  <c r="S41" i="17"/>
  <c r="Q41" i="17"/>
  <c r="R41" i="17" s="1"/>
  <c r="T41" i="17" s="1"/>
  <c r="C36" i="17"/>
  <c r="E36" i="17"/>
  <c r="S42" i="17" l="1"/>
  <c r="Q42" i="17"/>
  <c r="R42" i="17" s="1"/>
  <c r="T42" i="17" s="1"/>
  <c r="T43" i="17" s="1"/>
  <c r="AL35" i="17"/>
  <c r="D36" i="17"/>
  <c r="F36" i="17" s="1"/>
  <c r="AJ36" i="17"/>
  <c r="AK36" i="17" s="1"/>
  <c r="AS36" i="17"/>
  <c r="AT36" i="17" s="1"/>
  <c r="AL36" i="17" l="1"/>
  <c r="Q44" i="17"/>
  <c r="R44" i="17" s="1"/>
  <c r="T44" i="17" s="1"/>
  <c r="S44" i="17"/>
  <c r="AU36" i="17"/>
  <c r="C37" i="17"/>
  <c r="E37" i="17"/>
  <c r="Q45" i="17" l="1"/>
  <c r="R45" i="17" s="1"/>
  <c r="T45" i="17" s="1"/>
  <c r="S45" i="17"/>
  <c r="AJ37" i="17"/>
  <c r="AK37" i="17" s="1"/>
  <c r="D37" i="17"/>
  <c r="F37" i="17" s="1"/>
  <c r="AS37" i="17"/>
  <c r="AT37" i="17" s="1"/>
  <c r="Q46" i="17" l="1"/>
  <c r="S46" i="17"/>
  <c r="AU37" i="17"/>
  <c r="AL37" i="17"/>
  <c r="C38" i="17"/>
  <c r="E38" i="17"/>
  <c r="R46" i="17" l="1"/>
  <c r="T46" i="17" s="1"/>
  <c r="S47" i="17" s="1"/>
  <c r="Q47" i="17"/>
  <c r="AJ38" i="17"/>
  <c r="AK38" i="17" s="1"/>
  <c r="D38" i="17"/>
  <c r="F38" i="17" s="1"/>
  <c r="AS38" i="17"/>
  <c r="AT38" i="17" s="1"/>
  <c r="R47" i="17" l="1"/>
  <c r="T47" i="17" s="1"/>
  <c r="S48" i="17" s="1"/>
  <c r="Q48" i="17"/>
  <c r="E39" i="17"/>
  <c r="C39" i="17"/>
  <c r="AL38" i="17"/>
  <c r="AU38" i="17"/>
  <c r="R48" i="17" l="1"/>
  <c r="T48" i="17" s="1"/>
  <c r="Q49" i="17"/>
  <c r="R49" i="17" s="1"/>
  <c r="T49" i="17" s="1"/>
  <c r="S49" i="17"/>
  <c r="D39" i="17"/>
  <c r="F39" i="17" s="1"/>
  <c r="AJ39" i="17"/>
  <c r="AK39" i="17" s="1"/>
  <c r="AS39" i="17"/>
  <c r="AT39" i="17" s="1"/>
  <c r="Q50" i="17" l="1"/>
  <c r="S50" i="17"/>
  <c r="AU39" i="17"/>
  <c r="AL39" i="17"/>
  <c r="C40" i="17"/>
  <c r="E40" i="17"/>
  <c r="D40" i="17" l="1"/>
  <c r="F40" i="17" s="1"/>
  <c r="AJ40" i="17"/>
  <c r="AK40" i="17" s="1"/>
  <c r="AS40" i="17"/>
  <c r="AT40" i="17" s="1"/>
  <c r="R50" i="17"/>
  <c r="T50" i="17" s="1"/>
  <c r="AU40" i="17" l="1"/>
  <c r="AL40" i="17"/>
  <c r="S51" i="17"/>
  <c r="Q51" i="17"/>
  <c r="R51" i="17" s="1"/>
  <c r="T51" i="17" s="1"/>
  <c r="C41" i="17"/>
  <c r="E41" i="17"/>
  <c r="Q52" i="17" l="1"/>
  <c r="R52" i="17" s="1"/>
  <c r="T52" i="17" s="1"/>
  <c r="S52" i="17"/>
  <c r="AJ41" i="17"/>
  <c r="AK41" i="17" s="1"/>
  <c r="D41" i="17"/>
  <c r="F41" i="17" s="1"/>
  <c r="AS41" i="17"/>
  <c r="AT41" i="17" s="1"/>
  <c r="Q53" i="17" l="1"/>
  <c r="R53" i="17" s="1"/>
  <c r="T53" i="17" s="1"/>
  <c r="S53" i="17"/>
  <c r="AU41" i="17"/>
  <c r="AL41" i="17"/>
  <c r="C42" i="17"/>
  <c r="E42" i="17"/>
  <c r="Q54" i="17" l="1"/>
  <c r="R54" i="17" s="1"/>
  <c r="T54" i="17" s="1"/>
  <c r="S54" i="17"/>
  <c r="AJ42" i="17"/>
  <c r="AK42" i="17" s="1"/>
  <c r="D42" i="17"/>
  <c r="F42" i="17" s="1"/>
  <c r="AS42" i="17"/>
  <c r="AT42" i="17" s="1"/>
  <c r="S55" i="17" l="1"/>
  <c r="Q55" i="17"/>
  <c r="R55" i="17" s="1"/>
  <c r="T55" i="17" s="1"/>
  <c r="AU42" i="17"/>
  <c r="E43" i="17"/>
  <c r="C43" i="17"/>
  <c r="AL42" i="17"/>
  <c r="Q56" i="17" l="1"/>
  <c r="R56" i="17" s="1"/>
  <c r="T56" i="17" s="1"/>
  <c r="S56" i="17"/>
  <c r="D43" i="17"/>
  <c r="F43" i="17" s="1"/>
  <c r="AJ43" i="17"/>
  <c r="AK43" i="17" s="1"/>
  <c r="AS43" i="17"/>
  <c r="AT43" i="17" s="1"/>
  <c r="Q57" i="17" l="1"/>
  <c r="R57" i="17" s="1"/>
  <c r="T57" i="17" s="1"/>
  <c r="S57" i="17"/>
  <c r="AL43" i="17"/>
  <c r="AU43" i="17"/>
  <c r="C44" i="17"/>
  <c r="E44" i="17"/>
  <c r="Q58" i="17" l="1"/>
  <c r="S58" i="17"/>
  <c r="D44" i="17"/>
  <c r="F44" i="17" s="1"/>
  <c r="AJ44" i="17"/>
  <c r="AK44" i="17" s="1"/>
  <c r="AS44" i="17"/>
  <c r="AT44" i="17" s="1"/>
  <c r="R58" i="17" l="1"/>
  <c r="T58" i="17" s="1"/>
  <c r="S59" i="17"/>
  <c r="Q59" i="17"/>
  <c r="R59" i="17" s="1"/>
  <c r="T59" i="17" s="1"/>
  <c r="AU44" i="17"/>
  <c r="AL44" i="17"/>
  <c r="C45" i="17"/>
  <c r="E45" i="17"/>
  <c r="Q60" i="17" l="1"/>
  <c r="R60" i="17" s="1"/>
  <c r="T60" i="17" s="1"/>
  <c r="S60" i="17"/>
  <c r="AJ45" i="17"/>
  <c r="AK45" i="17" s="1"/>
  <c r="D45" i="17"/>
  <c r="F45" i="17" s="1"/>
  <c r="AS45" i="17"/>
  <c r="AT45" i="17" s="1"/>
  <c r="Q61" i="17" l="1"/>
  <c r="R61" i="17" s="1"/>
  <c r="T61" i="17" s="1"/>
  <c r="S61" i="17"/>
  <c r="AU45" i="17"/>
  <c r="AL45" i="17"/>
  <c r="C46" i="17"/>
  <c r="E46" i="17"/>
  <c r="Q62" i="17" l="1"/>
  <c r="R62" i="17" s="1"/>
  <c r="T62" i="17" s="1"/>
  <c r="S62" i="17"/>
  <c r="AJ46" i="17"/>
  <c r="AK46" i="17" s="1"/>
  <c r="D46" i="17"/>
  <c r="F46" i="17" s="1"/>
  <c r="AS46" i="17"/>
  <c r="AT46" i="17" s="1"/>
  <c r="S63" i="17" l="1"/>
  <c r="Q63" i="17"/>
  <c r="R63" i="17" s="1"/>
  <c r="T63" i="17" s="1"/>
  <c r="AU46" i="17"/>
  <c r="AL46" i="17"/>
  <c r="E47" i="17"/>
  <c r="C47" i="17"/>
  <c r="Q64" i="17" l="1"/>
  <c r="R64" i="17" s="1"/>
  <c r="T64" i="17" s="1"/>
  <c r="S64" i="17"/>
  <c r="D47" i="17"/>
  <c r="F47" i="17" s="1"/>
  <c r="AJ47" i="17"/>
  <c r="AK47" i="17" s="1"/>
  <c r="AS47" i="17"/>
  <c r="AT47" i="17" s="1"/>
  <c r="Q65" i="17" l="1"/>
  <c r="R65" i="17" s="1"/>
  <c r="T65" i="17" s="1"/>
  <c r="S65" i="17"/>
  <c r="AL47" i="17"/>
  <c r="C48" i="17"/>
  <c r="E48" i="17"/>
  <c r="AU47" i="17"/>
  <c r="Q66" i="17" l="1"/>
  <c r="R66" i="17" s="1"/>
  <c r="T66" i="17" s="1"/>
  <c r="S66" i="17"/>
  <c r="D48" i="17"/>
  <c r="F48" i="17" s="1"/>
  <c r="AJ48" i="17"/>
  <c r="AK48" i="17" s="1"/>
  <c r="AS48" i="17"/>
  <c r="AT48" i="17" s="1"/>
  <c r="S67" i="17" l="1"/>
  <c r="Q67" i="17"/>
  <c r="R67" i="17" s="1"/>
  <c r="T67" i="17" s="1"/>
  <c r="AU48" i="17"/>
  <c r="C49" i="17"/>
  <c r="E49" i="17"/>
  <c r="AL48" i="17"/>
  <c r="Q68" i="17" l="1"/>
  <c r="R68" i="17" s="1"/>
  <c r="T68" i="17" s="1"/>
  <c r="S68" i="17"/>
  <c r="AJ49" i="17"/>
  <c r="AK49" i="17" s="1"/>
  <c r="D49" i="17"/>
  <c r="F49" i="17" s="1"/>
  <c r="AS49" i="17"/>
  <c r="AT49" i="17" s="1"/>
  <c r="Q69" i="17" l="1"/>
  <c r="R69" i="17" s="1"/>
  <c r="T69" i="17" s="1"/>
  <c r="S69" i="17"/>
  <c r="AU49" i="17"/>
  <c r="AL49" i="17"/>
  <c r="C50" i="17"/>
  <c r="E50" i="17"/>
  <c r="Q70" i="17" l="1"/>
  <c r="R70" i="17" s="1"/>
  <c r="T70" i="17" s="1"/>
  <c r="S70" i="17"/>
  <c r="AJ50" i="17"/>
  <c r="AK50" i="17" s="1"/>
  <c r="D50" i="17"/>
  <c r="F50" i="17" s="1"/>
  <c r="AS50" i="17"/>
  <c r="AT50" i="17" s="1"/>
  <c r="S71" i="17" l="1"/>
  <c r="Q71" i="17"/>
  <c r="R71" i="17" s="1"/>
  <c r="T71" i="17" s="1"/>
  <c r="AU50" i="17"/>
  <c r="AL50" i="17"/>
  <c r="E51" i="17"/>
  <c r="C51" i="17"/>
  <c r="Q72" i="17" l="1"/>
  <c r="R72" i="17" s="1"/>
  <c r="T72" i="17" s="1"/>
  <c r="S72" i="17"/>
  <c r="D51" i="17"/>
  <c r="F51" i="17" s="1"/>
  <c r="AJ51" i="17"/>
  <c r="AK51" i="17" s="1"/>
  <c r="AS51" i="17"/>
  <c r="AT51" i="17" s="1"/>
  <c r="Q73" i="17" l="1"/>
  <c r="R73" i="17" s="1"/>
  <c r="T73" i="17" s="1"/>
  <c r="S73" i="17"/>
  <c r="AL51" i="17"/>
  <c r="AU51" i="17"/>
  <c r="C52" i="17"/>
  <c r="E52" i="17"/>
  <c r="S74" i="17" l="1"/>
  <c r="Q74" i="17"/>
  <c r="R74" i="17" s="1"/>
  <c r="T74" i="17" s="1"/>
  <c r="D52" i="17"/>
  <c r="F52" i="17" s="1"/>
  <c r="AJ52" i="17"/>
  <c r="AK52" i="17" s="1"/>
  <c r="AS52" i="17"/>
  <c r="AT52" i="17" s="1"/>
  <c r="S75" i="17" l="1"/>
  <c r="Q75" i="17"/>
  <c r="R75" i="17" s="1"/>
  <c r="T75" i="17" s="1"/>
  <c r="AU52" i="17"/>
  <c r="AL52" i="17"/>
  <c r="C53" i="17"/>
  <c r="E53" i="17"/>
  <c r="S76" i="17" l="1"/>
  <c r="Q76" i="17"/>
  <c r="R76" i="17" s="1"/>
  <c r="T76" i="17" s="1"/>
  <c r="D53" i="17"/>
  <c r="F53" i="17" s="1"/>
  <c r="AJ53" i="17"/>
  <c r="AK53" i="17" s="1"/>
  <c r="AS53" i="17"/>
  <c r="AT53" i="17" s="1"/>
  <c r="S77" i="17" l="1"/>
  <c r="Q77" i="17"/>
  <c r="R77" i="17" s="1"/>
  <c r="T77" i="17" s="1"/>
  <c r="AL53" i="17"/>
  <c r="AU53" i="17"/>
  <c r="C54" i="17"/>
  <c r="E54" i="17"/>
  <c r="Q78" i="17" l="1"/>
  <c r="R78" i="17" s="1"/>
  <c r="T78" i="17" s="1"/>
  <c r="S78" i="17"/>
  <c r="AJ54" i="17"/>
  <c r="AK54" i="17" s="1"/>
  <c r="D54" i="17"/>
  <c r="F54" i="17" s="1"/>
  <c r="AS54" i="17"/>
  <c r="AT54" i="17" s="1"/>
  <c r="S79" i="17" l="1"/>
  <c r="Q79" i="17"/>
  <c r="R79" i="17" s="1"/>
  <c r="T79" i="17" s="1"/>
  <c r="E55" i="17"/>
  <c r="C55" i="17"/>
  <c r="AL54" i="17"/>
  <c r="AU54" i="17"/>
  <c r="Q80" i="17" l="1"/>
  <c r="R80" i="17" s="1"/>
  <c r="T80" i="17" s="1"/>
  <c r="S80" i="17"/>
  <c r="D55" i="17"/>
  <c r="F55" i="17" s="1"/>
  <c r="AJ55" i="17"/>
  <c r="AK55" i="17" s="1"/>
  <c r="AS55" i="17"/>
  <c r="AT55" i="17" s="1"/>
  <c r="S81" i="17" l="1"/>
  <c r="Q81" i="17"/>
  <c r="R81" i="17" s="1"/>
  <c r="T81" i="17" s="1"/>
  <c r="AU55" i="17"/>
  <c r="AL55" i="17"/>
  <c r="C56" i="17"/>
  <c r="E56" i="17"/>
  <c r="Q82" i="17" l="1"/>
  <c r="R82" i="17" s="1"/>
  <c r="T82" i="17" s="1"/>
  <c r="S82" i="17"/>
  <c r="D56" i="17"/>
  <c r="F56" i="17" s="1"/>
  <c r="AJ56" i="17"/>
  <c r="AK56" i="17" s="1"/>
  <c r="AS56" i="17"/>
  <c r="AT56" i="17" s="1"/>
  <c r="S83" i="17" l="1"/>
  <c r="Q83" i="17"/>
  <c r="R83" i="17" s="1"/>
  <c r="T83" i="17" s="1"/>
  <c r="AU56" i="17"/>
  <c r="C57" i="17"/>
  <c r="E57" i="17"/>
  <c r="AL56" i="17"/>
  <c r="Q84" i="17" l="1"/>
  <c r="R84" i="17" s="1"/>
  <c r="T84" i="17" s="1"/>
  <c r="S84" i="17"/>
  <c r="AJ57" i="17"/>
  <c r="AK57" i="17" s="1"/>
  <c r="D57" i="17"/>
  <c r="F57" i="17" s="1"/>
  <c r="AS57" i="17"/>
  <c r="AT57" i="17" s="1"/>
  <c r="S85" i="17" l="1"/>
  <c r="Q85" i="17"/>
  <c r="R85" i="17" s="1"/>
  <c r="T85" i="17" s="1"/>
  <c r="AU57" i="17"/>
  <c r="AL57" i="17"/>
  <c r="C58" i="17"/>
  <c r="E58" i="17"/>
  <c r="Q86" i="17" l="1"/>
  <c r="R86" i="17" s="1"/>
  <c r="T86" i="17" s="1"/>
  <c r="S86" i="17"/>
  <c r="AJ58" i="17"/>
  <c r="AK58" i="17" s="1"/>
  <c r="D58" i="17"/>
  <c r="F58" i="17" s="1"/>
  <c r="AS58" i="17"/>
  <c r="AT58" i="17" s="1"/>
  <c r="S87" i="17" l="1"/>
  <c r="Q87" i="17"/>
  <c r="R87" i="17" s="1"/>
  <c r="T87" i="17" s="1"/>
  <c r="AL58" i="17"/>
  <c r="AU58" i="17"/>
  <c r="E59" i="17"/>
  <c r="C59" i="17"/>
  <c r="Q88" i="17" l="1"/>
  <c r="R88" i="17" s="1"/>
  <c r="T88" i="17" s="1"/>
  <c r="S88" i="17"/>
  <c r="D59" i="17"/>
  <c r="F59" i="17" s="1"/>
  <c r="AJ59" i="17"/>
  <c r="AK59" i="17" s="1"/>
  <c r="AS59" i="17"/>
  <c r="AT59" i="17" s="1"/>
  <c r="S89" i="17" l="1"/>
  <c r="Q89" i="17"/>
  <c r="R89" i="17" s="1"/>
  <c r="T89" i="17" s="1"/>
  <c r="AL59" i="17"/>
  <c r="C60" i="17"/>
  <c r="E60" i="17"/>
  <c r="AU59" i="17"/>
  <c r="Q90" i="17" l="1"/>
  <c r="R90" i="17" s="1"/>
  <c r="T90" i="17" s="1"/>
  <c r="S90" i="17"/>
  <c r="D60" i="17"/>
  <c r="F60" i="17" s="1"/>
  <c r="AJ60" i="17"/>
  <c r="AK60" i="17" s="1"/>
  <c r="AS60" i="17"/>
  <c r="AT60" i="17" s="1"/>
  <c r="S91" i="17" l="1"/>
  <c r="Q91" i="17"/>
  <c r="R91" i="17" s="1"/>
  <c r="T91" i="17" s="1"/>
  <c r="AU60" i="17"/>
  <c r="AL60" i="17"/>
  <c r="C61" i="17"/>
  <c r="E61" i="17"/>
  <c r="S92" i="17" l="1"/>
  <c r="Q92" i="17"/>
  <c r="R92" i="17" s="1"/>
  <c r="T92" i="17" s="1"/>
  <c r="AJ61" i="17"/>
  <c r="AK61" i="17" s="1"/>
  <c r="D61" i="17"/>
  <c r="F61" i="17" s="1"/>
  <c r="AS61" i="17"/>
  <c r="AT61" i="17" s="1"/>
  <c r="S93" i="17" l="1"/>
  <c r="Q93" i="17"/>
  <c r="R93" i="17" s="1"/>
  <c r="T93" i="17" s="1"/>
  <c r="AU61" i="17"/>
  <c r="C62" i="17"/>
  <c r="E62" i="17"/>
  <c r="AL61" i="17"/>
  <c r="S94" i="17" l="1"/>
  <c r="Q94" i="17"/>
  <c r="R94" i="17" s="1"/>
  <c r="T94" i="17" s="1"/>
  <c r="AJ62" i="17"/>
  <c r="AK62" i="17" s="1"/>
  <c r="D62" i="17"/>
  <c r="F62" i="17" s="1"/>
  <c r="AS62" i="17"/>
  <c r="AT62" i="17" s="1"/>
  <c r="S95" i="17" l="1"/>
  <c r="Q95" i="17"/>
  <c r="R95" i="17" s="1"/>
  <c r="T95" i="17" s="1"/>
  <c r="AU62" i="17"/>
  <c r="E63" i="17"/>
  <c r="C63" i="17"/>
  <c r="AL62" i="17"/>
  <c r="Q96" i="17" l="1"/>
  <c r="R96" i="17" s="1"/>
  <c r="T96" i="17" s="1"/>
  <c r="S96" i="17"/>
  <c r="D63" i="17"/>
  <c r="F63" i="17" s="1"/>
  <c r="AJ63" i="17"/>
  <c r="AK63" i="17" s="1"/>
  <c r="AS63" i="17"/>
  <c r="AT63" i="17" s="1"/>
  <c r="S97" i="17" l="1"/>
  <c r="Q97" i="17"/>
  <c r="R97" i="17" s="1"/>
  <c r="T97" i="17" s="1"/>
  <c r="AU63" i="17"/>
  <c r="AL63" i="17"/>
  <c r="C64" i="17"/>
  <c r="E64" i="17"/>
  <c r="Q98" i="17" l="1"/>
  <c r="R98" i="17" s="1"/>
  <c r="T98" i="17" s="1"/>
  <c r="S98" i="17"/>
  <c r="D64" i="17"/>
  <c r="F64" i="17" s="1"/>
  <c r="AJ64" i="17"/>
  <c r="AK64" i="17" s="1"/>
  <c r="AS64" i="17"/>
  <c r="AT64" i="17" s="1"/>
  <c r="S99" i="17" l="1"/>
  <c r="Q99" i="17"/>
  <c r="R99" i="17" s="1"/>
  <c r="T99" i="17" s="1"/>
  <c r="AU64" i="17"/>
  <c r="C65" i="17"/>
  <c r="E65" i="17"/>
  <c r="AL64" i="17"/>
  <c r="S100" i="17" l="1"/>
  <c r="Q100" i="17"/>
  <c r="R100" i="17" s="1"/>
  <c r="T100" i="17" s="1"/>
  <c r="AJ65" i="17"/>
  <c r="AK65" i="17" s="1"/>
  <c r="D65" i="17"/>
  <c r="F65" i="17" s="1"/>
  <c r="AS65" i="17"/>
  <c r="AT65" i="17" s="1"/>
  <c r="Q101" i="17" l="1"/>
  <c r="S101" i="17"/>
  <c r="AU65" i="17"/>
  <c r="AL65" i="17"/>
  <c r="C66" i="17"/>
  <c r="E66" i="17"/>
  <c r="R101" i="17" l="1"/>
  <c r="T101" i="17" s="1"/>
  <c r="S102" i="17"/>
  <c r="Q102" i="17"/>
  <c r="R102" i="17" s="1"/>
  <c r="T102" i="17" s="1"/>
  <c r="AJ66" i="17"/>
  <c r="AK66" i="17" s="1"/>
  <c r="D66" i="17"/>
  <c r="F66" i="17" s="1"/>
  <c r="AS66" i="17"/>
  <c r="AT66" i="17" s="1"/>
  <c r="S103" i="17" l="1"/>
  <c r="Q103" i="17"/>
  <c r="R103" i="17" s="1"/>
  <c r="T103" i="17" s="1"/>
  <c r="E67" i="17"/>
  <c r="C67" i="17"/>
  <c r="AU66" i="17"/>
  <c r="AL66" i="17"/>
  <c r="S104" i="17" l="1"/>
  <c r="Q104" i="17"/>
  <c r="R104" i="17" s="1"/>
  <c r="T104" i="17" s="1"/>
  <c r="D67" i="17"/>
  <c r="F67" i="17" s="1"/>
  <c r="AJ67" i="17"/>
  <c r="AK67" i="17" s="1"/>
  <c r="AS67" i="17"/>
  <c r="AT67" i="17" s="1"/>
  <c r="Q105" i="17" l="1"/>
  <c r="R105" i="17" s="1"/>
  <c r="T105" i="17" s="1"/>
  <c r="S105" i="17"/>
  <c r="AU67" i="17"/>
  <c r="C68" i="17"/>
  <c r="E68" i="17"/>
  <c r="AL67" i="17"/>
  <c r="S106" i="17" l="1"/>
  <c r="Q106" i="17"/>
  <c r="R106" i="17" s="1"/>
  <c r="T106" i="17" s="1"/>
  <c r="D68" i="17"/>
  <c r="F68" i="17" s="1"/>
  <c r="AJ68" i="17"/>
  <c r="AK68" i="17" s="1"/>
  <c r="AS68" i="17"/>
  <c r="AT68" i="17" s="1"/>
  <c r="S107" i="17" l="1"/>
  <c r="Q107" i="17"/>
  <c r="R107" i="17" s="1"/>
  <c r="T107" i="17" s="1"/>
  <c r="AL68" i="17"/>
  <c r="AU68" i="17"/>
  <c r="C69" i="17"/>
  <c r="E69" i="17"/>
  <c r="S108" i="17" l="1"/>
  <c r="Q108" i="17"/>
  <c r="R108" i="17" s="1"/>
  <c r="T108" i="17" s="1"/>
  <c r="D69" i="17"/>
  <c r="F69" i="17" s="1"/>
  <c r="AJ69" i="17"/>
  <c r="AK69" i="17" s="1"/>
  <c r="AS69" i="17"/>
  <c r="AT69" i="17" s="1"/>
  <c r="Q109" i="17" l="1"/>
  <c r="R109" i="17" s="1"/>
  <c r="T109" i="17" s="1"/>
  <c r="S109" i="17"/>
  <c r="AU69" i="17"/>
  <c r="C70" i="17"/>
  <c r="E70" i="17"/>
  <c r="AL69" i="17"/>
  <c r="S110" i="17" l="1"/>
  <c r="Q110" i="17"/>
  <c r="R110" i="17" s="1"/>
  <c r="T110" i="17" s="1"/>
  <c r="AJ70" i="17"/>
  <c r="AK70" i="17" s="1"/>
  <c r="D70" i="17"/>
  <c r="F70" i="17" s="1"/>
  <c r="AS70" i="17"/>
  <c r="AT70" i="17" s="1"/>
  <c r="S111" i="17" l="1"/>
  <c r="Q111" i="17"/>
  <c r="R111" i="17" s="1"/>
  <c r="T111" i="17" s="1"/>
  <c r="AU70" i="17"/>
  <c r="E71" i="17"/>
  <c r="C71" i="17"/>
  <c r="AL70" i="17"/>
  <c r="S112" i="17" l="1"/>
  <c r="Q112" i="17"/>
  <c r="R112" i="17" s="1"/>
  <c r="T112" i="17" s="1"/>
  <c r="D71" i="17"/>
  <c r="F71" i="17" s="1"/>
  <c r="AJ71" i="17"/>
  <c r="AK71" i="17" s="1"/>
  <c r="AS71" i="17"/>
  <c r="AT71" i="17" s="1"/>
  <c r="Q113" i="17" l="1"/>
  <c r="R113" i="17" s="1"/>
  <c r="T113" i="17" s="1"/>
  <c r="S113" i="17"/>
  <c r="AU71" i="17"/>
  <c r="C72" i="17"/>
  <c r="E72" i="17"/>
  <c r="AL71" i="17"/>
  <c r="S114" i="17" l="1"/>
  <c r="Q114" i="17"/>
  <c r="R114" i="17" s="1"/>
  <c r="T114" i="17" s="1"/>
  <c r="D72" i="17"/>
  <c r="F72" i="17" s="1"/>
  <c r="AJ72" i="17"/>
  <c r="AK72" i="17" s="1"/>
  <c r="AS72" i="17"/>
  <c r="AT72" i="17" s="1"/>
  <c r="S115" i="17" l="1"/>
  <c r="Q115" i="17"/>
  <c r="R115" i="17" s="1"/>
  <c r="T115" i="17" s="1"/>
  <c r="AU72" i="17"/>
  <c r="C73" i="17"/>
  <c r="E73" i="17"/>
  <c r="AL72" i="17"/>
  <c r="S116" i="17" l="1"/>
  <c r="Q116" i="17"/>
  <c r="R116" i="17" s="1"/>
  <c r="T116" i="17" s="1"/>
  <c r="AJ73" i="17"/>
  <c r="AK73" i="17" s="1"/>
  <c r="D73" i="17"/>
  <c r="F73" i="17" s="1"/>
  <c r="AS73" i="17"/>
  <c r="AT73" i="17" s="1"/>
  <c r="Q117" i="17" l="1"/>
  <c r="S117" i="17"/>
  <c r="C74" i="17"/>
  <c r="E74" i="17"/>
  <c r="AU73" i="17"/>
  <c r="AL73" i="17"/>
  <c r="R117" i="17" l="1"/>
  <c r="T117" i="17" s="1"/>
  <c r="S118" i="17" s="1"/>
  <c r="Q118" i="17"/>
  <c r="AJ74" i="17"/>
  <c r="AK74" i="17" s="1"/>
  <c r="D74" i="17"/>
  <c r="F74" i="17" s="1"/>
  <c r="AS74" i="17"/>
  <c r="AT74" i="17" s="1"/>
  <c r="R118" i="17" l="1"/>
  <c r="T118" i="17" s="1"/>
  <c r="S119" i="17" s="1"/>
  <c r="Q119" i="17"/>
  <c r="AU74" i="17"/>
  <c r="AL74" i="17"/>
  <c r="E75" i="17"/>
  <c r="C75" i="17"/>
  <c r="R119" i="17" l="1"/>
  <c r="T119" i="17" s="1"/>
  <c r="S120" i="17" s="1"/>
  <c r="Q120" i="17"/>
  <c r="D75" i="17"/>
  <c r="F75" i="17" s="1"/>
  <c r="AJ75" i="17"/>
  <c r="AK75" i="17" s="1"/>
  <c r="AS75" i="17"/>
  <c r="AT75" i="17" s="1"/>
  <c r="R120" i="17" l="1"/>
  <c r="T120" i="17" s="1"/>
  <c r="Q121" i="17"/>
  <c r="R121" i="17" s="1"/>
  <c r="T121" i="17" s="1"/>
  <c r="S121" i="17"/>
  <c r="AU75" i="17"/>
  <c r="AL75" i="17"/>
  <c r="C76" i="17"/>
  <c r="E76" i="17"/>
  <c r="S122" i="17" l="1"/>
  <c r="Q122" i="17"/>
  <c r="R122" i="17" s="1"/>
  <c r="T122" i="17" s="1"/>
  <c r="D76" i="17"/>
  <c r="F76" i="17" s="1"/>
  <c r="AJ76" i="17"/>
  <c r="AK76" i="17" s="1"/>
  <c r="AS76" i="17"/>
  <c r="AT76" i="17" s="1"/>
  <c r="S123" i="17" l="1"/>
  <c r="Q123" i="17"/>
  <c r="R123" i="17" s="1"/>
  <c r="T123" i="17" s="1"/>
  <c r="AU76" i="17"/>
  <c r="AL76" i="17"/>
  <c r="C77" i="17"/>
  <c r="E77" i="17"/>
  <c r="S124" i="17" l="1"/>
  <c r="Q124" i="17"/>
  <c r="R124" i="17" s="1"/>
  <c r="T124" i="17" s="1"/>
  <c r="AJ77" i="17"/>
  <c r="AK77" i="17" s="1"/>
  <c r="D77" i="17"/>
  <c r="F77" i="17" s="1"/>
  <c r="AS77" i="17"/>
  <c r="AT77" i="17" s="1"/>
  <c r="Q125" i="17" l="1"/>
  <c r="R125" i="17" s="1"/>
  <c r="T125" i="17" s="1"/>
  <c r="S125" i="17"/>
  <c r="AL77" i="17"/>
  <c r="AU77" i="17"/>
  <c r="C78" i="17"/>
  <c r="E78" i="17"/>
  <c r="S126" i="17" l="1"/>
  <c r="Q126" i="17"/>
  <c r="R126" i="17" s="1"/>
  <c r="T126" i="17" s="1"/>
  <c r="AJ78" i="17"/>
  <c r="AK78" i="17" s="1"/>
  <c r="D78" i="17"/>
  <c r="F78" i="17" s="1"/>
  <c r="AS78" i="17"/>
  <c r="AT78" i="17" s="1"/>
  <c r="S127" i="17" l="1"/>
  <c r="Q127" i="17"/>
  <c r="R127" i="17" s="1"/>
  <c r="T127" i="17" s="1"/>
  <c r="AU78" i="17"/>
  <c r="E79" i="17"/>
  <c r="C79" i="17"/>
  <c r="AL78" i="17"/>
  <c r="S128" i="17" l="1"/>
  <c r="Q128" i="17"/>
  <c r="R128" i="17" s="1"/>
  <c r="T128" i="17" s="1"/>
  <c r="D79" i="17"/>
  <c r="F79" i="17" s="1"/>
  <c r="AJ79" i="17"/>
  <c r="AK79" i="17" s="1"/>
  <c r="AS79" i="17"/>
  <c r="AT79" i="17" s="1"/>
  <c r="Q129" i="17" l="1"/>
  <c r="R129" i="17" s="1"/>
  <c r="T129" i="17" s="1"/>
  <c r="S129" i="17"/>
  <c r="AU79" i="17"/>
  <c r="AL79" i="17"/>
  <c r="C80" i="17"/>
  <c r="E80" i="17"/>
  <c r="S130" i="17" l="1"/>
  <c r="Q130" i="17"/>
  <c r="R130" i="17" s="1"/>
  <c r="T130" i="17" s="1"/>
  <c r="D80" i="17"/>
  <c r="F80" i="17" s="1"/>
  <c r="AJ80" i="17"/>
  <c r="AK80" i="17" s="1"/>
  <c r="AS80" i="17"/>
  <c r="AT80" i="17" s="1"/>
  <c r="S131" i="17" l="1"/>
  <c r="Q131" i="17"/>
  <c r="R131" i="17" s="1"/>
  <c r="T131" i="17" s="1"/>
  <c r="AU80" i="17"/>
  <c r="C81" i="17"/>
  <c r="E81" i="17"/>
  <c r="AL80" i="17"/>
  <c r="S132" i="17" l="1"/>
  <c r="Q132" i="17"/>
  <c r="R132" i="17" s="1"/>
  <c r="T132" i="17" s="1"/>
  <c r="AJ81" i="17"/>
  <c r="AK81" i="17" s="1"/>
  <c r="D81" i="17"/>
  <c r="F81" i="17" s="1"/>
  <c r="AS81" i="17"/>
  <c r="AT81" i="17" s="1"/>
  <c r="Q133" i="17" l="1"/>
  <c r="R133" i="17" s="1"/>
  <c r="T133" i="17" s="1"/>
  <c r="S133" i="17"/>
  <c r="C82" i="17"/>
  <c r="E82" i="17"/>
  <c r="AU81" i="17"/>
  <c r="AL81" i="17"/>
  <c r="S134" i="17" l="1"/>
  <c r="Q134" i="17"/>
  <c r="R134" i="17" s="1"/>
  <c r="T134" i="17" s="1"/>
  <c r="AJ82" i="17"/>
  <c r="AK82" i="17" s="1"/>
  <c r="D82" i="17"/>
  <c r="F82" i="17" s="1"/>
  <c r="AS82" i="17"/>
  <c r="AT82" i="17" s="1"/>
  <c r="S135" i="17" l="1"/>
  <c r="Q135" i="17"/>
  <c r="R135" i="17" s="1"/>
  <c r="T135" i="17" s="1"/>
  <c r="AU82" i="17"/>
  <c r="AL82" i="17"/>
  <c r="E83" i="17"/>
  <c r="C83" i="17"/>
  <c r="S136" i="17" l="1"/>
  <c r="Q136" i="17"/>
  <c r="R136" i="17" s="1"/>
  <c r="T136" i="17" s="1"/>
  <c r="D83" i="17"/>
  <c r="F83" i="17" s="1"/>
  <c r="AJ83" i="17"/>
  <c r="AK83" i="17" s="1"/>
  <c r="AS83" i="17"/>
  <c r="AT83" i="17" s="1"/>
  <c r="Q137" i="17" l="1"/>
  <c r="R137" i="17" s="1"/>
  <c r="T137" i="17" s="1"/>
  <c r="S137" i="17"/>
  <c r="AU83" i="17"/>
  <c r="C84" i="17"/>
  <c r="E84" i="17"/>
  <c r="AL83" i="17"/>
  <c r="S138" i="17" l="1"/>
  <c r="Q138" i="17"/>
  <c r="R138" i="17" s="1"/>
  <c r="T138" i="17" s="1"/>
  <c r="D84" i="17"/>
  <c r="F84" i="17" s="1"/>
  <c r="AJ84" i="17"/>
  <c r="AK84" i="17" s="1"/>
  <c r="AS84" i="17"/>
  <c r="AT84" i="17" s="1"/>
  <c r="S139" i="17" l="1"/>
  <c r="Q139" i="17"/>
  <c r="R139" i="17" s="1"/>
  <c r="T139" i="17" s="1"/>
  <c r="AU84" i="17"/>
  <c r="C85" i="17"/>
  <c r="E85" i="17"/>
  <c r="AL84" i="17"/>
  <c r="S140" i="17" l="1"/>
  <c r="Q140" i="17"/>
  <c r="R140" i="17" s="1"/>
  <c r="T140" i="17" s="1"/>
  <c r="D85" i="17"/>
  <c r="F85" i="17" s="1"/>
  <c r="AJ85" i="17"/>
  <c r="AK85" i="17" s="1"/>
  <c r="AS85" i="17"/>
  <c r="AT85" i="17" s="1"/>
  <c r="S141" i="17" l="1"/>
  <c r="Q141" i="17"/>
  <c r="R141" i="17" s="1"/>
  <c r="T141" i="17" s="1"/>
  <c r="C86" i="17"/>
  <c r="E86" i="17"/>
  <c r="AL85" i="17"/>
  <c r="AU85" i="17"/>
  <c r="S142" i="17" l="1"/>
  <c r="Q142" i="17"/>
  <c r="R142" i="17" s="1"/>
  <c r="T142" i="17" s="1"/>
  <c r="AJ86" i="17"/>
  <c r="AK86" i="17" s="1"/>
  <c r="D86" i="17"/>
  <c r="F86" i="17" s="1"/>
  <c r="AS86" i="17"/>
  <c r="AT86" i="17" s="1"/>
  <c r="S143" i="17" l="1"/>
  <c r="Q143" i="17"/>
  <c r="R143" i="17" s="1"/>
  <c r="T143" i="17" s="1"/>
  <c r="AU86" i="17"/>
  <c r="E87" i="17"/>
  <c r="C87" i="17"/>
  <c r="AL86" i="17"/>
  <c r="S144" i="17" l="1"/>
  <c r="Q144" i="17"/>
  <c r="R144" i="17" s="1"/>
  <c r="T144" i="17" s="1"/>
  <c r="D87" i="17"/>
  <c r="F87" i="17" s="1"/>
  <c r="AJ87" i="17"/>
  <c r="AK87" i="17" s="1"/>
  <c r="AS87" i="17"/>
  <c r="AT87" i="17" s="1"/>
  <c r="AF25" i="17" l="1"/>
  <c r="J6" i="17" s="1"/>
  <c r="AM25" i="17"/>
  <c r="AE25" i="17"/>
  <c r="AN25" i="17"/>
  <c r="S145" i="17"/>
  <c r="Q145" i="17"/>
  <c r="R145" i="17" s="1"/>
  <c r="T145" i="17" s="1"/>
  <c r="AU87" i="17"/>
  <c r="C88" i="17"/>
  <c r="E88" i="17"/>
  <c r="AL87" i="17"/>
  <c r="AO25" i="17" l="1"/>
  <c r="K6" i="17" s="1"/>
  <c r="AD25" i="17"/>
  <c r="S146" i="17"/>
  <c r="Q146" i="17"/>
  <c r="R146" i="17" s="1"/>
  <c r="T146" i="17" s="1"/>
  <c r="D88" i="17"/>
  <c r="F88" i="17" s="1"/>
  <c r="AJ88" i="17"/>
  <c r="AK88" i="17" s="1"/>
  <c r="AS88" i="17"/>
  <c r="AT88" i="17" s="1"/>
  <c r="S147" i="17" l="1"/>
  <c r="Q147" i="17"/>
  <c r="R147" i="17" s="1"/>
  <c r="T147" i="17" s="1"/>
  <c r="AU88" i="17"/>
  <c r="C89" i="17"/>
  <c r="E89" i="17"/>
  <c r="AL88" i="17"/>
  <c r="S148" i="17" l="1"/>
  <c r="Q148" i="17"/>
  <c r="R148" i="17" s="1"/>
  <c r="T148" i="17" s="1"/>
  <c r="AJ89" i="17"/>
  <c r="AK89" i="17" s="1"/>
  <c r="D89" i="17"/>
  <c r="F89" i="17" s="1"/>
  <c r="AS89" i="17"/>
  <c r="AT89" i="17" s="1"/>
  <c r="S149" i="17" l="1"/>
  <c r="Q149" i="17"/>
  <c r="R149" i="17" s="1"/>
  <c r="T149" i="17" s="1"/>
  <c r="C90" i="17"/>
  <c r="E90" i="17"/>
  <c r="AU89" i="17"/>
  <c r="AL89" i="17"/>
  <c r="S150" i="17" l="1"/>
  <c r="Q150" i="17"/>
  <c r="R150" i="17" s="1"/>
  <c r="T150" i="17" s="1"/>
  <c r="AJ90" i="17"/>
  <c r="AK90" i="17" s="1"/>
  <c r="D90" i="17"/>
  <c r="F90" i="17" s="1"/>
  <c r="AS90" i="17"/>
  <c r="AT90" i="17" s="1"/>
  <c r="S151" i="17" l="1"/>
  <c r="Q151" i="17"/>
  <c r="R151" i="17" s="1"/>
  <c r="T151" i="17" s="1"/>
  <c r="AL90" i="17"/>
  <c r="E91" i="17"/>
  <c r="C91" i="17"/>
  <c r="AU90" i="17"/>
  <c r="S152" i="17" l="1"/>
  <c r="Q152" i="17"/>
  <c r="R152" i="17" s="1"/>
  <c r="T152" i="17" s="1"/>
  <c r="D91" i="17"/>
  <c r="F91" i="17" s="1"/>
  <c r="AJ91" i="17"/>
  <c r="AK91" i="17" s="1"/>
  <c r="AS91" i="17"/>
  <c r="AT91" i="17" s="1"/>
  <c r="S153" i="17" l="1"/>
  <c r="Q153" i="17"/>
  <c r="R153" i="17" s="1"/>
  <c r="T153" i="17" s="1"/>
  <c r="AU91" i="17"/>
  <c r="AL91" i="17"/>
  <c r="C92" i="17"/>
  <c r="E92" i="17"/>
  <c r="S154" i="17" l="1"/>
  <c r="Q154" i="17"/>
  <c r="R154" i="17" s="1"/>
  <c r="T154" i="17" s="1"/>
  <c r="D92" i="17"/>
  <c r="F92" i="17" s="1"/>
  <c r="AJ92" i="17"/>
  <c r="AK92" i="17" s="1"/>
  <c r="AS92" i="17"/>
  <c r="AT92" i="17" s="1"/>
  <c r="S155" i="17" l="1"/>
  <c r="Q155" i="17"/>
  <c r="R155" i="17" s="1"/>
  <c r="T155" i="17" s="1"/>
  <c r="AU92" i="17"/>
  <c r="AL92" i="17"/>
  <c r="C93" i="17"/>
  <c r="E93" i="17"/>
  <c r="S156" i="17" l="1"/>
  <c r="Q156" i="17"/>
  <c r="R156" i="17" s="1"/>
  <c r="T156" i="17" s="1"/>
  <c r="AJ93" i="17"/>
  <c r="AK93" i="17" s="1"/>
  <c r="D93" i="17"/>
  <c r="F93" i="17" s="1"/>
  <c r="AS93" i="17"/>
  <c r="AT93" i="17" s="1"/>
  <c r="S157" i="17" l="1"/>
  <c r="Q157" i="17"/>
  <c r="R157" i="17" s="1"/>
  <c r="T157" i="17" s="1"/>
  <c r="C94" i="17"/>
  <c r="E94" i="17"/>
  <c r="AU93" i="17"/>
  <c r="AL93" i="17"/>
  <c r="S158" i="17" l="1"/>
  <c r="Q158" i="17"/>
  <c r="R158" i="17" s="1"/>
  <c r="T158" i="17" s="1"/>
  <c r="AJ94" i="17"/>
  <c r="AK94" i="17" s="1"/>
  <c r="D94" i="17"/>
  <c r="F94" i="17" s="1"/>
  <c r="AS94" i="17"/>
  <c r="AT94" i="17" s="1"/>
  <c r="S159" i="17" l="1"/>
  <c r="Q159" i="17"/>
  <c r="R159" i="17" s="1"/>
  <c r="T159" i="17" s="1"/>
  <c r="AU94" i="17"/>
  <c r="E95" i="17"/>
  <c r="C95" i="17"/>
  <c r="AL94" i="17"/>
  <c r="S160" i="17" l="1"/>
  <c r="Q160" i="17"/>
  <c r="R160" i="17" s="1"/>
  <c r="T160" i="17" s="1"/>
  <c r="D95" i="17"/>
  <c r="F95" i="17" s="1"/>
  <c r="AJ95" i="17"/>
  <c r="AK95" i="17" s="1"/>
  <c r="AS95" i="17"/>
  <c r="AT95" i="17" s="1"/>
  <c r="S161" i="17" l="1"/>
  <c r="Q161" i="17"/>
  <c r="R161" i="17" s="1"/>
  <c r="T161" i="17" s="1"/>
  <c r="AU95" i="17"/>
  <c r="AL95" i="17"/>
  <c r="C96" i="17"/>
  <c r="E96" i="17"/>
  <c r="S162" i="17" l="1"/>
  <c r="Q162" i="17"/>
  <c r="R162" i="17" s="1"/>
  <c r="T162" i="17" s="1"/>
  <c r="D96" i="17"/>
  <c r="F96" i="17" s="1"/>
  <c r="AJ96" i="17"/>
  <c r="AK96" i="17" s="1"/>
  <c r="AS96" i="17"/>
  <c r="AT96" i="17" s="1"/>
  <c r="S163" i="17" l="1"/>
  <c r="Q163" i="17"/>
  <c r="R163" i="17" s="1"/>
  <c r="T163" i="17" s="1"/>
  <c r="AL96" i="17"/>
  <c r="AU96" i="17"/>
  <c r="C97" i="17"/>
  <c r="E97" i="17"/>
  <c r="S164" i="17" l="1"/>
  <c r="Q164" i="17"/>
  <c r="R164" i="17" s="1"/>
  <c r="T164" i="17" s="1"/>
  <c r="AJ97" i="17"/>
  <c r="AK97" i="17" s="1"/>
  <c r="D97" i="17"/>
  <c r="F97" i="17" s="1"/>
  <c r="AS97" i="17"/>
  <c r="AT97" i="17" s="1"/>
  <c r="S165" i="17" l="1"/>
  <c r="Q165" i="17"/>
  <c r="R165" i="17" s="1"/>
  <c r="T165" i="17" s="1"/>
  <c r="AL97" i="17"/>
  <c r="AU97" i="17"/>
  <c r="C98" i="17"/>
  <c r="E98" i="17"/>
  <c r="S166" i="17" l="1"/>
  <c r="Q166" i="17"/>
  <c r="R166" i="17" s="1"/>
  <c r="T166" i="17" s="1"/>
  <c r="AJ98" i="17"/>
  <c r="AK98" i="17" s="1"/>
  <c r="D98" i="17"/>
  <c r="F98" i="17" s="1"/>
  <c r="AS98" i="17"/>
  <c r="AT98" i="17" s="1"/>
  <c r="S167" i="17" l="1"/>
  <c r="Q167" i="17"/>
  <c r="R167" i="17" s="1"/>
  <c r="T167" i="17" s="1"/>
  <c r="AU98" i="17"/>
  <c r="E99" i="17"/>
  <c r="C99" i="17"/>
  <c r="AL98" i="17"/>
  <c r="S168" i="17" l="1"/>
  <c r="Q168" i="17"/>
  <c r="R168" i="17" s="1"/>
  <c r="T168" i="17" s="1"/>
  <c r="D99" i="17"/>
  <c r="F99" i="17" s="1"/>
  <c r="AJ99" i="17"/>
  <c r="AK99" i="17" s="1"/>
  <c r="AS99" i="17"/>
  <c r="AT99" i="17" s="1"/>
  <c r="S169" i="17" l="1"/>
  <c r="Q169" i="17"/>
  <c r="R169" i="17" s="1"/>
  <c r="T169" i="17" s="1"/>
  <c r="AU99" i="17"/>
  <c r="AL99" i="17"/>
  <c r="C100" i="17"/>
  <c r="E100" i="17"/>
  <c r="S170" i="17" l="1"/>
  <c r="Q170" i="17"/>
  <c r="R170" i="17" s="1"/>
  <c r="T170" i="17" s="1"/>
  <c r="D100" i="17"/>
  <c r="F100" i="17" s="1"/>
  <c r="AJ100" i="17"/>
  <c r="AK100" i="17" s="1"/>
  <c r="AS100" i="17"/>
  <c r="AT100" i="17" s="1"/>
  <c r="S171" i="17" l="1"/>
  <c r="Q171" i="17"/>
  <c r="R171" i="17" s="1"/>
  <c r="T171" i="17" s="1"/>
  <c r="AU100" i="17"/>
  <c r="C101" i="17"/>
  <c r="E101" i="17"/>
  <c r="AL100" i="17"/>
  <c r="S172" i="17" l="1"/>
  <c r="Q172" i="17"/>
  <c r="R172" i="17" s="1"/>
  <c r="T172" i="17" s="1"/>
  <c r="D101" i="17"/>
  <c r="F101" i="17" s="1"/>
  <c r="AJ101" i="17"/>
  <c r="AK101" i="17" s="1"/>
  <c r="AS101" i="17"/>
  <c r="AT101" i="17" s="1"/>
  <c r="S173" i="17" l="1"/>
  <c r="Q173" i="17"/>
  <c r="R173" i="17" s="1"/>
  <c r="T173" i="17" s="1"/>
  <c r="AU101" i="17"/>
  <c r="C102" i="17"/>
  <c r="E102" i="17"/>
  <c r="AL101" i="17"/>
  <c r="S174" i="17" l="1"/>
  <c r="Q174" i="17"/>
  <c r="R174" i="17" s="1"/>
  <c r="T174" i="17" s="1"/>
  <c r="AJ102" i="17"/>
  <c r="AK102" i="17" s="1"/>
  <c r="D102" i="17"/>
  <c r="F102" i="17" s="1"/>
  <c r="AS102" i="17"/>
  <c r="AT102" i="17" s="1"/>
  <c r="S175" i="17" l="1"/>
  <c r="Q175" i="17"/>
  <c r="R175" i="17" s="1"/>
  <c r="T175" i="17" s="1"/>
  <c r="AU102" i="17"/>
  <c r="AL102" i="17"/>
  <c r="E103" i="17"/>
  <c r="C103" i="17"/>
  <c r="S176" i="17" l="1"/>
  <c r="Q176" i="17"/>
  <c r="R176" i="17" s="1"/>
  <c r="T176" i="17" s="1"/>
  <c r="D103" i="17"/>
  <c r="F103" i="17" s="1"/>
  <c r="AJ103" i="17"/>
  <c r="AK103" i="17" s="1"/>
  <c r="AS103" i="17"/>
  <c r="AT103" i="17" s="1"/>
  <c r="S177" i="17" l="1"/>
  <c r="Q177" i="17"/>
  <c r="R177" i="17" s="1"/>
  <c r="T177" i="17" s="1"/>
  <c r="AU103" i="17"/>
  <c r="AL103" i="17"/>
  <c r="C104" i="17"/>
  <c r="E104" i="17"/>
  <c r="S178" i="17" l="1"/>
  <c r="Q178" i="17"/>
  <c r="R178" i="17" s="1"/>
  <c r="T178" i="17" s="1"/>
  <c r="D104" i="17"/>
  <c r="F104" i="17" s="1"/>
  <c r="AJ104" i="17"/>
  <c r="AK104" i="17" s="1"/>
  <c r="AS104" i="17"/>
  <c r="AT104" i="17" s="1"/>
  <c r="S179" i="17" l="1"/>
  <c r="Q179" i="17"/>
  <c r="R179" i="17" s="1"/>
  <c r="T179" i="17" s="1"/>
  <c r="AU104" i="17"/>
  <c r="AL104" i="17"/>
  <c r="C105" i="17"/>
  <c r="E105" i="17"/>
  <c r="Q180" i="17" l="1"/>
  <c r="R180" i="17" s="1"/>
  <c r="T180" i="17" s="1"/>
  <c r="S180" i="17"/>
  <c r="AJ105" i="17"/>
  <c r="AK105" i="17" s="1"/>
  <c r="D105" i="17"/>
  <c r="F105" i="17" s="1"/>
  <c r="AS105" i="17"/>
  <c r="AT105" i="17" s="1"/>
  <c r="Q181" i="17" l="1"/>
  <c r="R181" i="17" s="1"/>
  <c r="T181" i="17" s="1"/>
  <c r="S181" i="17"/>
  <c r="AL105" i="17"/>
  <c r="AU105" i="17"/>
  <c r="C106" i="17"/>
  <c r="E106" i="17"/>
  <c r="Q182" i="17" l="1"/>
  <c r="R182" i="17" s="1"/>
  <c r="T182" i="17" s="1"/>
  <c r="S182" i="17"/>
  <c r="AJ106" i="17"/>
  <c r="AK106" i="17" s="1"/>
  <c r="D106" i="17"/>
  <c r="F106" i="17" s="1"/>
  <c r="AS106" i="17"/>
  <c r="AT106" i="17" s="1"/>
  <c r="S183" i="17" l="1"/>
  <c r="Q183" i="17"/>
  <c r="R183" i="17" s="1"/>
  <c r="T183" i="17" s="1"/>
  <c r="AL106" i="17"/>
  <c r="AU106" i="17"/>
  <c r="E107" i="17"/>
  <c r="C107" i="17"/>
  <c r="Q184" i="17" l="1"/>
  <c r="R184" i="17" s="1"/>
  <c r="T184" i="17" s="1"/>
  <c r="S184" i="17"/>
  <c r="D107" i="17"/>
  <c r="F107" i="17" s="1"/>
  <c r="AJ107" i="17"/>
  <c r="AK107" i="17" s="1"/>
  <c r="AS107" i="17"/>
  <c r="AT107" i="17" s="1"/>
  <c r="Q185" i="17" l="1"/>
  <c r="R185" i="17" s="1"/>
  <c r="T185" i="17" s="1"/>
  <c r="S185" i="17"/>
  <c r="AU107" i="17"/>
  <c r="C108" i="17"/>
  <c r="E108" i="17"/>
  <c r="AL107" i="17"/>
  <c r="Q186" i="17" l="1"/>
  <c r="R186" i="17" s="1"/>
  <c r="T186" i="17" s="1"/>
  <c r="S186" i="17"/>
  <c r="D108" i="17"/>
  <c r="F108" i="17" s="1"/>
  <c r="AJ108" i="17"/>
  <c r="AK108" i="17" s="1"/>
  <c r="AS108" i="17"/>
  <c r="AT108" i="17" s="1"/>
  <c r="S187" i="17" l="1"/>
  <c r="Q187" i="17"/>
  <c r="R187" i="17" s="1"/>
  <c r="T187" i="17" s="1"/>
  <c r="AU108" i="17"/>
  <c r="AL108" i="17"/>
  <c r="C109" i="17"/>
  <c r="E109" i="17"/>
  <c r="Q188" i="17" l="1"/>
  <c r="R188" i="17" s="1"/>
  <c r="T188" i="17" s="1"/>
  <c r="S188" i="17"/>
  <c r="AJ109" i="17"/>
  <c r="AK109" i="17" s="1"/>
  <c r="D109" i="17"/>
  <c r="F109" i="17" s="1"/>
  <c r="AS109" i="17"/>
  <c r="AT109" i="17" s="1"/>
  <c r="Q189" i="17" l="1"/>
  <c r="R189" i="17" s="1"/>
  <c r="T189" i="17" s="1"/>
  <c r="S189" i="17"/>
  <c r="AL109" i="17"/>
  <c r="AU109" i="17"/>
  <c r="C110" i="17"/>
  <c r="E110" i="17"/>
  <c r="Q190" i="17" l="1"/>
  <c r="R190" i="17" s="1"/>
  <c r="T190" i="17" s="1"/>
  <c r="S190" i="17"/>
  <c r="AJ110" i="17"/>
  <c r="AK110" i="17" s="1"/>
  <c r="D110" i="17"/>
  <c r="F110" i="17" s="1"/>
  <c r="AS110" i="17"/>
  <c r="AT110" i="17" s="1"/>
  <c r="S191" i="17" l="1"/>
  <c r="Q191" i="17"/>
  <c r="R191" i="17" s="1"/>
  <c r="T191" i="17" s="1"/>
  <c r="AL110" i="17"/>
  <c r="AU110" i="17"/>
  <c r="E111" i="17"/>
  <c r="C111" i="17"/>
  <c r="Q192" i="17" l="1"/>
  <c r="R192" i="17" s="1"/>
  <c r="T192" i="17" s="1"/>
  <c r="S192" i="17"/>
  <c r="D111" i="17"/>
  <c r="F111" i="17" s="1"/>
  <c r="AJ111" i="17"/>
  <c r="AK111" i="17" s="1"/>
  <c r="AS111" i="17"/>
  <c r="AT111" i="17" s="1"/>
  <c r="Q193" i="17" l="1"/>
  <c r="R193" i="17" s="1"/>
  <c r="T193" i="17" s="1"/>
  <c r="S193" i="17"/>
  <c r="AL111" i="17"/>
  <c r="AU111" i="17"/>
  <c r="C112" i="17"/>
  <c r="E112" i="17"/>
  <c r="Q194" i="17" l="1"/>
  <c r="R194" i="17" s="1"/>
  <c r="T194" i="17" s="1"/>
  <c r="S194" i="17"/>
  <c r="D112" i="17"/>
  <c r="F112" i="17" s="1"/>
  <c r="AJ112" i="17"/>
  <c r="AK112" i="17" s="1"/>
  <c r="AS112" i="17"/>
  <c r="AT112" i="17" s="1"/>
  <c r="S195" i="17" l="1"/>
  <c r="Q195" i="17"/>
  <c r="R195" i="17" s="1"/>
  <c r="T195" i="17" s="1"/>
  <c r="C113" i="17"/>
  <c r="E113" i="17"/>
  <c r="AU112" i="17"/>
  <c r="AL112" i="17"/>
  <c r="Q196" i="17" l="1"/>
  <c r="R196" i="17" s="1"/>
  <c r="T196" i="17" s="1"/>
  <c r="S196" i="17"/>
  <c r="AJ113" i="17"/>
  <c r="AK113" i="17" s="1"/>
  <c r="D113" i="17"/>
  <c r="F113" i="17" s="1"/>
  <c r="AS113" i="17"/>
  <c r="AT113" i="17" s="1"/>
  <c r="Q197" i="17" l="1"/>
  <c r="R197" i="17" s="1"/>
  <c r="T197" i="17" s="1"/>
  <c r="S197" i="17"/>
  <c r="AU113" i="17"/>
  <c r="C114" i="17"/>
  <c r="E114" i="17"/>
  <c r="AL113" i="17"/>
  <c r="Q198" i="17" l="1"/>
  <c r="R198" i="17" s="1"/>
  <c r="T198" i="17" s="1"/>
  <c r="S198" i="17"/>
  <c r="AJ114" i="17"/>
  <c r="AK114" i="17" s="1"/>
  <c r="D114" i="17"/>
  <c r="F114" i="17" s="1"/>
  <c r="AS114" i="17"/>
  <c r="AT114" i="17" s="1"/>
  <c r="S199" i="17" l="1"/>
  <c r="Q199" i="17"/>
  <c r="R199" i="17" s="1"/>
  <c r="T199" i="17" s="1"/>
  <c r="AL114" i="17"/>
  <c r="E115" i="17"/>
  <c r="C115" i="17"/>
  <c r="AU114" i="17"/>
  <c r="Q200" i="17" l="1"/>
  <c r="R200" i="17" s="1"/>
  <c r="T200" i="17" s="1"/>
  <c r="S200" i="17"/>
  <c r="D115" i="17"/>
  <c r="F115" i="17" s="1"/>
  <c r="AJ115" i="17"/>
  <c r="AK115" i="17" s="1"/>
  <c r="AS115" i="17"/>
  <c r="AT115" i="17" s="1"/>
  <c r="Q201" i="17" l="1"/>
  <c r="R201" i="17" s="1"/>
  <c r="T201" i="17" s="1"/>
  <c r="S201" i="17"/>
  <c r="AU115" i="17"/>
  <c r="C116" i="17"/>
  <c r="E116" i="17"/>
  <c r="AL115" i="17"/>
  <c r="Q202" i="17" l="1"/>
  <c r="R202" i="17" s="1"/>
  <c r="T202" i="17" s="1"/>
  <c r="S202" i="17"/>
  <c r="D116" i="17"/>
  <c r="F116" i="17" s="1"/>
  <c r="AJ116" i="17"/>
  <c r="AK116" i="17" s="1"/>
  <c r="AS116" i="17"/>
  <c r="AT116" i="17" s="1"/>
  <c r="S203" i="17" l="1"/>
  <c r="Q203" i="17"/>
  <c r="R203" i="17" s="1"/>
  <c r="T203" i="17" s="1"/>
  <c r="AU116" i="17"/>
  <c r="AL116" i="17"/>
  <c r="C117" i="17"/>
  <c r="E117" i="17"/>
  <c r="Q204" i="17" l="1"/>
  <c r="R204" i="17" s="1"/>
  <c r="T204" i="17" s="1"/>
  <c r="S204" i="17"/>
  <c r="D117" i="17"/>
  <c r="F117" i="17" s="1"/>
  <c r="AJ117" i="17"/>
  <c r="AK117" i="17" s="1"/>
  <c r="AS117" i="17"/>
  <c r="AT117" i="17" s="1"/>
  <c r="Q205" i="17" l="1"/>
  <c r="R205" i="17" s="1"/>
  <c r="T205" i="17" s="1"/>
  <c r="S205" i="17"/>
  <c r="AU117" i="17"/>
  <c r="C118" i="17"/>
  <c r="E118" i="17"/>
  <c r="AL117" i="17"/>
  <c r="Q206" i="17" l="1"/>
  <c r="R206" i="17" s="1"/>
  <c r="T206" i="17" s="1"/>
  <c r="S206" i="17"/>
  <c r="AJ118" i="17"/>
  <c r="AK118" i="17" s="1"/>
  <c r="D118" i="17"/>
  <c r="F118" i="17" s="1"/>
  <c r="AS118" i="17"/>
  <c r="AT118" i="17" s="1"/>
  <c r="S207" i="17" l="1"/>
  <c r="Q207" i="17"/>
  <c r="R207" i="17" s="1"/>
  <c r="T207" i="17" s="1"/>
  <c r="AU118" i="17"/>
  <c r="AL118" i="17"/>
  <c r="E119" i="17"/>
  <c r="C119" i="17"/>
  <c r="Q208" i="17" l="1"/>
  <c r="R208" i="17" s="1"/>
  <c r="T208" i="17" s="1"/>
  <c r="S208" i="17"/>
  <c r="D119" i="17"/>
  <c r="F119" i="17" s="1"/>
  <c r="AJ119" i="17"/>
  <c r="AK119" i="17" s="1"/>
  <c r="AS119" i="17"/>
  <c r="AT119" i="17" s="1"/>
  <c r="Q209" i="17" l="1"/>
  <c r="R209" i="17" s="1"/>
  <c r="T209" i="17" s="1"/>
  <c r="S209" i="17"/>
  <c r="AU119" i="17"/>
  <c r="C120" i="17"/>
  <c r="E120" i="17"/>
  <c r="AL119" i="17"/>
  <c r="Q210" i="17" l="1"/>
  <c r="R210" i="17" s="1"/>
  <c r="T210" i="17" s="1"/>
  <c r="S210" i="17"/>
  <c r="D120" i="17"/>
  <c r="F120" i="17" s="1"/>
  <c r="AJ120" i="17"/>
  <c r="AK120" i="17" s="1"/>
  <c r="AS120" i="17"/>
  <c r="AT120" i="17" s="1"/>
  <c r="S211" i="17" l="1"/>
  <c r="Q211" i="17"/>
  <c r="R211" i="17" s="1"/>
  <c r="T211" i="17" s="1"/>
  <c r="AU120" i="17"/>
  <c r="C121" i="17"/>
  <c r="E121" i="17"/>
  <c r="AL120" i="17"/>
  <c r="Q212" i="17" l="1"/>
  <c r="R212" i="17" s="1"/>
  <c r="T212" i="17" s="1"/>
  <c r="S212" i="17"/>
  <c r="AJ121" i="17"/>
  <c r="AK121" i="17" s="1"/>
  <c r="D121" i="17"/>
  <c r="F121" i="17" s="1"/>
  <c r="AS121" i="17"/>
  <c r="AT121" i="17" s="1"/>
  <c r="Q213" i="17" l="1"/>
  <c r="R213" i="17" s="1"/>
  <c r="T213" i="17" s="1"/>
  <c r="S213" i="17"/>
  <c r="AU121" i="17"/>
  <c r="C122" i="17"/>
  <c r="E122" i="17"/>
  <c r="AL121" i="17"/>
  <c r="Q214" i="17" l="1"/>
  <c r="R214" i="17" s="1"/>
  <c r="T214" i="17" s="1"/>
  <c r="S214" i="17"/>
  <c r="AJ122" i="17"/>
  <c r="AK122" i="17" s="1"/>
  <c r="D122" i="17"/>
  <c r="F122" i="17" s="1"/>
  <c r="AS122" i="17"/>
  <c r="AT122" i="17" s="1"/>
  <c r="S215" i="17" l="1"/>
  <c r="Q215" i="17"/>
  <c r="R215" i="17" s="1"/>
  <c r="T215" i="17" s="1"/>
  <c r="AL122" i="17"/>
  <c r="AU122" i="17"/>
  <c r="E123" i="17"/>
  <c r="C123" i="17"/>
  <c r="Q216" i="17" l="1"/>
  <c r="R216" i="17" s="1"/>
  <c r="T216" i="17" s="1"/>
  <c r="S216" i="17"/>
  <c r="D123" i="17"/>
  <c r="F123" i="17" s="1"/>
  <c r="AJ123" i="17"/>
  <c r="AK123" i="17" s="1"/>
  <c r="AS123" i="17"/>
  <c r="AT123" i="17" s="1"/>
  <c r="Q217" i="17" l="1"/>
  <c r="R217" i="17" s="1"/>
  <c r="T217" i="17" s="1"/>
  <c r="S217" i="17"/>
  <c r="AU123" i="17"/>
  <c r="C124" i="17"/>
  <c r="E124" i="17"/>
  <c r="AL123" i="17"/>
  <c r="S218" i="17" l="1"/>
  <c r="Q218" i="17"/>
  <c r="R218" i="17" s="1"/>
  <c r="T218" i="17" s="1"/>
  <c r="D124" i="17"/>
  <c r="F124" i="17" s="1"/>
  <c r="AJ124" i="17"/>
  <c r="AK124" i="17" s="1"/>
  <c r="AS124" i="17"/>
  <c r="AT124" i="17" s="1"/>
  <c r="S219" i="17" l="1"/>
  <c r="Q219" i="17"/>
  <c r="R219" i="17" s="1"/>
  <c r="T219" i="17" s="1"/>
  <c r="AU124" i="17"/>
  <c r="C125" i="17"/>
  <c r="E125" i="17"/>
  <c r="AL124" i="17"/>
  <c r="S220" i="17" l="1"/>
  <c r="Q220" i="17"/>
  <c r="R220" i="17" s="1"/>
  <c r="T220" i="17" s="1"/>
  <c r="AJ125" i="17"/>
  <c r="AK125" i="17" s="1"/>
  <c r="D125" i="17"/>
  <c r="F125" i="17" s="1"/>
  <c r="AS125" i="17"/>
  <c r="AT125" i="17" s="1"/>
  <c r="S221" i="17" l="1"/>
  <c r="Q221" i="17"/>
  <c r="R221" i="17" s="1"/>
  <c r="T221" i="17" s="1"/>
  <c r="AU125" i="17"/>
  <c r="AL125" i="17"/>
  <c r="C126" i="17"/>
  <c r="E126" i="17"/>
  <c r="S222" i="17" l="1"/>
  <c r="Q222" i="17"/>
  <c r="R222" i="17" s="1"/>
  <c r="T222" i="17" s="1"/>
  <c r="AJ126" i="17"/>
  <c r="AK126" i="17" s="1"/>
  <c r="D126" i="17"/>
  <c r="F126" i="17" s="1"/>
  <c r="AS126" i="17"/>
  <c r="AT126" i="17" s="1"/>
  <c r="S223" i="17" l="1"/>
  <c r="Q223" i="17"/>
  <c r="R223" i="17" s="1"/>
  <c r="T223" i="17" s="1"/>
  <c r="E127" i="17"/>
  <c r="C127" i="17"/>
  <c r="AU126" i="17"/>
  <c r="AL126" i="17"/>
  <c r="Q224" i="17" l="1"/>
  <c r="R224" i="17" s="1"/>
  <c r="T224" i="17" s="1"/>
  <c r="S224" i="17"/>
  <c r="AJ127" i="17"/>
  <c r="AK127" i="17" s="1"/>
  <c r="D127" i="17"/>
  <c r="F127" i="17" s="1"/>
  <c r="AS127" i="17"/>
  <c r="AT127" i="17" s="1"/>
  <c r="S225" i="17" l="1"/>
  <c r="Q225" i="17"/>
  <c r="R225" i="17" s="1"/>
  <c r="T225" i="17" s="1"/>
  <c r="AU127" i="17"/>
  <c r="AL127" i="17"/>
  <c r="C128" i="17"/>
  <c r="E128" i="17"/>
  <c r="S226" i="17" l="1"/>
  <c r="Q226" i="17"/>
  <c r="R226" i="17" s="1"/>
  <c r="T226" i="17" s="1"/>
  <c r="AJ128" i="17"/>
  <c r="AK128" i="17" s="1"/>
  <c r="D128" i="17"/>
  <c r="F128" i="17" s="1"/>
  <c r="AS128" i="17"/>
  <c r="AT128" i="17" s="1"/>
  <c r="S227" i="17" l="1"/>
  <c r="Q227" i="17"/>
  <c r="R227" i="17" s="1"/>
  <c r="T227" i="17" s="1"/>
  <c r="AU128" i="17"/>
  <c r="E129" i="17"/>
  <c r="C129" i="17"/>
  <c r="AL128" i="17"/>
  <c r="Q228" i="17" l="1"/>
  <c r="R228" i="17" s="1"/>
  <c r="T228" i="17" s="1"/>
  <c r="S228" i="17"/>
  <c r="AJ129" i="17"/>
  <c r="AK129" i="17" s="1"/>
  <c r="D129" i="17"/>
  <c r="F129" i="17" s="1"/>
  <c r="AS129" i="17"/>
  <c r="AT129" i="17" s="1"/>
  <c r="S229" i="17" l="1"/>
  <c r="Q229" i="17"/>
  <c r="R229" i="17" s="1"/>
  <c r="T229" i="17" s="1"/>
  <c r="C130" i="17"/>
  <c r="E130" i="17"/>
  <c r="AL129" i="17"/>
  <c r="AU129" i="17"/>
  <c r="S230" i="17" l="1"/>
  <c r="Q230" i="17"/>
  <c r="R230" i="17" s="1"/>
  <c r="T230" i="17" s="1"/>
  <c r="AJ130" i="17"/>
  <c r="AK130" i="17" s="1"/>
  <c r="D130" i="17"/>
  <c r="F130" i="17" s="1"/>
  <c r="AS130" i="17"/>
  <c r="AT130" i="17" s="1"/>
  <c r="S231" i="17" l="1"/>
  <c r="Q231" i="17"/>
  <c r="R231" i="17" s="1"/>
  <c r="T231" i="17" s="1"/>
  <c r="AL130" i="17"/>
  <c r="AU130" i="17"/>
  <c r="E131" i="17"/>
  <c r="C131" i="17"/>
  <c r="Q232" i="17" l="1"/>
  <c r="R232" i="17" s="1"/>
  <c r="T232" i="17" s="1"/>
  <c r="S232" i="17"/>
  <c r="AJ131" i="17"/>
  <c r="AK131" i="17" s="1"/>
  <c r="D131" i="17"/>
  <c r="F131" i="17" s="1"/>
  <c r="AS131" i="17"/>
  <c r="AT131" i="17" s="1"/>
  <c r="S233" i="17" l="1"/>
  <c r="Q233" i="17"/>
  <c r="R233" i="17" s="1"/>
  <c r="T233" i="17" s="1"/>
  <c r="AU131" i="17"/>
  <c r="AL131" i="17"/>
  <c r="C132" i="17"/>
  <c r="E132" i="17"/>
  <c r="S234" i="17" l="1"/>
  <c r="Q234" i="17"/>
  <c r="R234" i="17" s="1"/>
  <c r="T234" i="17" s="1"/>
  <c r="AJ132" i="17"/>
  <c r="AK132" i="17" s="1"/>
  <c r="D132" i="17"/>
  <c r="F132" i="17" s="1"/>
  <c r="AS132" i="17"/>
  <c r="AT132" i="17" s="1"/>
  <c r="S235" i="17" l="1"/>
  <c r="Q235" i="17"/>
  <c r="R235" i="17" s="1"/>
  <c r="T235" i="17" s="1"/>
  <c r="AU132" i="17"/>
  <c r="E133" i="17"/>
  <c r="C133" i="17"/>
  <c r="AL132" i="17"/>
  <c r="Q236" i="17" l="1"/>
  <c r="R236" i="17" s="1"/>
  <c r="T236" i="17" s="1"/>
  <c r="S236" i="17"/>
  <c r="AJ133" i="17"/>
  <c r="AK133" i="17" s="1"/>
  <c r="D133" i="17"/>
  <c r="F133" i="17" s="1"/>
  <c r="AS133" i="17"/>
  <c r="AT133" i="17" s="1"/>
  <c r="S237" i="17" l="1"/>
  <c r="Q237" i="17"/>
  <c r="R237" i="17" s="1"/>
  <c r="T237" i="17" s="1"/>
  <c r="AU133" i="17"/>
  <c r="AL133" i="17"/>
  <c r="C134" i="17"/>
  <c r="E134" i="17"/>
  <c r="S238" i="17" l="1"/>
  <c r="Q238" i="17"/>
  <c r="R238" i="17" s="1"/>
  <c r="T238" i="17" s="1"/>
  <c r="AJ134" i="17"/>
  <c r="AK134" i="17" s="1"/>
  <c r="D134" i="17"/>
  <c r="F134" i="17" s="1"/>
  <c r="AS134" i="17"/>
  <c r="AT134" i="17" s="1"/>
  <c r="S239" i="17" l="1"/>
  <c r="Q239" i="17"/>
  <c r="R239" i="17" s="1"/>
  <c r="T239" i="17" s="1"/>
  <c r="E135" i="17"/>
  <c r="C135" i="17"/>
  <c r="AL134" i="17"/>
  <c r="AU134" i="17"/>
  <c r="Q240" i="17" l="1"/>
  <c r="R240" i="17" s="1"/>
  <c r="T240" i="17" s="1"/>
  <c r="S240" i="17"/>
  <c r="AJ135" i="17"/>
  <c r="AK135" i="17" s="1"/>
  <c r="D135" i="17"/>
  <c r="F135" i="17" s="1"/>
  <c r="AS135" i="17"/>
  <c r="AT135" i="17" s="1"/>
  <c r="S241" i="17" l="1"/>
  <c r="Q241" i="17"/>
  <c r="R241" i="17" s="1"/>
  <c r="T241" i="17" s="1"/>
  <c r="AU135" i="17"/>
  <c r="AL135" i="17"/>
  <c r="C136" i="17"/>
  <c r="E136" i="17"/>
  <c r="S242" i="17" l="1"/>
  <c r="Q242" i="17"/>
  <c r="R242" i="17" s="1"/>
  <c r="T242" i="17" s="1"/>
  <c r="AJ136" i="17"/>
  <c r="AK136" i="17" s="1"/>
  <c r="D136" i="17"/>
  <c r="F136" i="17" s="1"/>
  <c r="AS136" i="17"/>
  <c r="AT136" i="17" s="1"/>
  <c r="S243" i="17" l="1"/>
  <c r="Q243" i="17"/>
  <c r="R243" i="17" s="1"/>
  <c r="T243" i="17" s="1"/>
  <c r="AL136" i="17"/>
  <c r="AU136" i="17"/>
  <c r="E137" i="17"/>
  <c r="C137" i="17"/>
  <c r="Q244" i="17" l="1"/>
  <c r="R244" i="17" s="1"/>
  <c r="T244" i="17" s="1"/>
  <c r="S244" i="17"/>
  <c r="AJ137" i="17"/>
  <c r="AK137" i="17" s="1"/>
  <c r="D137" i="17"/>
  <c r="F137" i="17" s="1"/>
  <c r="AS137" i="17"/>
  <c r="AT137" i="17" s="1"/>
  <c r="S245" i="17" l="1"/>
  <c r="Q245" i="17"/>
  <c r="R245" i="17" s="1"/>
  <c r="T245" i="17" s="1"/>
  <c r="AU137" i="17"/>
  <c r="E138" i="17"/>
  <c r="C138" i="17"/>
  <c r="AL137" i="17"/>
  <c r="S246" i="17" l="1"/>
  <c r="Q246" i="17"/>
  <c r="R246" i="17" s="1"/>
  <c r="T246" i="17" s="1"/>
  <c r="AJ138" i="17"/>
  <c r="AK138" i="17" s="1"/>
  <c r="D138" i="17"/>
  <c r="F138" i="17" s="1"/>
  <c r="AS138" i="17"/>
  <c r="AT138" i="17" s="1"/>
  <c r="S247" i="17" l="1"/>
  <c r="Q247" i="17"/>
  <c r="R247" i="17" s="1"/>
  <c r="T247" i="17" s="1"/>
  <c r="E139" i="17"/>
  <c r="C139" i="17"/>
  <c r="AU138" i="17"/>
  <c r="AL138" i="17"/>
  <c r="S248" i="17" l="1"/>
  <c r="Q248" i="17"/>
  <c r="R248" i="17" s="1"/>
  <c r="T248" i="17" s="1"/>
  <c r="D139" i="17"/>
  <c r="F139" i="17" s="1"/>
  <c r="AJ139" i="17"/>
  <c r="AK139" i="17" s="1"/>
  <c r="AS139" i="17"/>
  <c r="AT139" i="17" s="1"/>
  <c r="S249" i="17" l="1"/>
  <c r="Q249" i="17"/>
  <c r="R249" i="17" s="1"/>
  <c r="T249" i="17" s="1"/>
  <c r="AU139" i="17"/>
  <c r="AL139" i="17"/>
  <c r="C140" i="17"/>
  <c r="E140" i="17"/>
  <c r="S250" i="17" l="1"/>
  <c r="Q250" i="17"/>
  <c r="R250" i="17" s="1"/>
  <c r="T250" i="17" s="1"/>
  <c r="AJ140" i="17"/>
  <c r="AK140" i="17" s="1"/>
  <c r="D140" i="17"/>
  <c r="F140" i="17" s="1"/>
  <c r="AS140" i="17"/>
  <c r="AT140" i="17" s="1"/>
  <c r="S251" i="17" l="1"/>
  <c r="Q251" i="17"/>
  <c r="R251" i="17" s="1"/>
  <c r="T251" i="17" s="1"/>
  <c r="AL140" i="17"/>
  <c r="AU140" i="17"/>
  <c r="E141" i="17"/>
  <c r="C141" i="17"/>
  <c r="S252" i="17" l="1"/>
  <c r="Q252" i="17"/>
  <c r="R252" i="17" s="1"/>
  <c r="T252" i="17" s="1"/>
  <c r="D141" i="17"/>
  <c r="F141" i="17" s="1"/>
  <c r="AJ141" i="17"/>
  <c r="AK141" i="17" s="1"/>
  <c r="AS141" i="17"/>
  <c r="AT141" i="17" s="1"/>
  <c r="S253" i="17" l="1"/>
  <c r="Q253" i="17"/>
  <c r="R253" i="17" s="1"/>
  <c r="T253" i="17" s="1"/>
  <c r="AU141" i="17"/>
  <c r="C142" i="17"/>
  <c r="E142" i="17"/>
  <c r="AL141" i="17"/>
  <c r="S254" i="17" l="1"/>
  <c r="Q254" i="17"/>
  <c r="R254" i="17" s="1"/>
  <c r="T254" i="17" s="1"/>
  <c r="AJ142" i="17"/>
  <c r="AK142" i="17" s="1"/>
  <c r="D142" i="17"/>
  <c r="F142" i="17" s="1"/>
  <c r="AS142" i="17"/>
  <c r="AT142" i="17" s="1"/>
  <c r="S255" i="17" l="1"/>
  <c r="Q255" i="17"/>
  <c r="R255" i="17" s="1"/>
  <c r="T255" i="17" s="1"/>
  <c r="AU142" i="17"/>
  <c r="AL142" i="17"/>
  <c r="E143" i="17"/>
  <c r="C143" i="17"/>
  <c r="Q256" i="17" l="1"/>
  <c r="R256" i="17" s="1"/>
  <c r="T256" i="17" s="1"/>
  <c r="S256" i="17"/>
  <c r="D143" i="17"/>
  <c r="F143" i="17" s="1"/>
  <c r="AJ143" i="17"/>
  <c r="AK143" i="17" s="1"/>
  <c r="AS143" i="17"/>
  <c r="AT143" i="17" s="1"/>
  <c r="Q257" i="17" l="1"/>
  <c r="R257" i="17" s="1"/>
  <c r="T257" i="17" s="1"/>
  <c r="S257" i="17"/>
  <c r="AU143" i="17"/>
  <c r="AL143" i="17"/>
  <c r="E144" i="17"/>
  <c r="C144" i="17"/>
  <c r="S258" i="17" l="1"/>
  <c r="Q258" i="17"/>
  <c r="R258" i="17" s="1"/>
  <c r="T258" i="17" s="1"/>
  <c r="AJ144" i="17"/>
  <c r="AK144" i="17" s="1"/>
  <c r="D144" i="17"/>
  <c r="F144" i="17" s="1"/>
  <c r="AS144" i="17"/>
  <c r="AT144" i="17" s="1"/>
  <c r="S259" i="17" l="1"/>
  <c r="Q259" i="17"/>
  <c r="R259" i="17" s="1"/>
  <c r="T259" i="17" s="1"/>
  <c r="AU144" i="17"/>
  <c r="C145" i="17"/>
  <c r="E145" i="17"/>
  <c r="AL144" i="17"/>
  <c r="S260" i="17" l="1"/>
  <c r="Q260" i="17"/>
  <c r="R260" i="17" s="1"/>
  <c r="T260" i="17" s="1"/>
  <c r="AJ145" i="17"/>
  <c r="AK145" i="17" s="1"/>
  <c r="D145" i="17"/>
  <c r="F145" i="17" s="1"/>
  <c r="AS145" i="17"/>
  <c r="AT145" i="17" s="1"/>
  <c r="Q261" i="17" l="1"/>
  <c r="R261" i="17" s="1"/>
  <c r="T261" i="17" s="1"/>
  <c r="S261" i="17"/>
  <c r="AU145" i="17"/>
  <c r="AL145" i="17"/>
  <c r="E146" i="17"/>
  <c r="C146" i="17"/>
  <c r="Q262" i="17" l="1"/>
  <c r="R262" i="17" s="1"/>
  <c r="T262" i="17" s="1"/>
  <c r="S262" i="17"/>
  <c r="AJ146" i="17"/>
  <c r="AK146" i="17" s="1"/>
  <c r="D146" i="17"/>
  <c r="F146" i="17" s="1"/>
  <c r="AS146" i="17"/>
  <c r="AT146" i="17" s="1"/>
  <c r="Q263" i="17" l="1"/>
  <c r="R263" i="17" s="1"/>
  <c r="T263" i="17" s="1"/>
  <c r="S263" i="17"/>
  <c r="AU146" i="17"/>
  <c r="E147" i="17"/>
  <c r="C147" i="17"/>
  <c r="AL146" i="17"/>
  <c r="S264" i="17" l="1"/>
  <c r="Q264" i="17"/>
  <c r="R264" i="17" s="1"/>
  <c r="T264" i="17" s="1"/>
  <c r="D147" i="17"/>
  <c r="F147" i="17" s="1"/>
  <c r="AJ147" i="17"/>
  <c r="AK147" i="17" s="1"/>
  <c r="AS147" i="17"/>
  <c r="AT147" i="17" s="1"/>
  <c r="Q265" i="17" l="1"/>
  <c r="R265" i="17" s="1"/>
  <c r="T265" i="17" s="1"/>
  <c r="S265" i="17"/>
  <c r="AU147" i="17"/>
  <c r="AL147" i="17"/>
  <c r="E148" i="17"/>
  <c r="C148" i="17"/>
  <c r="Q266" i="17" l="1"/>
  <c r="R266" i="17" s="1"/>
  <c r="T266" i="17" s="1"/>
  <c r="S266" i="17"/>
  <c r="AJ148" i="17"/>
  <c r="AK148" i="17" s="1"/>
  <c r="D148" i="17"/>
  <c r="F148" i="17" s="1"/>
  <c r="AS148" i="17"/>
  <c r="AT148" i="17" s="1"/>
  <c r="Q267" i="17" l="1"/>
  <c r="R267" i="17" s="1"/>
  <c r="T267" i="17" s="1"/>
  <c r="S267" i="17"/>
  <c r="C149" i="17"/>
  <c r="E149" i="17"/>
  <c r="AU148" i="17"/>
  <c r="AL148" i="17"/>
  <c r="Q268" i="17" l="1"/>
  <c r="R268" i="17" s="1"/>
  <c r="T268" i="17" s="1"/>
  <c r="S268" i="17"/>
  <c r="AJ149" i="17"/>
  <c r="AK149" i="17" s="1"/>
  <c r="D149" i="17"/>
  <c r="F149" i="17" s="1"/>
  <c r="AS149" i="17"/>
  <c r="AT149" i="17" s="1"/>
  <c r="Q269" i="17" l="1"/>
  <c r="R269" i="17" s="1"/>
  <c r="T269" i="17" s="1"/>
  <c r="S269" i="17"/>
  <c r="AU149" i="17"/>
  <c r="E150" i="17"/>
  <c r="C150" i="17"/>
  <c r="AL149" i="17"/>
  <c r="Q270" i="17" l="1"/>
  <c r="R270" i="17" s="1"/>
  <c r="T270" i="17" s="1"/>
  <c r="S270" i="17"/>
  <c r="AJ150" i="17"/>
  <c r="AK150" i="17" s="1"/>
  <c r="D150" i="17"/>
  <c r="F150" i="17" s="1"/>
  <c r="AS150" i="17"/>
  <c r="AT150" i="17" s="1"/>
  <c r="Q271" i="17" l="1"/>
  <c r="R271" i="17" s="1"/>
  <c r="T271" i="17" s="1"/>
  <c r="S271" i="17"/>
  <c r="AU150" i="17"/>
  <c r="AL150" i="17"/>
  <c r="E151" i="17"/>
  <c r="C151" i="17"/>
  <c r="S272" i="17" l="1"/>
  <c r="Q272" i="17"/>
  <c r="R272" i="17" s="1"/>
  <c r="T272" i="17" s="1"/>
  <c r="D151" i="17"/>
  <c r="F151" i="17" s="1"/>
  <c r="AJ151" i="17"/>
  <c r="AK151" i="17" s="1"/>
  <c r="AS151" i="17"/>
  <c r="AT151" i="17" s="1"/>
  <c r="Q273" i="17" l="1"/>
  <c r="R273" i="17" s="1"/>
  <c r="T273" i="17" s="1"/>
  <c r="S273" i="17"/>
  <c r="E152" i="17"/>
  <c r="C152" i="17"/>
  <c r="AU151" i="17"/>
  <c r="AL151" i="17"/>
  <c r="S274" i="17" l="1"/>
  <c r="Q274" i="17"/>
  <c r="R274" i="17" s="1"/>
  <c r="T274" i="17" s="1"/>
  <c r="AJ152" i="17"/>
  <c r="AK152" i="17" s="1"/>
  <c r="D152" i="17"/>
  <c r="F152" i="17" s="1"/>
  <c r="AS152" i="17"/>
  <c r="AT152" i="17" s="1"/>
  <c r="Q275" i="17" l="1"/>
  <c r="S275" i="17"/>
  <c r="S25" i="17" s="1"/>
  <c r="J5" i="17" s="1"/>
  <c r="M5" i="17" s="1"/>
  <c r="AU152" i="17"/>
  <c r="C153" i="17"/>
  <c r="E153" i="17"/>
  <c r="AL152" i="17"/>
  <c r="AJ153" i="17" l="1"/>
  <c r="AK153" i="17" s="1"/>
  <c r="D153" i="17"/>
  <c r="F153" i="17" s="1"/>
  <c r="AS153" i="17"/>
  <c r="AT153" i="17" s="1"/>
  <c r="R275" i="17"/>
  <c r="Q25" i="17"/>
  <c r="AU153" i="17" l="1"/>
  <c r="E154" i="17"/>
  <c r="C154" i="17"/>
  <c r="R25" i="17"/>
  <c r="T275" i="17"/>
  <c r="AL153" i="17"/>
  <c r="AJ154" i="17" l="1"/>
  <c r="AK154" i="17" s="1"/>
  <c r="D154" i="17"/>
  <c r="F154" i="17" s="1"/>
  <c r="AS154" i="17"/>
  <c r="AT154" i="17" s="1"/>
  <c r="AU154" i="17" l="1"/>
  <c r="E155" i="17"/>
  <c r="C155" i="17"/>
  <c r="AL154" i="17"/>
  <c r="D155" i="17" l="1"/>
  <c r="F155" i="17" s="1"/>
  <c r="AJ155" i="17"/>
  <c r="AK155" i="17" s="1"/>
  <c r="AS155" i="17"/>
  <c r="AT155" i="17" s="1"/>
  <c r="AU155" i="17" l="1"/>
  <c r="AL155" i="17"/>
  <c r="E156" i="17"/>
  <c r="C156" i="17"/>
  <c r="AJ156" i="17" l="1"/>
  <c r="AK156" i="17" s="1"/>
  <c r="D156" i="17"/>
  <c r="F156" i="17" s="1"/>
  <c r="AS156" i="17"/>
  <c r="AT156" i="17" s="1"/>
  <c r="AU156" i="17" l="1"/>
  <c r="C157" i="17"/>
  <c r="E157" i="17"/>
  <c r="AL156" i="17"/>
  <c r="AJ157" i="17" l="1"/>
  <c r="AK157" i="17" s="1"/>
  <c r="D157" i="17"/>
  <c r="F157" i="17" s="1"/>
  <c r="AS157" i="17"/>
  <c r="AT157" i="17" s="1"/>
  <c r="AU157" i="17" l="1"/>
  <c r="E158" i="17"/>
  <c r="C158" i="17"/>
  <c r="AL157" i="17"/>
  <c r="AJ158" i="17" l="1"/>
  <c r="AK158" i="17" s="1"/>
  <c r="D158" i="17"/>
  <c r="F158" i="17" s="1"/>
  <c r="AS158" i="17"/>
  <c r="AT158" i="17" s="1"/>
  <c r="AU158" i="17" l="1"/>
  <c r="E159" i="17"/>
  <c r="C159" i="17"/>
  <c r="AL158" i="17"/>
  <c r="D159" i="17" l="1"/>
  <c r="F159" i="17" s="1"/>
  <c r="AJ159" i="17"/>
  <c r="AK159" i="17" s="1"/>
  <c r="AS159" i="17"/>
  <c r="AT159" i="17" s="1"/>
  <c r="AU159" i="17" l="1"/>
  <c r="AL159" i="17"/>
  <c r="E160" i="17"/>
  <c r="C160" i="17"/>
  <c r="AJ160" i="17" l="1"/>
  <c r="AK160" i="17" s="1"/>
  <c r="D160" i="17"/>
  <c r="F160" i="17" s="1"/>
  <c r="AS160" i="17"/>
  <c r="AT160" i="17" s="1"/>
  <c r="AU160" i="17" l="1"/>
  <c r="C161" i="17"/>
  <c r="E161" i="17"/>
  <c r="AL160" i="17"/>
  <c r="AJ161" i="17" l="1"/>
  <c r="AK161" i="17" s="1"/>
  <c r="D161" i="17"/>
  <c r="F161" i="17" s="1"/>
  <c r="AS161" i="17"/>
  <c r="AT161" i="17" s="1"/>
  <c r="AU161" i="17" l="1"/>
  <c r="E162" i="17"/>
  <c r="C162" i="17"/>
  <c r="AL161" i="17"/>
  <c r="AJ162" i="17" l="1"/>
  <c r="AK162" i="17" s="1"/>
  <c r="D162" i="17"/>
  <c r="F162" i="17" s="1"/>
  <c r="AS162" i="17"/>
  <c r="AT162" i="17" s="1"/>
  <c r="AU162" i="17" l="1"/>
  <c r="E163" i="17"/>
  <c r="C163" i="17"/>
  <c r="AL162" i="17"/>
  <c r="D163" i="17" l="1"/>
  <c r="F163" i="17" s="1"/>
  <c r="AJ163" i="17"/>
  <c r="AK163" i="17" s="1"/>
  <c r="AS163" i="17"/>
  <c r="AT163" i="17" s="1"/>
  <c r="AU163" i="17" l="1"/>
  <c r="AL163" i="17"/>
  <c r="E164" i="17"/>
  <c r="C164" i="17"/>
  <c r="AJ164" i="17" l="1"/>
  <c r="AK164" i="17" s="1"/>
  <c r="D164" i="17"/>
  <c r="F164" i="17" s="1"/>
  <c r="AS164" i="17"/>
  <c r="AT164" i="17" s="1"/>
  <c r="C165" i="17" l="1"/>
  <c r="E165" i="17"/>
  <c r="AU164" i="17"/>
  <c r="AL164" i="17"/>
  <c r="AJ165" i="17" l="1"/>
  <c r="AK165" i="17" s="1"/>
  <c r="D165" i="17"/>
  <c r="F165" i="17" s="1"/>
  <c r="AS165" i="17"/>
  <c r="AT165" i="17" s="1"/>
  <c r="AU165" i="17" l="1"/>
  <c r="E166" i="17"/>
  <c r="C166" i="17"/>
  <c r="AL165" i="17"/>
  <c r="AJ166" i="17" l="1"/>
  <c r="AK166" i="17" s="1"/>
  <c r="D166" i="17"/>
  <c r="F166" i="17" s="1"/>
  <c r="AS166" i="17"/>
  <c r="AT166" i="17" s="1"/>
  <c r="AU166" i="17" l="1"/>
  <c r="E167" i="17"/>
  <c r="C167" i="17"/>
  <c r="AL166" i="17"/>
  <c r="D167" i="17" l="1"/>
  <c r="F167" i="17" s="1"/>
  <c r="AJ167" i="17"/>
  <c r="AK167" i="17" s="1"/>
  <c r="AS167" i="17"/>
  <c r="AT167" i="17" s="1"/>
  <c r="AU167" i="17" l="1"/>
  <c r="AL167" i="17"/>
  <c r="E168" i="17"/>
  <c r="C168" i="17"/>
  <c r="AJ168" i="17" l="1"/>
  <c r="AK168" i="17" s="1"/>
  <c r="D168" i="17"/>
  <c r="F168" i="17" s="1"/>
  <c r="AS168" i="17"/>
  <c r="AT168" i="17" s="1"/>
  <c r="AU168" i="17" l="1"/>
  <c r="C169" i="17"/>
  <c r="E169" i="17"/>
  <c r="AL168" i="17"/>
  <c r="AJ169" i="17" l="1"/>
  <c r="AK169" i="17" s="1"/>
  <c r="D169" i="17"/>
  <c r="F169" i="17" s="1"/>
  <c r="AS169" i="17"/>
  <c r="AT169" i="17" s="1"/>
  <c r="AU169" i="17" l="1"/>
  <c r="E170" i="17"/>
  <c r="C170" i="17"/>
  <c r="AL169" i="17"/>
  <c r="AJ170" i="17" l="1"/>
  <c r="AK170" i="17" s="1"/>
  <c r="D170" i="17"/>
  <c r="F170" i="17" s="1"/>
  <c r="AS170" i="17"/>
  <c r="AT170" i="17" s="1"/>
  <c r="AU170" i="17" l="1"/>
  <c r="E171" i="17"/>
  <c r="C171" i="17"/>
  <c r="AL170" i="17"/>
  <c r="D171" i="17" l="1"/>
  <c r="F171" i="17" s="1"/>
  <c r="AJ171" i="17"/>
  <c r="AK171" i="17" s="1"/>
  <c r="AS171" i="17"/>
  <c r="AT171" i="17" s="1"/>
  <c r="AL171" i="17" l="1"/>
  <c r="AU171" i="17"/>
  <c r="E172" i="17"/>
  <c r="C172" i="17"/>
  <c r="AJ172" i="17" l="1"/>
  <c r="AK172" i="17" s="1"/>
  <c r="D172" i="17"/>
  <c r="F172" i="17" s="1"/>
  <c r="AS172" i="17"/>
  <c r="AT172" i="17" s="1"/>
  <c r="C173" i="17" l="1"/>
  <c r="E173" i="17"/>
  <c r="AU172" i="17"/>
  <c r="AL172" i="17"/>
  <c r="AJ173" i="17" l="1"/>
  <c r="AK173" i="17" s="1"/>
  <c r="D173" i="17"/>
  <c r="F173" i="17" s="1"/>
  <c r="AS173" i="17"/>
  <c r="AT173" i="17" s="1"/>
  <c r="AU173" i="17" l="1"/>
  <c r="E174" i="17"/>
  <c r="C174" i="17"/>
  <c r="AL173" i="17"/>
  <c r="AJ174" i="17" l="1"/>
  <c r="AK174" i="17" s="1"/>
  <c r="D174" i="17"/>
  <c r="F174" i="17" s="1"/>
  <c r="AS174" i="17"/>
  <c r="AT174" i="17" s="1"/>
  <c r="AU174" i="17" l="1"/>
  <c r="E175" i="17"/>
  <c r="C175" i="17"/>
  <c r="AL174" i="17"/>
  <c r="D175" i="17" l="1"/>
  <c r="F175" i="17" s="1"/>
  <c r="AJ175" i="17"/>
  <c r="AK175" i="17" s="1"/>
  <c r="AS175" i="17"/>
  <c r="AT175" i="17" s="1"/>
  <c r="AU175" i="17" l="1"/>
  <c r="AL175" i="17"/>
  <c r="E176" i="17"/>
  <c r="C176" i="17"/>
  <c r="AJ176" i="17" l="1"/>
  <c r="AK176" i="17" s="1"/>
  <c r="D176" i="17"/>
  <c r="F176" i="17" s="1"/>
  <c r="AS176" i="17"/>
  <c r="AT176" i="17" s="1"/>
  <c r="AU176" i="17" l="1"/>
  <c r="C177" i="17"/>
  <c r="E177" i="17"/>
  <c r="AL176" i="17"/>
  <c r="AJ177" i="17" l="1"/>
  <c r="AK177" i="17" s="1"/>
  <c r="D177" i="17"/>
  <c r="F177" i="17" s="1"/>
  <c r="AS177" i="17"/>
  <c r="AT177" i="17" s="1"/>
  <c r="AU177" i="17" l="1"/>
  <c r="E178" i="17"/>
  <c r="C178" i="17"/>
  <c r="AL177" i="17"/>
  <c r="AJ178" i="17" l="1"/>
  <c r="AK178" i="17" s="1"/>
  <c r="D178" i="17"/>
  <c r="F178" i="17" s="1"/>
  <c r="AS178" i="17"/>
  <c r="AT178" i="17" s="1"/>
  <c r="AU178" i="17" l="1"/>
  <c r="E179" i="17"/>
  <c r="C179" i="17"/>
  <c r="AL178" i="17"/>
  <c r="D179" i="17" l="1"/>
  <c r="F179" i="17" s="1"/>
  <c r="AJ179" i="17"/>
  <c r="AK179" i="17" s="1"/>
  <c r="AS179" i="17"/>
  <c r="AT179" i="17" s="1"/>
  <c r="AU179" i="17" l="1"/>
  <c r="AL179" i="17"/>
  <c r="E180" i="17"/>
  <c r="C180" i="17"/>
  <c r="AJ180" i="17" l="1"/>
  <c r="AK180" i="17" s="1"/>
  <c r="D180" i="17"/>
  <c r="F180" i="17" s="1"/>
  <c r="AS180" i="17"/>
  <c r="AT180" i="17" s="1"/>
  <c r="AU180" i="17" l="1"/>
  <c r="C181" i="17"/>
  <c r="E181" i="17"/>
  <c r="AL180" i="17"/>
  <c r="AJ181" i="17" l="1"/>
  <c r="AK181" i="17" s="1"/>
  <c r="D181" i="17"/>
  <c r="F181" i="17" s="1"/>
  <c r="AS181" i="17"/>
  <c r="AT181" i="17" s="1"/>
  <c r="AU181" i="17" l="1"/>
  <c r="E182" i="17"/>
  <c r="C182" i="17"/>
  <c r="AL181" i="17"/>
  <c r="AJ182" i="17" l="1"/>
  <c r="AK182" i="17" s="1"/>
  <c r="D182" i="17"/>
  <c r="F182" i="17" s="1"/>
  <c r="AS182" i="17"/>
  <c r="AT182" i="17" s="1"/>
  <c r="AU182" i="17" l="1"/>
  <c r="E183" i="17"/>
  <c r="C183" i="17"/>
  <c r="AL182" i="17"/>
  <c r="AJ183" i="17" l="1"/>
  <c r="AK183" i="17" s="1"/>
  <c r="D183" i="17"/>
  <c r="F183" i="17" s="1"/>
  <c r="AS183" i="17"/>
  <c r="AT183" i="17" s="1"/>
  <c r="E184" i="17" l="1"/>
  <c r="C184" i="17"/>
  <c r="AU183" i="17"/>
  <c r="AL183" i="17"/>
  <c r="AJ184" i="17" l="1"/>
  <c r="AK184" i="17" s="1"/>
  <c r="D184" i="17"/>
  <c r="F184" i="17" s="1"/>
  <c r="AS184" i="17"/>
  <c r="AT184" i="17" s="1"/>
  <c r="AU184" i="17" l="1"/>
  <c r="E185" i="17"/>
  <c r="C185" i="17"/>
  <c r="AL184" i="17"/>
  <c r="AJ185" i="17" l="1"/>
  <c r="AK185" i="17" s="1"/>
  <c r="D185" i="17"/>
  <c r="F185" i="17" s="1"/>
  <c r="AS185" i="17"/>
  <c r="AT185" i="17" s="1"/>
  <c r="AU185" i="17" l="1"/>
  <c r="E186" i="17"/>
  <c r="C186" i="17"/>
  <c r="AL185" i="17"/>
  <c r="AJ186" i="17" l="1"/>
  <c r="AK186" i="17" s="1"/>
  <c r="D186" i="17"/>
  <c r="F186" i="17" s="1"/>
  <c r="AS186" i="17"/>
  <c r="AT186" i="17" s="1"/>
  <c r="AU186" i="17" l="1"/>
  <c r="E187" i="17"/>
  <c r="C187" i="17"/>
  <c r="AL186" i="17"/>
  <c r="AJ187" i="17" l="1"/>
  <c r="AK187" i="17" s="1"/>
  <c r="D187" i="17"/>
  <c r="F187" i="17" s="1"/>
  <c r="AS187" i="17"/>
  <c r="AT187" i="17" s="1"/>
  <c r="AU187" i="17" l="1"/>
  <c r="E188" i="17"/>
  <c r="C188" i="17"/>
  <c r="AL187" i="17"/>
  <c r="AJ188" i="17" l="1"/>
  <c r="AK188" i="17" s="1"/>
  <c r="D188" i="17"/>
  <c r="F188" i="17" s="1"/>
  <c r="AS188" i="17"/>
  <c r="AT188" i="17" s="1"/>
  <c r="E189" i="17" l="1"/>
  <c r="C189" i="17"/>
  <c r="AU188" i="17"/>
  <c r="AL188" i="17"/>
  <c r="AJ189" i="17" l="1"/>
  <c r="AK189" i="17" s="1"/>
  <c r="D189" i="17"/>
  <c r="F189" i="17" s="1"/>
  <c r="AS189" i="17"/>
  <c r="AT189" i="17" s="1"/>
  <c r="AU189" i="17" l="1"/>
  <c r="E190" i="17"/>
  <c r="C190" i="17"/>
  <c r="AL189" i="17"/>
  <c r="AJ190" i="17" l="1"/>
  <c r="AK190" i="17" s="1"/>
  <c r="D190" i="17"/>
  <c r="F190" i="17" s="1"/>
  <c r="AS190" i="17"/>
  <c r="AT190" i="17" s="1"/>
  <c r="E191" i="17" l="1"/>
  <c r="C191" i="17"/>
  <c r="AU190" i="17"/>
  <c r="AL190" i="17"/>
  <c r="AJ191" i="17" l="1"/>
  <c r="AK191" i="17" s="1"/>
  <c r="D191" i="17"/>
  <c r="F191" i="17" s="1"/>
  <c r="AS191" i="17"/>
  <c r="AT191" i="17" s="1"/>
  <c r="AU191" i="17" l="1"/>
  <c r="E192" i="17"/>
  <c r="C192" i="17"/>
  <c r="AL191" i="17"/>
  <c r="AJ192" i="17" l="1"/>
  <c r="AK192" i="17" s="1"/>
  <c r="D192" i="17"/>
  <c r="F192" i="17" s="1"/>
  <c r="AS192" i="17"/>
  <c r="AT192" i="17" s="1"/>
  <c r="AU192" i="17" l="1"/>
  <c r="E193" i="17"/>
  <c r="C193" i="17"/>
  <c r="AL192" i="17"/>
  <c r="AJ193" i="17" l="1"/>
  <c r="AK193" i="17" s="1"/>
  <c r="D193" i="17"/>
  <c r="F193" i="17" s="1"/>
  <c r="AS193" i="17"/>
  <c r="AT193" i="17" s="1"/>
  <c r="E194" i="17" l="1"/>
  <c r="C194" i="17"/>
  <c r="AU193" i="17"/>
  <c r="AL193" i="17"/>
  <c r="AJ194" i="17" l="1"/>
  <c r="AK194" i="17" s="1"/>
  <c r="D194" i="17"/>
  <c r="F194" i="17" s="1"/>
  <c r="AS194" i="17"/>
  <c r="AT194" i="17" s="1"/>
  <c r="AU194" i="17" l="1"/>
  <c r="E195" i="17"/>
  <c r="C195" i="17"/>
  <c r="AL194" i="17"/>
  <c r="AJ195" i="17" l="1"/>
  <c r="AK195" i="17" s="1"/>
  <c r="D195" i="17"/>
  <c r="F195" i="17" s="1"/>
  <c r="AS195" i="17"/>
  <c r="AT195" i="17" s="1"/>
  <c r="AU195" i="17" l="1"/>
  <c r="E196" i="17"/>
  <c r="C196" i="17"/>
  <c r="AL195" i="17"/>
  <c r="AJ196" i="17" l="1"/>
  <c r="AK196" i="17" s="1"/>
  <c r="D196" i="17"/>
  <c r="F196" i="17" s="1"/>
  <c r="AS196" i="17"/>
  <c r="AT196" i="17" s="1"/>
  <c r="AU196" i="17" l="1"/>
  <c r="E197" i="17"/>
  <c r="C197" i="17"/>
  <c r="AL196" i="17"/>
  <c r="AJ197" i="17" l="1"/>
  <c r="AK197" i="17" s="1"/>
  <c r="D197" i="17"/>
  <c r="F197" i="17" s="1"/>
  <c r="AS197" i="17"/>
  <c r="AT197" i="17" s="1"/>
  <c r="AU197" i="17" l="1"/>
  <c r="E198" i="17"/>
  <c r="C198" i="17"/>
  <c r="AL197" i="17"/>
  <c r="AJ198" i="17" l="1"/>
  <c r="AK198" i="17" s="1"/>
  <c r="D198" i="17"/>
  <c r="F198" i="17" s="1"/>
  <c r="AS198" i="17"/>
  <c r="AT198" i="17" s="1"/>
  <c r="AU198" i="17" l="1"/>
  <c r="E199" i="17"/>
  <c r="C199" i="17"/>
  <c r="AL198" i="17"/>
  <c r="AJ199" i="17" l="1"/>
  <c r="AK199" i="17" s="1"/>
  <c r="D199" i="17"/>
  <c r="F199" i="17" s="1"/>
  <c r="AS199" i="17"/>
  <c r="AT199" i="17" s="1"/>
  <c r="AU199" i="17" l="1"/>
  <c r="E200" i="17"/>
  <c r="C200" i="17"/>
  <c r="AL199" i="17"/>
  <c r="AJ200" i="17" l="1"/>
  <c r="AK200" i="17" s="1"/>
  <c r="D200" i="17"/>
  <c r="F200" i="17" s="1"/>
  <c r="AS200" i="17"/>
  <c r="AT200" i="17" s="1"/>
  <c r="AU200" i="17" l="1"/>
  <c r="E201" i="17"/>
  <c r="C201" i="17"/>
  <c r="AL200" i="17"/>
  <c r="AJ201" i="17" l="1"/>
  <c r="AK201" i="17" s="1"/>
  <c r="D201" i="17"/>
  <c r="F201" i="17" s="1"/>
  <c r="AS201" i="17"/>
  <c r="AT201" i="17" s="1"/>
  <c r="AU201" i="17" l="1"/>
  <c r="E202" i="17"/>
  <c r="C202" i="17"/>
  <c r="AL201" i="17"/>
  <c r="AJ202" i="17" l="1"/>
  <c r="AK202" i="17" s="1"/>
  <c r="D202" i="17"/>
  <c r="F202" i="17" s="1"/>
  <c r="AS202" i="17"/>
  <c r="AT202" i="17" s="1"/>
  <c r="AU202" i="17" l="1"/>
  <c r="E203" i="17"/>
  <c r="C203" i="17"/>
  <c r="AL202" i="17"/>
  <c r="AJ203" i="17" l="1"/>
  <c r="AK203" i="17" s="1"/>
  <c r="D203" i="17"/>
  <c r="F203" i="17" s="1"/>
  <c r="AS203" i="17"/>
  <c r="AT203" i="17" s="1"/>
  <c r="AU203" i="17" l="1"/>
  <c r="E204" i="17"/>
  <c r="C204" i="17"/>
  <c r="AL203" i="17"/>
  <c r="AJ204" i="17" l="1"/>
  <c r="AK204" i="17" s="1"/>
  <c r="D204" i="17"/>
  <c r="F204" i="17" s="1"/>
  <c r="AS204" i="17"/>
  <c r="AT204" i="17" s="1"/>
  <c r="E205" i="17" l="1"/>
  <c r="C205" i="17"/>
  <c r="AU204" i="17"/>
  <c r="AL204" i="17"/>
  <c r="AJ205" i="17" l="1"/>
  <c r="AK205" i="17" s="1"/>
  <c r="D205" i="17"/>
  <c r="F205" i="17" s="1"/>
  <c r="AS205" i="17"/>
  <c r="AT205" i="17" s="1"/>
  <c r="E206" i="17" l="1"/>
  <c r="C206" i="17"/>
  <c r="AU205" i="17"/>
  <c r="AL205" i="17"/>
  <c r="AJ206" i="17" l="1"/>
  <c r="AK206" i="17" s="1"/>
  <c r="D206" i="17"/>
  <c r="F206" i="17" s="1"/>
  <c r="AS206" i="17"/>
  <c r="AT206" i="17" s="1"/>
  <c r="AU206" i="17" l="1"/>
  <c r="E207" i="17"/>
  <c r="C207" i="17"/>
  <c r="AL206" i="17"/>
  <c r="AJ207" i="17" l="1"/>
  <c r="AK207" i="17" s="1"/>
  <c r="D207" i="17"/>
  <c r="F207" i="17" s="1"/>
  <c r="AS207" i="17"/>
  <c r="AT207" i="17" s="1"/>
  <c r="AU207" i="17" l="1"/>
  <c r="E208" i="17"/>
  <c r="C208" i="17"/>
  <c r="AL207" i="17"/>
  <c r="AJ208" i="17" l="1"/>
  <c r="AK208" i="17" s="1"/>
  <c r="D208" i="17"/>
  <c r="F208" i="17" s="1"/>
  <c r="AS208" i="17"/>
  <c r="AT208" i="17" s="1"/>
  <c r="AU208" i="17" l="1"/>
  <c r="E209" i="17"/>
  <c r="C209" i="17"/>
  <c r="AL208" i="17"/>
  <c r="AJ209" i="17" l="1"/>
  <c r="AK209" i="17" s="1"/>
  <c r="D209" i="17"/>
  <c r="F209" i="17" s="1"/>
  <c r="AS209" i="17"/>
  <c r="AT209" i="17" s="1"/>
  <c r="E210" i="17" l="1"/>
  <c r="C210" i="17"/>
  <c r="AU209" i="17"/>
  <c r="AL209" i="17"/>
  <c r="AJ210" i="17" l="1"/>
  <c r="AK210" i="17" s="1"/>
  <c r="D210" i="17"/>
  <c r="F210" i="17" s="1"/>
  <c r="AS210" i="17"/>
  <c r="AT210" i="17" s="1"/>
  <c r="AU210" i="17" l="1"/>
  <c r="C211" i="17"/>
  <c r="E211" i="17"/>
  <c r="AL210" i="17"/>
  <c r="AJ211" i="17" l="1"/>
  <c r="AK211" i="17" s="1"/>
  <c r="D211" i="17"/>
  <c r="F211" i="17" s="1"/>
  <c r="AS211" i="17"/>
  <c r="AT211" i="17" s="1"/>
  <c r="AU211" i="17" l="1"/>
  <c r="C212" i="17"/>
  <c r="E212" i="17"/>
  <c r="AL211" i="17"/>
  <c r="D212" i="17" l="1"/>
  <c r="F212" i="17" s="1"/>
  <c r="AJ212" i="17"/>
  <c r="AK212" i="17" s="1"/>
  <c r="AS212" i="17"/>
  <c r="AT212" i="17" s="1"/>
  <c r="AU212" i="17" l="1"/>
  <c r="AL212" i="17"/>
  <c r="C213" i="17"/>
  <c r="E213" i="17"/>
  <c r="AJ213" i="17" l="1"/>
  <c r="AK213" i="17" s="1"/>
  <c r="D213" i="17"/>
  <c r="F213" i="17" s="1"/>
  <c r="AS213" i="17"/>
  <c r="AT213" i="17" s="1"/>
  <c r="AU213" i="17" l="1"/>
  <c r="E214" i="17"/>
  <c r="C214" i="17"/>
  <c r="AL213" i="17"/>
  <c r="AJ214" i="17" l="1"/>
  <c r="AK214" i="17" s="1"/>
  <c r="D214" i="17"/>
  <c r="F214" i="17" s="1"/>
  <c r="AS214" i="17"/>
  <c r="AT214" i="17" s="1"/>
  <c r="AU214" i="17" l="1"/>
  <c r="E215" i="17"/>
  <c r="C215" i="17"/>
  <c r="AL214" i="17"/>
  <c r="D215" i="17" l="1"/>
  <c r="F215" i="17" s="1"/>
  <c r="AJ215" i="17"/>
  <c r="AK215" i="17" s="1"/>
  <c r="AS215" i="17"/>
  <c r="AT215" i="17" s="1"/>
  <c r="AU215" i="17" l="1"/>
  <c r="AL215" i="17"/>
  <c r="E216" i="17"/>
  <c r="C216" i="17"/>
  <c r="AJ216" i="17" l="1"/>
  <c r="AK216" i="17" s="1"/>
  <c r="D216" i="17"/>
  <c r="F216" i="17" s="1"/>
  <c r="AS216" i="17"/>
  <c r="AT216" i="17" s="1"/>
  <c r="AU216" i="17" l="1"/>
  <c r="C217" i="17"/>
  <c r="E217" i="17"/>
  <c r="AL216" i="17"/>
  <c r="AJ217" i="17" l="1"/>
  <c r="AK217" i="17" s="1"/>
  <c r="D217" i="17"/>
  <c r="F217" i="17" s="1"/>
  <c r="AS217" i="17"/>
  <c r="AT217" i="17" s="1"/>
  <c r="AU217" i="17" l="1"/>
  <c r="E218" i="17"/>
  <c r="C218" i="17"/>
  <c r="AL217" i="17"/>
  <c r="AJ218" i="17" l="1"/>
  <c r="AK218" i="17" s="1"/>
  <c r="D218" i="17"/>
  <c r="F218" i="17" s="1"/>
  <c r="AS218" i="17"/>
  <c r="AT218" i="17" s="1"/>
  <c r="AU218" i="17" l="1"/>
  <c r="E219" i="17"/>
  <c r="C219" i="17"/>
  <c r="AL218" i="17"/>
  <c r="D219" i="17" l="1"/>
  <c r="F219" i="17" s="1"/>
  <c r="AJ219" i="17"/>
  <c r="AK219" i="17" s="1"/>
  <c r="AS219" i="17"/>
  <c r="AT219" i="17" s="1"/>
  <c r="AU219" i="17" l="1"/>
  <c r="AL219" i="17"/>
  <c r="E220" i="17"/>
  <c r="C220" i="17"/>
  <c r="AJ220" i="17" l="1"/>
  <c r="AK220" i="17" s="1"/>
  <c r="D220" i="17"/>
  <c r="F220" i="17" s="1"/>
  <c r="AS220" i="17"/>
  <c r="AT220" i="17" s="1"/>
  <c r="C221" i="17" l="1"/>
  <c r="E221" i="17"/>
  <c r="AU220" i="17"/>
  <c r="AL220" i="17"/>
  <c r="AJ221" i="17" l="1"/>
  <c r="AK221" i="17" s="1"/>
  <c r="D221" i="17"/>
  <c r="F221" i="17" s="1"/>
  <c r="AS221" i="17"/>
  <c r="AT221" i="17" s="1"/>
  <c r="AU221" i="17" l="1"/>
  <c r="E222" i="17"/>
  <c r="C222" i="17"/>
  <c r="AL221" i="17"/>
  <c r="AJ222" i="17" l="1"/>
  <c r="AK222" i="17" s="1"/>
  <c r="D222" i="17"/>
  <c r="F222" i="17" s="1"/>
  <c r="AS222" i="17"/>
  <c r="AT222" i="17" s="1"/>
  <c r="AU222" i="17" l="1"/>
  <c r="E223" i="17"/>
  <c r="C223" i="17"/>
  <c r="AL222" i="17"/>
  <c r="D223" i="17" l="1"/>
  <c r="F223" i="17" s="1"/>
  <c r="AJ223" i="17"/>
  <c r="AK223" i="17" s="1"/>
  <c r="AS223" i="17"/>
  <c r="AT223" i="17" s="1"/>
  <c r="AU223" i="17" l="1"/>
  <c r="AL223" i="17"/>
  <c r="E224" i="17"/>
  <c r="C224" i="17"/>
  <c r="AJ224" i="17" l="1"/>
  <c r="AK224" i="17" s="1"/>
  <c r="D224" i="17"/>
  <c r="F224" i="17" s="1"/>
  <c r="AS224" i="17"/>
  <c r="AT224" i="17" s="1"/>
  <c r="AU224" i="17" l="1"/>
  <c r="C225" i="17"/>
  <c r="E225" i="17"/>
  <c r="AL224" i="17"/>
  <c r="AJ225" i="17" l="1"/>
  <c r="AK225" i="17" s="1"/>
  <c r="D225" i="17"/>
  <c r="F225" i="17" s="1"/>
  <c r="AS225" i="17"/>
  <c r="AT225" i="17" s="1"/>
  <c r="AU225" i="17" l="1"/>
  <c r="E226" i="17"/>
  <c r="C226" i="17"/>
  <c r="AL225" i="17"/>
  <c r="AJ226" i="17" l="1"/>
  <c r="AK226" i="17" s="1"/>
  <c r="D226" i="17"/>
  <c r="F226" i="17" s="1"/>
  <c r="AS226" i="17"/>
  <c r="AT226" i="17" s="1"/>
  <c r="AU226" i="17" l="1"/>
  <c r="E227" i="17"/>
  <c r="C227" i="17"/>
  <c r="AL226" i="17"/>
  <c r="D227" i="17" l="1"/>
  <c r="F227" i="17" s="1"/>
  <c r="AJ227" i="17"/>
  <c r="AK227" i="17" s="1"/>
  <c r="AS227" i="17"/>
  <c r="AT227" i="17" s="1"/>
  <c r="AU227" i="17" l="1"/>
  <c r="AL227" i="17"/>
  <c r="E228" i="17"/>
  <c r="C228" i="17"/>
  <c r="AJ228" i="17" l="1"/>
  <c r="AK228" i="17" s="1"/>
  <c r="D228" i="17"/>
  <c r="F228" i="17" s="1"/>
  <c r="AS228" i="17"/>
  <c r="AT228" i="17" s="1"/>
  <c r="C229" i="17" l="1"/>
  <c r="E229" i="17"/>
  <c r="AU228" i="17"/>
  <c r="AL228" i="17"/>
  <c r="AJ229" i="17" l="1"/>
  <c r="AK229" i="17" s="1"/>
  <c r="D229" i="17"/>
  <c r="F229" i="17" s="1"/>
  <c r="AS229" i="17"/>
  <c r="AT229" i="17" s="1"/>
  <c r="E230" i="17" l="1"/>
  <c r="C230" i="17"/>
  <c r="AU229" i="17"/>
  <c r="AL229" i="17"/>
  <c r="AJ230" i="17" l="1"/>
  <c r="AK230" i="17" s="1"/>
  <c r="D230" i="17"/>
  <c r="F230" i="17" s="1"/>
  <c r="AS230" i="17"/>
  <c r="AT230" i="17" s="1"/>
  <c r="AU230" i="17" l="1"/>
  <c r="E231" i="17"/>
  <c r="C231" i="17"/>
  <c r="AL230" i="17"/>
  <c r="D231" i="17" l="1"/>
  <c r="F231" i="17" s="1"/>
  <c r="AJ231" i="17"/>
  <c r="AK231" i="17" s="1"/>
  <c r="AS231" i="17"/>
  <c r="AT231" i="17" s="1"/>
  <c r="AL231" i="17" l="1"/>
  <c r="AU231" i="17"/>
  <c r="E232" i="17"/>
  <c r="C232" i="17"/>
  <c r="AJ232" i="17" l="1"/>
  <c r="AK232" i="17" s="1"/>
  <c r="D232" i="17"/>
  <c r="F232" i="17" s="1"/>
  <c r="AS232" i="17"/>
  <c r="AT232" i="17" s="1"/>
  <c r="AU232" i="17" l="1"/>
  <c r="C233" i="17"/>
  <c r="E233" i="17"/>
  <c r="AL232" i="17"/>
  <c r="AJ233" i="17" l="1"/>
  <c r="AK233" i="17" s="1"/>
  <c r="D233" i="17"/>
  <c r="F233" i="17" s="1"/>
  <c r="AS233" i="17"/>
  <c r="AT233" i="17" s="1"/>
  <c r="AU233" i="17" l="1"/>
  <c r="E234" i="17"/>
  <c r="C234" i="17"/>
  <c r="AL233" i="17"/>
  <c r="AJ234" i="17" l="1"/>
  <c r="AK234" i="17" s="1"/>
  <c r="D234" i="17"/>
  <c r="F234" i="17" s="1"/>
  <c r="AS234" i="17"/>
  <c r="AT234" i="17" s="1"/>
  <c r="AU234" i="17" l="1"/>
  <c r="E235" i="17"/>
  <c r="C235" i="17"/>
  <c r="AL234" i="17"/>
  <c r="D235" i="17" l="1"/>
  <c r="F235" i="17" s="1"/>
  <c r="AJ235" i="17"/>
  <c r="AK235" i="17" s="1"/>
  <c r="AS235" i="17"/>
  <c r="AT235" i="17" s="1"/>
  <c r="AU235" i="17" l="1"/>
  <c r="AL235" i="17"/>
  <c r="E236" i="17"/>
  <c r="C236" i="17"/>
  <c r="AJ236" i="17" l="1"/>
  <c r="AK236" i="17" s="1"/>
  <c r="D236" i="17"/>
  <c r="F236" i="17" s="1"/>
  <c r="AS236" i="17"/>
  <c r="AT236" i="17" s="1"/>
  <c r="AU236" i="17" l="1"/>
  <c r="C237" i="17"/>
  <c r="E237" i="17"/>
  <c r="AL236" i="17"/>
  <c r="AJ237" i="17" l="1"/>
  <c r="AK237" i="17" s="1"/>
  <c r="D237" i="17"/>
  <c r="F237" i="17" s="1"/>
  <c r="AS237" i="17"/>
  <c r="AT237" i="17" s="1"/>
  <c r="AU237" i="17" l="1"/>
  <c r="E238" i="17"/>
  <c r="C238" i="17"/>
  <c r="AL237" i="17"/>
  <c r="AJ238" i="17" l="1"/>
  <c r="AK238" i="17" s="1"/>
  <c r="D238" i="17"/>
  <c r="F238" i="17" s="1"/>
  <c r="AS238" i="17"/>
  <c r="AT238" i="17" s="1"/>
  <c r="AU238" i="17" l="1"/>
  <c r="E239" i="17"/>
  <c r="C239" i="17"/>
  <c r="AL238" i="17"/>
  <c r="D239" i="17" l="1"/>
  <c r="F239" i="17" s="1"/>
  <c r="AJ239" i="17"/>
  <c r="AK239" i="17" s="1"/>
  <c r="AS239" i="17"/>
  <c r="AT239" i="17" s="1"/>
  <c r="AU239" i="17" l="1"/>
  <c r="AL239" i="17"/>
  <c r="E240" i="17"/>
  <c r="C240" i="17"/>
  <c r="AJ240" i="17" l="1"/>
  <c r="AK240" i="17" s="1"/>
  <c r="D240" i="17"/>
  <c r="F240" i="17" s="1"/>
  <c r="AS240" i="17"/>
  <c r="AT240" i="17" s="1"/>
  <c r="AU240" i="17" l="1"/>
  <c r="C241" i="17"/>
  <c r="E241" i="17"/>
  <c r="AL240" i="17"/>
  <c r="AJ241" i="17" l="1"/>
  <c r="AK241" i="17" s="1"/>
  <c r="D241" i="17"/>
  <c r="F241" i="17" s="1"/>
  <c r="AS241" i="17"/>
  <c r="AT241" i="17" s="1"/>
  <c r="AU241" i="17" l="1"/>
  <c r="E242" i="17"/>
  <c r="C242" i="17"/>
  <c r="AL241" i="17"/>
  <c r="AJ242" i="17" l="1"/>
  <c r="AK242" i="17" s="1"/>
  <c r="D242" i="17"/>
  <c r="F242" i="17" s="1"/>
  <c r="AS242" i="17"/>
  <c r="AT242" i="17" s="1"/>
  <c r="E243" i="17" l="1"/>
  <c r="C243" i="17"/>
  <c r="AU242" i="17"/>
  <c r="AL242" i="17"/>
  <c r="D243" i="17" l="1"/>
  <c r="F243" i="17" s="1"/>
  <c r="AJ243" i="17"/>
  <c r="AK243" i="17" s="1"/>
  <c r="AS243" i="17"/>
  <c r="AT243" i="17" s="1"/>
  <c r="AU243" i="17" l="1"/>
  <c r="AL243" i="17"/>
  <c r="E244" i="17"/>
  <c r="C244" i="17"/>
  <c r="AJ244" i="17" l="1"/>
  <c r="AK244" i="17" s="1"/>
  <c r="D244" i="17"/>
  <c r="F244" i="17" s="1"/>
  <c r="AS244" i="17"/>
  <c r="AT244" i="17" s="1"/>
  <c r="AU244" i="17" l="1"/>
  <c r="C245" i="17"/>
  <c r="E245" i="17"/>
  <c r="AL244" i="17"/>
  <c r="AJ245" i="17" l="1"/>
  <c r="AK245" i="17" s="1"/>
  <c r="D245" i="17"/>
  <c r="F245" i="17" s="1"/>
  <c r="AS245" i="17"/>
  <c r="AT245" i="17" s="1"/>
  <c r="AU245" i="17" l="1"/>
  <c r="E246" i="17"/>
  <c r="C246" i="17"/>
  <c r="AL245" i="17"/>
  <c r="AJ246" i="17" l="1"/>
  <c r="AK246" i="17" s="1"/>
  <c r="D246" i="17"/>
  <c r="F246" i="17" s="1"/>
  <c r="AS246" i="17"/>
  <c r="AT246" i="17" s="1"/>
  <c r="AU246" i="17" l="1"/>
  <c r="E247" i="17"/>
  <c r="C247" i="17"/>
  <c r="AL246" i="17"/>
  <c r="D247" i="17" l="1"/>
  <c r="F247" i="17" s="1"/>
  <c r="AJ247" i="17"/>
  <c r="AK247" i="17" s="1"/>
  <c r="AS247" i="17"/>
  <c r="AT247" i="17" s="1"/>
  <c r="AU247" i="17" l="1"/>
  <c r="AL247" i="17"/>
  <c r="E248" i="17"/>
  <c r="C248" i="17"/>
  <c r="AJ248" i="17" l="1"/>
  <c r="AK248" i="17" s="1"/>
  <c r="D248" i="17"/>
  <c r="F248" i="17" s="1"/>
  <c r="AS248" i="17"/>
  <c r="AT248" i="17" s="1"/>
  <c r="AU248" i="17" l="1"/>
  <c r="C249" i="17"/>
  <c r="E249" i="17"/>
  <c r="AL248" i="17"/>
  <c r="AJ249" i="17" l="1"/>
  <c r="AK249" i="17" s="1"/>
  <c r="D249" i="17"/>
  <c r="F249" i="17" s="1"/>
  <c r="AS249" i="17"/>
  <c r="AT249" i="17" s="1"/>
  <c r="AU249" i="17" l="1"/>
  <c r="E250" i="17"/>
  <c r="C250" i="17"/>
  <c r="AL249" i="17"/>
  <c r="AJ250" i="17" l="1"/>
  <c r="AK250" i="17" s="1"/>
  <c r="D250" i="17"/>
  <c r="F250" i="17" s="1"/>
  <c r="AS250" i="17"/>
  <c r="AT250" i="17" s="1"/>
  <c r="AU250" i="17" l="1"/>
  <c r="E251" i="17"/>
  <c r="C251" i="17"/>
  <c r="AL250" i="17"/>
  <c r="D251" i="17" l="1"/>
  <c r="F251" i="17" s="1"/>
  <c r="AJ251" i="17"/>
  <c r="AK251" i="17" s="1"/>
  <c r="AS251" i="17"/>
  <c r="AT251" i="17" s="1"/>
  <c r="AU251" i="17" l="1"/>
  <c r="AL251" i="17"/>
  <c r="E252" i="17"/>
  <c r="C252" i="17"/>
  <c r="AJ252" i="17" l="1"/>
  <c r="AK252" i="17" s="1"/>
  <c r="D252" i="17"/>
  <c r="F252" i="17" s="1"/>
  <c r="AS252" i="17"/>
  <c r="AT252" i="17" s="1"/>
  <c r="AU252" i="17" l="1"/>
  <c r="C253" i="17"/>
  <c r="E253" i="17"/>
  <c r="AL252" i="17"/>
  <c r="AJ253" i="17" l="1"/>
  <c r="AK253" i="17" s="1"/>
  <c r="D253" i="17"/>
  <c r="F253" i="17" s="1"/>
  <c r="AS253" i="17"/>
  <c r="AT253" i="17" s="1"/>
  <c r="AU253" i="17" l="1"/>
  <c r="E254" i="17"/>
  <c r="C254" i="17"/>
  <c r="AL253" i="17"/>
  <c r="AJ254" i="17" l="1"/>
  <c r="AK254" i="17" s="1"/>
  <c r="D254" i="17"/>
  <c r="F254" i="17" s="1"/>
  <c r="AS254" i="17"/>
  <c r="AT254" i="17" s="1"/>
  <c r="AU254" i="17" l="1"/>
  <c r="E255" i="17"/>
  <c r="C255" i="17"/>
  <c r="AL254" i="17"/>
  <c r="D255" i="17" l="1"/>
  <c r="F255" i="17" s="1"/>
  <c r="AJ255" i="17"/>
  <c r="AK255" i="17" s="1"/>
  <c r="AS255" i="17"/>
  <c r="AT255" i="17" s="1"/>
  <c r="AU255" i="17" l="1"/>
  <c r="AL255" i="17"/>
  <c r="E256" i="17"/>
  <c r="C256" i="17"/>
  <c r="AJ256" i="17" l="1"/>
  <c r="AK256" i="17" s="1"/>
  <c r="D256" i="17"/>
  <c r="F256" i="17" s="1"/>
  <c r="AS256" i="17"/>
  <c r="AT256" i="17" s="1"/>
  <c r="AU256" i="17" l="1"/>
  <c r="C257" i="17"/>
  <c r="E257" i="17"/>
  <c r="AL256" i="17"/>
  <c r="AJ257" i="17" l="1"/>
  <c r="AK257" i="17" s="1"/>
  <c r="D257" i="17"/>
  <c r="F257" i="17" s="1"/>
  <c r="AS257" i="17"/>
  <c r="AT257" i="17" s="1"/>
  <c r="AU257" i="17" l="1"/>
  <c r="E258" i="17"/>
  <c r="C258" i="17"/>
  <c r="AL257" i="17"/>
  <c r="AJ258" i="17" l="1"/>
  <c r="AK258" i="17" s="1"/>
  <c r="D258" i="17"/>
  <c r="F258" i="17" s="1"/>
  <c r="AS258" i="17"/>
  <c r="AT258" i="17" s="1"/>
  <c r="AU258" i="17" l="1"/>
  <c r="E259" i="17"/>
  <c r="C259" i="17"/>
  <c r="AL258" i="17"/>
  <c r="D259" i="17" l="1"/>
  <c r="F259" i="17" s="1"/>
  <c r="AJ259" i="17"/>
  <c r="AK259" i="17" s="1"/>
  <c r="AS259" i="17"/>
  <c r="AT259" i="17" s="1"/>
  <c r="AU259" i="17" l="1"/>
  <c r="AL259" i="17"/>
  <c r="C260" i="17"/>
  <c r="E260" i="17"/>
  <c r="D260" i="17" l="1"/>
  <c r="F260" i="17" s="1"/>
  <c r="AJ260" i="17"/>
  <c r="AK260" i="17" s="1"/>
  <c r="AS260" i="17"/>
  <c r="AT260" i="17" s="1"/>
  <c r="AU260" i="17" l="1"/>
  <c r="AL260" i="17"/>
  <c r="C261" i="17"/>
  <c r="E261" i="17"/>
  <c r="D261" i="17" l="1"/>
  <c r="F261" i="17" s="1"/>
  <c r="AJ261" i="17"/>
  <c r="AK261" i="17" s="1"/>
  <c r="AS261" i="17"/>
  <c r="AT261" i="17" s="1"/>
  <c r="AU261" i="17" l="1"/>
  <c r="AL261" i="17"/>
  <c r="C262" i="17"/>
  <c r="E262" i="17"/>
  <c r="AJ262" i="17" l="1"/>
  <c r="AK262" i="17" s="1"/>
  <c r="D262" i="17"/>
  <c r="F262" i="17" s="1"/>
  <c r="AS262" i="17"/>
  <c r="AT262" i="17" s="1"/>
  <c r="AU262" i="17" l="1"/>
  <c r="E263" i="17"/>
  <c r="C263" i="17"/>
  <c r="AL262" i="17"/>
  <c r="D263" i="17" l="1"/>
  <c r="F263" i="17" s="1"/>
  <c r="AJ263" i="17"/>
  <c r="AK263" i="17" s="1"/>
  <c r="AS263" i="17"/>
  <c r="AT263" i="17" s="1"/>
  <c r="AU263" i="17" l="1"/>
  <c r="AL263" i="17"/>
  <c r="C264" i="17"/>
  <c r="E264" i="17"/>
  <c r="D264" i="17" l="1"/>
  <c r="F264" i="17" s="1"/>
  <c r="AJ264" i="17"/>
  <c r="AK264" i="17" s="1"/>
  <c r="AS264" i="17"/>
  <c r="AT264" i="17" s="1"/>
  <c r="AU264" i="17" l="1"/>
  <c r="AL264" i="17"/>
  <c r="C265" i="17"/>
  <c r="E265" i="17"/>
  <c r="D265" i="17" l="1"/>
  <c r="F265" i="17" s="1"/>
  <c r="AJ265" i="17"/>
  <c r="AK265" i="17" s="1"/>
  <c r="AS265" i="17"/>
  <c r="AT265" i="17" s="1"/>
  <c r="AU265" i="17" l="1"/>
  <c r="AL265" i="17"/>
  <c r="C266" i="17"/>
  <c r="E266" i="17"/>
  <c r="AJ266" i="17" l="1"/>
  <c r="AK266" i="17" s="1"/>
  <c r="D266" i="17"/>
  <c r="F266" i="17" s="1"/>
  <c r="AS266" i="17"/>
  <c r="AT266" i="17" s="1"/>
  <c r="AU266" i="17" l="1"/>
  <c r="C267" i="17"/>
  <c r="E267" i="17"/>
  <c r="E25" i="17" s="1"/>
  <c r="AL266" i="17"/>
  <c r="J7" i="17" l="1"/>
  <c r="J4" i="17"/>
  <c r="M4" i="17" s="1"/>
  <c r="AJ267" i="17"/>
  <c r="AS267" i="17"/>
  <c r="D267" i="17"/>
  <c r="C25" i="17"/>
  <c r="AS25" i="17" l="1"/>
  <c r="AT267" i="17"/>
  <c r="D25" i="17"/>
  <c r="F267" i="17"/>
  <c r="AJ25" i="17"/>
  <c r="AK267" i="17"/>
  <c r="AK268" i="17" l="1"/>
  <c r="AL267" i="17"/>
  <c r="AT268" i="17"/>
  <c r="AU267" i="17"/>
  <c r="AU268" i="17" l="1"/>
  <c r="AT269" i="17"/>
  <c r="AK269" i="17"/>
  <c r="AL268" i="17"/>
  <c r="AL269" i="17" l="1"/>
  <c r="AK270" i="17"/>
  <c r="AU269" i="17"/>
  <c r="AT270" i="17"/>
  <c r="AU270" i="17" l="1"/>
  <c r="AT271" i="17"/>
  <c r="AL270" i="17"/>
  <c r="AK271" i="17"/>
  <c r="AK272" i="17" l="1"/>
  <c r="AL271" i="17"/>
  <c r="AT272" i="17"/>
  <c r="AU271" i="17"/>
  <c r="AT273" i="17" l="1"/>
  <c r="AU272" i="17"/>
  <c r="AK273" i="17"/>
  <c r="AL272" i="17"/>
  <c r="AL273" i="17" l="1"/>
  <c r="AK274" i="17"/>
  <c r="AT274" i="17"/>
  <c r="AU273" i="17"/>
  <c r="AT275" i="17" l="1"/>
  <c r="AU275" i="17" s="1"/>
  <c r="AU25" i="17" s="1"/>
  <c r="AU274" i="17"/>
  <c r="AL274" i="17"/>
  <c r="AK275" i="17"/>
  <c r="AL275" i="17" s="1"/>
  <c r="AL25" i="17" s="1"/>
  <c r="L6" i="17" l="1"/>
  <c r="M6" i="17" s="1"/>
  <c r="AK25" i="17"/>
  <c r="L7" i="17"/>
  <c r="M7" i="17" s="1"/>
  <c r="AT25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575689-AD95-4ED7-AB23-C19B2610B958}" keepAlive="1" name="Zapytanie — Table001 (Page 1)" description="Połączenie z zapytaniem „Table001 (Page 1)” w skoroszycie." type="5" refreshedVersion="0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<sst xmlns="http://schemas.openxmlformats.org/spreadsheetml/2006/main" count="96" uniqueCount="68">
  <si>
    <t>Pozostało do spłaty</t>
  </si>
  <si>
    <t>Odsetki</t>
  </si>
  <si>
    <t>Rata</t>
  </si>
  <si>
    <t>Kapitał</t>
  </si>
  <si>
    <t>Wibor</t>
  </si>
  <si>
    <t>Marża</t>
  </si>
  <si>
    <t>Stopa procentowa kredytu</t>
  </si>
  <si>
    <t>raty równe</t>
  </si>
  <si>
    <t>raty malejące</t>
  </si>
  <si>
    <t>Nadpłata</t>
  </si>
  <si>
    <t>Stopa inwestycji</t>
  </si>
  <si>
    <t>NIE</t>
  </si>
  <si>
    <t>TAK</t>
  </si>
  <si>
    <t>Wpisz wysokość oprocentowania stałego, jeśli ma zastosowanie:</t>
  </si>
  <si>
    <t>Miesiąc</t>
  </si>
  <si>
    <t>Stopa inwestycji w ujęciu jednego miesiąca</t>
  </si>
  <si>
    <t>SUMA</t>
  </si>
  <si>
    <t>Inwestycja środków pochodzących z NADPŁATY narastająco</t>
  </si>
  <si>
    <t>co miesiąc</t>
  </si>
  <si>
    <t>jednorazowo</t>
  </si>
  <si>
    <t>Kiedy pobrany jest podatek od zysków kapitałowych?</t>
  </si>
  <si>
    <t>na koniec inwestycji</t>
  </si>
  <si>
    <t>Podatek od zysków kapitałowych</t>
  </si>
  <si>
    <t>z nadpłatą</t>
  </si>
  <si>
    <t>bez nadpłaty</t>
  </si>
  <si>
    <t>Nominalnie (bez dyskontowania)</t>
  </si>
  <si>
    <t>SCENARIUSZ 1: Inflacja NIŻSZA niż oprocentowanie kredytu</t>
  </si>
  <si>
    <t>SCENARIUSZ 2: Inflacja RÓWNA oprocentowaniu kredytu</t>
  </si>
  <si>
    <t>SCENARIUSZ 3: Inflacja WYŻSZA niż oprocentowanie kredytu</t>
  </si>
  <si>
    <t>SCENARIUSZ 4: Bez nadpłaty</t>
  </si>
  <si>
    <t>Wpisz stopę zwrotu z inwestycji (roczna stopa zwrotu jaką możesz uzyskać z zainwestowania środków, jeśli nie przeznaczysz ich na nadpłatę).</t>
  </si>
  <si>
    <t>Razem oprocentowanie (nic nie wpisuj, łączne oprocentowane policzy się samo):</t>
  </si>
  <si>
    <t>PODSTAWOWE DANE - UZUPEŁNIJ DANE W POLACH ZAZNACZONYCH ŻÓŁTYM KOLOREM</t>
  </si>
  <si>
    <t>Jeśli kredyt oprocentowany jest stopą stałą, wpisz ile jeszcze miesięcy obowiązuje Cię stała stopa:</t>
  </si>
  <si>
    <t>SCENARIUSZ PODSTAWOWY BEZ WAKACJI KREDYTOWYCH</t>
  </si>
  <si>
    <t>% wartości nieruchomości</t>
  </si>
  <si>
    <t>30 czerwca 2022</t>
  </si>
  <si>
    <t>Ubezpieczenie, gdy placimy ustaloną kwotę co miesiąc</t>
  </si>
  <si>
    <t>Ubezpieczenie, gdy płacimy ustalony % co miesiąc</t>
  </si>
  <si>
    <t>Wartość nieruchomości, ustalona przez bank</t>
  </si>
  <si>
    <t>% obecnego salda kredytu</t>
  </si>
  <si>
    <t>Suma ubezpieczeń</t>
  </si>
  <si>
    <t>BIORĘ WAKACJE KREDYTOWE A PIENIĄDZE WYDAJĘ</t>
  </si>
  <si>
    <t>miesiąc wakacji kredytowych</t>
  </si>
  <si>
    <t>Wybierz, jakie raty płacisz (równe czy malejące):</t>
  </si>
  <si>
    <t>Wpisz kwotę ubezpieczeń i opłat  płacisz co miesiąc</t>
  </si>
  <si>
    <t>i/lub podaj koszt jako % salda kredytu/wartości nieruchomości (w skali 1 miesiąca)</t>
  </si>
  <si>
    <t>INWESTYCJE:</t>
  </si>
  <si>
    <t>Przeznaczamy "WAKACJE KREDYTOWE" na lokatę</t>
  </si>
  <si>
    <t>BIORĘ WAKACJE KREDYTOWE I NADPŁACAM KREDYT CO MIESIĄC, OBNIŻAJĄC WYSOKOŚĆ RATY</t>
  </si>
  <si>
    <t xml:space="preserve"> O ile wiecej mam w kieszeni co miesiąc</t>
  </si>
  <si>
    <t>Inwestycja środków pochodzących z niższych rat - narastajaco</t>
  </si>
  <si>
    <t>Wpisz kwotę kredytu hipotecznego czyli Twoje obecne zadłużenie wobec banku na koniec czerwca 2022</t>
  </si>
  <si>
    <r>
      <t>Wpisz pozostały okres kredytu</t>
    </r>
    <r>
      <rPr>
        <b/>
        <sz val="12"/>
        <color theme="1"/>
        <rFont val="Open Sans"/>
        <family val="2"/>
        <charset val="238"/>
      </rPr>
      <t xml:space="preserve"> w miesiącach</t>
    </r>
  </si>
  <si>
    <t>Wpisz WIBOR (podaj wysokość WIBOR, nawet jeśli kredyt oprocentowany jest stopą stałą)</t>
  </si>
  <si>
    <r>
      <t>Wpisz marżę</t>
    </r>
    <r>
      <rPr>
        <b/>
        <sz val="12"/>
        <color theme="1"/>
        <rFont val="Open Sans"/>
        <family val="2"/>
        <charset val="238"/>
      </rPr>
      <t xml:space="preserve"> (podaj wysokość marży, nawet jeśli kredyt jest oprocentowany stopą stałą; w takiej sytuacji wpisz marżę, jaka obowiązuje Cię po okresie stałego oprocentowania)</t>
    </r>
  </si>
  <si>
    <t>Jaka by była rata (po ewentalnej nadpłacie z poprzednich miesięcy)?</t>
  </si>
  <si>
    <t>Dodatkowe korzyści z inwestycji zaoszczędzonych kwot</t>
  </si>
  <si>
    <t>Odsetki od kredytu</t>
  </si>
  <si>
    <t>Koszty ubezpieczeń i opłat</t>
  </si>
  <si>
    <t xml:space="preserve">Scenariusze: </t>
  </si>
  <si>
    <t>BIORĘ WAKACJE KREDYTOWE A UZYSKANE ŚRODKI LOKUJĘ (NIE NADPŁACAM)</t>
  </si>
  <si>
    <t>KOSZT UBEZPIECZEŃ I OPŁAT ZWIĄZANYCH Z UMOWĄ KREDYTOWĄ:</t>
  </si>
  <si>
    <t>PODSUMOWANIE:</t>
  </si>
  <si>
    <r>
      <rPr>
        <b/>
        <sz val="16"/>
        <color theme="0"/>
        <rFont val="Open Sans"/>
        <family val="2"/>
        <charset val="238"/>
      </rPr>
      <t xml:space="preserve">Razem koszty kredytu </t>
    </r>
    <r>
      <rPr>
        <b/>
        <sz val="11"/>
        <color theme="0"/>
        <rFont val="Open Sans"/>
        <family val="2"/>
        <charset val="238"/>
      </rPr>
      <t>(odsetki i koszty opłat i ubezpieczeń pomniejszone o korzyści z inwestowania pieniędzy)</t>
    </r>
  </si>
  <si>
    <t>Wybierz czy kredyt jest oprocentowany stopą stałą</t>
  </si>
  <si>
    <t>Zyski od tej inwestycji</t>
  </si>
  <si>
    <t>Zyski ze środków pochodzących z wakacji kredytowych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</si>
</sst>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0.0%"/>
    <numFmt numFmtId="166" formatCode="0&quot; miesięcy&quot;"/>
    <numFmt numFmtId="167" formatCode="#,##0\ &quot;zł&quot;"/>
    <numFmt numFmtId="168" formatCode="mmmm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  <charset val="238"/>
    </font>
    <font>
      <b/>
      <sz val="11"/>
      <color theme="1"/>
      <name val="Open Sans"/>
      <family val="2"/>
      <charset val="238"/>
    </font>
    <font>
      <i/>
      <sz val="11"/>
      <color theme="1"/>
      <name val="Open Sans"/>
      <family val="2"/>
      <charset val="238"/>
    </font>
    <font>
      <i/>
      <sz val="8"/>
      <color theme="1"/>
      <name val="Open Sans"/>
      <family val="2"/>
      <charset val="238"/>
    </font>
    <font>
      <b/>
      <i/>
      <sz val="11"/>
      <color theme="1"/>
      <name val="Open Sans"/>
      <family val="2"/>
      <charset val="238"/>
    </font>
    <font>
      <b/>
      <sz val="11"/>
      <name val="Open Sans"/>
      <family val="2"/>
      <charset val="238"/>
    </font>
    <font>
      <b/>
      <sz val="11"/>
      <color theme="0"/>
      <name val="Open Sans"/>
      <family val="2"/>
      <charset val="238"/>
    </font>
    <font>
      <sz val="11"/>
      <color rgb="FFED6862"/>
      <name val="Open Sans"/>
      <family val="2"/>
      <charset val="238"/>
    </font>
    <font>
      <b/>
      <sz val="12"/>
      <color theme="1"/>
      <name val="Open Sans"/>
      <family val="2"/>
      <charset val="238"/>
    </font>
    <font>
      <sz val="12"/>
      <color theme="1"/>
      <name val="Open Sans"/>
      <family val="2"/>
      <charset val="238"/>
    </font>
    <font>
      <b/>
      <sz val="12"/>
      <color theme="0"/>
      <name val="Open Sans"/>
      <family val="2"/>
      <charset val="238"/>
    </font>
    <font>
      <b/>
      <sz val="12"/>
      <name val="Open Sans"/>
      <family val="2"/>
      <charset val="238"/>
    </font>
    <font>
      <b/>
      <i/>
      <sz val="12"/>
      <color theme="1"/>
      <name val="Open Sans"/>
      <family val="2"/>
      <charset val="238"/>
    </font>
    <font>
      <b/>
      <sz val="16"/>
      <color rgb="FFED6862"/>
      <name val="Open Sans"/>
      <family val="2"/>
      <charset val="238"/>
    </font>
    <font>
      <sz val="8"/>
      <color theme="1"/>
      <name val="Open Sans"/>
      <family val="2"/>
      <charset val="238"/>
    </font>
    <font>
      <b/>
      <sz val="16"/>
      <color theme="0"/>
      <name val="Open Sans"/>
      <family val="2"/>
      <charset val="238"/>
    </font>
    <font>
      <b/>
      <sz val="16"/>
      <color theme="1"/>
      <name val="Roboto"/>
      <charset val="238"/>
    </font>
    <font>
      <sz val="16"/>
      <color theme="1"/>
      <name val="Roboto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A5BB"/>
        <bgColor indexed="64"/>
      </patternFill>
    </fill>
    <fill>
      <patternFill patternType="solid">
        <fgColor rgb="FFED68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244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B4BF"/>
        <bgColor indexed="64"/>
      </patternFill>
    </fill>
    <fill>
      <patternFill patternType="solid">
        <fgColor rgb="FFF7C2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BD5D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Font="1" applyFill="1"/>
    <xf numFmtId="9" fontId="2" fillId="2" borderId="0" xfId="0" applyNumberFormat="1" applyFont="1" applyFill="1"/>
    <xf numFmtId="0" fontId="4" fillId="2" borderId="0" xfId="0" applyFont="1" applyFill="1"/>
    <xf numFmtId="10" fontId="2" fillId="2" borderId="0" xfId="2" applyNumberFormat="1" applyFont="1" applyFill="1"/>
    <xf numFmtId="6" fontId="2" fillId="2" borderId="0" xfId="0" applyNumberFormat="1" applyFont="1" applyFill="1"/>
    <xf numFmtId="8" fontId="2" fillId="2" borderId="0" xfId="0" applyNumberFormat="1" applyFont="1" applyFill="1"/>
    <xf numFmtId="0" fontId="3" fillId="2" borderId="0" xfId="0" applyFont="1" applyFill="1"/>
    <xf numFmtId="0" fontId="2" fillId="2" borderId="1" xfId="0" applyFont="1" applyFill="1" applyBorder="1"/>
    <xf numFmtId="164" fontId="2" fillId="2" borderId="1" xfId="0" applyNumberFormat="1" applyFont="1" applyFill="1" applyBorder="1"/>
    <xf numFmtId="165" fontId="4" fillId="2" borderId="1" xfId="2" applyNumberFormat="1" applyFont="1" applyFill="1" applyBorder="1"/>
    <xf numFmtId="6" fontId="2" fillId="2" borderId="1" xfId="0" applyNumberFormat="1" applyFont="1" applyFill="1" applyBorder="1"/>
    <xf numFmtId="0" fontId="7" fillId="12" borderId="1" xfId="0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165" fontId="2" fillId="2" borderId="1" xfId="2" applyNumberFormat="1" applyFont="1" applyFill="1" applyBorder="1"/>
    <xf numFmtId="10" fontId="2" fillId="2" borderId="1" xfId="2" applyNumberFormat="1" applyFont="1" applyFill="1" applyBorder="1"/>
    <xf numFmtId="0" fontId="5" fillId="2" borderId="0" xfId="0" applyFont="1" applyFill="1" applyAlignment="1">
      <alignment wrapText="1"/>
    </xf>
    <xf numFmtId="0" fontId="2" fillId="2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left" vertical="center"/>
    </xf>
    <xf numFmtId="0" fontId="7" fillId="12" borderId="5" xfId="0" applyFont="1" applyFill="1" applyBorder="1" applyAlignment="1">
      <alignment horizontal="center" vertical="center" textRotation="90" wrapText="1"/>
    </xf>
    <xf numFmtId="164" fontId="7" fillId="7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8" fontId="4" fillId="2" borderId="0" xfId="0" applyNumberFormat="1" applyFont="1" applyFill="1"/>
    <xf numFmtId="8" fontId="3" fillId="2" borderId="1" xfId="1" applyNumberFormat="1" applyFont="1" applyFill="1" applyBorder="1" applyAlignment="1">
      <alignment horizontal="left" vertical="center"/>
    </xf>
    <xf numFmtId="8" fontId="7" fillId="7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167" fontId="10" fillId="6" borderId="1" xfId="0" applyNumberFormat="1" applyFont="1" applyFill="1" applyBorder="1" applyAlignment="1">
      <alignment horizontal="right" vertical="center"/>
    </xf>
    <xf numFmtId="10" fontId="10" fillId="6" borderId="1" xfId="0" applyNumberFormat="1" applyFont="1" applyFill="1" applyBorder="1" applyAlignment="1">
      <alignment horizontal="right" vertical="center"/>
    </xf>
    <xf numFmtId="164" fontId="10" fillId="6" borderId="1" xfId="1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right" vertical="center"/>
    </xf>
    <xf numFmtId="166" fontId="10" fillId="6" borderId="1" xfId="0" applyNumberFormat="1" applyFont="1" applyFill="1" applyBorder="1" applyAlignment="1">
      <alignment horizontal="right" vertical="center"/>
    </xf>
    <xf numFmtId="10" fontId="10" fillId="6" borderId="1" xfId="2" applyNumberFormat="1" applyFont="1" applyFill="1" applyBorder="1" applyAlignment="1">
      <alignment horizontal="right" vertical="center"/>
    </xf>
    <xf numFmtId="9" fontId="10" fillId="6" borderId="1" xfId="0" applyNumberFormat="1" applyFont="1" applyFill="1" applyBorder="1" applyAlignment="1">
      <alignment horizontal="right" vertical="center"/>
    </xf>
    <xf numFmtId="164" fontId="2" fillId="2" borderId="0" xfId="0" applyNumberFormat="1" applyFont="1" applyFill="1"/>
    <xf numFmtId="164" fontId="4" fillId="2" borderId="0" xfId="0" applyNumberFormat="1" applyFont="1" applyFill="1"/>
    <xf numFmtId="165" fontId="4" fillId="6" borderId="1" xfId="2" applyNumberFormat="1" applyFont="1" applyFill="1" applyBorder="1"/>
    <xf numFmtId="10" fontId="10" fillId="3" borderId="1" xfId="2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 wrapText="1"/>
    </xf>
    <xf numFmtId="165" fontId="4" fillId="2" borderId="0" xfId="2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8" fontId="4" fillId="2" borderId="0" xfId="0" applyNumberFormat="1" applyFont="1" applyFill="1" applyBorder="1"/>
    <xf numFmtId="0" fontId="6" fillId="13" borderId="1" xfId="0" applyFont="1" applyFill="1" applyBorder="1" applyAlignment="1">
      <alignment horizontal="center" vertical="center" wrapText="1"/>
    </xf>
    <xf numFmtId="8" fontId="2" fillId="14" borderId="1" xfId="0" applyNumberFormat="1" applyFont="1" applyFill="1" applyBorder="1"/>
    <xf numFmtId="6" fontId="2" fillId="14" borderId="1" xfId="0" applyNumberFormat="1" applyFont="1" applyFill="1" applyBorder="1"/>
    <xf numFmtId="0" fontId="11" fillId="2" borderId="0" xfId="0" applyFont="1" applyFill="1" applyBorder="1" applyAlignment="1">
      <alignment horizontal="left" vertical="center" wrapText="1"/>
    </xf>
    <xf numFmtId="9" fontId="10" fillId="2" borderId="0" xfId="0" applyNumberFormat="1" applyFont="1" applyFill="1" applyBorder="1" applyAlignment="1">
      <alignment horizontal="right" vertical="center"/>
    </xf>
    <xf numFmtId="8" fontId="3" fillId="2" borderId="5" xfId="1" applyNumberFormat="1" applyFont="1" applyFill="1" applyBorder="1" applyAlignment="1">
      <alignment horizontal="left" vertical="center"/>
    </xf>
    <xf numFmtId="164" fontId="3" fillId="2" borderId="5" xfId="1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vertical="center"/>
    </xf>
    <xf numFmtId="8" fontId="2" fillId="2" borderId="3" xfId="0" applyNumberFormat="1" applyFont="1" applyFill="1" applyBorder="1" applyAlignment="1">
      <alignment vertical="center"/>
    </xf>
    <xf numFmtId="167" fontId="15" fillId="2" borderId="17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7" fontId="15" fillId="2" borderId="18" xfId="0" applyNumberFormat="1" applyFont="1" applyFill="1" applyBorder="1" applyAlignment="1">
      <alignment vertical="center"/>
    </xf>
    <xf numFmtId="0" fontId="1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 wrapText="1"/>
    </xf>
    <xf numFmtId="168" fontId="5" fillId="2" borderId="0" xfId="0" applyNumberFormat="1" applyFont="1" applyFill="1" applyBorder="1"/>
    <xf numFmtId="0" fontId="13" fillId="11" borderId="1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2" borderId="0" xfId="0" applyFont="1" applyFill="1" applyAlignment="1">
      <alignment horizontal="left" vertical="center"/>
    </xf>
    <xf numFmtId="0" fontId="19" fillId="2" borderId="0" xfId="0" applyFont="1" applyFill="1"/>
    <xf numFmtId="0" fontId="10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7" fontId="2" fillId="2" borderId="0" xfId="0" applyNumberFormat="1" applyFont="1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wrapText="1"/>
    </xf>
    <xf numFmtId="9" fontId="10" fillId="6" borderId="7" xfId="0" applyNumberFormat="1" applyFont="1" applyFill="1" applyBorder="1" applyAlignment="1">
      <alignment horizontal="center" vertical="center"/>
    </xf>
    <xf numFmtId="9" fontId="10" fillId="6" borderId="15" xfId="0" applyNumberFormat="1" applyFont="1" applyFill="1" applyBorder="1" applyAlignment="1">
      <alignment horizontal="center" vertical="center"/>
    </xf>
    <xf numFmtId="9" fontId="10" fillId="6" borderId="6" xfId="0" applyNumberFormat="1" applyFont="1" applyFill="1" applyBorder="1" applyAlignment="1">
      <alignment horizontal="center" vertical="center"/>
    </xf>
    <xf numFmtId="10" fontId="10" fillId="6" borderId="8" xfId="0" applyNumberFormat="1" applyFont="1" applyFill="1" applyBorder="1" applyAlignment="1">
      <alignment horizontal="right" vertical="center"/>
    </xf>
    <xf numFmtId="10" fontId="10" fillId="6" borderId="7" xfId="0" applyNumberFormat="1" applyFont="1" applyFill="1" applyBorder="1" applyAlignment="1">
      <alignment horizontal="right" vertical="center"/>
    </xf>
  </cellXfs>
  <cellStyles count="3">
    <cellStyle name="Normalny" xfId="0" builtinId="0"/>
    <cellStyle name="Procentowy" xfId="2" builtinId="5"/>
    <cellStyle name="Walutowy" xfId="1" builtinId="4"/>
  </cellStyles>
  <dxfs count="13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2"/>
      </font>
      <fill>
        <patternFill>
          <bgColor theme="2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auto="1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</dxfs>
  <tableStyles count="0" defaultTableStyle="TableStyleMedium2" defaultPivotStyle="PivotStyleLight16"/>
  <colors>
    <mruColors>
      <color rgb="FF99B4BF"/>
      <color rgb="FFF7C2C0"/>
      <color rgb="FFED6862"/>
      <color rgb="FF025560"/>
      <color rgb="FFF6F6F6"/>
      <color rgb="FF9BD5DF"/>
      <color rgb="FF024460"/>
      <color rgb="FF00A5BB"/>
      <color rgb="FFF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2000" b="1" i="0" u="none" strike="noStrike" kern="1200" spc="0" baseline="0">
                <a:solidFill>
                  <a:schemeClr val="tx1"/>
                </a:solidFill>
                <a:latin typeface="Roboto" panose="02000000000000000000" pitchFamily="2" charset="0"/>
                <a:ea typeface="Roboto" panose="02000000000000000000" pitchFamily="2" charset="0"/>
                <a:cs typeface="Open Sans" panose="020B0606030504020204" pitchFamily="34" charset="0"/>
              </a:defRPr>
            </a:pPr>
            <a:r>
              <a:rPr lang="pl-PL" sz="2000" b="1" i="0">
                <a:solidFill>
                  <a:schemeClr val="tx1"/>
                </a:solidFill>
                <a:latin typeface="Roboto" panose="02000000000000000000" pitchFamily="2" charset="0"/>
                <a:ea typeface="Roboto" panose="02000000000000000000" pitchFamily="2" charset="0"/>
              </a:rPr>
              <a:t>Ile pieniędzy wyjdzie z Twojej kieszeni?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2000" b="1" i="0" u="none" strike="noStrike" kern="1200" spc="0" baseline="0">
              <a:solidFill>
                <a:schemeClr val="tx1"/>
              </a:solidFill>
              <a:latin typeface="Roboto" panose="02000000000000000000" pitchFamily="2" charset="0"/>
              <a:ea typeface="Roboto" panose="02000000000000000000" pitchFamily="2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891356886694753E-2"/>
          <c:y val="0.37801300005284572"/>
          <c:w val="0.88282563722619578"/>
          <c:h val="0.42794863393753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'RZĄDOWY PROGRAM'!$M$3</c:f>
              <c:strCache>
                <c:ptCount val="1"/>
                <c:pt idx="0">
                  <c:v>Razem koszty kredytu (odsetki i koszty opłat i ubezpieczeń pomniejszone o korzyści z inwestowania pieniędzy)</c:v>
                </c:pt>
              </c:strCache>
            </c:strRef>
          </c:tx>
          <c:spPr>
            <a:solidFill>
              <a:srgbClr val="ED68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1" i="1" u="none" strike="noStrike" kern="1200" spc="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'RZĄDOWY PROGRAM'!$I$4:$I$7</c15:sqref>
                  </c15:fullRef>
                </c:ext>
              </c:extLst>
              <c:f>'RZĄDOWY PROGRAM'!$I$4:$I$7</c:f>
              <c:strCache>
                <c:ptCount val="4"/>
                <c:pt idx="0">
                  <c:v>SCENARIUSZ PODSTAWOWY BEZ WAKACJI KREDYTOWYCH</c:v>
                </c:pt>
                <c:pt idx="1">
                  <c:v>BIORĘ WAKACJE KREDYTOWE A PIENIĄDZE WYDAJĘ</c:v>
                </c:pt>
                <c:pt idx="2">
                  <c:v>BIORĘ WAKACJE KREDYTOWE I NADPŁACAM KREDYT CO MIESIĄC, OBNIŻAJĄC WYSOKOŚĆ RATY</c:v>
                </c:pt>
                <c:pt idx="3">
                  <c:v>BIORĘ WAKACJE KREDYTOWE A UZYSKANE ŚRODKI LOKUJĘ (NIE NADPŁACAM)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'RZĄDOWY PROGRAM'!$M$4:$M$8</c15:sqref>
                  </c15:fullRef>
                </c:ext>
              </c:extLst>
              <c:f>'RZĄDOWY PROGRAM'!$M$4:$M$7</c:f>
              <c:numCache>
                <c:formatCode>#\ ##0\ "zł"</c:formatCode>
                <c:ptCount val="4"/>
                <c:pt idx="0">
                  <c:v>-447480.14968342904</c:v>
                </c:pt>
                <c:pt idx="1">
                  <c:v>-448040.14968342904</c:v>
                </c:pt>
                <c:pt idx="2">
                  <c:v>-390353.99621670158</c:v>
                </c:pt>
                <c:pt idx="3">
                  <c:v>-414516.43548490969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B-4DD2-B21A-68AA20D8B9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3"/>
        <c:overlap val="-27"/>
        <c:axId val="707419759"/>
        <c:axId val="707435151"/>
      </c:barChart>
      <c:catAx>
        <c:axId val="707419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ysClr val="windowText" lastClr="000000"/>
                </a:solidFill>
                <a:latin typeface="Open Sans" panose="020B0806030504020204" pitchFamily="34" charset="0"/>
                <a:ea typeface="Open Sans" panose="020B0806030504020204" pitchFamily="34" charset="0"/>
                <a:cs typeface="Open Sans" panose="020B0806030504020204" pitchFamily="34" charset="0"/>
              </a:defRPr>
            </a:pPr>
            <a:endParaRPr lang="en-US"/>
          </a:p>
        </c:txPr>
        <c:crossAx val="707435151"/>
        <c:crosses val="autoZero"/>
        <c:auto val="1"/>
        <c:lblAlgn val="ctr"/>
        <c:lblOffset val="100"/>
        <c:noMultiLvlLbl val="0"/>
      </c:catAx>
      <c:valAx>
        <c:axId val="707435151"/>
        <c:scaling>
          <c:orientation val="minMax"/>
        </c:scaling>
        <c:delete val="0"/>
        <c:axPos val="l"/>
        <c:numFmt formatCode="#\ ##0\ &quot;zł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07419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37566799679316E-2"/>
          <c:y val="0.90250460830760926"/>
          <c:w val="0.93568725599522151"/>
          <c:h val="6.9529925111562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6F6F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400" b="1" i="1" u="none" strike="noStrike" kern="1200" spc="0" baseline="0">
          <a:solidFill>
            <a:sysClr val="windowText" lastClr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7</xdr:row>
      <xdr:rowOff>190500</xdr:rowOff>
    </xdr:from>
    <xdr:to>
      <xdr:col>13</xdr:col>
      <xdr:colOff>127000</xdr:colOff>
      <xdr:row>21</xdr:row>
      <xdr:rowOff>139700</xdr:rowOff>
    </xdr:to>
    <xdr:graphicFrame macro="">
      <xdr:nvGraphicFramePr>
        <xdr:cNvPr id="4" name="Wykres 1">
          <a:extLst>
            <a:ext uri="{FF2B5EF4-FFF2-40B4-BE49-F238E27FC236}">
              <a16:creationId xmlns:a16="http://schemas.microsoft.com/office/drawing/2014/main" id="{EFBFFCE4-605B-4814-8FAF-AF4B800F4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F2645-56F0-41D1-A2DF-35B0564A1D78}">
  <dimension ref="A1:AU604"/>
  <sheetViews>
    <sheetView tabSelected="1" zoomScale="60" zoomScaleNormal="60" workbookViewId="0">
      <selection activeCell="T4" sqref="T4"/>
    </sheetView>
  </sheetViews>
  <sheetFormatPr defaultColWidth="8.7265625" defaultRowHeight="14" x14ac:dyDescent="0.3"/>
  <cols>
    <col min="1" max="1" width="14.54296875" style="73" customWidth="1"/>
    <col min="2" max="2" width="8.08984375" style="1" customWidth="1"/>
    <col min="3" max="3" width="20.1796875" style="1" customWidth="1"/>
    <col min="4" max="4" width="19.6328125" style="1" customWidth="1"/>
    <col min="5" max="5" width="28.26953125" style="1" customWidth="1"/>
    <col min="6" max="6" width="23.1796875" style="1" customWidth="1"/>
    <col min="7" max="7" width="12.1796875" style="1" customWidth="1"/>
    <col min="8" max="8" width="10.453125" style="1" customWidth="1"/>
    <col min="9" max="9" width="30.81640625" style="1" customWidth="1"/>
    <col min="10" max="10" width="21.26953125" style="1" customWidth="1"/>
    <col min="11" max="11" width="19.54296875" style="1" customWidth="1"/>
    <col min="12" max="12" width="23.26953125" style="1" customWidth="1"/>
    <col min="13" max="13" width="32.54296875" style="1" customWidth="1"/>
    <col min="14" max="14" width="17.6328125" style="1" customWidth="1"/>
    <col min="15" max="15" width="7.54296875" style="1" customWidth="1"/>
    <col min="16" max="16" width="7.36328125" style="1" customWidth="1"/>
    <col min="17" max="17" width="14.90625" style="1" customWidth="1"/>
    <col min="18" max="18" width="14.81640625" style="1" customWidth="1"/>
    <col min="19" max="19" width="14.26953125" style="1" customWidth="1"/>
    <col min="20" max="20" width="16" style="1" customWidth="1"/>
    <col min="21" max="23" width="9.81640625" style="1" customWidth="1"/>
    <col min="24" max="24" width="10.1796875" style="1" customWidth="1"/>
    <col min="25" max="25" width="11.54296875" style="1" customWidth="1"/>
    <col min="26" max="26" width="13.1796875" style="1" customWidth="1"/>
    <col min="27" max="27" width="10.36328125" style="1" customWidth="1"/>
    <col min="28" max="29" width="7.08984375" style="1" customWidth="1"/>
    <col min="30" max="30" width="25.453125" style="1" customWidth="1"/>
    <col min="31" max="31" width="14.90625" style="1" customWidth="1"/>
    <col min="32" max="32" width="16.54296875" style="1" customWidth="1"/>
    <col min="33" max="33" width="19.26953125" style="1" customWidth="1"/>
    <col min="34" max="37" width="25.453125" style="1" customWidth="1"/>
    <col min="38" max="41" width="16.08984375" style="1" customWidth="1"/>
    <col min="42" max="42" width="11" style="1" customWidth="1"/>
    <col min="43" max="43" width="15.90625" style="1" customWidth="1"/>
    <col min="44" max="44" width="20.26953125" style="1" customWidth="1"/>
    <col min="45" max="45" width="18.81640625" style="1" customWidth="1"/>
    <col min="46" max="47" width="17.1796875" style="1" customWidth="1"/>
    <col min="48" max="48" width="13.26953125" style="1" customWidth="1"/>
    <col min="49" max="16384" width="8.7265625" style="1"/>
  </cols>
  <sheetData>
    <row r="1" spans="2:26" ht="46" customHeight="1" x14ac:dyDescent="0.3">
      <c r="B1" s="82" t="s">
        <v>32</v>
      </c>
      <c r="G1" s="4"/>
      <c r="J1" s="7"/>
      <c r="R1" s="6"/>
    </row>
    <row r="2" spans="2:26" ht="33.5" customHeight="1" thickBot="1" x14ac:dyDescent="0.5">
      <c r="B2" s="87" t="s">
        <v>52</v>
      </c>
      <c r="C2" s="87"/>
      <c r="D2" s="87"/>
      <c r="E2" s="87"/>
      <c r="F2" s="42">
        <v>400000</v>
      </c>
      <c r="I2" s="81" t="s">
        <v>63</v>
      </c>
      <c r="J2" s="86"/>
      <c r="K2" s="86"/>
      <c r="L2" s="86"/>
      <c r="R2" s="6"/>
    </row>
    <row r="3" spans="2:26" ht="76" x14ac:dyDescent="0.3">
      <c r="B3" s="87" t="s">
        <v>39</v>
      </c>
      <c r="C3" s="87"/>
      <c r="D3" s="87"/>
      <c r="E3" s="87"/>
      <c r="F3" s="42">
        <v>500000</v>
      </c>
      <c r="G3" s="6"/>
      <c r="I3" s="84" t="s">
        <v>60</v>
      </c>
      <c r="J3" s="77" t="s">
        <v>58</v>
      </c>
      <c r="K3" s="66" t="s">
        <v>59</v>
      </c>
      <c r="L3" s="67" t="s">
        <v>57</v>
      </c>
      <c r="M3" s="78" t="s">
        <v>64</v>
      </c>
      <c r="O3" s="65"/>
      <c r="R3" s="6"/>
    </row>
    <row r="4" spans="2:26" ht="47" customHeight="1" x14ac:dyDescent="0.3">
      <c r="B4" s="87" t="s">
        <v>53</v>
      </c>
      <c r="C4" s="87"/>
      <c r="D4" s="87"/>
      <c r="E4" s="87"/>
      <c r="F4" s="43">
        <v>240</v>
      </c>
      <c r="G4" s="51"/>
      <c r="I4" s="85" t="str">
        <f>B24</f>
        <v>SCENARIUSZ PODSTAWOWY BEZ WAKACJI KREDYTOWYCH</v>
      </c>
      <c r="J4" s="68">
        <f>-E25</f>
        <v>-430680.14968342904</v>
      </c>
      <c r="K4" s="68">
        <f>-L25</f>
        <v>-16800</v>
      </c>
      <c r="L4" s="69">
        <v>0</v>
      </c>
      <c r="M4" s="70">
        <f>J4+K4</f>
        <v>-447480.14968342904</v>
      </c>
      <c r="O4" s="47"/>
      <c r="P4" s="6"/>
      <c r="Q4" s="6"/>
      <c r="R4" s="6"/>
    </row>
    <row r="5" spans="2:26" ht="47" customHeight="1" x14ac:dyDescent="0.3">
      <c r="B5" s="87" t="s">
        <v>54</v>
      </c>
      <c r="C5" s="87"/>
      <c r="D5" s="87"/>
      <c r="E5" s="87"/>
      <c r="F5" s="41">
        <v>6.7599999999999993E-2</v>
      </c>
      <c r="G5" s="94"/>
      <c r="I5" s="85" t="str">
        <f>O24</f>
        <v>BIORĘ WAKACJE KREDYTOWE A PIENIĄDZE WYDAJĘ</v>
      </c>
      <c r="J5" s="68">
        <f>-S25</f>
        <v>-430680.14968342904</v>
      </c>
      <c r="K5" s="68">
        <f>-Z25</f>
        <v>-17360</v>
      </c>
      <c r="L5" s="69">
        <v>0</v>
      </c>
      <c r="M5" s="70">
        <f>J5+K5</f>
        <v>-448040.14968342904</v>
      </c>
      <c r="O5" s="6"/>
      <c r="P5" s="6"/>
      <c r="Q5" s="6"/>
      <c r="R5" s="6"/>
    </row>
    <row r="6" spans="2:26" ht="52.5" customHeight="1" x14ac:dyDescent="0.3">
      <c r="B6" s="88" t="s">
        <v>55</v>
      </c>
      <c r="C6" s="87"/>
      <c r="D6" s="87"/>
      <c r="E6" s="87"/>
      <c r="F6" s="41">
        <v>1.7000000000000001E-2</v>
      </c>
      <c r="G6" s="94"/>
      <c r="I6" s="85" t="str">
        <f>AB24</f>
        <v>BIORĘ WAKACJE KREDYTOWE I NADPŁACAM KREDYT CO MIESIĄC, OBNIŻAJĄC WYSOKOŚĆ RATY</v>
      </c>
      <c r="J6" s="68">
        <f>-AF25</f>
        <v>-402141.39497903571</v>
      </c>
      <c r="K6" s="68">
        <f>-AO25</f>
        <v>-17360</v>
      </c>
      <c r="L6" s="71">
        <f>AL25</f>
        <v>29147.398762334131</v>
      </c>
      <c r="M6" s="70">
        <f>J6+K6+L6</f>
        <v>-390353.99621670158</v>
      </c>
      <c r="P6" s="6"/>
      <c r="Q6" s="6"/>
      <c r="R6" s="6"/>
      <c r="X6" s="5"/>
    </row>
    <row r="7" spans="2:26" ht="47" customHeight="1" thickBot="1" x14ac:dyDescent="0.35">
      <c r="B7" s="87" t="s">
        <v>31</v>
      </c>
      <c r="C7" s="87"/>
      <c r="D7" s="87"/>
      <c r="E7" s="87"/>
      <c r="F7" s="50">
        <f>F5+F6</f>
        <v>8.4599999999999995E-2</v>
      </c>
      <c r="G7" s="4"/>
      <c r="I7" s="85" t="str">
        <f>AQ24</f>
        <v>BIORĘ WAKACJE KREDYTOWE A UZYSKANE ŚRODKI LOKUJĘ (NIE NADPŁACAM)</v>
      </c>
      <c r="J7" s="68">
        <f>-E25</f>
        <v>-430680.14968342904</v>
      </c>
      <c r="K7" s="68">
        <f>-Z25</f>
        <v>-17360</v>
      </c>
      <c r="L7" s="71">
        <f>AU25</f>
        <v>33523.71419851933</v>
      </c>
      <c r="M7" s="72">
        <f t="shared" ref="M7" si="0">J7+K7+L7</f>
        <v>-414516.43548490969</v>
      </c>
      <c r="P7" s="6"/>
      <c r="Q7" s="6"/>
      <c r="R7" s="6"/>
      <c r="X7" s="5"/>
    </row>
    <row r="8" spans="2:26" ht="18" customHeight="1" x14ac:dyDescent="0.3">
      <c r="B8" s="87" t="s">
        <v>65</v>
      </c>
      <c r="C8" s="87"/>
      <c r="D8" s="87"/>
      <c r="E8" s="87"/>
      <c r="F8" s="44" t="s">
        <v>11</v>
      </c>
      <c r="M8" s="47"/>
      <c r="N8" s="6"/>
      <c r="O8" s="6"/>
      <c r="P8" s="6"/>
      <c r="Q8" s="6"/>
      <c r="R8" s="6"/>
    </row>
    <row r="9" spans="2:26" ht="18" customHeight="1" x14ac:dyDescent="0.3">
      <c r="B9" s="87" t="s">
        <v>33</v>
      </c>
      <c r="C9" s="87"/>
      <c r="D9" s="87"/>
      <c r="E9" s="87"/>
      <c r="F9" s="44">
        <v>60</v>
      </c>
      <c r="M9" s="47"/>
      <c r="R9" s="6"/>
    </row>
    <row r="10" spans="2:26" ht="18" customHeight="1" x14ac:dyDescent="0.3">
      <c r="B10" s="87" t="s">
        <v>13</v>
      </c>
      <c r="C10" s="87"/>
      <c r="D10" s="87"/>
      <c r="E10" s="87"/>
      <c r="F10" s="45">
        <v>0.05</v>
      </c>
      <c r="M10" s="47"/>
      <c r="R10" s="6"/>
    </row>
    <row r="11" spans="2:26" ht="37.5" customHeight="1" x14ac:dyDescent="0.3">
      <c r="B11" s="87" t="s">
        <v>44</v>
      </c>
      <c r="C11" s="87"/>
      <c r="D11" s="87"/>
      <c r="E11" s="87"/>
      <c r="F11" s="46" t="s">
        <v>7</v>
      </c>
      <c r="G11" s="19"/>
      <c r="M11" s="47"/>
      <c r="R11" s="6"/>
    </row>
    <row r="12" spans="2:26" ht="26" customHeight="1" x14ac:dyDescent="0.3">
      <c r="B12" s="59"/>
      <c r="C12" s="59"/>
      <c r="D12" s="59"/>
      <c r="E12" s="59"/>
      <c r="F12" s="60"/>
      <c r="G12" s="19"/>
      <c r="M12" s="47"/>
      <c r="R12" s="6"/>
    </row>
    <row r="13" spans="2:26" ht="19" customHeight="1" x14ac:dyDescent="0.45">
      <c r="B13" s="83" t="s">
        <v>62</v>
      </c>
      <c r="M13" s="47"/>
      <c r="P13" s="6"/>
      <c r="Q13" s="6"/>
      <c r="U13" s="6"/>
      <c r="V13" s="2"/>
      <c r="W13" s="2"/>
      <c r="X13" s="4"/>
      <c r="Y13" s="4"/>
      <c r="Z13" s="4"/>
    </row>
    <row r="14" spans="2:26" ht="27" customHeight="1" x14ac:dyDescent="0.3">
      <c r="B14" s="87" t="s">
        <v>45</v>
      </c>
      <c r="C14" s="87"/>
      <c r="D14" s="87"/>
      <c r="E14" s="87"/>
      <c r="F14" s="42">
        <v>20</v>
      </c>
      <c r="I14" s="20"/>
      <c r="J14" s="20"/>
      <c r="M14" s="47"/>
      <c r="P14" s="6"/>
      <c r="Q14" s="6"/>
      <c r="U14" s="6"/>
    </row>
    <row r="15" spans="2:26" ht="45" customHeight="1" x14ac:dyDescent="0.3">
      <c r="B15" s="87" t="s">
        <v>46</v>
      </c>
      <c r="C15" s="87"/>
      <c r="D15" s="87"/>
      <c r="E15" s="87"/>
      <c r="F15" s="98">
        <v>1E-4</v>
      </c>
      <c r="G15" s="39"/>
      <c r="I15" s="20"/>
      <c r="J15" s="20"/>
      <c r="M15" s="47"/>
      <c r="Q15" s="6"/>
    </row>
    <row r="16" spans="2:26" ht="27" customHeight="1" x14ac:dyDescent="0.3">
      <c r="B16" s="95" t="s">
        <v>35</v>
      </c>
      <c r="C16" s="96"/>
      <c r="D16" s="96"/>
      <c r="E16" s="97"/>
      <c r="F16" s="99"/>
      <c r="G16" s="39"/>
      <c r="I16" s="20"/>
      <c r="J16" s="20"/>
      <c r="M16" s="47"/>
      <c r="Q16" s="6"/>
    </row>
    <row r="17" spans="1:47" ht="26" customHeight="1" x14ac:dyDescent="0.45">
      <c r="B17" s="83"/>
      <c r="C17" s="59"/>
      <c r="D17" s="59"/>
      <c r="E17" s="59"/>
      <c r="F17" s="60"/>
      <c r="G17" s="19"/>
      <c r="M17" s="47"/>
      <c r="Q17" s="6"/>
    </row>
    <row r="18" spans="1:47" ht="20.5" x14ac:dyDescent="0.45">
      <c r="B18" s="83" t="s">
        <v>47</v>
      </c>
      <c r="M18" s="47"/>
      <c r="R18" s="6"/>
    </row>
    <row r="19" spans="1:47" ht="48" customHeight="1" x14ac:dyDescent="0.3">
      <c r="B19" s="87" t="s">
        <v>30</v>
      </c>
      <c r="C19" s="87"/>
      <c r="D19" s="87"/>
      <c r="E19" s="87"/>
      <c r="F19" s="41">
        <v>0.05</v>
      </c>
      <c r="M19" s="47"/>
      <c r="R19" s="6"/>
    </row>
    <row r="20" spans="1:47" ht="24" customHeight="1" x14ac:dyDescent="0.3">
      <c r="B20" s="53" t="s">
        <v>22</v>
      </c>
      <c r="C20" s="54"/>
      <c r="D20" s="54"/>
      <c r="E20" s="54"/>
      <c r="F20" s="50">
        <v>0.19</v>
      </c>
      <c r="M20" s="47"/>
      <c r="R20" s="6"/>
      <c r="AA20" s="20"/>
    </row>
    <row r="21" spans="1:47" ht="24" customHeight="1" x14ac:dyDescent="0.3">
      <c r="B21" s="53" t="s">
        <v>20</v>
      </c>
      <c r="C21" s="54"/>
      <c r="D21" s="54"/>
      <c r="E21" s="54"/>
      <c r="F21" s="40" t="s">
        <v>18</v>
      </c>
      <c r="M21" s="47"/>
      <c r="R21" s="6"/>
      <c r="AA21" s="20"/>
    </row>
    <row r="22" spans="1:47" ht="12" customHeight="1" x14ac:dyDescent="0.3">
      <c r="M22" s="47"/>
      <c r="R22" s="6"/>
      <c r="AH22" s="6"/>
      <c r="AI22" s="6"/>
      <c r="AJ22" s="6"/>
      <c r="AK22" s="6"/>
    </row>
    <row r="23" spans="1:47" s="3" customFormat="1" ht="14.5" x14ac:dyDescent="0.35">
      <c r="A23" s="74"/>
      <c r="M23" s="47"/>
      <c r="AH23" s="30"/>
      <c r="AI23" s="30"/>
      <c r="AJ23" s="30"/>
      <c r="AK23" s="30"/>
    </row>
    <row r="24" spans="1:47" s="3" customFormat="1" ht="33" customHeight="1" x14ac:dyDescent="0.35">
      <c r="A24" s="74"/>
      <c r="B24" s="90" t="s">
        <v>34</v>
      </c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47"/>
      <c r="O24" s="93" t="s">
        <v>42</v>
      </c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B24" s="89" t="s">
        <v>49</v>
      </c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64"/>
      <c r="AN24" s="64"/>
      <c r="AO24" s="64"/>
      <c r="AQ24" s="89" t="s">
        <v>61</v>
      </c>
      <c r="AR24" s="89"/>
      <c r="AS24" s="89"/>
      <c r="AT24" s="89"/>
      <c r="AU24" s="89"/>
    </row>
    <row r="25" spans="1:47" s="3" customFormat="1" ht="16.5" customHeight="1" x14ac:dyDescent="0.35">
      <c r="A25" s="74"/>
      <c r="B25" s="7" t="s">
        <v>16</v>
      </c>
      <c r="C25" s="61">
        <f>SUM(C27:C398)</f>
        <v>830682.15000000328</v>
      </c>
      <c r="D25" s="62">
        <f t="shared" ref="D25:L25" si="1">SUM(D27:D398)</f>
        <v>399999.99999999983</v>
      </c>
      <c r="E25" s="62">
        <f t="shared" si="1"/>
        <v>430680.14968342904</v>
      </c>
      <c r="F25" s="62"/>
      <c r="G25" s="62"/>
      <c r="H25" s="62"/>
      <c r="I25" s="62"/>
      <c r="J25" s="62">
        <f t="shared" si="1"/>
        <v>4800</v>
      </c>
      <c r="K25" s="62">
        <f t="shared" si="1"/>
        <v>12000</v>
      </c>
      <c r="L25" s="62">
        <f t="shared" si="1"/>
        <v>16800</v>
      </c>
      <c r="O25" s="29" t="s">
        <v>16</v>
      </c>
      <c r="P25" s="29"/>
      <c r="Q25" s="31">
        <f>SUM(Q27:Q398)</f>
        <v>830682.15000000328</v>
      </c>
      <c r="R25" s="22">
        <f t="shared" ref="R25:Z25" si="2">SUM(R27:R398)</f>
        <v>399999.99999999983</v>
      </c>
      <c r="S25" s="22">
        <f t="shared" si="2"/>
        <v>430680.14968342904</v>
      </c>
      <c r="T25" s="22"/>
      <c r="U25" s="22"/>
      <c r="V25" s="22"/>
      <c r="W25" s="22"/>
      <c r="X25" s="22">
        <f t="shared" si="2"/>
        <v>4960</v>
      </c>
      <c r="Y25" s="22">
        <f t="shared" si="2"/>
        <v>12400</v>
      </c>
      <c r="Z25" s="22">
        <f t="shared" si="2"/>
        <v>17360</v>
      </c>
      <c r="AB25" s="29" t="s">
        <v>16</v>
      </c>
      <c r="AC25" s="29"/>
      <c r="AD25" s="22">
        <f>SUM(AD27:AD398)</f>
        <v>775279.53999999689</v>
      </c>
      <c r="AE25" s="22">
        <f>SUM(AE27:AE398)</f>
        <v>373136.15000000008</v>
      </c>
      <c r="AF25" s="22">
        <f t="shared" ref="AF25" si="3">SUM(AF27:AF398)</f>
        <v>402141.39497903571</v>
      </c>
      <c r="AG25" s="63"/>
      <c r="AH25" s="22">
        <f>SUM(AH27:AH398)</f>
        <v>26863.850000000002</v>
      </c>
      <c r="AI25" s="22"/>
      <c r="AJ25" s="22">
        <f>SUM(AJ27:AJ398)</f>
        <v>28538.759999999973</v>
      </c>
      <c r="AK25" s="22">
        <f>AJ25+AL25</f>
        <v>57686.158762334104</v>
      </c>
      <c r="AL25" s="22">
        <f>IF($F$21=listy!$G$14,(INDEX(AL28:AL398,MATCH(1000000000,AL28:AL398,1))-'RZĄDOWY PROGRAM'!AS25)*(1-'RZĄDOWY PROGRAM'!$F$20)+AS25,INDEX(AL28:AL398,MATCH(1000000000,AL28:AL398,1)))</f>
        <v>29147.398762334131</v>
      </c>
      <c r="AM25" s="22">
        <f t="shared" ref="AM25:AO25" si="4">SUM(AM27:AM398)</f>
        <v>4960</v>
      </c>
      <c r="AN25" s="22">
        <f t="shared" si="4"/>
        <v>12400</v>
      </c>
      <c r="AO25" s="22">
        <f t="shared" si="4"/>
        <v>17360</v>
      </c>
      <c r="AQ25" s="63"/>
      <c r="AR25" s="63"/>
      <c r="AS25" s="22">
        <f>SUM(AS27:AS398)</f>
        <v>27689.400000000005</v>
      </c>
      <c r="AT25" s="48">
        <f>AU25+AS25</f>
        <v>61213.114198519339</v>
      </c>
      <c r="AU25" s="22">
        <f>IF($F$21=listy!$G$14,(INDEX(AU28:AU398,MATCH(1000000000,AU28:AU398,1))-'RZĄDOWY PROGRAM'!BB25)*(1-'RZĄDOWY PROGRAM'!$F$20)+BB25,INDEX(AU28:AU398,MATCH(1000000000,AU28:AU398,1)))</f>
        <v>33523.71419851933</v>
      </c>
    </row>
    <row r="26" spans="1:47" s="3" customFormat="1" ht="156" customHeight="1" x14ac:dyDescent="0.35">
      <c r="A26" s="75"/>
      <c r="B26" s="12" t="s">
        <v>14</v>
      </c>
      <c r="C26" s="32" t="s">
        <v>2</v>
      </c>
      <c r="D26" s="13" t="s">
        <v>3</v>
      </c>
      <c r="E26" s="14" t="s">
        <v>1</v>
      </c>
      <c r="F26" s="15" t="s">
        <v>0</v>
      </c>
      <c r="G26" s="16" t="s">
        <v>4</v>
      </c>
      <c r="H26" s="16" t="s">
        <v>5</v>
      </c>
      <c r="I26" s="16" t="s">
        <v>6</v>
      </c>
      <c r="J26" s="56" t="s">
        <v>37</v>
      </c>
      <c r="K26" s="56" t="s">
        <v>38</v>
      </c>
      <c r="L26" s="56" t="s">
        <v>41</v>
      </c>
      <c r="N26" s="21"/>
      <c r="O26" s="12" t="s">
        <v>14</v>
      </c>
      <c r="P26" s="12" t="s">
        <v>43</v>
      </c>
      <c r="Q26" s="32" t="s">
        <v>2</v>
      </c>
      <c r="R26" s="13" t="s">
        <v>3</v>
      </c>
      <c r="S26" s="14" t="s">
        <v>1</v>
      </c>
      <c r="T26" s="15" t="s">
        <v>0</v>
      </c>
      <c r="U26" s="16" t="s">
        <v>4</v>
      </c>
      <c r="V26" s="16" t="s">
        <v>5</v>
      </c>
      <c r="W26" s="16" t="s">
        <v>6</v>
      </c>
      <c r="X26" s="56" t="s">
        <v>37</v>
      </c>
      <c r="Y26" s="56" t="s">
        <v>38</v>
      </c>
      <c r="Z26" s="56" t="s">
        <v>41</v>
      </c>
      <c r="AB26" s="23" t="s">
        <v>14</v>
      </c>
      <c r="AC26" s="23" t="s">
        <v>43</v>
      </c>
      <c r="AD26" s="24" t="s">
        <v>2</v>
      </c>
      <c r="AE26" s="25" t="s">
        <v>3</v>
      </c>
      <c r="AF26" s="26" t="s">
        <v>1</v>
      </c>
      <c r="AG26" s="28" t="s">
        <v>0</v>
      </c>
      <c r="AH26" s="27" t="s">
        <v>9</v>
      </c>
      <c r="AI26" s="79" t="s">
        <v>56</v>
      </c>
      <c r="AJ26" s="80" t="s">
        <v>50</v>
      </c>
      <c r="AK26" s="80" t="s">
        <v>51</v>
      </c>
      <c r="AL26" s="80" t="s">
        <v>66</v>
      </c>
      <c r="AM26" s="56" t="s">
        <v>37</v>
      </c>
      <c r="AN26" s="56" t="s">
        <v>38</v>
      </c>
      <c r="AO26" s="56" t="s">
        <v>41</v>
      </c>
      <c r="AQ26" s="80" t="s">
        <v>10</v>
      </c>
      <c r="AR26" s="80" t="s">
        <v>15</v>
      </c>
      <c r="AS26" s="80" t="s">
        <v>48</v>
      </c>
      <c r="AT26" s="80" t="s">
        <v>17</v>
      </c>
      <c r="AU26" s="80" t="s">
        <v>67</v>
      </c>
    </row>
    <row r="27" spans="1:47" s="3" customFormat="1" ht="29" customHeight="1" x14ac:dyDescent="0.35">
      <c r="A27" s="76" t="s">
        <v>36</v>
      </c>
      <c r="B27" s="8"/>
      <c r="C27" s="33"/>
      <c r="D27" s="8"/>
      <c r="E27" s="8"/>
      <c r="F27" s="9">
        <f>F2</f>
        <v>400000</v>
      </c>
      <c r="G27" s="10"/>
      <c r="H27" s="10"/>
      <c r="I27" s="10"/>
      <c r="J27" s="52"/>
      <c r="L27" s="8"/>
      <c r="N27" s="55" t="s">
        <v>36</v>
      </c>
      <c r="O27" s="8"/>
      <c r="P27" s="8"/>
      <c r="Q27" s="33"/>
      <c r="R27" s="8"/>
      <c r="S27" s="8"/>
      <c r="T27" s="9">
        <f>$F$2</f>
        <v>400000</v>
      </c>
      <c r="U27" s="10"/>
      <c r="V27" s="10"/>
      <c r="W27" s="10"/>
      <c r="X27" s="52"/>
      <c r="Z27" s="8"/>
      <c r="AB27" s="8"/>
      <c r="AC27" s="8"/>
      <c r="AD27" s="8"/>
      <c r="AE27" s="8"/>
      <c r="AF27" s="8"/>
      <c r="AG27" s="9">
        <f>F2</f>
        <v>400000</v>
      </c>
      <c r="AH27" s="8"/>
      <c r="AI27" s="20"/>
      <c r="AJ27" s="20"/>
      <c r="AK27" s="20"/>
      <c r="AL27" s="20"/>
      <c r="AM27" s="52"/>
      <c r="AO27" s="8"/>
      <c r="AQ27" s="17" t="str">
        <f>IF(AB27&lt;&gt;0,IF(AB27&gt;=#REF!,$F$19,0),"")</f>
        <v/>
      </c>
      <c r="AR27" s="18"/>
      <c r="AS27" s="18"/>
      <c r="AT27" s="9"/>
      <c r="AU27" s="9"/>
    </row>
    <row r="28" spans="1:47" s="3" customFormat="1" ht="14.5" x14ac:dyDescent="0.35">
      <c r="A28" s="76">
        <v>44743</v>
      </c>
      <c r="B28" s="8">
        <f t="shared" ref="B28:B91" si="5">IFERROR(IF(B27+1&lt;=$F$4,B27+1,""),"")</f>
        <v>1</v>
      </c>
      <c r="C28" s="57">
        <f t="shared" ref="C28:C91" si="6">IF(B28&lt;&gt;"",ROUND(IF($F$11="raty równe",-PMT(I28/12,$F$4-B27,F27,2),D28+E28),2),"")</f>
        <v>3461.18</v>
      </c>
      <c r="D28" s="58">
        <f t="shared" ref="D28:D91" si="7">IF(B28&lt;&gt;"",IF($F$11="raty malejące",F27/($F$4-B27),IF(C28-E28&gt;F27,F27,C28-E28)),"")</f>
        <v>641.17999999999984</v>
      </c>
      <c r="E28" s="58">
        <f t="shared" ref="E28:E91" si="8">IF(B28&lt;&gt;"",F27*I28/12,"")</f>
        <v>2820</v>
      </c>
      <c r="F28" s="9">
        <f>IF(B28&lt;&gt;"",F27-D28,"")</f>
        <v>399358.82</v>
      </c>
      <c r="G28" s="10">
        <f t="shared" ref="G28:G91" si="9">IF(B28&lt;&gt;"",$F$5,"")</f>
        <v>6.7599999999999993E-2</v>
      </c>
      <c r="H28" s="10">
        <f t="shared" ref="H28:H91" si="10">IF(B28&lt;&gt;"",$F$6,"")</f>
        <v>1.7000000000000001E-2</v>
      </c>
      <c r="I28" s="49">
        <f t="shared" ref="I28:I91" si="11">IF($B28&lt;&gt;"",IF(AND($F$8="TAK",$B28&lt;=$F$9),$F$10,G28+H28),"")</f>
        <v>8.4599999999999995E-2</v>
      </c>
      <c r="J28" s="11">
        <f t="shared" ref="J28:J91" si="12">IF(B28&lt;=$F$4,$F$14,"")</f>
        <v>20</v>
      </c>
      <c r="K28" s="11">
        <f>IF(B28&lt;&gt;"",IF($B$16=listy!$K$8,'RZĄDOWY PROGRAM'!$F$3*'RZĄDOWY PROGRAM'!$F$15,F27*$F$15),"")</f>
        <v>50</v>
      </c>
      <c r="L28" s="11">
        <f>IF(B28&lt;&gt;"",J28+K28,"")</f>
        <v>70</v>
      </c>
      <c r="N28" s="55">
        <v>44743</v>
      </c>
      <c r="O28" s="8">
        <f>IFERROR(IF(O27+1&lt;=$F$4+8,O27+1,""),"")</f>
        <v>1</v>
      </c>
      <c r="P28" s="8">
        <v>1</v>
      </c>
      <c r="Q28" s="57">
        <v>0</v>
      </c>
      <c r="R28" s="58">
        <v>0</v>
      </c>
      <c r="S28" s="58">
        <v>0</v>
      </c>
      <c r="T28" s="9">
        <f>IF(O28&lt;&gt;"",T27-R28,"")</f>
        <v>400000</v>
      </c>
      <c r="U28" s="10">
        <f t="shared" ref="U28:U91" si="13">IF(O28&lt;&gt;"",$F$5,"")</f>
        <v>6.7599999999999993E-2</v>
      </c>
      <c r="V28" s="10">
        <f t="shared" ref="V28:V91" si="14">IF(O28&lt;&gt;"",$F$6,"")</f>
        <v>1.7000000000000001E-2</v>
      </c>
      <c r="W28" s="49">
        <f>IF(O28&lt;&gt;"",IF(AND($F$8="TAK",$B28&lt;=$F$9),$F$10,U28+V28),"")</f>
        <v>8.4599999999999995E-2</v>
      </c>
      <c r="X28" s="58">
        <f t="shared" ref="X28:X91" si="15">IF(O28&lt;&gt;"",$F$14,"")</f>
        <v>20</v>
      </c>
      <c r="Y28" s="58">
        <f>IF(O28&lt;&gt;"",IF($B$16=listy!$K$8,'RZĄDOWY PROGRAM'!$F$3*'RZĄDOWY PROGRAM'!$F$15,T27*$F$15),"")</f>
        <v>50</v>
      </c>
      <c r="Z28" s="58">
        <f>IF(O28&lt;&gt;"",X28+Y28,"")</f>
        <v>70</v>
      </c>
      <c r="AB28" s="8">
        <f>IFERROR(IF(AG27&gt;0,B28,""),"")</f>
        <v>1</v>
      </c>
      <c r="AC28" s="8">
        <v>1</v>
      </c>
      <c r="AD28" s="57">
        <v>0</v>
      </c>
      <c r="AE28" s="58">
        <v>0</v>
      </c>
      <c r="AF28" s="58">
        <v>0</v>
      </c>
      <c r="AG28" s="9">
        <f>IF(AB28&lt;&gt;"",IF(AH28&lt;&gt;"",AG27-AE28-AH28,AG27-AE28),"")</f>
        <v>396538.82</v>
      </c>
      <c r="AH28" s="58">
        <f>C28</f>
        <v>3461.18</v>
      </c>
      <c r="AI28" s="33">
        <f>IF(AB28&lt;&gt;"",ROUND(IF($F$11="raty równe",-PMT(W28/12,($F$4-AB27+SUM($AC$27:AC27)),AG27,2),AG27/($F$4-AB27+SUM($AC$27:AC27))+AG27*W28/12),2),"")</f>
        <v>3461.18</v>
      </c>
      <c r="AJ28" s="33">
        <f>IF(AB28&lt;&gt;"",IF(B28&lt;&gt;"",C28-AD28-AH28,-(AD28+AH28)),"")</f>
        <v>0</v>
      </c>
      <c r="AK28" s="33">
        <f>IF(AB28&lt;&gt;"",IF($F$21="co miesiąc",AK27*(1+(1-$F$20)*AR28)+AJ28,(AK27*(1+AR28)+AJ28)),"")</f>
        <v>0</v>
      </c>
      <c r="AL28" s="33">
        <f>IF(AB28&lt;&gt;"",AK28-SUM($AJ$28:AJ28),"")</f>
        <v>0</v>
      </c>
      <c r="AM28" s="11">
        <f>IF(AB28&lt;&gt;"",$F$14,"")</f>
        <v>20</v>
      </c>
      <c r="AN28" s="11">
        <f>IF(AB28&lt;&gt;"",IF($B$16=listy!$K$8,'RZĄDOWY PROGRAM'!$F$3*'RZĄDOWY PROGRAM'!$F$15,AG27*$F$15),"")</f>
        <v>50</v>
      </c>
      <c r="AO28" s="11">
        <f>IF(AD28&lt;&gt;"",AM28+AN28,"")</f>
        <v>70</v>
      </c>
      <c r="AQ28" s="49">
        <f t="shared" ref="AQ28:AQ91" si="16">IF(AB28&lt;&gt;"",$F$19,"")</f>
        <v>0.05</v>
      </c>
      <c r="AR28" s="18">
        <f t="shared" ref="AR28:AR91" si="17">IF(AB28&lt;&gt;"",(1+AQ28)^(1/12)-1,"")</f>
        <v>4.0741237836483535E-3</v>
      </c>
      <c r="AS28" s="57">
        <f>IF(AB28&lt;&gt;"",IF(A28&lt;&gt;"",C28-Q28,0),"")</f>
        <v>3461.18</v>
      </c>
      <c r="AT28" s="58">
        <f>IF(AB28&lt;&gt;"",IF($F$21="co miesiąc",AT27*(1+(1-$F$20)*AR28)+AS28,(AT27*(1+AR28)+AS28)),"")</f>
        <v>3461.18</v>
      </c>
      <c r="AU28" s="58">
        <f>IF(AB28&lt;&gt;"",AT28-SUM($AS$28:AS28),"")</f>
        <v>0</v>
      </c>
    </row>
    <row r="29" spans="1:47" ht="14.5" x14ac:dyDescent="0.35">
      <c r="A29" s="76">
        <f>IF(B29&lt;&gt;"",EDATE(A28,1),"")</f>
        <v>44774</v>
      </c>
      <c r="B29" s="8">
        <f t="shared" si="5"/>
        <v>2</v>
      </c>
      <c r="C29" s="57">
        <f t="shared" si="6"/>
        <v>3461.18</v>
      </c>
      <c r="D29" s="58">
        <f t="shared" si="7"/>
        <v>645.70031899999958</v>
      </c>
      <c r="E29" s="58">
        <f t="shared" si="8"/>
        <v>2815.4796810000003</v>
      </c>
      <c r="F29" s="9">
        <f t="shared" ref="F29:F92" si="18">IF(B29&lt;&gt;"",F28-D29,"")</f>
        <v>398713.11968100001</v>
      </c>
      <c r="G29" s="10">
        <f t="shared" si="9"/>
        <v>6.7599999999999993E-2</v>
      </c>
      <c r="H29" s="10">
        <f t="shared" si="10"/>
        <v>1.7000000000000001E-2</v>
      </c>
      <c r="I29" s="49">
        <f t="shared" si="11"/>
        <v>8.4599999999999995E-2</v>
      </c>
      <c r="J29" s="11">
        <f t="shared" si="12"/>
        <v>20</v>
      </c>
      <c r="K29" s="11">
        <f>IF(B29&lt;&gt;"",IF($B$16=listy!$K$8,'RZĄDOWY PROGRAM'!$F$3*'RZĄDOWY PROGRAM'!$F$15,F28*$F$15),"")</f>
        <v>50</v>
      </c>
      <c r="L29" s="11">
        <f t="shared" ref="L29:L92" si="19">IF(B29&lt;&gt;"",J29+K29,"")</f>
        <v>70</v>
      </c>
      <c r="N29" s="55">
        <f>IF(O29&lt;&gt;"",EDATE(N28,1),"")</f>
        <v>44774</v>
      </c>
      <c r="O29" s="8">
        <f t="shared" ref="O29:O92" si="20">IFERROR(IF(O28+1&lt;=$F$4+8,O28+1,""),"")</f>
        <v>2</v>
      </c>
      <c r="P29" s="8">
        <v>1</v>
      </c>
      <c r="Q29" s="57">
        <v>0</v>
      </c>
      <c r="R29" s="58">
        <v>0</v>
      </c>
      <c r="S29" s="58">
        <v>0</v>
      </c>
      <c r="T29" s="9">
        <f t="shared" ref="T29:T92" si="21">IF(O29&lt;&gt;"",T28-R29,"")</f>
        <v>400000</v>
      </c>
      <c r="U29" s="10">
        <f t="shared" si="13"/>
        <v>6.7599999999999993E-2</v>
      </c>
      <c r="V29" s="10">
        <f t="shared" si="14"/>
        <v>1.7000000000000001E-2</v>
      </c>
      <c r="W29" s="49">
        <f t="shared" ref="W29:W92" si="22">IF(O29&lt;&gt;"",IF(AND($F$8="TAK",$B29&lt;=$F$9),$F$10,U29+V29),"")</f>
        <v>8.4599999999999995E-2</v>
      </c>
      <c r="X29" s="58">
        <f t="shared" si="15"/>
        <v>20</v>
      </c>
      <c r="Y29" s="58">
        <f>IF(O29&lt;&gt;"",IF($B$16=listy!$K$8,'RZĄDOWY PROGRAM'!$F$3*'RZĄDOWY PROGRAM'!$F$15,T28*$F$15),"")</f>
        <v>50</v>
      </c>
      <c r="Z29" s="58">
        <f t="shared" ref="Z29:Z92" si="23">IF(O29&lt;&gt;"",X29+Y29,"")</f>
        <v>70</v>
      </c>
      <c r="AB29" s="8">
        <f t="shared" ref="AB29:AB92" si="24">IFERROR(IF(AG28&gt;0,AB28+1,""),"")</f>
        <v>2</v>
      </c>
      <c r="AC29" s="8">
        <v>1</v>
      </c>
      <c r="AD29" s="57">
        <v>0</v>
      </c>
      <c r="AE29" s="58">
        <v>0</v>
      </c>
      <c r="AF29" s="58">
        <v>0</v>
      </c>
      <c r="AG29" s="9">
        <f>IF(AB29&lt;&gt;"",IF(AH29&lt;&gt;"",AG28-AE29-AH29,AG28-AE29),"")</f>
        <v>393107.59</v>
      </c>
      <c r="AH29" s="58">
        <f>AI29</f>
        <v>3431.23</v>
      </c>
      <c r="AI29" s="33">
        <f>IF(AB29&lt;&gt;"",ROUND(IF($F$11="raty równe",-PMT(W29/12,($F$4-AB28+SUM($AC$27:AC28)),AG28,2),AG28/($F$4-AB28+SUM($AC$27:AC28))+AG28*W29/12),2),"")</f>
        <v>3431.23</v>
      </c>
      <c r="AJ29" s="33">
        <f t="shared" ref="AJ29:AJ92" si="25">IF(AB29&lt;&gt;"",IF(B29&lt;&gt;"",C29-AD29-AH29,-(AD29+AH29)),"")</f>
        <v>29.949999999999818</v>
      </c>
      <c r="AK29" s="33">
        <f t="shared" ref="AK29:AK92" si="26">IF(AB29&lt;&gt;"",IF($F$21="co miesiąc",AK28*(1+(1-$F$20)*AR29)+AJ29,(AK28*(1+AR29)+AJ29)),"")</f>
        <v>29.949999999999818</v>
      </c>
      <c r="AL29" s="33">
        <f>IF(AB29&lt;&gt;"",AK29-SUM($AJ$28:AJ29),"")</f>
        <v>0</v>
      </c>
      <c r="AM29" s="11">
        <f t="shared" ref="AM29:AM92" si="27">IF(AB29&lt;&gt;"",$F$14,"")</f>
        <v>20</v>
      </c>
      <c r="AN29" s="11">
        <f>IF(AB29&lt;&gt;"",IF($B$16=listy!$K$8,'RZĄDOWY PROGRAM'!$F$3*'RZĄDOWY PROGRAM'!$F$15,AG28*$F$15),"")</f>
        <v>50</v>
      </c>
      <c r="AO29" s="11">
        <f t="shared" ref="AO29:AO92" si="28">IF(AD29&lt;&gt;"",AM29+AN29,"")</f>
        <v>70</v>
      </c>
      <c r="AQ29" s="49">
        <f t="shared" si="16"/>
        <v>0.05</v>
      </c>
      <c r="AR29" s="18">
        <f t="shared" si="17"/>
        <v>4.0741237836483535E-3</v>
      </c>
      <c r="AS29" s="57">
        <f t="shared" ref="AS29:AS92" si="29">IF(AB29&lt;&gt;"",IF(A29&lt;&gt;"",C29-Q29,0),"")</f>
        <v>3461.18</v>
      </c>
      <c r="AT29" s="58">
        <f t="shared" ref="AT29:AT92" si="30">IF(AB29&lt;&gt;"",IF($F$21="co miesiąc",AT28*(1+(1-$F$20)*AR29)+AS29,(AT28*(1+AR29)+AS29)),"")</f>
        <v>6933.7820333635646</v>
      </c>
      <c r="AU29" s="58">
        <f>IF(AB29&lt;&gt;"",AT29-SUM($AS$28:AS29),"")</f>
        <v>11.422033363564879</v>
      </c>
    </row>
    <row r="30" spans="1:47" ht="14.5" x14ac:dyDescent="0.35">
      <c r="A30" s="76">
        <f t="shared" ref="A30:A93" si="31">IF(B30&lt;&gt;"",EDATE(A29,1),"")</f>
        <v>44805</v>
      </c>
      <c r="B30" s="8">
        <f t="shared" si="5"/>
        <v>3</v>
      </c>
      <c r="C30" s="33">
        <f t="shared" si="6"/>
        <v>3461.18</v>
      </c>
      <c r="D30" s="11">
        <f t="shared" si="7"/>
        <v>650.25250624895034</v>
      </c>
      <c r="E30" s="11">
        <f t="shared" si="8"/>
        <v>2810.9274937510495</v>
      </c>
      <c r="F30" s="9">
        <f t="shared" si="18"/>
        <v>398062.86717475107</v>
      </c>
      <c r="G30" s="10">
        <f t="shared" si="9"/>
        <v>6.7599999999999993E-2</v>
      </c>
      <c r="H30" s="10">
        <f t="shared" si="10"/>
        <v>1.7000000000000001E-2</v>
      </c>
      <c r="I30" s="49">
        <f t="shared" si="11"/>
        <v>8.4599999999999995E-2</v>
      </c>
      <c r="J30" s="11">
        <f t="shared" si="12"/>
        <v>20</v>
      </c>
      <c r="K30" s="11">
        <f>IF(B30&lt;&gt;"",IF($B$16=listy!$K$8,'RZĄDOWY PROGRAM'!$F$3*'RZĄDOWY PROGRAM'!$F$15,F29*$F$15),"")</f>
        <v>50</v>
      </c>
      <c r="L30" s="11">
        <f t="shared" si="19"/>
        <v>70</v>
      </c>
      <c r="N30" s="55">
        <f t="shared" ref="N30:N93" si="32">IF(O30&lt;&gt;"",EDATE(N29,1),"")</f>
        <v>44805</v>
      </c>
      <c r="O30" s="8">
        <f t="shared" si="20"/>
        <v>3</v>
      </c>
      <c r="P30" s="8"/>
      <c r="Q30" s="33">
        <f>IF(O30&lt;&gt;"",ROUND(IF($F$11="raty równe",-PMT(W30/12,$F$4-O29+SUM($P$28:P30),T29,2),R30+S30),2),"")</f>
        <v>3461.18</v>
      </c>
      <c r="R30" s="11">
        <f>IF(O30&lt;&gt;"",IF($F$11="raty malejące",T29/($F$4-O29+SUM($P$28:P30)),IF(Q30-S30&gt;T29,T29,Q30-S30)),"")</f>
        <v>641.17999999999984</v>
      </c>
      <c r="S30" s="11">
        <f>IF(O30&lt;&gt;"",T29*W30/12,"")</f>
        <v>2820</v>
      </c>
      <c r="T30" s="9">
        <f t="shared" si="21"/>
        <v>399358.82</v>
      </c>
      <c r="U30" s="10">
        <f t="shared" si="13"/>
        <v>6.7599999999999993E-2</v>
      </c>
      <c r="V30" s="10">
        <f t="shared" si="14"/>
        <v>1.7000000000000001E-2</v>
      </c>
      <c r="W30" s="49">
        <f t="shared" si="22"/>
        <v>8.4599999999999995E-2</v>
      </c>
      <c r="X30" s="11">
        <f t="shared" si="15"/>
        <v>20</v>
      </c>
      <c r="Y30" s="11">
        <f>IF(O30&lt;&gt;"",IF($B$16=listy!$K$8,'RZĄDOWY PROGRAM'!$F$3*'RZĄDOWY PROGRAM'!$F$15,T29*$F$15),"")</f>
        <v>50</v>
      </c>
      <c r="Z30" s="11">
        <f t="shared" si="23"/>
        <v>70</v>
      </c>
      <c r="AB30" s="8">
        <f t="shared" si="24"/>
        <v>3</v>
      </c>
      <c r="AC30" s="8"/>
      <c r="AD30" s="33">
        <f>IF(AB30&lt;&gt;"",ROUND(IF($F$11="raty równe",-PMT(W30/12,$F$4-AB29+SUM($AC$28:AC30),AG29,2),AE30+AF30),2),"")</f>
        <v>3401.54</v>
      </c>
      <c r="AE30" s="11">
        <f>IF(AB30&lt;&gt;"",IF($F$11="raty malejące",AG29/($F$4-AB29+SUM($AC$28:AC29)),MIN(AD30-AF30,AG29)),"")</f>
        <v>630.13149050000038</v>
      </c>
      <c r="AF30" s="11">
        <f>IF(AB30&lt;&gt;"",AG29*W30/12,"")</f>
        <v>2771.4085094999996</v>
      </c>
      <c r="AG30" s="9">
        <f>IF(AB30&lt;&gt;"",IF(AH30&lt;&gt;"",AG29-AE30-AH30,AG29-AE30),"")</f>
        <v>392477.45850950002</v>
      </c>
      <c r="AH30" s="11"/>
      <c r="AI30" s="33">
        <f>IF(AB30&lt;&gt;"",ROUND(IF($F$11="raty równe",-PMT(W30/12,($F$4-AB29+SUM($AC$27:AC29)),AG29,2),AG29/($F$4-AB29+SUM($AC$27:AC29))+AG29*W30/12),2),"")</f>
        <v>3401.54</v>
      </c>
      <c r="AJ30" s="33">
        <f t="shared" si="25"/>
        <v>59.639999999999873</v>
      </c>
      <c r="AK30" s="33">
        <f t="shared" si="26"/>
        <v>89.688836205929107</v>
      </c>
      <c r="AL30" s="33">
        <f>IF(AB30&lt;&gt;"",AK30-SUM($AJ$28:AJ30),"")</f>
        <v>9.883620592941611E-2</v>
      </c>
      <c r="AM30" s="11">
        <f t="shared" si="27"/>
        <v>20</v>
      </c>
      <c r="AN30" s="11">
        <f>IF(AB30&lt;&gt;"",IF($B$16=listy!$K$8,'RZĄDOWY PROGRAM'!$F$3*'RZĄDOWY PROGRAM'!$F$15,AG29*$F$15),"")</f>
        <v>50</v>
      </c>
      <c r="AO30" s="11">
        <f t="shared" si="28"/>
        <v>70</v>
      </c>
      <c r="AQ30" s="49">
        <f t="shared" si="16"/>
        <v>0.05</v>
      </c>
      <c r="AR30" s="18">
        <f t="shared" si="17"/>
        <v>4.0741237836483535E-3</v>
      </c>
      <c r="AS30" s="33">
        <f t="shared" si="29"/>
        <v>0</v>
      </c>
      <c r="AT30" s="11">
        <f t="shared" si="30"/>
        <v>6956.6637932607</v>
      </c>
      <c r="AU30" s="11">
        <f>IF(AB30&lt;&gt;"",AT30-SUM($AS$28:AS30),"")</f>
        <v>34.303793260700331</v>
      </c>
    </row>
    <row r="31" spans="1:47" ht="14.5" x14ac:dyDescent="0.35">
      <c r="A31" s="76">
        <f t="shared" si="31"/>
        <v>44835</v>
      </c>
      <c r="B31" s="8">
        <f t="shared" si="5"/>
        <v>4</v>
      </c>
      <c r="C31" s="57">
        <f t="shared" si="6"/>
        <v>3461.18</v>
      </c>
      <c r="D31" s="58">
        <f t="shared" si="7"/>
        <v>654.83678641800498</v>
      </c>
      <c r="E31" s="58">
        <f t="shared" si="8"/>
        <v>2806.3432135819949</v>
      </c>
      <c r="F31" s="9">
        <f t="shared" si="18"/>
        <v>397408.03038833308</v>
      </c>
      <c r="G31" s="10">
        <f t="shared" si="9"/>
        <v>6.7599999999999993E-2</v>
      </c>
      <c r="H31" s="10">
        <f t="shared" si="10"/>
        <v>1.7000000000000001E-2</v>
      </c>
      <c r="I31" s="49">
        <f t="shared" si="11"/>
        <v>8.4599999999999995E-2</v>
      </c>
      <c r="J31" s="11">
        <f t="shared" si="12"/>
        <v>20</v>
      </c>
      <c r="K31" s="11">
        <f>IF(B31&lt;&gt;"",IF($B$16=listy!$K$8,'RZĄDOWY PROGRAM'!$F$3*'RZĄDOWY PROGRAM'!$F$15,F30*$F$15),"")</f>
        <v>50</v>
      </c>
      <c r="L31" s="11">
        <f t="shared" si="19"/>
        <v>70</v>
      </c>
      <c r="N31" s="55">
        <f t="shared" si="32"/>
        <v>44835</v>
      </c>
      <c r="O31" s="8">
        <f t="shared" si="20"/>
        <v>4</v>
      </c>
      <c r="P31" s="8">
        <v>1</v>
      </c>
      <c r="Q31" s="57">
        <v>0</v>
      </c>
      <c r="R31" s="58">
        <v>0</v>
      </c>
      <c r="S31" s="58">
        <v>0</v>
      </c>
      <c r="T31" s="9">
        <f t="shared" si="21"/>
        <v>399358.82</v>
      </c>
      <c r="U31" s="10">
        <f t="shared" si="13"/>
        <v>6.7599999999999993E-2</v>
      </c>
      <c r="V31" s="10">
        <f t="shared" si="14"/>
        <v>1.7000000000000001E-2</v>
      </c>
      <c r="W31" s="49">
        <f t="shared" si="22"/>
        <v>8.4599999999999995E-2</v>
      </c>
      <c r="X31" s="58">
        <f t="shared" si="15"/>
        <v>20</v>
      </c>
      <c r="Y31" s="58">
        <f>IF(O31&lt;&gt;"",IF($B$16=listy!$K$8,'RZĄDOWY PROGRAM'!$F$3*'RZĄDOWY PROGRAM'!$F$15,T30*$F$15),"")</f>
        <v>50</v>
      </c>
      <c r="Z31" s="58">
        <f t="shared" si="23"/>
        <v>70</v>
      </c>
      <c r="AB31" s="8">
        <f t="shared" si="24"/>
        <v>4</v>
      </c>
      <c r="AC31" s="8">
        <v>1</v>
      </c>
      <c r="AD31" s="57">
        <v>0</v>
      </c>
      <c r="AE31" s="58">
        <v>0</v>
      </c>
      <c r="AF31" s="58">
        <v>0</v>
      </c>
      <c r="AG31" s="9">
        <f t="shared" ref="AG31:AG93" si="33">IF(AB31&lt;&gt;"",IF(AH31&lt;&gt;"",AG30-AE31-AH31,AG30-AE31),"")</f>
        <v>389075.91850950004</v>
      </c>
      <c r="AH31" s="58">
        <f>AI31</f>
        <v>3401.54</v>
      </c>
      <c r="AI31" s="33">
        <f>IF(AB31&lt;&gt;"",ROUND(IF($F$11="raty równe",-PMT(W31/12,($F$4-AB30+SUM($AC$27:AC30)),AG30,2),AG30/($F$4-AB30+SUM($AC$27:AC30))+AG30*W31/12),2),"")</f>
        <v>3401.54</v>
      </c>
      <c r="AJ31" s="33">
        <f t="shared" si="25"/>
        <v>59.639999999999873</v>
      </c>
      <c r="AK31" s="33">
        <f t="shared" si="26"/>
        <v>149.62481297670757</v>
      </c>
      <c r="AL31" s="33">
        <f>IF(AB31&lt;&gt;"",AK31-SUM($AJ$28:AJ31),"")</f>
        <v>0.39481297670801041</v>
      </c>
      <c r="AM31" s="11">
        <f t="shared" si="27"/>
        <v>20</v>
      </c>
      <c r="AN31" s="11">
        <f>IF(AB31&lt;&gt;"",IF($B$16=listy!$K$8,'RZĄDOWY PROGRAM'!$F$3*'RZĄDOWY PROGRAM'!$F$15,AG30*$F$15),"")</f>
        <v>50</v>
      </c>
      <c r="AO31" s="11">
        <f t="shared" si="28"/>
        <v>70</v>
      </c>
      <c r="AQ31" s="49">
        <f t="shared" si="16"/>
        <v>0.05</v>
      </c>
      <c r="AR31" s="18">
        <f t="shared" si="17"/>
        <v>4.0741237836483535E-3</v>
      </c>
      <c r="AS31" s="57">
        <f t="shared" si="29"/>
        <v>3461.18</v>
      </c>
      <c r="AT31" s="58">
        <f t="shared" si="30"/>
        <v>10440.801063886825</v>
      </c>
      <c r="AU31" s="58">
        <f>IF(AB31&lt;&gt;"",AT31-SUM($AS$28:AS31),"")</f>
        <v>57.261063886826378</v>
      </c>
    </row>
    <row r="32" spans="1:47" ht="14.5" x14ac:dyDescent="0.35">
      <c r="A32" s="76">
        <f t="shared" si="31"/>
        <v>44866</v>
      </c>
      <c r="B32" s="8">
        <f t="shared" si="5"/>
        <v>5</v>
      </c>
      <c r="C32" s="57">
        <f t="shared" si="6"/>
        <v>3461.18</v>
      </c>
      <c r="D32" s="58">
        <f t="shared" si="7"/>
        <v>659.45338576225186</v>
      </c>
      <c r="E32" s="58">
        <f t="shared" si="8"/>
        <v>2801.726614237748</v>
      </c>
      <c r="F32" s="9">
        <f t="shared" si="18"/>
        <v>396748.57700257085</v>
      </c>
      <c r="G32" s="10">
        <f t="shared" si="9"/>
        <v>6.7599999999999993E-2</v>
      </c>
      <c r="H32" s="10">
        <f t="shared" si="10"/>
        <v>1.7000000000000001E-2</v>
      </c>
      <c r="I32" s="49">
        <f t="shared" si="11"/>
        <v>8.4599999999999995E-2</v>
      </c>
      <c r="J32" s="11">
        <f t="shared" si="12"/>
        <v>20</v>
      </c>
      <c r="K32" s="11">
        <f>IF(B32&lt;&gt;"",IF($B$16=listy!$K$8,'RZĄDOWY PROGRAM'!$F$3*'RZĄDOWY PROGRAM'!$F$15,F31*$F$15),"")</f>
        <v>50</v>
      </c>
      <c r="L32" s="11">
        <f t="shared" si="19"/>
        <v>70</v>
      </c>
      <c r="N32" s="55">
        <f t="shared" si="32"/>
        <v>44866</v>
      </c>
      <c r="O32" s="8">
        <f t="shared" si="20"/>
        <v>5</v>
      </c>
      <c r="P32" s="8">
        <v>1</v>
      </c>
      <c r="Q32" s="57">
        <v>0</v>
      </c>
      <c r="R32" s="58">
        <v>0</v>
      </c>
      <c r="S32" s="58">
        <v>0</v>
      </c>
      <c r="T32" s="9">
        <f t="shared" si="21"/>
        <v>399358.82</v>
      </c>
      <c r="U32" s="10">
        <f t="shared" si="13"/>
        <v>6.7599999999999993E-2</v>
      </c>
      <c r="V32" s="10">
        <f t="shared" si="14"/>
        <v>1.7000000000000001E-2</v>
      </c>
      <c r="W32" s="49">
        <f t="shared" si="22"/>
        <v>8.4599999999999995E-2</v>
      </c>
      <c r="X32" s="58">
        <f t="shared" si="15"/>
        <v>20</v>
      </c>
      <c r="Y32" s="58">
        <f>IF(O32&lt;&gt;"",IF($B$16=listy!$K$8,'RZĄDOWY PROGRAM'!$F$3*'RZĄDOWY PROGRAM'!$F$15,T31*$F$15),"")</f>
        <v>50</v>
      </c>
      <c r="Z32" s="58">
        <f t="shared" si="23"/>
        <v>70</v>
      </c>
      <c r="AB32" s="8">
        <f t="shared" si="24"/>
        <v>5</v>
      </c>
      <c r="AC32" s="8">
        <v>1</v>
      </c>
      <c r="AD32" s="57">
        <v>0</v>
      </c>
      <c r="AE32" s="58">
        <v>0</v>
      </c>
      <c r="AF32" s="58">
        <v>0</v>
      </c>
      <c r="AG32" s="9">
        <f t="shared" si="33"/>
        <v>385703.85850950005</v>
      </c>
      <c r="AH32" s="58">
        <f>AI32</f>
        <v>3372.06</v>
      </c>
      <c r="AI32" s="33">
        <f>IF(AB32&lt;&gt;"",ROUND(IF($F$11="raty równe",-PMT(W32/12,($F$4-AB31+SUM($AC$27:AC31)),AG31,2),AG31/($F$4-AB31+SUM($AC$27:AC31))+AG31*W32/12),2),"")</f>
        <v>3372.06</v>
      </c>
      <c r="AJ32" s="33">
        <f t="shared" si="25"/>
        <v>89.119999999999891</v>
      </c>
      <c r="AK32" s="33">
        <f t="shared" si="26"/>
        <v>239.23858088413706</v>
      </c>
      <c r="AL32" s="33">
        <f>IF(AB32&lt;&gt;"",AK32-SUM($AJ$28:AJ32),"")</f>
        <v>0.88858088413761038</v>
      </c>
      <c r="AM32" s="11">
        <f t="shared" si="27"/>
        <v>20</v>
      </c>
      <c r="AN32" s="11">
        <f>IF(AB32&lt;&gt;"",IF($B$16=listy!$K$8,'RZĄDOWY PROGRAM'!$F$3*'RZĄDOWY PROGRAM'!$F$15,AG31*$F$15),"")</f>
        <v>50</v>
      </c>
      <c r="AO32" s="11">
        <f t="shared" si="28"/>
        <v>70</v>
      </c>
      <c r="AQ32" s="49">
        <f t="shared" si="16"/>
        <v>0.05</v>
      </c>
      <c r="AR32" s="18">
        <f t="shared" si="17"/>
        <v>4.0741237836483535E-3</v>
      </c>
      <c r="AS32" s="57">
        <f t="shared" si="29"/>
        <v>3461.18</v>
      </c>
      <c r="AT32" s="58">
        <f t="shared" si="30"/>
        <v>13936.436127793952</v>
      </c>
      <c r="AU32" s="58">
        <f>IF(AB32&lt;&gt;"",AT32-SUM($AS$28:AS32),"")</f>
        <v>91.716127793952182</v>
      </c>
    </row>
    <row r="33" spans="1:47" ht="14.5" x14ac:dyDescent="0.35">
      <c r="A33" s="76">
        <f t="shared" si="31"/>
        <v>44896</v>
      </c>
      <c r="B33" s="8">
        <f t="shared" si="5"/>
        <v>6</v>
      </c>
      <c r="C33" s="33">
        <f t="shared" si="6"/>
        <v>3461.18</v>
      </c>
      <c r="D33" s="11">
        <f t="shared" si="7"/>
        <v>664.10253213187525</v>
      </c>
      <c r="E33" s="11">
        <f t="shared" si="8"/>
        <v>2797.0774678681246</v>
      </c>
      <c r="F33" s="9">
        <f t="shared" si="18"/>
        <v>396084.47447043896</v>
      </c>
      <c r="G33" s="10">
        <f t="shared" si="9"/>
        <v>6.7599999999999993E-2</v>
      </c>
      <c r="H33" s="10">
        <f t="shared" si="10"/>
        <v>1.7000000000000001E-2</v>
      </c>
      <c r="I33" s="49">
        <f t="shared" si="11"/>
        <v>8.4599999999999995E-2</v>
      </c>
      <c r="J33" s="11">
        <f t="shared" si="12"/>
        <v>20</v>
      </c>
      <c r="K33" s="11">
        <f>IF(B33&lt;&gt;"",IF($B$16=listy!$K$8,'RZĄDOWY PROGRAM'!$F$3*'RZĄDOWY PROGRAM'!$F$15,F32*$F$15),"")</f>
        <v>50</v>
      </c>
      <c r="L33" s="11">
        <f t="shared" si="19"/>
        <v>70</v>
      </c>
      <c r="N33" s="55">
        <f t="shared" si="32"/>
        <v>44896</v>
      </c>
      <c r="O33" s="8">
        <f t="shared" si="20"/>
        <v>6</v>
      </c>
      <c r="P33" s="8"/>
      <c r="Q33" s="33">
        <f>IF(O33&lt;&gt;"",ROUND(IF($F$11="raty równe",-PMT(W33/12,$F$4-O32+SUM($P$28:P33),T32,2),R33+S33),2),"")</f>
        <v>3461.18</v>
      </c>
      <c r="R33" s="11">
        <f>IF(O33&lt;&gt;"",IF($F$11="raty malejące",T32/($F$4-O32+SUM($P$28:P33)),IF(Q33-S33&gt;T32,T32,Q33-S33)),"")</f>
        <v>645.70031899999958</v>
      </c>
      <c r="S33" s="11">
        <f>IF(O33&lt;&gt;"",T32*W33/12,"")</f>
        <v>2815.4796810000003</v>
      </c>
      <c r="T33" s="9">
        <f t="shared" si="21"/>
        <v>398713.11968100001</v>
      </c>
      <c r="U33" s="10">
        <f t="shared" si="13"/>
        <v>6.7599999999999993E-2</v>
      </c>
      <c r="V33" s="10">
        <f t="shared" si="14"/>
        <v>1.7000000000000001E-2</v>
      </c>
      <c r="W33" s="49">
        <f t="shared" si="22"/>
        <v>8.4599999999999995E-2</v>
      </c>
      <c r="X33" s="11">
        <f t="shared" si="15"/>
        <v>20</v>
      </c>
      <c r="Y33" s="11">
        <f>IF(O33&lt;&gt;"",IF($B$16=listy!$K$8,'RZĄDOWY PROGRAM'!$F$3*'RZĄDOWY PROGRAM'!$F$15,T32*$F$15),"")</f>
        <v>50</v>
      </c>
      <c r="Z33" s="11">
        <f t="shared" si="23"/>
        <v>70</v>
      </c>
      <c r="AB33" s="8">
        <f t="shared" si="24"/>
        <v>6</v>
      </c>
      <c r="AC33" s="8"/>
      <c r="AD33" s="33">
        <f>IF(AB33&lt;&gt;"",ROUND(IF($F$11="raty równe",-PMT(W33/12,$F$4-AB32+SUM($AC$28:AC33),AG32,2),AE33+AF33),2),"")</f>
        <v>3342.83</v>
      </c>
      <c r="AE33" s="11">
        <f>IF(AB33&lt;&gt;"",IF($F$11="raty malejące",AG32/($F$4-AB32+SUM($AC$28:AC32)),MIN(AD33-AF33,AG32)),"")</f>
        <v>623.61779750802498</v>
      </c>
      <c r="AF33" s="11">
        <f>IF(AB33&lt;&gt;"",AG32*W33/12,"")</f>
        <v>2719.2122024919749</v>
      </c>
      <c r="AG33" s="9">
        <f t="shared" si="33"/>
        <v>385080.24071199202</v>
      </c>
      <c r="AH33" s="11"/>
      <c r="AI33" s="33">
        <f>IF(AB33&lt;&gt;"",ROUND(IF($F$11="raty równe",-PMT(W33/12,($F$4-AB32+SUM($AC$27:AC32)),AG32,2),AG32/($F$4-AB32+SUM($AC$27:AC32))+AG32*W33/12),2),"")</f>
        <v>3342.83</v>
      </c>
      <c r="AJ33" s="33">
        <f t="shared" si="25"/>
        <v>118.34999999999991</v>
      </c>
      <c r="AK33" s="33">
        <f t="shared" si="26"/>
        <v>358.37807783393748</v>
      </c>
      <c r="AL33" s="33">
        <f>IF(AB33&lt;&gt;"",AK33-SUM($AJ$28:AJ33),"")</f>
        <v>1.6780778339381186</v>
      </c>
      <c r="AM33" s="11">
        <f t="shared" si="27"/>
        <v>20</v>
      </c>
      <c r="AN33" s="11">
        <f>IF(AB33&lt;&gt;"",IF($B$16=listy!$K$8,'RZĄDOWY PROGRAM'!$F$3*'RZĄDOWY PROGRAM'!$F$15,AG32*$F$15),"")</f>
        <v>50</v>
      </c>
      <c r="AO33" s="11">
        <f t="shared" si="28"/>
        <v>70</v>
      </c>
      <c r="AQ33" s="49">
        <f t="shared" si="16"/>
        <v>0.05</v>
      </c>
      <c r="AR33" s="18">
        <f t="shared" si="17"/>
        <v>4.0741237836483535E-3</v>
      </c>
      <c r="AS33" s="33">
        <f t="shared" si="29"/>
        <v>0</v>
      </c>
      <c r="AT33" s="11">
        <f t="shared" si="30"/>
        <v>13982.42692816286</v>
      </c>
      <c r="AU33" s="11">
        <f>IF(AB33&lt;&gt;"",AT33-SUM($AS$28:AS33),"")</f>
        <v>137.706928162861</v>
      </c>
    </row>
    <row r="34" spans="1:47" ht="14.5" x14ac:dyDescent="0.35">
      <c r="A34" s="76">
        <f t="shared" si="31"/>
        <v>44927</v>
      </c>
      <c r="B34" s="8">
        <f t="shared" si="5"/>
        <v>7</v>
      </c>
      <c r="C34" s="57">
        <f t="shared" si="6"/>
        <v>3461.18</v>
      </c>
      <c r="D34" s="58">
        <f t="shared" si="7"/>
        <v>668.78445498340534</v>
      </c>
      <c r="E34" s="58">
        <f t="shared" si="8"/>
        <v>2792.3955450165945</v>
      </c>
      <c r="F34" s="9">
        <f t="shared" si="18"/>
        <v>395415.69001545553</v>
      </c>
      <c r="G34" s="10">
        <f t="shared" si="9"/>
        <v>6.7599999999999993E-2</v>
      </c>
      <c r="H34" s="10">
        <f t="shared" si="10"/>
        <v>1.7000000000000001E-2</v>
      </c>
      <c r="I34" s="49">
        <f t="shared" si="11"/>
        <v>8.4599999999999995E-2</v>
      </c>
      <c r="J34" s="11">
        <f t="shared" si="12"/>
        <v>20</v>
      </c>
      <c r="K34" s="11">
        <f>IF(B34&lt;&gt;"",IF($B$16=listy!$K$8,'RZĄDOWY PROGRAM'!$F$3*'RZĄDOWY PROGRAM'!$F$15,F33*$F$15),"")</f>
        <v>50</v>
      </c>
      <c r="L34" s="11">
        <f t="shared" si="19"/>
        <v>70</v>
      </c>
      <c r="N34" s="55">
        <f t="shared" si="32"/>
        <v>44927</v>
      </c>
      <c r="O34" s="8">
        <f t="shared" si="20"/>
        <v>7</v>
      </c>
      <c r="P34" s="8">
        <v>1</v>
      </c>
      <c r="Q34" s="57">
        <v>0</v>
      </c>
      <c r="R34" s="58">
        <v>0</v>
      </c>
      <c r="S34" s="58">
        <v>0</v>
      </c>
      <c r="T34" s="9">
        <f t="shared" si="21"/>
        <v>398713.11968100001</v>
      </c>
      <c r="U34" s="10">
        <f t="shared" si="13"/>
        <v>6.7599999999999993E-2</v>
      </c>
      <c r="V34" s="10">
        <f t="shared" si="14"/>
        <v>1.7000000000000001E-2</v>
      </c>
      <c r="W34" s="49">
        <f t="shared" si="22"/>
        <v>8.4599999999999995E-2</v>
      </c>
      <c r="X34" s="57">
        <f t="shared" si="15"/>
        <v>20</v>
      </c>
      <c r="Y34" s="58">
        <f>IF(O34&lt;&gt;"",IF($B$16=listy!$K$8,'RZĄDOWY PROGRAM'!$F$3*'RZĄDOWY PROGRAM'!$F$15,T33*$F$15),"")</f>
        <v>50</v>
      </c>
      <c r="Z34" s="58">
        <f t="shared" si="23"/>
        <v>70</v>
      </c>
      <c r="AB34" s="8">
        <f t="shared" si="24"/>
        <v>7</v>
      </c>
      <c r="AC34" s="8">
        <v>1</v>
      </c>
      <c r="AD34" s="57">
        <v>0</v>
      </c>
      <c r="AE34" s="58">
        <v>0</v>
      </c>
      <c r="AF34" s="58">
        <v>0</v>
      </c>
      <c r="AG34" s="9">
        <f t="shared" si="33"/>
        <v>381737.41071199201</v>
      </c>
      <c r="AH34" s="58">
        <f>AI34</f>
        <v>3342.83</v>
      </c>
      <c r="AI34" s="33">
        <f>IF(AB34&lt;&gt;"",ROUND(IF($F$11="raty równe",-PMT(W34/12,($F$4-AB33+SUM($AC$27:AC33)),AG33,2),AG33/($F$4-AB33+SUM($AC$27:AC33))+AG33*W34/12),2),"")</f>
        <v>3342.83</v>
      </c>
      <c r="AJ34" s="33">
        <f t="shared" si="25"/>
        <v>118.34999999999991</v>
      </c>
      <c r="AK34" s="33">
        <f t="shared" si="26"/>
        <v>477.91073992079492</v>
      </c>
      <c r="AL34" s="33">
        <f>IF(AB34&lt;&gt;"",AK34-SUM($AJ$28:AJ34),"")</f>
        <v>2.8607399207956519</v>
      </c>
      <c r="AM34" s="11">
        <f t="shared" si="27"/>
        <v>20</v>
      </c>
      <c r="AN34" s="11">
        <f>IF(AB34&lt;&gt;"",IF($B$16=listy!$K$8,'RZĄDOWY PROGRAM'!$F$3*'RZĄDOWY PROGRAM'!$F$15,AG33*$F$15),"")</f>
        <v>50</v>
      </c>
      <c r="AO34" s="11">
        <f t="shared" si="28"/>
        <v>70</v>
      </c>
      <c r="AQ34" s="49">
        <f t="shared" si="16"/>
        <v>0.05</v>
      </c>
      <c r="AR34" s="18">
        <f t="shared" si="17"/>
        <v>4.0741237836483535E-3</v>
      </c>
      <c r="AS34" s="57">
        <f t="shared" si="29"/>
        <v>3461.18</v>
      </c>
      <c r="AT34" s="58">
        <f t="shared" si="30"/>
        <v>17489.749500024795</v>
      </c>
      <c r="AU34" s="58">
        <f>IF(AB34&lt;&gt;"",AT34-SUM($AS$28:AS34),"")</f>
        <v>183.84950002479673</v>
      </c>
    </row>
    <row r="35" spans="1:47" ht="14.5" x14ac:dyDescent="0.35">
      <c r="A35" s="76">
        <f t="shared" si="31"/>
        <v>44958</v>
      </c>
      <c r="B35" s="8">
        <f t="shared" si="5"/>
        <v>8</v>
      </c>
      <c r="C35" s="33">
        <f t="shared" si="6"/>
        <v>3461.18</v>
      </c>
      <c r="D35" s="11">
        <f t="shared" si="7"/>
        <v>673.49938539103823</v>
      </c>
      <c r="E35" s="11">
        <f t="shared" si="8"/>
        <v>2787.6806146089616</v>
      </c>
      <c r="F35" s="9">
        <f t="shared" si="18"/>
        <v>394742.19063006452</v>
      </c>
      <c r="G35" s="10">
        <f t="shared" si="9"/>
        <v>6.7599999999999993E-2</v>
      </c>
      <c r="H35" s="10">
        <f t="shared" si="10"/>
        <v>1.7000000000000001E-2</v>
      </c>
      <c r="I35" s="49">
        <f t="shared" si="11"/>
        <v>8.4599999999999995E-2</v>
      </c>
      <c r="J35" s="11">
        <f t="shared" si="12"/>
        <v>20</v>
      </c>
      <c r="K35" s="11">
        <f>IF(B35&lt;&gt;"",IF($B$16=listy!$K$8,'RZĄDOWY PROGRAM'!$F$3*'RZĄDOWY PROGRAM'!$F$15,F34*$F$15),"")</f>
        <v>50</v>
      </c>
      <c r="L35" s="11">
        <f t="shared" si="19"/>
        <v>70</v>
      </c>
      <c r="N35" s="55">
        <f t="shared" si="32"/>
        <v>44958</v>
      </c>
      <c r="O35" s="8">
        <f t="shared" si="20"/>
        <v>8</v>
      </c>
      <c r="P35" s="8"/>
      <c r="Q35" s="33">
        <f>IF(O35&lt;&gt;"",ROUND(IF($F$11="raty równe",-PMT(W35/12,$F$4-O34+SUM($P$28:P35),T34,2),R35+S35),2),"")</f>
        <v>3461.18</v>
      </c>
      <c r="R35" s="11">
        <f>IF(O35&lt;&gt;"",IF($F$11="raty malejące",T34/($F$4-O34+SUM($P$28:P35)),IF(Q35-S35&gt;T34,T34,Q35-S35)),"")</f>
        <v>650.25250624895034</v>
      </c>
      <c r="S35" s="11">
        <f>IF(O35&lt;&gt;"",T34*W35/12,"")</f>
        <v>2810.9274937510495</v>
      </c>
      <c r="T35" s="9">
        <f t="shared" si="21"/>
        <v>398062.86717475107</v>
      </c>
      <c r="U35" s="10">
        <f t="shared" si="13"/>
        <v>6.7599999999999993E-2</v>
      </c>
      <c r="V35" s="10">
        <f t="shared" si="14"/>
        <v>1.7000000000000001E-2</v>
      </c>
      <c r="W35" s="49">
        <f t="shared" si="22"/>
        <v>8.4599999999999995E-2</v>
      </c>
      <c r="X35" s="11">
        <f t="shared" si="15"/>
        <v>20</v>
      </c>
      <c r="Y35" s="11">
        <f>IF(O35&lt;&gt;"",IF($B$16=listy!$K$8,'RZĄDOWY PROGRAM'!$F$3*'RZĄDOWY PROGRAM'!$F$15,T34*$F$15),"")</f>
        <v>50</v>
      </c>
      <c r="Z35" s="11">
        <f t="shared" si="23"/>
        <v>70</v>
      </c>
      <c r="AB35" s="8">
        <f t="shared" si="24"/>
        <v>8</v>
      </c>
      <c r="AC35" s="8"/>
      <c r="AD35" s="33">
        <f>IF(AB35&lt;&gt;"",ROUND(IF($F$11="raty równe",-PMT(W35/12,$F$4-AB34+SUM($AC$28:AC35),AG34,2),AE35+AF35),2),"")</f>
        <v>3313.81</v>
      </c>
      <c r="AE35" s="11">
        <f>IF(AB35&lt;&gt;"",IF($F$11="raty malejące",AG34/($F$4-AB34+SUM($AC$28:AC34)),MIN(AD35-AF35,AG34)),"")</f>
        <v>622.56125448045623</v>
      </c>
      <c r="AF35" s="11">
        <f>IF(AB35&lt;&gt;"",AG34*W35/12,"")</f>
        <v>2691.2487455195437</v>
      </c>
      <c r="AG35" s="9">
        <f t="shared" si="33"/>
        <v>381114.84945751156</v>
      </c>
      <c r="AH35" s="11"/>
      <c r="AI35" s="33">
        <f>IF(AB35&lt;&gt;"",ROUND(IF($F$11="raty równe",-PMT(W35/12,($F$4-AB34+SUM($AC$27:AC34)),AG34,2),AG34/($F$4-AB34+SUM($AC$27:AC34))+AG34*W35/12),2),"")</f>
        <v>3313.81</v>
      </c>
      <c r="AJ35" s="33">
        <f t="shared" si="25"/>
        <v>147.36999999999989</v>
      </c>
      <c r="AK35" s="33">
        <f t="shared" si="26"/>
        <v>626.8578646054923</v>
      </c>
      <c r="AL35" s="33">
        <f>IF(AB35&lt;&gt;"",AK35-SUM($AJ$28:AJ35),"")</f>
        <v>4.4378646054931323</v>
      </c>
      <c r="AM35" s="11">
        <f t="shared" si="27"/>
        <v>20</v>
      </c>
      <c r="AN35" s="11">
        <f>IF(AB35&lt;&gt;"",IF($B$16=listy!$K$8,'RZĄDOWY PROGRAM'!$F$3*'RZĄDOWY PROGRAM'!$F$15,AG34*$F$15),"")</f>
        <v>50</v>
      </c>
      <c r="AO35" s="11">
        <f t="shared" si="28"/>
        <v>70</v>
      </c>
      <c r="AQ35" s="49">
        <f t="shared" si="16"/>
        <v>0.05</v>
      </c>
      <c r="AR35" s="18">
        <f t="shared" si="17"/>
        <v>4.0741237836483535E-3</v>
      </c>
      <c r="AS35" s="33">
        <f t="shared" si="29"/>
        <v>0</v>
      </c>
      <c r="AT35" s="11">
        <f t="shared" si="30"/>
        <v>17547.46637759536</v>
      </c>
      <c r="AU35" s="11">
        <f>IF(AB35&lt;&gt;"",AT35-SUM($AS$28:AS35),"")</f>
        <v>241.5663775953617</v>
      </c>
    </row>
    <row r="36" spans="1:47" ht="14.5" x14ac:dyDescent="0.35">
      <c r="A36" s="76">
        <f t="shared" si="31"/>
        <v>44986</v>
      </c>
      <c r="B36" s="8">
        <f t="shared" si="5"/>
        <v>9</v>
      </c>
      <c r="C36" s="33">
        <f t="shared" si="6"/>
        <v>3461.18</v>
      </c>
      <c r="D36" s="11">
        <f t="shared" si="7"/>
        <v>678.24755605804512</v>
      </c>
      <c r="E36" s="11">
        <f t="shared" si="8"/>
        <v>2782.9324439419547</v>
      </c>
      <c r="F36" s="9">
        <f t="shared" si="18"/>
        <v>394063.94307400647</v>
      </c>
      <c r="G36" s="10">
        <f t="shared" si="9"/>
        <v>6.7599999999999993E-2</v>
      </c>
      <c r="H36" s="10">
        <f t="shared" si="10"/>
        <v>1.7000000000000001E-2</v>
      </c>
      <c r="I36" s="49">
        <f t="shared" si="11"/>
        <v>8.4599999999999995E-2</v>
      </c>
      <c r="J36" s="11">
        <f t="shared" si="12"/>
        <v>20</v>
      </c>
      <c r="K36" s="11">
        <f>IF(B36&lt;&gt;"",IF($B$16=listy!$K$8,'RZĄDOWY PROGRAM'!$F$3*'RZĄDOWY PROGRAM'!$F$15,F35*$F$15),"")</f>
        <v>50</v>
      </c>
      <c r="L36" s="11">
        <f t="shared" si="19"/>
        <v>70</v>
      </c>
      <c r="N36" s="55">
        <f t="shared" si="32"/>
        <v>44986</v>
      </c>
      <c r="O36" s="8">
        <f t="shared" si="20"/>
        <v>9</v>
      </c>
      <c r="P36" s="8"/>
      <c r="Q36" s="33">
        <f>IF(O36&lt;&gt;"",ROUND(IF($F$11="raty równe",-PMT(W36/12,$F$4-O35+SUM($P$28:P36),T35,2),R36+S36),2),"")</f>
        <v>3461.18</v>
      </c>
      <c r="R36" s="11">
        <f>IF(O36&lt;&gt;"",IF($F$11="raty malejące",T35/($F$4-O35+SUM($P$28:P36)),IF(Q36-S36&gt;T35,T35,Q36-S36)),"")</f>
        <v>654.83678641800498</v>
      </c>
      <c r="S36" s="11">
        <f>IF(O36&lt;&gt;"",T35*W36/12,"")</f>
        <v>2806.3432135819949</v>
      </c>
      <c r="T36" s="9">
        <f t="shared" si="21"/>
        <v>397408.03038833308</v>
      </c>
      <c r="U36" s="10">
        <f t="shared" si="13"/>
        <v>6.7599999999999993E-2</v>
      </c>
      <c r="V36" s="10">
        <f t="shared" si="14"/>
        <v>1.7000000000000001E-2</v>
      </c>
      <c r="W36" s="49">
        <f t="shared" si="22"/>
        <v>8.4599999999999995E-2</v>
      </c>
      <c r="X36" s="11">
        <f t="shared" si="15"/>
        <v>20</v>
      </c>
      <c r="Y36" s="11">
        <f>IF(O36&lt;&gt;"",IF($B$16=listy!$K$8,'RZĄDOWY PROGRAM'!$F$3*'RZĄDOWY PROGRAM'!$F$15,T35*$F$15),"")</f>
        <v>50</v>
      </c>
      <c r="Z36" s="11">
        <f t="shared" si="23"/>
        <v>70</v>
      </c>
      <c r="AB36" s="8">
        <f t="shared" si="24"/>
        <v>9</v>
      </c>
      <c r="AC36" s="8"/>
      <c r="AD36" s="33">
        <f>IF(AB36&lt;&gt;"",ROUND(IF($F$11="raty równe",-PMT(W36/12,$F$4-AB35+SUM($AC$28:AC36),AG35,2),AE36+AF36),2),"")</f>
        <v>3313.81</v>
      </c>
      <c r="AE36" s="11">
        <f>IF(AB36&lt;&gt;"",IF($F$11="raty malejące",AG35/($F$4-AB35+SUM($AC$28:AC35)),MIN(AD36-AF36,AG35)),"")</f>
        <v>626.95031132454369</v>
      </c>
      <c r="AF36" s="11">
        <f>IF(AB36&lt;&gt;"",AG35*W36/12,"")</f>
        <v>2686.8596886754563</v>
      </c>
      <c r="AG36" s="9">
        <f t="shared" si="33"/>
        <v>380487.899146187</v>
      </c>
      <c r="AH36" s="11"/>
      <c r="AI36" s="33">
        <f>IF(AB36&lt;&gt;"",ROUND(IF($F$11="raty równe",-PMT(W36/12,($F$4-AB35+SUM($AC$27:AC35)),AG35,2),AG35/($F$4-AB35+SUM($AC$27:AC35))+AG35*W36/12),2),"")</f>
        <v>3313.81</v>
      </c>
      <c r="AJ36" s="33">
        <f t="shared" si="25"/>
        <v>147.36999999999989</v>
      </c>
      <c r="AK36" s="33">
        <f t="shared" si="26"/>
        <v>776.2965207989688</v>
      </c>
      <c r="AL36" s="33">
        <f>IF(AB36&lt;&gt;"",AK36-SUM($AJ$28:AJ36),"")</f>
        <v>6.5065207989697456</v>
      </c>
      <c r="AM36" s="11">
        <f t="shared" si="27"/>
        <v>20</v>
      </c>
      <c r="AN36" s="11">
        <f>IF(AB36&lt;&gt;"",IF($B$16=listy!$K$8,'RZĄDOWY PROGRAM'!$F$3*'RZĄDOWY PROGRAM'!$F$15,AG35*$F$15),"")</f>
        <v>50</v>
      </c>
      <c r="AO36" s="11">
        <f t="shared" si="28"/>
        <v>70</v>
      </c>
      <c r="AQ36" s="49">
        <f t="shared" si="16"/>
        <v>0.05</v>
      </c>
      <c r="AR36" s="18">
        <f t="shared" si="17"/>
        <v>4.0741237836483535E-3</v>
      </c>
      <c r="AS36" s="33">
        <f t="shared" si="29"/>
        <v>0</v>
      </c>
      <c r="AT36" s="11">
        <f t="shared" si="30"/>
        <v>17605.373723185861</v>
      </c>
      <c r="AU36" s="11">
        <f>IF(AB36&lt;&gt;"",AT36-SUM($AS$28:AS36),"")</f>
        <v>299.47372318586349</v>
      </c>
    </row>
    <row r="37" spans="1:47" ht="14.5" x14ac:dyDescent="0.35">
      <c r="A37" s="76">
        <f t="shared" si="31"/>
        <v>45017</v>
      </c>
      <c r="B37" s="8">
        <f t="shared" si="5"/>
        <v>10</v>
      </c>
      <c r="C37" s="57">
        <f t="shared" si="6"/>
        <v>3461.18</v>
      </c>
      <c r="D37" s="58">
        <f t="shared" si="7"/>
        <v>683.0292013282542</v>
      </c>
      <c r="E37" s="58">
        <f t="shared" si="8"/>
        <v>2778.1507986717456</v>
      </c>
      <c r="F37" s="9">
        <f t="shared" si="18"/>
        <v>393380.91387267824</v>
      </c>
      <c r="G37" s="10">
        <f t="shared" si="9"/>
        <v>6.7599999999999993E-2</v>
      </c>
      <c r="H37" s="10">
        <f t="shared" si="10"/>
        <v>1.7000000000000001E-2</v>
      </c>
      <c r="I37" s="49">
        <f t="shared" si="11"/>
        <v>8.4599999999999995E-2</v>
      </c>
      <c r="J37" s="11">
        <f t="shared" si="12"/>
        <v>20</v>
      </c>
      <c r="K37" s="11">
        <f>IF(B37&lt;&gt;"",IF($B$16=listy!$K$8,'RZĄDOWY PROGRAM'!$F$3*'RZĄDOWY PROGRAM'!$F$15,F36*$F$15),"")</f>
        <v>50</v>
      </c>
      <c r="L37" s="11">
        <f t="shared" si="19"/>
        <v>70</v>
      </c>
      <c r="N37" s="55">
        <f t="shared" si="32"/>
        <v>45017</v>
      </c>
      <c r="O37" s="8">
        <f t="shared" si="20"/>
        <v>10</v>
      </c>
      <c r="P37" s="8">
        <v>1</v>
      </c>
      <c r="Q37" s="57">
        <v>0</v>
      </c>
      <c r="R37" s="58">
        <v>0</v>
      </c>
      <c r="S37" s="58">
        <v>0</v>
      </c>
      <c r="T37" s="9">
        <f t="shared" si="21"/>
        <v>397408.03038833308</v>
      </c>
      <c r="U37" s="10">
        <f t="shared" si="13"/>
        <v>6.7599999999999993E-2</v>
      </c>
      <c r="V37" s="10">
        <f t="shared" si="14"/>
        <v>1.7000000000000001E-2</v>
      </c>
      <c r="W37" s="49">
        <f t="shared" si="22"/>
        <v>8.4599999999999995E-2</v>
      </c>
      <c r="X37" s="57">
        <f t="shared" si="15"/>
        <v>20</v>
      </c>
      <c r="Y37" s="58">
        <f>IF(O37&lt;&gt;"",IF($B$16=listy!$K$8,'RZĄDOWY PROGRAM'!$F$3*'RZĄDOWY PROGRAM'!$F$15,T36*$F$15),"")</f>
        <v>50</v>
      </c>
      <c r="Z37" s="58">
        <f t="shared" si="23"/>
        <v>70</v>
      </c>
      <c r="AB37" s="8">
        <f t="shared" si="24"/>
        <v>10</v>
      </c>
      <c r="AC37" s="8">
        <v>1</v>
      </c>
      <c r="AD37" s="57">
        <v>0</v>
      </c>
      <c r="AE37" s="58">
        <v>0</v>
      </c>
      <c r="AF37" s="58">
        <v>0</v>
      </c>
      <c r="AG37" s="9">
        <f t="shared" si="33"/>
        <v>377174.08914618701</v>
      </c>
      <c r="AH37" s="58">
        <f>AI37</f>
        <v>3313.81</v>
      </c>
      <c r="AI37" s="33">
        <f>IF(AB37&lt;&gt;"",ROUND(IF($F$11="raty równe",-PMT(W37/12,($F$4-AB36+SUM($AC$27:AC36)),AG36,2),AG36/($F$4-AB36+SUM($AC$27:AC36))+AG36*W37/12),2),"")</f>
        <v>3313.81</v>
      </c>
      <c r="AJ37" s="33">
        <f t="shared" si="25"/>
        <v>147.36999999999989</v>
      </c>
      <c r="AK37" s="33">
        <f t="shared" si="26"/>
        <v>926.22833057499463</v>
      </c>
      <c r="AL37" s="33">
        <f>IF(AB37&lt;&gt;"",AK37-SUM($AJ$28:AJ37),"")</f>
        <v>9.0683305749956844</v>
      </c>
      <c r="AM37" s="11">
        <f t="shared" si="27"/>
        <v>20</v>
      </c>
      <c r="AN37" s="11">
        <f>IF(AB37&lt;&gt;"",IF($B$16=listy!$K$8,'RZĄDOWY PROGRAM'!$F$3*'RZĄDOWY PROGRAM'!$F$15,AG36*$F$15),"")</f>
        <v>50</v>
      </c>
      <c r="AO37" s="11">
        <f t="shared" si="28"/>
        <v>70</v>
      </c>
      <c r="AQ37" s="49">
        <f t="shared" si="16"/>
        <v>0.05</v>
      </c>
      <c r="AR37" s="18">
        <f t="shared" si="17"/>
        <v>4.0741237836483535E-3</v>
      </c>
      <c r="AS37" s="57">
        <f t="shared" si="29"/>
        <v>3461.18</v>
      </c>
      <c r="AT37" s="58">
        <f t="shared" si="30"/>
        <v>21124.652165348438</v>
      </c>
      <c r="AU37" s="58">
        <f>IF(AB37&lt;&gt;"",AT37-SUM($AS$28:AS37),"")</f>
        <v>357.57216534843974</v>
      </c>
    </row>
    <row r="38" spans="1:47" ht="14.5" x14ac:dyDescent="0.35">
      <c r="A38" s="76">
        <f t="shared" si="31"/>
        <v>45047</v>
      </c>
      <c r="B38" s="8">
        <f t="shared" si="5"/>
        <v>11</v>
      </c>
      <c r="C38" s="33">
        <f t="shared" si="6"/>
        <v>3461.18</v>
      </c>
      <c r="D38" s="11">
        <f t="shared" si="7"/>
        <v>687.84455719761854</v>
      </c>
      <c r="E38" s="11">
        <f t="shared" si="8"/>
        <v>2773.3354428023813</v>
      </c>
      <c r="F38" s="9">
        <f t="shared" si="18"/>
        <v>392693.06931548065</v>
      </c>
      <c r="G38" s="10">
        <f t="shared" si="9"/>
        <v>6.7599999999999993E-2</v>
      </c>
      <c r="H38" s="10">
        <f t="shared" si="10"/>
        <v>1.7000000000000001E-2</v>
      </c>
      <c r="I38" s="49">
        <f t="shared" si="11"/>
        <v>8.4599999999999995E-2</v>
      </c>
      <c r="J38" s="11">
        <f t="shared" si="12"/>
        <v>20</v>
      </c>
      <c r="K38" s="11">
        <f>IF(B38&lt;&gt;"",IF($B$16=listy!$K$8,'RZĄDOWY PROGRAM'!$F$3*'RZĄDOWY PROGRAM'!$F$15,F37*$F$15),"")</f>
        <v>50</v>
      </c>
      <c r="L38" s="11">
        <f t="shared" si="19"/>
        <v>70</v>
      </c>
      <c r="N38" s="55">
        <f t="shared" si="32"/>
        <v>45047</v>
      </c>
      <c r="O38" s="8">
        <f t="shared" si="20"/>
        <v>11</v>
      </c>
      <c r="P38" s="8"/>
      <c r="Q38" s="33">
        <f>IF(O38&lt;&gt;"",ROUND(IF($F$11="raty równe",-PMT(W38/12,$F$4-O37+SUM($P$28:P38),T37,2),R38+S38),2),"")</f>
        <v>3461.18</v>
      </c>
      <c r="R38" s="11">
        <f>IF(O38&lt;&gt;"",IF($F$11="raty malejące",T37/($F$4-O37+SUM($P$28:P38)),IF(Q38-S38&gt;T37,T37,Q38-S38)),"")</f>
        <v>659.45338576225186</v>
      </c>
      <c r="S38" s="11">
        <f>IF(O38&lt;&gt;"",T37*W38/12,"")</f>
        <v>2801.726614237748</v>
      </c>
      <c r="T38" s="9">
        <f t="shared" si="21"/>
        <v>396748.57700257085</v>
      </c>
      <c r="U38" s="10">
        <f t="shared" si="13"/>
        <v>6.7599999999999993E-2</v>
      </c>
      <c r="V38" s="10">
        <f t="shared" si="14"/>
        <v>1.7000000000000001E-2</v>
      </c>
      <c r="W38" s="49">
        <f t="shared" si="22"/>
        <v>8.4599999999999995E-2</v>
      </c>
      <c r="X38" s="11">
        <f t="shared" si="15"/>
        <v>20</v>
      </c>
      <c r="Y38" s="11">
        <f>IF(O38&lt;&gt;"",IF($B$16=listy!$K$8,'RZĄDOWY PROGRAM'!$F$3*'RZĄDOWY PROGRAM'!$F$15,T37*$F$15),"")</f>
        <v>50</v>
      </c>
      <c r="Z38" s="11">
        <f t="shared" si="23"/>
        <v>70</v>
      </c>
      <c r="AB38" s="8">
        <f t="shared" si="24"/>
        <v>11</v>
      </c>
      <c r="AC38" s="8"/>
      <c r="AD38" s="33">
        <f>IF(AB38&lt;&gt;"",ROUND(IF($F$11="raty równe",-PMT(W38/12,$F$4-AB37+SUM($AC$28:AC38),AG37,2),AE38+AF38),2),"")</f>
        <v>3284.95</v>
      </c>
      <c r="AE38" s="11">
        <f>IF(AB38&lt;&gt;"",IF($F$11="raty malejące",AG37/($F$4-AB37+SUM($AC$28:AC37)),MIN(AD38-AF38,AG37)),"")</f>
        <v>625.87267151938158</v>
      </c>
      <c r="AF38" s="11">
        <f>IF(AB38&lt;&gt;"",AG37*W38/12,"")</f>
        <v>2659.0773284806182</v>
      </c>
      <c r="AG38" s="9">
        <f t="shared" si="33"/>
        <v>376548.2164746676</v>
      </c>
      <c r="AH38" s="11"/>
      <c r="AI38" s="33">
        <f>IF(AB38&lt;&gt;"",ROUND(IF($F$11="raty równe",-PMT(W38/12,($F$4-AB37+SUM($AC$27:AC37)),AG37,2),AG37/($F$4-AB37+SUM($AC$27:AC37))+AG37*W38/12),2),"")</f>
        <v>3284.95</v>
      </c>
      <c r="AJ38" s="33">
        <f t="shared" si="25"/>
        <v>176.23000000000002</v>
      </c>
      <c r="AK38" s="33">
        <f t="shared" si="26"/>
        <v>1105.514921360249</v>
      </c>
      <c r="AL38" s="33">
        <f>IF(AB38&lt;&gt;"",AK38-SUM($AJ$28:AJ38),"")</f>
        <v>12.124921360250028</v>
      </c>
      <c r="AM38" s="11">
        <f t="shared" si="27"/>
        <v>20</v>
      </c>
      <c r="AN38" s="11">
        <f>IF(AB38&lt;&gt;"",IF($B$16=listy!$K$8,'RZĄDOWY PROGRAM'!$F$3*'RZĄDOWY PROGRAM'!$F$15,AG37*$F$15),"")</f>
        <v>50</v>
      </c>
      <c r="AO38" s="11">
        <f t="shared" si="28"/>
        <v>70</v>
      </c>
      <c r="AQ38" s="49">
        <f t="shared" si="16"/>
        <v>0.05</v>
      </c>
      <c r="AR38" s="18">
        <f t="shared" si="17"/>
        <v>4.0741237836483535E-3</v>
      </c>
      <c r="AS38" s="33">
        <f t="shared" si="29"/>
        <v>0</v>
      </c>
      <c r="AT38" s="11">
        <f t="shared" si="30"/>
        <v>21194.364368073035</v>
      </c>
      <c r="AU38" s="11">
        <f>IF(AB38&lt;&gt;"",AT38-SUM($AS$28:AS38),"")</f>
        <v>427.2843680730366</v>
      </c>
    </row>
    <row r="39" spans="1:47" ht="14.5" x14ac:dyDescent="0.35">
      <c r="A39" s="76">
        <f t="shared" si="31"/>
        <v>45078</v>
      </c>
      <c r="B39" s="8">
        <f t="shared" si="5"/>
        <v>12</v>
      </c>
      <c r="C39" s="33">
        <f t="shared" si="6"/>
        <v>3461.18</v>
      </c>
      <c r="D39" s="11">
        <f t="shared" si="7"/>
        <v>692.69386132586169</v>
      </c>
      <c r="E39" s="11">
        <f t="shared" si="8"/>
        <v>2768.4861386741381</v>
      </c>
      <c r="F39" s="9">
        <f t="shared" si="18"/>
        <v>392000.3754541548</v>
      </c>
      <c r="G39" s="10">
        <f t="shared" si="9"/>
        <v>6.7599999999999993E-2</v>
      </c>
      <c r="H39" s="10">
        <f t="shared" si="10"/>
        <v>1.7000000000000001E-2</v>
      </c>
      <c r="I39" s="49">
        <f t="shared" si="11"/>
        <v>8.4599999999999995E-2</v>
      </c>
      <c r="J39" s="11">
        <f t="shared" si="12"/>
        <v>20</v>
      </c>
      <c r="K39" s="11">
        <f>IF(B39&lt;&gt;"",IF($B$16=listy!$K$8,'RZĄDOWY PROGRAM'!$F$3*'RZĄDOWY PROGRAM'!$F$15,F38*$F$15),"")</f>
        <v>50</v>
      </c>
      <c r="L39" s="11">
        <f t="shared" si="19"/>
        <v>70</v>
      </c>
      <c r="N39" s="55">
        <f t="shared" si="32"/>
        <v>45078</v>
      </c>
      <c r="O39" s="8">
        <f t="shared" si="20"/>
        <v>12</v>
      </c>
      <c r="P39" s="8"/>
      <c r="Q39" s="33">
        <f>IF(O39&lt;&gt;"",ROUND(IF($F$11="raty równe",-PMT(W39/12,$F$4-O38+SUM($P$28:P39),T38,2),R39+S39),2),"")</f>
        <v>3461.18</v>
      </c>
      <c r="R39" s="11">
        <f>IF(O39&lt;&gt;"",IF($F$11="raty malejące",T38/($F$4-O38+SUM($P$28:P39)),IF(Q39-S39&gt;T38,T38,Q39-S39)),"")</f>
        <v>664.10253213187525</v>
      </c>
      <c r="S39" s="11">
        <f>IF(O39&lt;&gt;"",T38*W39/12,"")</f>
        <v>2797.0774678681246</v>
      </c>
      <c r="T39" s="9">
        <f t="shared" si="21"/>
        <v>396084.47447043896</v>
      </c>
      <c r="U39" s="10">
        <f t="shared" si="13"/>
        <v>6.7599999999999993E-2</v>
      </c>
      <c r="V39" s="10">
        <f t="shared" si="14"/>
        <v>1.7000000000000001E-2</v>
      </c>
      <c r="W39" s="49">
        <f t="shared" si="22"/>
        <v>8.4599999999999995E-2</v>
      </c>
      <c r="X39" s="11">
        <f t="shared" si="15"/>
        <v>20</v>
      </c>
      <c r="Y39" s="11">
        <f>IF(O39&lt;&gt;"",IF($B$16=listy!$K$8,'RZĄDOWY PROGRAM'!$F$3*'RZĄDOWY PROGRAM'!$F$15,T38*$F$15),"")</f>
        <v>50</v>
      </c>
      <c r="Z39" s="11">
        <f t="shared" si="23"/>
        <v>70</v>
      </c>
      <c r="AB39" s="8">
        <f t="shared" si="24"/>
        <v>12</v>
      </c>
      <c r="AC39" s="8"/>
      <c r="AD39" s="33">
        <f>IF(AB39&lt;&gt;"",ROUND(IF($F$11="raty równe",-PMT(W39/12,$F$4-AB38+SUM($AC$28:AC39),AG38,2),AE39+AF39),2),"")</f>
        <v>3284.95</v>
      </c>
      <c r="AE39" s="11">
        <f>IF(AB39&lt;&gt;"",IF($F$11="raty malejące",AG38/($F$4-AB38+SUM($AC$28:AC38)),MIN(AD39-AF39,AG38)),"")</f>
        <v>630.28507385359353</v>
      </c>
      <c r="AF39" s="11">
        <f>IF(AB39&lt;&gt;"",AG38*W39/12,"")</f>
        <v>2654.6649261464063</v>
      </c>
      <c r="AG39" s="9">
        <f t="shared" si="33"/>
        <v>375917.93140081398</v>
      </c>
      <c r="AH39" s="11"/>
      <c r="AI39" s="33">
        <f>IF(AB39&lt;&gt;"",ROUND(IF($F$11="raty równe",-PMT(W39/12,($F$4-AB38+SUM($AC$27:AC38)),AG38,2),AG38/($F$4-AB38+SUM($AC$27:AC38))+AG38*W39/12),2),"")</f>
        <v>3284.95</v>
      </c>
      <c r="AJ39" s="33">
        <f t="shared" si="25"/>
        <v>176.23000000000002</v>
      </c>
      <c r="AK39" s="33">
        <f t="shared" si="26"/>
        <v>1285.3931651140256</v>
      </c>
      <c r="AL39" s="33">
        <f>IF(AB39&lt;&gt;"",AK39-SUM($AJ$28:AJ39),"")</f>
        <v>15.773165114026597</v>
      </c>
      <c r="AM39" s="11">
        <f t="shared" si="27"/>
        <v>20</v>
      </c>
      <c r="AN39" s="11">
        <f>IF(AB39&lt;&gt;"",IF($B$16=listy!$K$8,'RZĄDOWY PROGRAM'!$F$3*'RZĄDOWY PROGRAM'!$F$15,AG38*$F$15),"")</f>
        <v>50</v>
      </c>
      <c r="AO39" s="11">
        <f t="shared" si="28"/>
        <v>70</v>
      </c>
      <c r="AQ39" s="49">
        <f t="shared" si="16"/>
        <v>0.05</v>
      </c>
      <c r="AR39" s="18">
        <f t="shared" si="17"/>
        <v>4.0741237836483535E-3</v>
      </c>
      <c r="AS39" s="33">
        <f t="shared" si="29"/>
        <v>0</v>
      </c>
      <c r="AT39" s="11">
        <f t="shared" si="30"/>
        <v>21264.306623873566</v>
      </c>
      <c r="AU39" s="11">
        <f>IF(AB39&lt;&gt;"",AT39-SUM($AS$28:AS39),"")</f>
        <v>497.22662387356831</v>
      </c>
    </row>
    <row r="40" spans="1:47" ht="14.5" x14ac:dyDescent="0.35">
      <c r="A40" s="76">
        <f t="shared" si="31"/>
        <v>45108</v>
      </c>
      <c r="B40" s="8">
        <f t="shared" si="5"/>
        <v>13</v>
      </c>
      <c r="C40" s="57">
        <f t="shared" si="6"/>
        <v>3461.18</v>
      </c>
      <c r="D40" s="58">
        <f t="shared" si="7"/>
        <v>697.57735304820881</v>
      </c>
      <c r="E40" s="58">
        <f t="shared" si="8"/>
        <v>2763.602646951791</v>
      </c>
      <c r="F40" s="9">
        <f t="shared" si="18"/>
        <v>391302.7981011066</v>
      </c>
      <c r="G40" s="10">
        <f t="shared" si="9"/>
        <v>6.7599999999999993E-2</v>
      </c>
      <c r="H40" s="10">
        <f t="shared" si="10"/>
        <v>1.7000000000000001E-2</v>
      </c>
      <c r="I40" s="49">
        <f t="shared" si="11"/>
        <v>8.4599999999999995E-2</v>
      </c>
      <c r="J40" s="11">
        <f t="shared" si="12"/>
        <v>20</v>
      </c>
      <c r="K40" s="11">
        <f>IF(B40&lt;&gt;"",IF($B$16=listy!$K$8,'RZĄDOWY PROGRAM'!$F$3*'RZĄDOWY PROGRAM'!$F$15,F39*$F$15),"")</f>
        <v>50</v>
      </c>
      <c r="L40" s="11">
        <f t="shared" si="19"/>
        <v>70</v>
      </c>
      <c r="N40" s="55">
        <f t="shared" si="32"/>
        <v>45108</v>
      </c>
      <c r="O40" s="8">
        <f t="shared" si="20"/>
        <v>13</v>
      </c>
      <c r="P40" s="8">
        <v>1</v>
      </c>
      <c r="Q40" s="57">
        <v>0</v>
      </c>
      <c r="R40" s="58">
        <v>0</v>
      </c>
      <c r="S40" s="58">
        <v>0</v>
      </c>
      <c r="T40" s="9">
        <f t="shared" si="21"/>
        <v>396084.47447043896</v>
      </c>
      <c r="U40" s="10">
        <f t="shared" si="13"/>
        <v>6.7599999999999993E-2</v>
      </c>
      <c r="V40" s="10">
        <f t="shared" si="14"/>
        <v>1.7000000000000001E-2</v>
      </c>
      <c r="W40" s="49">
        <f t="shared" si="22"/>
        <v>8.4599999999999995E-2</v>
      </c>
      <c r="X40" s="57">
        <f t="shared" si="15"/>
        <v>20</v>
      </c>
      <c r="Y40" s="58">
        <f>IF(O40&lt;&gt;"",IF($B$16=listy!$K$8,'RZĄDOWY PROGRAM'!$F$3*'RZĄDOWY PROGRAM'!$F$15,T39*$F$15),"")</f>
        <v>50</v>
      </c>
      <c r="Z40" s="58">
        <f t="shared" si="23"/>
        <v>70</v>
      </c>
      <c r="AB40" s="8">
        <f t="shared" si="24"/>
        <v>13</v>
      </c>
      <c r="AC40" s="8">
        <v>1</v>
      </c>
      <c r="AD40" s="57">
        <v>0</v>
      </c>
      <c r="AE40" s="58">
        <v>0</v>
      </c>
      <c r="AF40" s="58">
        <v>0</v>
      </c>
      <c r="AG40" s="9">
        <f t="shared" si="33"/>
        <v>372632.98140081397</v>
      </c>
      <c r="AH40" s="58">
        <f>AI40</f>
        <v>3284.95</v>
      </c>
      <c r="AI40" s="33">
        <f>IF(AB40&lt;&gt;"",ROUND(IF($F$11="raty równe",-PMT(W40/12,($F$4-AB39+SUM($AC$27:AC39)),AG39,2),AG39/($F$4-AB39+SUM($AC$27:AC39))+AG39*W40/12),2),"")</f>
        <v>3284.95</v>
      </c>
      <c r="AJ40" s="33">
        <f t="shared" si="25"/>
        <v>176.23000000000002</v>
      </c>
      <c r="AK40" s="33">
        <f t="shared" si="26"/>
        <v>1465.865014314943</v>
      </c>
      <c r="AL40" s="33">
        <f>IF(AB40&lt;&gt;"",AK40-SUM($AJ$28:AJ40),"")</f>
        <v>20.015014314943983</v>
      </c>
      <c r="AM40" s="11">
        <f t="shared" si="27"/>
        <v>20</v>
      </c>
      <c r="AN40" s="11">
        <f>IF(AB40&lt;&gt;"",IF($B$16=listy!$K$8,'RZĄDOWY PROGRAM'!$F$3*'RZĄDOWY PROGRAM'!$F$15,AG39*$F$15),"")</f>
        <v>50</v>
      </c>
      <c r="AO40" s="11">
        <f t="shared" si="28"/>
        <v>70</v>
      </c>
      <c r="AQ40" s="49">
        <f t="shared" si="16"/>
        <v>0.05</v>
      </c>
      <c r="AR40" s="18">
        <f t="shared" si="17"/>
        <v>4.0741237836483535E-3</v>
      </c>
      <c r="AS40" s="57">
        <f t="shared" si="29"/>
        <v>3461.18</v>
      </c>
      <c r="AT40" s="58">
        <f t="shared" si="30"/>
        <v>24795.659691934448</v>
      </c>
      <c r="AU40" s="58">
        <f>IF(AB40&lt;&gt;"",AT40-SUM($AS$28:AS40),"")</f>
        <v>567.39969193444995</v>
      </c>
    </row>
    <row r="41" spans="1:47" ht="14.5" x14ac:dyDescent="0.35">
      <c r="A41" s="76">
        <f t="shared" si="31"/>
        <v>45139</v>
      </c>
      <c r="B41" s="8">
        <f t="shared" si="5"/>
        <v>14</v>
      </c>
      <c r="C41" s="33">
        <f t="shared" si="6"/>
        <v>3461.18</v>
      </c>
      <c r="D41" s="11">
        <f t="shared" si="7"/>
        <v>702.49527338719872</v>
      </c>
      <c r="E41" s="11">
        <f t="shared" si="8"/>
        <v>2758.6847266128011</v>
      </c>
      <c r="F41" s="9">
        <f t="shared" si="18"/>
        <v>390600.30282771942</v>
      </c>
      <c r="G41" s="10">
        <f t="shared" si="9"/>
        <v>6.7599999999999993E-2</v>
      </c>
      <c r="H41" s="10">
        <f t="shared" si="10"/>
        <v>1.7000000000000001E-2</v>
      </c>
      <c r="I41" s="49">
        <f t="shared" si="11"/>
        <v>8.4599999999999995E-2</v>
      </c>
      <c r="J41" s="11">
        <f t="shared" si="12"/>
        <v>20</v>
      </c>
      <c r="K41" s="11">
        <f>IF(B41&lt;&gt;"",IF($B$16=listy!$K$8,'RZĄDOWY PROGRAM'!$F$3*'RZĄDOWY PROGRAM'!$F$15,F40*$F$15),"")</f>
        <v>50</v>
      </c>
      <c r="L41" s="11">
        <f t="shared" si="19"/>
        <v>70</v>
      </c>
      <c r="N41" s="55">
        <f t="shared" si="32"/>
        <v>45139</v>
      </c>
      <c r="O41" s="8">
        <f t="shared" si="20"/>
        <v>14</v>
      </c>
      <c r="P41" s="8"/>
      <c r="Q41" s="33">
        <f>IF(O41&lt;&gt;"",ROUND(IF($F$11="raty równe",-PMT(W41/12,$F$4-O40+SUM($P$28:P41),T40,2),R41+S41),2),"")</f>
        <v>3461.18</v>
      </c>
      <c r="R41" s="11">
        <f>IF(O41&lt;&gt;"",IF($F$11="raty malejące",T40/($F$4-O40+SUM($P$28:P41)),IF(Q41-S41&gt;T40,T40,Q41-S41)),"")</f>
        <v>668.78445498340534</v>
      </c>
      <c r="S41" s="11">
        <f>IF(O41&lt;&gt;"",T40*W41/12,"")</f>
        <v>2792.3955450165945</v>
      </c>
      <c r="T41" s="9">
        <f t="shared" si="21"/>
        <v>395415.69001545553</v>
      </c>
      <c r="U41" s="10">
        <f t="shared" si="13"/>
        <v>6.7599999999999993E-2</v>
      </c>
      <c r="V41" s="10">
        <f t="shared" si="14"/>
        <v>1.7000000000000001E-2</v>
      </c>
      <c r="W41" s="49">
        <f t="shared" si="22"/>
        <v>8.4599999999999995E-2</v>
      </c>
      <c r="X41" s="11">
        <f t="shared" si="15"/>
        <v>20</v>
      </c>
      <c r="Y41" s="11">
        <f>IF(O41&lt;&gt;"",IF($B$16=listy!$K$8,'RZĄDOWY PROGRAM'!$F$3*'RZĄDOWY PROGRAM'!$F$15,T40*$F$15),"")</f>
        <v>50</v>
      </c>
      <c r="Z41" s="11">
        <f t="shared" si="23"/>
        <v>70</v>
      </c>
      <c r="AB41" s="8">
        <f t="shared" si="24"/>
        <v>14</v>
      </c>
      <c r="AC41" s="8"/>
      <c r="AD41" s="33">
        <f>IF(AB41&lt;&gt;"",ROUND(IF($F$11="raty równe",-PMT(W41/12,$F$4-AB40+SUM($AC$28:AC41),AG40,2),AE41+AF41),2),"")</f>
        <v>3256.25</v>
      </c>
      <c r="AE41" s="11">
        <f>IF(AB41&lt;&gt;"",IF($F$11="raty malejące",AG40/($F$4-AB40+SUM($AC$28:AC40)),MIN(AD41-AF41,AG40)),"")</f>
        <v>629.18748112426192</v>
      </c>
      <c r="AF41" s="11">
        <f>IF(AB41&lt;&gt;"",AG40*W41/12,"")</f>
        <v>2627.0625188757381</v>
      </c>
      <c r="AG41" s="9">
        <f t="shared" si="33"/>
        <v>372003.79391968972</v>
      </c>
      <c r="AH41" s="11"/>
      <c r="AI41" s="33">
        <f>IF(AB41&lt;&gt;"",ROUND(IF($F$11="raty równe",-PMT(W41/12,($F$4-AB40+SUM($AC$27:AC40)),AG40,2),AG40/($F$4-AB40+SUM($AC$27:AC40))+AG40*W41/12),2),"")</f>
        <v>3256.25</v>
      </c>
      <c r="AJ41" s="33">
        <f t="shared" si="25"/>
        <v>204.92999999999984</v>
      </c>
      <c r="AK41" s="33">
        <f t="shared" si="26"/>
        <v>1675.6324278848781</v>
      </c>
      <c r="AL41" s="33">
        <f>IF(AB41&lt;&gt;"",AK41-SUM($AJ$28:AJ41),"")</f>
        <v>24.852427884879262</v>
      </c>
      <c r="AM41" s="11">
        <f t="shared" si="27"/>
        <v>20</v>
      </c>
      <c r="AN41" s="11">
        <f>IF(AB41&lt;&gt;"",IF($B$16=listy!$K$8,'RZĄDOWY PROGRAM'!$F$3*'RZĄDOWY PROGRAM'!$F$15,AG40*$F$15),"")</f>
        <v>50</v>
      </c>
      <c r="AO41" s="11">
        <f t="shared" si="28"/>
        <v>70</v>
      </c>
      <c r="AQ41" s="49">
        <f t="shared" si="16"/>
        <v>0.05</v>
      </c>
      <c r="AR41" s="18">
        <f t="shared" si="17"/>
        <v>4.0741237836483535E-3</v>
      </c>
      <c r="AS41" s="33">
        <f t="shared" si="29"/>
        <v>0</v>
      </c>
      <c r="AT41" s="11">
        <f t="shared" si="30"/>
        <v>24877.486367309</v>
      </c>
      <c r="AU41" s="11">
        <f>IF(AB41&lt;&gt;"",AT41-SUM($AS$28:AS41),"")</f>
        <v>649.22636730900194</v>
      </c>
    </row>
    <row r="42" spans="1:47" ht="14.5" x14ac:dyDescent="0.35">
      <c r="A42" s="76">
        <f t="shared" si="31"/>
        <v>45170</v>
      </c>
      <c r="B42" s="8">
        <f t="shared" si="5"/>
        <v>15</v>
      </c>
      <c r="C42" s="33">
        <f t="shared" si="6"/>
        <v>3461.18</v>
      </c>
      <c r="D42" s="11">
        <f t="shared" si="7"/>
        <v>707.44786506457785</v>
      </c>
      <c r="E42" s="11">
        <f t="shared" si="8"/>
        <v>2753.732134935422</v>
      </c>
      <c r="F42" s="9">
        <f t="shared" si="18"/>
        <v>389892.85496265482</v>
      </c>
      <c r="G42" s="10">
        <f t="shared" si="9"/>
        <v>6.7599999999999993E-2</v>
      </c>
      <c r="H42" s="10">
        <f t="shared" si="10"/>
        <v>1.7000000000000001E-2</v>
      </c>
      <c r="I42" s="49">
        <f t="shared" si="11"/>
        <v>8.4599999999999995E-2</v>
      </c>
      <c r="J42" s="11">
        <f t="shared" si="12"/>
        <v>20</v>
      </c>
      <c r="K42" s="11">
        <f>IF(B42&lt;&gt;"",IF($B$16=listy!$K$8,'RZĄDOWY PROGRAM'!$F$3*'RZĄDOWY PROGRAM'!$F$15,F41*$F$15),"")</f>
        <v>50</v>
      </c>
      <c r="L42" s="11">
        <f t="shared" si="19"/>
        <v>70</v>
      </c>
      <c r="N42" s="55">
        <f t="shared" si="32"/>
        <v>45170</v>
      </c>
      <c r="O42" s="8">
        <f t="shared" si="20"/>
        <v>15</v>
      </c>
      <c r="P42" s="8"/>
      <c r="Q42" s="33">
        <f>IF(O42&lt;&gt;"",ROUND(IF($F$11="raty równe",-PMT(W42/12,$F$4-O41+SUM($P$28:P42),T41,2),R42+S42),2),"")</f>
        <v>3461.18</v>
      </c>
      <c r="R42" s="11">
        <f>IF(O42&lt;&gt;"",IF($F$11="raty malejące",T41/($F$4-O41+SUM($P$28:P42)),IF(Q42-S42&gt;T41,T41,Q42-S42)),"")</f>
        <v>673.49938539103823</v>
      </c>
      <c r="S42" s="11">
        <f>IF(O42&lt;&gt;"",T41*W42/12,"")</f>
        <v>2787.6806146089616</v>
      </c>
      <c r="T42" s="9">
        <f t="shared" si="21"/>
        <v>394742.19063006452</v>
      </c>
      <c r="U42" s="10">
        <f t="shared" si="13"/>
        <v>6.7599999999999993E-2</v>
      </c>
      <c r="V42" s="10">
        <f t="shared" si="14"/>
        <v>1.7000000000000001E-2</v>
      </c>
      <c r="W42" s="49">
        <f t="shared" si="22"/>
        <v>8.4599999999999995E-2</v>
      </c>
      <c r="X42" s="11">
        <f t="shared" si="15"/>
        <v>20</v>
      </c>
      <c r="Y42" s="11">
        <f>IF(O42&lt;&gt;"",IF($B$16=listy!$K$8,'RZĄDOWY PROGRAM'!$F$3*'RZĄDOWY PROGRAM'!$F$15,T41*$F$15),"")</f>
        <v>50</v>
      </c>
      <c r="Z42" s="11">
        <f t="shared" si="23"/>
        <v>70</v>
      </c>
      <c r="AB42" s="8">
        <f t="shared" si="24"/>
        <v>15</v>
      </c>
      <c r="AC42" s="8"/>
      <c r="AD42" s="33">
        <f>IF(AB42&lt;&gt;"",ROUND(IF($F$11="raty równe",-PMT(W42/12,$F$4-AB41+SUM($AC$28:AC42),AG41,2),AE42+AF42),2),"")</f>
        <v>3256.25</v>
      </c>
      <c r="AE42" s="11">
        <f>IF(AB42&lt;&gt;"",IF($F$11="raty malejące",AG41/($F$4-AB41+SUM($AC$28:AC41)),MIN(AD42-AF42,AG41)),"")</f>
        <v>633.62325286618761</v>
      </c>
      <c r="AF42" s="11">
        <f>IF(AB42&lt;&gt;"",AG41*W42/12,"")</f>
        <v>2622.6267471338124</v>
      </c>
      <c r="AG42" s="9">
        <f t="shared" si="33"/>
        <v>371370.17066682351</v>
      </c>
      <c r="AH42" s="11"/>
      <c r="AI42" s="33">
        <f>IF(AB42&lt;&gt;"",ROUND(IF($F$11="raty równe",-PMT(W42/12,($F$4-AB41+SUM($AC$27:AC41)),AG41,2),AG41/($F$4-AB41+SUM($AC$27:AC41))+AG41*W42/12),2),"")</f>
        <v>3256.25</v>
      </c>
      <c r="AJ42" s="33">
        <f t="shared" si="25"/>
        <v>204.92999999999984</v>
      </c>
      <c r="AK42" s="33">
        <f t="shared" si="26"/>
        <v>1886.0920823658275</v>
      </c>
      <c r="AL42" s="33">
        <f>IF(AB42&lt;&gt;"",AK42-SUM($AJ$28:AJ42),"")</f>
        <v>30.382082365828865</v>
      </c>
      <c r="AM42" s="11">
        <f t="shared" si="27"/>
        <v>20</v>
      </c>
      <c r="AN42" s="11">
        <f>IF(AB42&lt;&gt;"",IF($B$16=listy!$K$8,'RZĄDOWY PROGRAM'!$F$3*'RZĄDOWY PROGRAM'!$F$15,AG41*$F$15),"")</f>
        <v>50</v>
      </c>
      <c r="AO42" s="11">
        <f t="shared" si="28"/>
        <v>70</v>
      </c>
      <c r="AQ42" s="49">
        <f t="shared" si="16"/>
        <v>0.05</v>
      </c>
      <c r="AR42" s="18">
        <f t="shared" si="17"/>
        <v>4.0741237836483535E-3</v>
      </c>
      <c r="AS42" s="33">
        <f t="shared" si="29"/>
        <v>0</v>
      </c>
      <c r="AT42" s="11">
        <f t="shared" si="30"/>
        <v>24959.583074007016</v>
      </c>
      <c r="AU42" s="11">
        <f>IF(AB42&lt;&gt;"",AT42-SUM($AS$28:AS42),"")</f>
        <v>731.32307400701757</v>
      </c>
    </row>
    <row r="43" spans="1:47" ht="14.5" x14ac:dyDescent="0.35">
      <c r="A43" s="76">
        <f t="shared" si="31"/>
        <v>45200</v>
      </c>
      <c r="B43" s="8">
        <f t="shared" si="5"/>
        <v>16</v>
      </c>
      <c r="C43" s="57">
        <f t="shared" si="6"/>
        <v>3461.18</v>
      </c>
      <c r="D43" s="58">
        <f t="shared" si="7"/>
        <v>712.43537251328371</v>
      </c>
      <c r="E43" s="58">
        <f t="shared" si="8"/>
        <v>2748.7446274867161</v>
      </c>
      <c r="F43" s="9">
        <f t="shared" si="18"/>
        <v>389180.41959014151</v>
      </c>
      <c r="G43" s="10">
        <f t="shared" si="9"/>
        <v>6.7599999999999993E-2</v>
      </c>
      <c r="H43" s="10">
        <f t="shared" si="10"/>
        <v>1.7000000000000001E-2</v>
      </c>
      <c r="I43" s="49">
        <f t="shared" si="11"/>
        <v>8.4599999999999995E-2</v>
      </c>
      <c r="J43" s="11">
        <f t="shared" si="12"/>
        <v>20</v>
      </c>
      <c r="K43" s="11">
        <f>IF(B43&lt;&gt;"",IF($B$16=listy!$K$8,'RZĄDOWY PROGRAM'!$F$3*'RZĄDOWY PROGRAM'!$F$15,F42*$F$15),"")</f>
        <v>50</v>
      </c>
      <c r="L43" s="11">
        <f t="shared" si="19"/>
        <v>70</v>
      </c>
      <c r="N43" s="55">
        <f t="shared" si="32"/>
        <v>45200</v>
      </c>
      <c r="O43" s="8">
        <f t="shared" si="20"/>
        <v>16</v>
      </c>
      <c r="P43" s="8">
        <v>1</v>
      </c>
      <c r="Q43" s="57">
        <v>0</v>
      </c>
      <c r="R43" s="58">
        <v>0</v>
      </c>
      <c r="S43" s="58">
        <v>0</v>
      </c>
      <c r="T43" s="9">
        <f t="shared" si="21"/>
        <v>394742.19063006452</v>
      </c>
      <c r="U43" s="10">
        <f t="shared" si="13"/>
        <v>6.7599999999999993E-2</v>
      </c>
      <c r="V43" s="10">
        <f t="shared" si="14"/>
        <v>1.7000000000000001E-2</v>
      </c>
      <c r="W43" s="49">
        <f t="shared" si="22"/>
        <v>8.4599999999999995E-2</v>
      </c>
      <c r="X43" s="57">
        <f t="shared" si="15"/>
        <v>20</v>
      </c>
      <c r="Y43" s="58">
        <f>IF(O43&lt;&gt;"",IF($B$16=listy!$K$8,'RZĄDOWY PROGRAM'!$F$3*'RZĄDOWY PROGRAM'!$F$15,T42*$F$15),"")</f>
        <v>50</v>
      </c>
      <c r="Z43" s="58">
        <f t="shared" si="23"/>
        <v>70</v>
      </c>
      <c r="AB43" s="8">
        <f t="shared" si="24"/>
        <v>16</v>
      </c>
      <c r="AC43" s="8">
        <v>1</v>
      </c>
      <c r="AD43" s="57">
        <v>0</v>
      </c>
      <c r="AE43" s="58">
        <v>0</v>
      </c>
      <c r="AF43" s="58">
        <v>0</v>
      </c>
      <c r="AG43" s="9">
        <f t="shared" si="33"/>
        <v>368113.92066682351</v>
      </c>
      <c r="AH43" s="58">
        <f>AI43</f>
        <v>3256.25</v>
      </c>
      <c r="AI43" s="33">
        <f>IF(AB43&lt;&gt;"",ROUND(IF($F$11="raty równe",-PMT(W43/12,($F$4-AB42+SUM($AC$27:AC42)),AG42,2),AG42/($F$4-AB42+SUM($AC$27:AC42))+AG42*W43/12),2),"")</f>
        <v>3256.25</v>
      </c>
      <c r="AJ43" s="33">
        <f t="shared" si="25"/>
        <v>204.92999999999984</v>
      </c>
      <c r="AK43" s="33">
        <f t="shared" si="26"/>
        <v>2097.2462621806708</v>
      </c>
      <c r="AL43" s="33">
        <f>IF(AB43&lt;&gt;"",AK43-SUM($AJ$28:AJ43),"")</f>
        <v>36.606262180672275</v>
      </c>
      <c r="AM43" s="11">
        <f t="shared" si="27"/>
        <v>20</v>
      </c>
      <c r="AN43" s="11">
        <f>IF(AB43&lt;&gt;"",IF($B$16=listy!$K$8,'RZĄDOWY PROGRAM'!$F$3*'RZĄDOWY PROGRAM'!$F$15,AG42*$F$15),"")</f>
        <v>50</v>
      </c>
      <c r="AO43" s="11">
        <f t="shared" si="28"/>
        <v>70</v>
      </c>
      <c r="AQ43" s="49">
        <f t="shared" si="16"/>
        <v>0.05</v>
      </c>
      <c r="AR43" s="18">
        <f t="shared" si="17"/>
        <v>4.0741237836483535E-3</v>
      </c>
      <c r="AS43" s="57">
        <f t="shared" si="29"/>
        <v>3461.18</v>
      </c>
      <c r="AT43" s="58">
        <f t="shared" si="30"/>
        <v>28503.130703142742</v>
      </c>
      <c r="AU43" s="58">
        <f>IF(AB43&lt;&gt;"",AT43-SUM($AS$28:AS43),"")</f>
        <v>813.69070314274359</v>
      </c>
    </row>
    <row r="44" spans="1:47" ht="14.5" x14ac:dyDescent="0.35">
      <c r="A44" s="76">
        <f t="shared" si="31"/>
        <v>45231</v>
      </c>
      <c r="B44" s="8">
        <f t="shared" si="5"/>
        <v>17</v>
      </c>
      <c r="C44" s="11">
        <f t="shared" si="6"/>
        <v>3461.18</v>
      </c>
      <c r="D44" s="11">
        <f t="shared" si="7"/>
        <v>717.45804188950206</v>
      </c>
      <c r="E44" s="11">
        <f t="shared" si="8"/>
        <v>2743.7219581104978</v>
      </c>
      <c r="F44" s="9">
        <f t="shared" si="18"/>
        <v>388462.96154825203</v>
      </c>
      <c r="G44" s="10">
        <f t="shared" si="9"/>
        <v>6.7599999999999993E-2</v>
      </c>
      <c r="H44" s="10">
        <f t="shared" si="10"/>
        <v>1.7000000000000001E-2</v>
      </c>
      <c r="I44" s="49">
        <f t="shared" si="11"/>
        <v>8.4599999999999995E-2</v>
      </c>
      <c r="J44" s="11">
        <f t="shared" si="12"/>
        <v>20</v>
      </c>
      <c r="K44" s="11">
        <f>IF(B44&lt;&gt;"",IF($B$16=listy!$K$8,'RZĄDOWY PROGRAM'!$F$3*'RZĄDOWY PROGRAM'!$F$15,F43*$F$15),"")</f>
        <v>50</v>
      </c>
      <c r="L44" s="11">
        <f t="shared" si="19"/>
        <v>70</v>
      </c>
      <c r="N44" s="55">
        <f t="shared" si="32"/>
        <v>45231</v>
      </c>
      <c r="O44" s="8">
        <f t="shared" si="20"/>
        <v>17</v>
      </c>
      <c r="P44" s="8"/>
      <c r="Q44" s="33">
        <f>IF(O44&lt;&gt;"",ROUND(IF($F$11="raty równe",-PMT(W44/12,$F$4-O43+SUM($P$28:P44),T43,2),R44+S44),2),"")</f>
        <v>3461.18</v>
      </c>
      <c r="R44" s="11">
        <f>IF(O44&lt;&gt;"",IF($F$11="raty malejące",T43/($F$4-O43+SUM($P$28:P44)),IF(Q44-S44&gt;T43,T43,Q44-S44)),"")</f>
        <v>678.24755605804512</v>
      </c>
      <c r="S44" s="11">
        <f t="shared" ref="S44:S107" si="34">IF(O44&lt;&gt;"",T43*W44/12,"")</f>
        <v>2782.9324439419547</v>
      </c>
      <c r="T44" s="9">
        <f t="shared" si="21"/>
        <v>394063.94307400647</v>
      </c>
      <c r="U44" s="10">
        <f t="shared" si="13"/>
        <v>6.7599999999999993E-2</v>
      </c>
      <c r="V44" s="10">
        <f t="shared" si="14"/>
        <v>1.7000000000000001E-2</v>
      </c>
      <c r="W44" s="49">
        <f t="shared" si="22"/>
        <v>8.4599999999999995E-2</v>
      </c>
      <c r="X44" s="11">
        <f t="shared" si="15"/>
        <v>20</v>
      </c>
      <c r="Y44" s="11">
        <f>IF(O44&lt;&gt;"",IF($B$16=listy!$K$8,'RZĄDOWY PROGRAM'!$F$3*'RZĄDOWY PROGRAM'!$F$15,T43*$F$15),"")</f>
        <v>50</v>
      </c>
      <c r="Z44" s="11">
        <f t="shared" si="23"/>
        <v>70</v>
      </c>
      <c r="AB44" s="8">
        <f t="shared" si="24"/>
        <v>17</v>
      </c>
      <c r="AC44" s="8"/>
      <c r="AD44" s="33">
        <f>IF(AB44&lt;&gt;"",ROUND(IF($F$11="raty równe",-PMT(W44/12,$F$4-AB43+SUM($AC$28:AC44),AG43,2),AE44+AF44),2),"")</f>
        <v>3227.69</v>
      </c>
      <c r="AE44" s="11">
        <f>IF(AB44&lt;&gt;"",IF($F$11="raty malejące",AG43/($F$4-AB43+SUM($AC$28:AC43)),MIN(AD44-AF44,AG43)),"")</f>
        <v>632.48685929889416</v>
      </c>
      <c r="AF44" s="11">
        <f t="shared" ref="AF44:AF107" si="35">IF(AB44&lt;&gt;"",AG43*W44/12,"")</f>
        <v>2595.2031407011059</v>
      </c>
      <c r="AG44" s="9">
        <f t="shared" si="33"/>
        <v>367481.43380752462</v>
      </c>
      <c r="AH44" s="11"/>
      <c r="AI44" s="33">
        <f>IF(AB44&lt;&gt;"",ROUND(IF($F$11="raty równe",-PMT(W44/12,($F$4-AB43+SUM($AC$27:AC43)),AG43,2),AG43/($F$4-AB43+SUM($AC$27:AC43))+AG43*W44/12),2),"")</f>
        <v>3227.69</v>
      </c>
      <c r="AJ44" s="33">
        <f t="shared" si="25"/>
        <v>233.48999999999978</v>
      </c>
      <c r="AK44" s="33">
        <f t="shared" si="26"/>
        <v>2337.6572592909743</v>
      </c>
      <c r="AL44" s="33">
        <f>IF(AB44&lt;&gt;"",AK44-SUM($AJ$28:AJ44),"")</f>
        <v>43.527259290975962</v>
      </c>
      <c r="AM44" s="11">
        <f t="shared" si="27"/>
        <v>20</v>
      </c>
      <c r="AN44" s="11">
        <f>IF(AB44&lt;&gt;"",IF($B$16=listy!$K$8,'RZĄDOWY PROGRAM'!$F$3*'RZĄDOWY PROGRAM'!$F$15,AG43*$F$15),"")</f>
        <v>50</v>
      </c>
      <c r="AO44" s="11">
        <f t="shared" si="28"/>
        <v>70</v>
      </c>
      <c r="AQ44" s="49">
        <f t="shared" si="16"/>
        <v>0.05</v>
      </c>
      <c r="AR44" s="18">
        <f t="shared" si="17"/>
        <v>4.0741237836483535E-3</v>
      </c>
      <c r="AS44" s="11">
        <f t="shared" si="29"/>
        <v>0</v>
      </c>
      <c r="AT44" s="11">
        <f t="shared" si="30"/>
        <v>28597.192182134691</v>
      </c>
      <c r="AU44" s="11">
        <f>IF(AB44&lt;&gt;"",AT44-SUM($AS$28:AS44),"")</f>
        <v>907.7521821346927</v>
      </c>
    </row>
    <row r="45" spans="1:47" ht="14.5" x14ac:dyDescent="0.35">
      <c r="A45" s="76">
        <f t="shared" si="31"/>
        <v>45261</v>
      </c>
      <c r="B45" s="8">
        <f t="shared" si="5"/>
        <v>18</v>
      </c>
      <c r="C45" s="11">
        <f t="shared" si="6"/>
        <v>3461.18</v>
      </c>
      <c r="D45" s="11">
        <f t="shared" si="7"/>
        <v>722.51612108482323</v>
      </c>
      <c r="E45" s="11">
        <f t="shared" si="8"/>
        <v>2738.6638789151766</v>
      </c>
      <c r="F45" s="9">
        <f t="shared" si="18"/>
        <v>387740.44542716723</v>
      </c>
      <c r="G45" s="10">
        <f t="shared" si="9"/>
        <v>6.7599999999999993E-2</v>
      </c>
      <c r="H45" s="10">
        <f t="shared" si="10"/>
        <v>1.7000000000000001E-2</v>
      </c>
      <c r="I45" s="49">
        <f t="shared" si="11"/>
        <v>8.4599999999999995E-2</v>
      </c>
      <c r="J45" s="11">
        <f t="shared" si="12"/>
        <v>20</v>
      </c>
      <c r="K45" s="11">
        <f>IF(B45&lt;&gt;"",IF($B$16=listy!$K$8,'RZĄDOWY PROGRAM'!$F$3*'RZĄDOWY PROGRAM'!$F$15,F44*$F$15),"")</f>
        <v>50</v>
      </c>
      <c r="L45" s="11">
        <f t="shared" si="19"/>
        <v>70</v>
      </c>
      <c r="N45" s="55">
        <f t="shared" si="32"/>
        <v>45261</v>
      </c>
      <c r="O45" s="8">
        <f t="shared" si="20"/>
        <v>18</v>
      </c>
      <c r="P45" s="8"/>
      <c r="Q45" s="33">
        <f>IF(O45&lt;&gt;"",ROUND(IF($F$11="raty równe",-PMT(W45/12,$F$4-O44+SUM($P$28:P45),T44,2),R45+S45),2),"")</f>
        <v>3461.18</v>
      </c>
      <c r="R45" s="11">
        <f>IF(O45&lt;&gt;"",IF($F$11="raty malejące",T44/($F$4-O44+SUM($P$28:P45)),IF(Q45-S45&gt;T44,T44,Q45-S45)),"")</f>
        <v>683.0292013282542</v>
      </c>
      <c r="S45" s="11">
        <f t="shared" si="34"/>
        <v>2778.1507986717456</v>
      </c>
      <c r="T45" s="9">
        <f t="shared" si="21"/>
        <v>393380.91387267824</v>
      </c>
      <c r="U45" s="10">
        <f t="shared" si="13"/>
        <v>6.7599999999999993E-2</v>
      </c>
      <c r="V45" s="10">
        <f t="shared" si="14"/>
        <v>1.7000000000000001E-2</v>
      </c>
      <c r="W45" s="49">
        <f t="shared" si="22"/>
        <v>8.4599999999999995E-2</v>
      </c>
      <c r="X45" s="11">
        <f t="shared" si="15"/>
        <v>20</v>
      </c>
      <c r="Y45" s="11">
        <f>IF(O45&lt;&gt;"",IF($B$16=listy!$K$8,'RZĄDOWY PROGRAM'!$F$3*'RZĄDOWY PROGRAM'!$F$15,T44*$F$15),"")</f>
        <v>50</v>
      </c>
      <c r="Z45" s="11">
        <f t="shared" si="23"/>
        <v>70</v>
      </c>
      <c r="AB45" s="8">
        <f t="shared" si="24"/>
        <v>18</v>
      </c>
      <c r="AC45" s="8"/>
      <c r="AD45" s="33">
        <f>IF(AB45&lt;&gt;"",ROUND(IF($F$11="raty równe",-PMT(W45/12,$F$4-AB44+SUM($AC$28:AC45),AG44,2),AE45+AF45),2),"")</f>
        <v>3227.69</v>
      </c>
      <c r="AE45" s="11">
        <f>IF(AB45&lt;&gt;"",IF($F$11="raty malejące",AG44/($F$4-AB44+SUM($AC$28:AC44)),MIN(AD45-AF45,AG44)),"")</f>
        <v>636.94589165695152</v>
      </c>
      <c r="AF45" s="11">
        <f t="shared" si="35"/>
        <v>2590.7441083430485</v>
      </c>
      <c r="AG45" s="9">
        <f t="shared" si="33"/>
        <v>366844.48791586765</v>
      </c>
      <c r="AH45" s="11"/>
      <c r="AI45" s="33">
        <f>IF(AB45&lt;&gt;"",ROUND(IF($F$11="raty równe",-PMT(W45/12,($F$4-AB44+SUM($AC$27:AC44)),AG44,2),AG44/($F$4-AB44+SUM($AC$27:AC44))+AG44*W45/12),2),"")</f>
        <v>3227.69</v>
      </c>
      <c r="AJ45" s="33">
        <f t="shared" si="25"/>
        <v>233.48999999999978</v>
      </c>
      <c r="AK45" s="33">
        <f t="shared" si="26"/>
        <v>2578.8616223718313</v>
      </c>
      <c r="AL45" s="33">
        <f>IF(AB45&lt;&gt;"",AK45-SUM($AJ$28:AJ45),"")</f>
        <v>51.241622371833273</v>
      </c>
      <c r="AM45" s="11">
        <f t="shared" si="27"/>
        <v>20</v>
      </c>
      <c r="AN45" s="11">
        <f>IF(AB45&lt;&gt;"",IF($B$16=listy!$K$8,'RZĄDOWY PROGRAM'!$F$3*'RZĄDOWY PROGRAM'!$F$15,AG44*$F$15),"")</f>
        <v>50</v>
      </c>
      <c r="AO45" s="11">
        <f t="shared" si="28"/>
        <v>70</v>
      </c>
      <c r="AQ45" s="49">
        <f t="shared" si="16"/>
        <v>0.05</v>
      </c>
      <c r="AR45" s="18">
        <f t="shared" si="17"/>
        <v>4.0741237836483535E-3</v>
      </c>
      <c r="AS45" s="11">
        <f t="shared" si="29"/>
        <v>0</v>
      </c>
      <c r="AT45" s="11">
        <f t="shared" si="30"/>
        <v>28691.564067794676</v>
      </c>
      <c r="AU45" s="11">
        <f>IF(AB45&lt;&gt;"",AT45-SUM($AS$28:AS45),"")</f>
        <v>1002.1240677946771</v>
      </c>
    </row>
    <row r="46" spans="1:47" ht="14.5" x14ac:dyDescent="0.35">
      <c r="A46" s="76">
        <f t="shared" si="31"/>
        <v>45292</v>
      </c>
      <c r="B46" s="8">
        <f t="shared" si="5"/>
        <v>19</v>
      </c>
      <c r="C46" s="11">
        <f t="shared" si="6"/>
        <v>3461.18</v>
      </c>
      <c r="D46" s="11">
        <f t="shared" si="7"/>
        <v>727.60985973847119</v>
      </c>
      <c r="E46" s="11">
        <f t="shared" si="8"/>
        <v>2733.5701402615286</v>
      </c>
      <c r="F46" s="9">
        <f t="shared" si="18"/>
        <v>387012.83556742873</v>
      </c>
      <c r="G46" s="10">
        <f t="shared" si="9"/>
        <v>6.7599999999999993E-2</v>
      </c>
      <c r="H46" s="10">
        <f t="shared" si="10"/>
        <v>1.7000000000000001E-2</v>
      </c>
      <c r="I46" s="49">
        <f t="shared" si="11"/>
        <v>8.4599999999999995E-2</v>
      </c>
      <c r="J46" s="11">
        <f t="shared" si="12"/>
        <v>20</v>
      </c>
      <c r="K46" s="11">
        <f>IF(B46&lt;&gt;"",IF($B$16=listy!$K$8,'RZĄDOWY PROGRAM'!$F$3*'RZĄDOWY PROGRAM'!$F$15,F45*$F$15),"")</f>
        <v>50</v>
      </c>
      <c r="L46" s="11">
        <f t="shared" si="19"/>
        <v>70</v>
      </c>
      <c r="N46" s="55">
        <f t="shared" si="32"/>
        <v>45292</v>
      </c>
      <c r="O46" s="8">
        <f t="shared" si="20"/>
        <v>19</v>
      </c>
      <c r="P46" s="8"/>
      <c r="Q46" s="33">
        <f>IF(O46&lt;&gt;"",ROUND(IF($F$11="raty równe",-PMT(W46/12,$F$4-O45+SUM($P$28:P46),T45,2),R46+S46),2),"")</f>
        <v>3461.18</v>
      </c>
      <c r="R46" s="11">
        <f>IF(O46&lt;&gt;"",IF($F$11="raty malejące",T45/($F$4-O45+SUM($P$28:P46)),IF(Q46-S46&gt;T45,T45,Q46-S46)),"")</f>
        <v>687.84455719761854</v>
      </c>
      <c r="S46" s="11">
        <f t="shared" si="34"/>
        <v>2773.3354428023813</v>
      </c>
      <c r="T46" s="9">
        <f t="shared" si="21"/>
        <v>392693.06931548065</v>
      </c>
      <c r="U46" s="10">
        <f t="shared" si="13"/>
        <v>6.7599999999999993E-2</v>
      </c>
      <c r="V46" s="10">
        <f t="shared" si="14"/>
        <v>1.7000000000000001E-2</v>
      </c>
      <c r="W46" s="49">
        <f t="shared" si="22"/>
        <v>8.4599999999999995E-2</v>
      </c>
      <c r="X46" s="11">
        <f t="shared" si="15"/>
        <v>20</v>
      </c>
      <c r="Y46" s="11">
        <f>IF(O46&lt;&gt;"",IF($B$16=listy!$K$8,'RZĄDOWY PROGRAM'!$F$3*'RZĄDOWY PROGRAM'!$F$15,T45*$F$15),"")</f>
        <v>50</v>
      </c>
      <c r="Z46" s="11">
        <f t="shared" si="23"/>
        <v>70</v>
      </c>
      <c r="AB46" s="8">
        <f t="shared" si="24"/>
        <v>19</v>
      </c>
      <c r="AC46" s="8"/>
      <c r="AD46" s="33">
        <f>IF(AB46&lt;&gt;"",ROUND(IF($F$11="raty równe",-PMT(W46/12,$F$4-AB45+SUM($AC$28:AC46),AG45,2),AE46+AF46),2),"")</f>
        <v>3227.69</v>
      </c>
      <c r="AE46" s="11">
        <f>IF(AB46&lt;&gt;"",IF($F$11="raty malejące",AG45/($F$4-AB45+SUM($AC$28:AC45)),MIN(AD46-AF46,AG45)),"")</f>
        <v>641.43636019313317</v>
      </c>
      <c r="AF46" s="11">
        <f t="shared" si="35"/>
        <v>2586.2536398068669</v>
      </c>
      <c r="AG46" s="9">
        <f t="shared" si="33"/>
        <v>366203.05155567452</v>
      </c>
      <c r="AH46" s="11"/>
      <c r="AI46" s="33">
        <f>IF(AB46&lt;&gt;"",ROUND(IF($F$11="raty równe",-PMT(W46/12,($F$4-AB45+SUM($AC$27:AC45)),AG45,2),AG45/($F$4-AB45+SUM($AC$27:AC45))+AG45*W46/12),2),"")</f>
        <v>3227.69</v>
      </c>
      <c r="AJ46" s="33">
        <f t="shared" si="25"/>
        <v>233.48999999999978</v>
      </c>
      <c r="AK46" s="33">
        <f t="shared" si="26"/>
        <v>2820.86196956289</v>
      </c>
      <c r="AL46" s="33">
        <f>IF(AB46&lt;&gt;"",AK46-SUM($AJ$28:AJ46),"")</f>
        <v>59.7519695628921</v>
      </c>
      <c r="AM46" s="11">
        <f t="shared" si="27"/>
        <v>20</v>
      </c>
      <c r="AN46" s="11">
        <f>IF(AB46&lt;&gt;"",IF($B$16=listy!$K$8,'RZĄDOWY PROGRAM'!$F$3*'RZĄDOWY PROGRAM'!$F$15,AG45*$F$15),"")</f>
        <v>50</v>
      </c>
      <c r="AO46" s="11">
        <f t="shared" si="28"/>
        <v>70</v>
      </c>
      <c r="AQ46" s="49">
        <f t="shared" si="16"/>
        <v>0.05</v>
      </c>
      <c r="AR46" s="18">
        <f t="shared" si="17"/>
        <v>4.0741237836483535E-3</v>
      </c>
      <c r="AS46" s="11">
        <f t="shared" si="29"/>
        <v>0</v>
      </c>
      <c r="AT46" s="11">
        <f t="shared" si="30"/>
        <v>28786.247384477199</v>
      </c>
      <c r="AU46" s="11">
        <f>IF(AB46&lt;&gt;"",AT46-SUM($AS$28:AS46),"")</f>
        <v>1096.8073844772007</v>
      </c>
    </row>
    <row r="47" spans="1:47" ht="14.5" x14ac:dyDescent="0.35">
      <c r="A47" s="76">
        <f t="shared" si="31"/>
        <v>45323</v>
      </c>
      <c r="B47" s="8">
        <f t="shared" si="5"/>
        <v>20</v>
      </c>
      <c r="C47" s="11">
        <f t="shared" si="6"/>
        <v>3461.18</v>
      </c>
      <c r="D47" s="11">
        <f t="shared" si="7"/>
        <v>732.73950924962719</v>
      </c>
      <c r="E47" s="11">
        <f t="shared" si="8"/>
        <v>2728.4404907503726</v>
      </c>
      <c r="F47" s="9">
        <f t="shared" si="18"/>
        <v>386280.0960581791</v>
      </c>
      <c r="G47" s="10">
        <f t="shared" si="9"/>
        <v>6.7599999999999993E-2</v>
      </c>
      <c r="H47" s="10">
        <f t="shared" si="10"/>
        <v>1.7000000000000001E-2</v>
      </c>
      <c r="I47" s="49">
        <f t="shared" si="11"/>
        <v>8.4599999999999995E-2</v>
      </c>
      <c r="J47" s="11">
        <f t="shared" si="12"/>
        <v>20</v>
      </c>
      <c r="K47" s="11">
        <f>IF(B47&lt;&gt;"",IF($B$16=listy!$K$8,'RZĄDOWY PROGRAM'!$F$3*'RZĄDOWY PROGRAM'!$F$15,F46*$F$15),"")</f>
        <v>50</v>
      </c>
      <c r="L47" s="11">
        <f t="shared" si="19"/>
        <v>70</v>
      </c>
      <c r="N47" s="55">
        <f t="shared" si="32"/>
        <v>45323</v>
      </c>
      <c r="O47" s="8">
        <f t="shared" si="20"/>
        <v>20</v>
      </c>
      <c r="P47" s="8"/>
      <c r="Q47" s="33">
        <f>IF(O47&lt;&gt;"",ROUND(IF($F$11="raty równe",-PMT(W47/12,$F$4-O46+SUM($P$28:P47),T46,2),R47+S47),2),"")</f>
        <v>3461.18</v>
      </c>
      <c r="R47" s="11">
        <f>IF(O47&lt;&gt;"",IF($F$11="raty malejące",T46/($F$4-O46+SUM($P$28:P47)),IF(Q47-S47&gt;T46,T46,Q47-S47)),"")</f>
        <v>692.69386132586169</v>
      </c>
      <c r="S47" s="11">
        <f t="shared" si="34"/>
        <v>2768.4861386741381</v>
      </c>
      <c r="T47" s="9">
        <f t="shared" si="21"/>
        <v>392000.3754541548</v>
      </c>
      <c r="U47" s="10">
        <f t="shared" si="13"/>
        <v>6.7599999999999993E-2</v>
      </c>
      <c r="V47" s="10">
        <f t="shared" si="14"/>
        <v>1.7000000000000001E-2</v>
      </c>
      <c r="W47" s="49">
        <f t="shared" si="22"/>
        <v>8.4599999999999995E-2</v>
      </c>
      <c r="X47" s="11">
        <f t="shared" si="15"/>
        <v>20</v>
      </c>
      <c r="Y47" s="11">
        <f>IF(O47&lt;&gt;"",IF($B$16=listy!$K$8,'RZĄDOWY PROGRAM'!$F$3*'RZĄDOWY PROGRAM'!$F$15,T46*$F$15),"")</f>
        <v>50</v>
      </c>
      <c r="Z47" s="11">
        <f t="shared" si="23"/>
        <v>70</v>
      </c>
      <c r="AB47" s="8">
        <f t="shared" si="24"/>
        <v>20</v>
      </c>
      <c r="AC47" s="8"/>
      <c r="AD47" s="33">
        <f>IF(AB47&lt;&gt;"",ROUND(IF($F$11="raty równe",-PMT(W47/12,$F$4-AB46+SUM($AC$28:AC47),AG46,2),AE47+AF47),2),"")</f>
        <v>3227.69</v>
      </c>
      <c r="AE47" s="11">
        <f>IF(AB47&lt;&gt;"",IF($F$11="raty malejące",AG46/($F$4-AB46+SUM($AC$28:AC46)),MIN(AD47-AF47,AG46)),"")</f>
        <v>645.95848653249504</v>
      </c>
      <c r="AF47" s="11">
        <f t="shared" si="35"/>
        <v>2581.731513467505</v>
      </c>
      <c r="AG47" s="9">
        <f t="shared" si="33"/>
        <v>365557.09306914202</v>
      </c>
      <c r="AH47" s="11"/>
      <c r="AI47" s="33">
        <f>IF(AB47&lt;&gt;"",ROUND(IF($F$11="raty równe",-PMT(W47/12,($F$4-AB46+SUM($AC$27:AC46)),AG46,2),AG46/($F$4-AB46+SUM($AC$27:AC46))+AG46*W47/12),2),"")</f>
        <v>3227.69</v>
      </c>
      <c r="AJ47" s="33">
        <f t="shared" si="25"/>
        <v>233.48999999999978</v>
      </c>
      <c r="AK47" s="33">
        <f t="shared" si="26"/>
        <v>3063.6609276437639</v>
      </c>
      <c r="AL47" s="33">
        <f>IF(AB47&lt;&gt;"",AK47-SUM($AJ$28:AJ47),"")</f>
        <v>69.060927643766263</v>
      </c>
      <c r="AM47" s="11">
        <f t="shared" si="27"/>
        <v>20</v>
      </c>
      <c r="AN47" s="11">
        <f>IF(AB47&lt;&gt;"",IF($B$16=listy!$K$8,'RZĄDOWY PROGRAM'!$F$3*'RZĄDOWY PROGRAM'!$F$15,AG46*$F$15),"")</f>
        <v>50</v>
      </c>
      <c r="AO47" s="11">
        <f t="shared" si="28"/>
        <v>70</v>
      </c>
      <c r="AQ47" s="49">
        <f t="shared" si="16"/>
        <v>0.05</v>
      </c>
      <c r="AR47" s="18">
        <f t="shared" si="17"/>
        <v>4.0741237836483535E-3</v>
      </c>
      <c r="AS47" s="11">
        <f t="shared" si="29"/>
        <v>0</v>
      </c>
      <c r="AT47" s="11">
        <f t="shared" si="30"/>
        <v>28881.243159917176</v>
      </c>
      <c r="AU47" s="11">
        <f>IF(AB47&lt;&gt;"",AT47-SUM($AS$28:AS47),"")</f>
        <v>1191.8031599171773</v>
      </c>
    </row>
    <row r="48" spans="1:47" ht="14.5" x14ac:dyDescent="0.35">
      <c r="A48" s="76">
        <f t="shared" si="31"/>
        <v>45352</v>
      </c>
      <c r="B48" s="8">
        <f t="shared" si="5"/>
        <v>21</v>
      </c>
      <c r="C48" s="11">
        <f t="shared" si="6"/>
        <v>3461.18</v>
      </c>
      <c r="D48" s="11">
        <f t="shared" si="7"/>
        <v>737.90532278983756</v>
      </c>
      <c r="E48" s="11">
        <f t="shared" si="8"/>
        <v>2723.2746772101623</v>
      </c>
      <c r="F48" s="9">
        <f t="shared" si="18"/>
        <v>385542.19073538925</v>
      </c>
      <c r="G48" s="10">
        <f t="shared" si="9"/>
        <v>6.7599999999999993E-2</v>
      </c>
      <c r="H48" s="10">
        <f t="shared" si="10"/>
        <v>1.7000000000000001E-2</v>
      </c>
      <c r="I48" s="49">
        <f t="shared" si="11"/>
        <v>8.4599999999999995E-2</v>
      </c>
      <c r="J48" s="11">
        <f t="shared" si="12"/>
        <v>20</v>
      </c>
      <c r="K48" s="11">
        <f>IF(B48&lt;&gt;"",IF($B$16=listy!$K$8,'RZĄDOWY PROGRAM'!$F$3*'RZĄDOWY PROGRAM'!$F$15,F47*$F$15),"")</f>
        <v>50</v>
      </c>
      <c r="L48" s="11">
        <f t="shared" si="19"/>
        <v>70</v>
      </c>
      <c r="N48" s="55">
        <f t="shared" si="32"/>
        <v>45352</v>
      </c>
      <c r="O48" s="8">
        <f t="shared" si="20"/>
        <v>21</v>
      </c>
      <c r="P48" s="8"/>
      <c r="Q48" s="33">
        <f>IF(O48&lt;&gt;"",ROUND(IF($F$11="raty równe",-PMT(W48/12,$F$4-O47+SUM($P$28:P48),T47,2),R48+S48),2),"")</f>
        <v>3461.18</v>
      </c>
      <c r="R48" s="11">
        <f>IF(O48&lt;&gt;"",IF($F$11="raty malejące",T47/($F$4-O47+SUM($P$28:P48)),IF(Q48-S48&gt;T47,T47,Q48-S48)),"")</f>
        <v>697.57735304820881</v>
      </c>
      <c r="S48" s="11">
        <f t="shared" si="34"/>
        <v>2763.602646951791</v>
      </c>
      <c r="T48" s="9">
        <f t="shared" si="21"/>
        <v>391302.7981011066</v>
      </c>
      <c r="U48" s="10">
        <f t="shared" si="13"/>
        <v>6.7599999999999993E-2</v>
      </c>
      <c r="V48" s="10">
        <f t="shared" si="14"/>
        <v>1.7000000000000001E-2</v>
      </c>
      <c r="W48" s="49">
        <f t="shared" si="22"/>
        <v>8.4599999999999995E-2</v>
      </c>
      <c r="X48" s="11">
        <f t="shared" si="15"/>
        <v>20</v>
      </c>
      <c r="Y48" s="11">
        <f>IF(O48&lt;&gt;"",IF($B$16=listy!$K$8,'RZĄDOWY PROGRAM'!$F$3*'RZĄDOWY PROGRAM'!$F$15,T47*$F$15),"")</f>
        <v>50</v>
      </c>
      <c r="Z48" s="11">
        <f t="shared" si="23"/>
        <v>70</v>
      </c>
      <c r="AB48" s="8">
        <f t="shared" si="24"/>
        <v>21</v>
      </c>
      <c r="AC48" s="8"/>
      <c r="AD48" s="33">
        <f>IF(AB48&lt;&gt;"",ROUND(IF($F$11="raty równe",-PMT(W48/12,$F$4-AB47+SUM($AC$28:AC48),AG47,2),AE48+AF48),2),"")</f>
        <v>3227.69</v>
      </c>
      <c r="AE48" s="11">
        <f>IF(AB48&lt;&gt;"",IF($F$11="raty malejące",AG47/($F$4-AB47+SUM($AC$28:AC47)),MIN(AD48-AF48,AG47)),"")</f>
        <v>650.51249386254904</v>
      </c>
      <c r="AF48" s="11">
        <f t="shared" si="35"/>
        <v>2577.177506137451</v>
      </c>
      <c r="AG48" s="9">
        <f t="shared" si="33"/>
        <v>364906.58057527948</v>
      </c>
      <c r="AH48" s="11"/>
      <c r="AI48" s="33">
        <f>IF(AB48&lt;&gt;"",ROUND(IF($F$11="raty równe",-PMT(W48/12,($F$4-AB47+SUM($AC$27:AC47)),AG47,2),AG47/($F$4-AB47+SUM($AC$27:AC47))+AG47*W48/12),2),"")</f>
        <v>3227.69</v>
      </c>
      <c r="AJ48" s="33">
        <f t="shared" si="25"/>
        <v>233.48999999999978</v>
      </c>
      <c r="AK48" s="33">
        <f t="shared" si="26"/>
        <v>3307.2611320625451</v>
      </c>
      <c r="AL48" s="33">
        <f>IF(AB48&lt;&gt;"",AK48-SUM($AJ$28:AJ48),"")</f>
        <v>79.171132062547713</v>
      </c>
      <c r="AM48" s="11">
        <f t="shared" si="27"/>
        <v>20</v>
      </c>
      <c r="AN48" s="11">
        <f>IF(AB48&lt;&gt;"",IF($B$16=listy!$K$8,'RZĄDOWY PROGRAM'!$F$3*'RZĄDOWY PROGRAM'!$F$15,AG47*$F$15),"")</f>
        <v>50</v>
      </c>
      <c r="AO48" s="11">
        <f t="shared" si="28"/>
        <v>70</v>
      </c>
      <c r="AQ48" s="49">
        <f t="shared" si="16"/>
        <v>0.05</v>
      </c>
      <c r="AR48" s="18">
        <f t="shared" si="17"/>
        <v>4.0741237836483535E-3</v>
      </c>
      <c r="AS48" s="11">
        <f t="shared" si="29"/>
        <v>0</v>
      </c>
      <c r="AT48" s="11">
        <f t="shared" si="30"/>
        <v>28976.552425241087</v>
      </c>
      <c r="AU48" s="11">
        <f>IF(AB48&lt;&gt;"",AT48-SUM($AS$28:AS48),"")</f>
        <v>1287.1124252410882</v>
      </c>
    </row>
    <row r="49" spans="1:47" ht="14.5" x14ac:dyDescent="0.35">
      <c r="A49" s="76">
        <f t="shared" si="31"/>
        <v>45383</v>
      </c>
      <c r="B49" s="8">
        <f t="shared" si="5"/>
        <v>22</v>
      </c>
      <c r="C49" s="11">
        <f t="shared" si="6"/>
        <v>3461.18</v>
      </c>
      <c r="D49" s="11">
        <f t="shared" si="7"/>
        <v>743.10755531550603</v>
      </c>
      <c r="E49" s="11">
        <f t="shared" si="8"/>
        <v>2718.0724446844938</v>
      </c>
      <c r="F49" s="9">
        <f t="shared" si="18"/>
        <v>384799.08318007377</v>
      </c>
      <c r="G49" s="10">
        <f t="shared" si="9"/>
        <v>6.7599999999999993E-2</v>
      </c>
      <c r="H49" s="10">
        <f t="shared" si="10"/>
        <v>1.7000000000000001E-2</v>
      </c>
      <c r="I49" s="49">
        <f t="shared" si="11"/>
        <v>8.4599999999999995E-2</v>
      </c>
      <c r="J49" s="11">
        <f t="shared" si="12"/>
        <v>20</v>
      </c>
      <c r="K49" s="11">
        <f>IF(B49&lt;&gt;"",IF($B$16=listy!$K$8,'RZĄDOWY PROGRAM'!$F$3*'RZĄDOWY PROGRAM'!$F$15,F48*$F$15),"")</f>
        <v>50</v>
      </c>
      <c r="L49" s="11">
        <f t="shared" si="19"/>
        <v>70</v>
      </c>
      <c r="N49" s="55">
        <f t="shared" si="32"/>
        <v>45383</v>
      </c>
      <c r="O49" s="8">
        <f t="shared" si="20"/>
        <v>22</v>
      </c>
      <c r="P49" s="8"/>
      <c r="Q49" s="33">
        <f>IF(O49&lt;&gt;"",ROUND(IF($F$11="raty równe",-PMT(W49/12,$F$4-O48+SUM($P$28:P49),T48,2),R49+S49),2),"")</f>
        <v>3461.18</v>
      </c>
      <c r="R49" s="11">
        <f>IF(O49&lt;&gt;"",IF($F$11="raty malejące",T48/($F$4-O48+SUM($P$28:P49)),IF(Q49-S49&gt;T48,T48,Q49-S49)),"")</f>
        <v>702.49527338719872</v>
      </c>
      <c r="S49" s="11">
        <f t="shared" si="34"/>
        <v>2758.6847266128011</v>
      </c>
      <c r="T49" s="9">
        <f t="shared" si="21"/>
        <v>390600.30282771942</v>
      </c>
      <c r="U49" s="10">
        <f t="shared" si="13"/>
        <v>6.7599999999999993E-2</v>
      </c>
      <c r="V49" s="10">
        <f t="shared" si="14"/>
        <v>1.7000000000000001E-2</v>
      </c>
      <c r="W49" s="49">
        <f t="shared" si="22"/>
        <v>8.4599999999999995E-2</v>
      </c>
      <c r="X49" s="11">
        <f t="shared" si="15"/>
        <v>20</v>
      </c>
      <c r="Y49" s="11">
        <f>IF(O49&lt;&gt;"",IF($B$16=listy!$K$8,'RZĄDOWY PROGRAM'!$F$3*'RZĄDOWY PROGRAM'!$F$15,T48*$F$15),"")</f>
        <v>50</v>
      </c>
      <c r="Z49" s="11">
        <f t="shared" si="23"/>
        <v>70</v>
      </c>
      <c r="AB49" s="8">
        <f t="shared" si="24"/>
        <v>22</v>
      </c>
      <c r="AC49" s="8"/>
      <c r="AD49" s="33">
        <f>IF(AB49&lt;&gt;"",ROUND(IF($F$11="raty równe",-PMT(W49/12,$F$4-AB48+SUM($AC$28:AC49),AG48,2),AE49+AF49),2),"")</f>
        <v>3227.69</v>
      </c>
      <c r="AE49" s="11">
        <f>IF(AB49&lt;&gt;"",IF($F$11="raty malejące",AG48/($F$4-AB48+SUM($AC$28:AC48)),MIN(AD49-AF49,AG48)),"")</f>
        <v>655.09860694427971</v>
      </c>
      <c r="AF49" s="11">
        <f t="shared" si="35"/>
        <v>2572.5913930557203</v>
      </c>
      <c r="AG49" s="9">
        <f t="shared" si="33"/>
        <v>364251.48196833523</v>
      </c>
      <c r="AH49" s="11"/>
      <c r="AI49" s="33">
        <f>IF(AB49&lt;&gt;"",ROUND(IF($F$11="raty równe",-PMT(W49/12,($F$4-AB48+SUM($AC$27:AC48)),AG48,2),AG48/($F$4-AB48+SUM($AC$27:AC48))+AG48*W49/12),2),"")</f>
        <v>3227.69</v>
      </c>
      <c r="AJ49" s="33">
        <f t="shared" si="25"/>
        <v>233.48999999999978</v>
      </c>
      <c r="AK49" s="33">
        <f t="shared" si="26"/>
        <v>3551.665226964411</v>
      </c>
      <c r="AL49" s="33">
        <f>IF(AB49&lt;&gt;"",AK49-SUM($AJ$28:AJ49),"")</f>
        <v>90.085226964413778</v>
      </c>
      <c r="AM49" s="11">
        <f t="shared" si="27"/>
        <v>20</v>
      </c>
      <c r="AN49" s="11">
        <f>IF(AB49&lt;&gt;"",IF($B$16=listy!$K$8,'RZĄDOWY PROGRAM'!$F$3*'RZĄDOWY PROGRAM'!$F$15,AG48*$F$15),"")</f>
        <v>50</v>
      </c>
      <c r="AO49" s="11">
        <f t="shared" si="28"/>
        <v>70</v>
      </c>
      <c r="AQ49" s="49">
        <f t="shared" si="16"/>
        <v>0.05</v>
      </c>
      <c r="AR49" s="18">
        <f t="shared" si="17"/>
        <v>4.0741237836483535E-3</v>
      </c>
      <c r="AS49" s="11">
        <f t="shared" si="29"/>
        <v>0</v>
      </c>
      <c r="AT49" s="11">
        <f t="shared" si="30"/>
        <v>29072.176214978172</v>
      </c>
      <c r="AU49" s="11">
        <f>IF(AB49&lt;&gt;"",AT49-SUM($AS$28:AS49),"")</f>
        <v>1382.7362149781729</v>
      </c>
    </row>
    <row r="50" spans="1:47" ht="14.5" x14ac:dyDescent="0.35">
      <c r="A50" s="76">
        <f t="shared" si="31"/>
        <v>45413</v>
      </c>
      <c r="B50" s="8">
        <f t="shared" si="5"/>
        <v>23</v>
      </c>
      <c r="C50" s="11">
        <f t="shared" si="6"/>
        <v>3461.18</v>
      </c>
      <c r="D50" s="11">
        <f t="shared" si="7"/>
        <v>748.34646358047985</v>
      </c>
      <c r="E50" s="11">
        <f t="shared" si="8"/>
        <v>2712.83353641952</v>
      </c>
      <c r="F50" s="9">
        <f t="shared" si="18"/>
        <v>384050.73671649327</v>
      </c>
      <c r="G50" s="10">
        <f t="shared" si="9"/>
        <v>6.7599999999999993E-2</v>
      </c>
      <c r="H50" s="10">
        <f t="shared" si="10"/>
        <v>1.7000000000000001E-2</v>
      </c>
      <c r="I50" s="49">
        <f t="shared" si="11"/>
        <v>8.4599999999999995E-2</v>
      </c>
      <c r="J50" s="11">
        <f t="shared" si="12"/>
        <v>20</v>
      </c>
      <c r="K50" s="11">
        <f>IF(B50&lt;&gt;"",IF($B$16=listy!$K$8,'RZĄDOWY PROGRAM'!$F$3*'RZĄDOWY PROGRAM'!$F$15,F49*$F$15),"")</f>
        <v>50</v>
      </c>
      <c r="L50" s="11">
        <f t="shared" si="19"/>
        <v>70</v>
      </c>
      <c r="N50" s="55">
        <f t="shared" si="32"/>
        <v>45413</v>
      </c>
      <c r="O50" s="8">
        <f t="shared" si="20"/>
        <v>23</v>
      </c>
      <c r="P50" s="8"/>
      <c r="Q50" s="33">
        <f>IF(O50&lt;&gt;"",ROUND(IF($F$11="raty równe",-PMT(W50/12,$F$4-O49+SUM($P$28:P50),T49,2),R50+S50),2),"")</f>
        <v>3461.18</v>
      </c>
      <c r="R50" s="11">
        <f>IF(O50&lt;&gt;"",IF($F$11="raty malejące",T49/($F$4-O49+SUM($P$28:P50)),IF(Q50-S50&gt;T49,T49,Q50-S50)),"")</f>
        <v>707.44786506457785</v>
      </c>
      <c r="S50" s="11">
        <f t="shared" si="34"/>
        <v>2753.732134935422</v>
      </c>
      <c r="T50" s="9">
        <f t="shared" si="21"/>
        <v>389892.85496265482</v>
      </c>
      <c r="U50" s="10">
        <f t="shared" si="13"/>
        <v>6.7599999999999993E-2</v>
      </c>
      <c r="V50" s="10">
        <f t="shared" si="14"/>
        <v>1.7000000000000001E-2</v>
      </c>
      <c r="W50" s="49">
        <f t="shared" si="22"/>
        <v>8.4599999999999995E-2</v>
      </c>
      <c r="X50" s="11">
        <f t="shared" si="15"/>
        <v>20</v>
      </c>
      <c r="Y50" s="11">
        <f>IF(O50&lt;&gt;"",IF($B$16=listy!$K$8,'RZĄDOWY PROGRAM'!$F$3*'RZĄDOWY PROGRAM'!$F$15,T49*$F$15),"")</f>
        <v>50</v>
      </c>
      <c r="Z50" s="11">
        <f t="shared" si="23"/>
        <v>70</v>
      </c>
      <c r="AB50" s="8">
        <f t="shared" si="24"/>
        <v>23</v>
      </c>
      <c r="AC50" s="8"/>
      <c r="AD50" s="33">
        <f>IF(AB50&lt;&gt;"",ROUND(IF($F$11="raty równe",-PMT(W50/12,$F$4-AB49+SUM($AC$28:AC50),AG49,2),AE50+AF50),2),"")</f>
        <v>3227.69</v>
      </c>
      <c r="AE50" s="11">
        <f>IF(AB50&lt;&gt;"",IF($F$11="raty malejące",AG49/($F$4-AB49+SUM($AC$28:AC49)),MIN(AD50-AF50,AG49)),"")</f>
        <v>659.71705212323695</v>
      </c>
      <c r="AF50" s="11">
        <f t="shared" si="35"/>
        <v>2567.9729478767631</v>
      </c>
      <c r="AG50" s="9">
        <f t="shared" si="33"/>
        <v>363591.76491621201</v>
      </c>
      <c r="AH50" s="11"/>
      <c r="AI50" s="33">
        <f>IF(AB50&lt;&gt;"",ROUND(IF($F$11="raty równe",-PMT(W50/12,($F$4-AB49+SUM($AC$27:AC49)),AG49,2),AG49/($F$4-AB49+SUM($AC$27:AC49))+AG49*W50/12),2),"")</f>
        <v>3227.69</v>
      </c>
      <c r="AJ50" s="33">
        <f t="shared" si="25"/>
        <v>233.48999999999978</v>
      </c>
      <c r="AK50" s="33">
        <f t="shared" si="26"/>
        <v>3796.8758652203242</v>
      </c>
      <c r="AL50" s="33">
        <f>IF(AB50&lt;&gt;"",AK50-SUM($AJ$28:AJ50),"")</f>
        <v>101.80586522032718</v>
      </c>
      <c r="AM50" s="11">
        <f t="shared" si="27"/>
        <v>20</v>
      </c>
      <c r="AN50" s="11">
        <f>IF(AB50&lt;&gt;"",IF($B$16=listy!$K$8,'RZĄDOWY PROGRAM'!$F$3*'RZĄDOWY PROGRAM'!$F$15,AG49*$F$15),"")</f>
        <v>50</v>
      </c>
      <c r="AO50" s="11">
        <f t="shared" si="28"/>
        <v>70</v>
      </c>
      <c r="AQ50" s="49">
        <f t="shared" si="16"/>
        <v>0.05</v>
      </c>
      <c r="AR50" s="18">
        <f t="shared" si="17"/>
        <v>4.0741237836483535E-3</v>
      </c>
      <c r="AS50" s="11">
        <f t="shared" si="29"/>
        <v>0</v>
      </c>
      <c r="AT50" s="11">
        <f t="shared" si="30"/>
        <v>29168.115567071658</v>
      </c>
      <c r="AU50" s="11">
        <f>IF(AB50&lt;&gt;"",AT50-SUM($AS$28:AS50),"")</f>
        <v>1478.6755670716593</v>
      </c>
    </row>
    <row r="51" spans="1:47" ht="14.5" x14ac:dyDescent="0.35">
      <c r="A51" s="76">
        <f t="shared" si="31"/>
        <v>45444</v>
      </c>
      <c r="B51" s="8">
        <f t="shared" si="5"/>
        <v>24</v>
      </c>
      <c r="C51" s="11">
        <f t="shared" si="6"/>
        <v>3461.18</v>
      </c>
      <c r="D51" s="11">
        <f t="shared" si="7"/>
        <v>753.6223061487226</v>
      </c>
      <c r="E51" s="11">
        <f t="shared" si="8"/>
        <v>2707.5576938512772</v>
      </c>
      <c r="F51" s="9">
        <f t="shared" si="18"/>
        <v>383297.11441034457</v>
      </c>
      <c r="G51" s="10">
        <f t="shared" si="9"/>
        <v>6.7599999999999993E-2</v>
      </c>
      <c r="H51" s="10">
        <f t="shared" si="10"/>
        <v>1.7000000000000001E-2</v>
      </c>
      <c r="I51" s="49">
        <f t="shared" si="11"/>
        <v>8.4599999999999995E-2</v>
      </c>
      <c r="J51" s="11">
        <f t="shared" si="12"/>
        <v>20</v>
      </c>
      <c r="K51" s="11">
        <f>IF(B51&lt;&gt;"",IF($B$16=listy!$K$8,'RZĄDOWY PROGRAM'!$F$3*'RZĄDOWY PROGRAM'!$F$15,F50*$F$15),"")</f>
        <v>50</v>
      </c>
      <c r="L51" s="11">
        <f t="shared" si="19"/>
        <v>70</v>
      </c>
      <c r="N51" s="55">
        <f t="shared" si="32"/>
        <v>45444</v>
      </c>
      <c r="O51" s="8">
        <f t="shared" si="20"/>
        <v>24</v>
      </c>
      <c r="P51" s="8"/>
      <c r="Q51" s="33">
        <f>IF(O51&lt;&gt;"",ROUND(IF($F$11="raty równe",-PMT(W51/12,$F$4-O50+SUM($P$28:P51),T50,2),R51+S51),2),"")</f>
        <v>3461.18</v>
      </c>
      <c r="R51" s="11">
        <f>IF(O51&lt;&gt;"",IF($F$11="raty malejące",T50/($F$4-O50+SUM($P$28:P51)),IF(Q51-S51&gt;T50,T50,Q51-S51)),"")</f>
        <v>712.43537251328371</v>
      </c>
      <c r="S51" s="11">
        <f t="shared" si="34"/>
        <v>2748.7446274867161</v>
      </c>
      <c r="T51" s="9">
        <f t="shared" si="21"/>
        <v>389180.41959014151</v>
      </c>
      <c r="U51" s="10">
        <f t="shared" si="13"/>
        <v>6.7599999999999993E-2</v>
      </c>
      <c r="V51" s="10">
        <f t="shared" si="14"/>
        <v>1.7000000000000001E-2</v>
      </c>
      <c r="W51" s="49">
        <f t="shared" si="22"/>
        <v>8.4599999999999995E-2</v>
      </c>
      <c r="X51" s="11">
        <f t="shared" si="15"/>
        <v>20</v>
      </c>
      <c r="Y51" s="11">
        <f>IF(O51&lt;&gt;"",IF($B$16=listy!$K$8,'RZĄDOWY PROGRAM'!$F$3*'RZĄDOWY PROGRAM'!$F$15,T50*$F$15),"")</f>
        <v>50</v>
      </c>
      <c r="Z51" s="11">
        <f t="shared" si="23"/>
        <v>70</v>
      </c>
      <c r="AB51" s="8">
        <f t="shared" si="24"/>
        <v>24</v>
      </c>
      <c r="AC51" s="8"/>
      <c r="AD51" s="33">
        <f>IF(AB51&lt;&gt;"",ROUND(IF($F$11="raty równe",-PMT(W51/12,$F$4-AB50+SUM($AC$28:AC51),AG50,2),AE51+AF51),2),"")</f>
        <v>3227.69</v>
      </c>
      <c r="AE51" s="11">
        <f>IF(AB51&lt;&gt;"",IF($F$11="raty malejące",AG50/($F$4-AB50+SUM($AC$28:AC50)),MIN(AD51-AF51,AG50)),"")</f>
        <v>664.36805734070549</v>
      </c>
      <c r="AF51" s="11">
        <f t="shared" si="35"/>
        <v>2563.3219426592946</v>
      </c>
      <c r="AG51" s="9">
        <f t="shared" si="33"/>
        <v>362927.39685887127</v>
      </c>
      <c r="AH51" s="11"/>
      <c r="AI51" s="33">
        <f>IF(AB51&lt;&gt;"",ROUND(IF($F$11="raty równe",-PMT(W51/12,($F$4-AB50+SUM($AC$27:AC50)),AG50,2),AG50/($F$4-AB50+SUM($AC$27:AC50))+AG50*W51/12),2),"")</f>
        <v>3227.69</v>
      </c>
      <c r="AJ51" s="33">
        <f t="shared" si="25"/>
        <v>233.48999999999978</v>
      </c>
      <c r="AK51" s="33">
        <f t="shared" si="26"/>
        <v>4042.8957084558283</v>
      </c>
      <c r="AL51" s="33">
        <f>IF(AB51&lt;&gt;"",AK51-SUM($AJ$28:AJ51),"")</f>
        <v>114.33570845583154</v>
      </c>
      <c r="AM51" s="11">
        <f t="shared" si="27"/>
        <v>20</v>
      </c>
      <c r="AN51" s="11">
        <f>IF(AB51&lt;&gt;"",IF($B$16=listy!$K$8,'RZĄDOWY PROGRAM'!$F$3*'RZĄDOWY PROGRAM'!$F$15,AG50*$F$15),"")</f>
        <v>50</v>
      </c>
      <c r="AO51" s="11">
        <f t="shared" si="28"/>
        <v>70</v>
      </c>
      <c r="AQ51" s="49">
        <f t="shared" si="16"/>
        <v>0.05</v>
      </c>
      <c r="AR51" s="18">
        <f t="shared" si="17"/>
        <v>4.0741237836483535E-3</v>
      </c>
      <c r="AS51" s="11">
        <f t="shared" si="29"/>
        <v>0</v>
      </c>
      <c r="AT51" s="11">
        <f t="shared" si="30"/>
        <v>29264.371522890026</v>
      </c>
      <c r="AU51" s="11">
        <f>IF(AB51&lt;&gt;"",AT51-SUM($AS$28:AS51),"")</f>
        <v>1574.9315228900268</v>
      </c>
    </row>
    <row r="52" spans="1:47" ht="14.5" x14ac:dyDescent="0.35">
      <c r="A52" s="76">
        <f t="shared" si="31"/>
        <v>45474</v>
      </c>
      <c r="B52" s="8">
        <f t="shared" si="5"/>
        <v>25</v>
      </c>
      <c r="C52" s="11">
        <f t="shared" si="6"/>
        <v>3461.18</v>
      </c>
      <c r="D52" s="11">
        <f t="shared" si="7"/>
        <v>758.93534340707083</v>
      </c>
      <c r="E52" s="11">
        <f t="shared" si="8"/>
        <v>2702.244656592929</v>
      </c>
      <c r="F52" s="9">
        <f t="shared" si="18"/>
        <v>382538.17906693747</v>
      </c>
      <c r="G52" s="10">
        <f t="shared" si="9"/>
        <v>6.7599999999999993E-2</v>
      </c>
      <c r="H52" s="10">
        <f t="shared" si="10"/>
        <v>1.7000000000000001E-2</v>
      </c>
      <c r="I52" s="49">
        <f t="shared" si="11"/>
        <v>8.4599999999999995E-2</v>
      </c>
      <c r="J52" s="11">
        <f t="shared" si="12"/>
        <v>20</v>
      </c>
      <c r="K52" s="11">
        <f>IF(B52&lt;&gt;"",IF($B$16=listy!$K$8,'RZĄDOWY PROGRAM'!$F$3*'RZĄDOWY PROGRAM'!$F$15,F51*$F$15),"")</f>
        <v>50</v>
      </c>
      <c r="L52" s="11">
        <f t="shared" si="19"/>
        <v>70</v>
      </c>
      <c r="N52" s="55">
        <f t="shared" si="32"/>
        <v>45474</v>
      </c>
      <c r="O52" s="8">
        <f t="shared" si="20"/>
        <v>25</v>
      </c>
      <c r="P52" s="8"/>
      <c r="Q52" s="33">
        <f>IF(O52&lt;&gt;"",ROUND(IF($F$11="raty równe",-PMT(W52/12,$F$4-O51+SUM($P$28:P52),T51,2),R52+S52),2),"")</f>
        <v>3461.18</v>
      </c>
      <c r="R52" s="11">
        <f>IF(O52&lt;&gt;"",IF($F$11="raty malejące",T51/($F$4-O51+SUM($P$28:P52)),IF(Q52-S52&gt;T51,T51,Q52-S52)),"")</f>
        <v>717.45804188950206</v>
      </c>
      <c r="S52" s="11">
        <f t="shared" si="34"/>
        <v>2743.7219581104978</v>
      </c>
      <c r="T52" s="9">
        <f t="shared" si="21"/>
        <v>388462.96154825203</v>
      </c>
      <c r="U52" s="10">
        <f t="shared" si="13"/>
        <v>6.7599999999999993E-2</v>
      </c>
      <c r="V52" s="10">
        <f t="shared" si="14"/>
        <v>1.7000000000000001E-2</v>
      </c>
      <c r="W52" s="49">
        <f t="shared" si="22"/>
        <v>8.4599999999999995E-2</v>
      </c>
      <c r="X52" s="11">
        <f t="shared" si="15"/>
        <v>20</v>
      </c>
      <c r="Y52" s="11">
        <f>IF(O52&lt;&gt;"",IF($B$16=listy!$K$8,'RZĄDOWY PROGRAM'!$F$3*'RZĄDOWY PROGRAM'!$F$15,T51*$F$15),"")</f>
        <v>50</v>
      </c>
      <c r="Z52" s="11">
        <f t="shared" si="23"/>
        <v>70</v>
      </c>
      <c r="AB52" s="8">
        <f t="shared" si="24"/>
        <v>25</v>
      </c>
      <c r="AC52" s="8"/>
      <c r="AD52" s="33">
        <f>IF(AB52&lt;&gt;"",ROUND(IF($F$11="raty równe",-PMT(W52/12,$F$4-AB51+SUM($AC$28:AC52),AG51,2),AE52+AF52),2),"")</f>
        <v>3227.69</v>
      </c>
      <c r="AE52" s="11">
        <f>IF(AB52&lt;&gt;"",IF($F$11="raty malejące",AG51/($F$4-AB51+SUM($AC$28:AC51)),MIN(AD52-AF52,AG51)),"")</f>
        <v>669.05185214495759</v>
      </c>
      <c r="AF52" s="11">
        <f t="shared" si="35"/>
        <v>2558.6381478550425</v>
      </c>
      <c r="AG52" s="9">
        <f t="shared" si="33"/>
        <v>362258.34500672633</v>
      </c>
      <c r="AH52" s="11"/>
      <c r="AI52" s="33">
        <f>IF(AB52&lt;&gt;"",ROUND(IF($F$11="raty równe",-PMT(W52/12,($F$4-AB51+SUM($AC$27:AC51)),AG51,2),AG51/($F$4-AB51+SUM($AC$27:AC51))+AG51*W52/12),2),"")</f>
        <v>3227.69</v>
      </c>
      <c r="AJ52" s="33">
        <f t="shared" si="25"/>
        <v>233.48999999999978</v>
      </c>
      <c r="AK52" s="33">
        <f t="shared" si="26"/>
        <v>4289.727427079938</v>
      </c>
      <c r="AL52" s="33">
        <f>IF(AB52&lt;&gt;"",AK52-SUM($AJ$28:AJ52),"")</f>
        <v>127.67742707994148</v>
      </c>
      <c r="AM52" s="11">
        <f t="shared" si="27"/>
        <v>20</v>
      </c>
      <c r="AN52" s="11">
        <f>IF(AB52&lt;&gt;"",IF($B$16=listy!$K$8,'RZĄDOWY PROGRAM'!$F$3*'RZĄDOWY PROGRAM'!$F$15,AG51*$F$15),"")</f>
        <v>50</v>
      </c>
      <c r="AO52" s="11">
        <f t="shared" si="28"/>
        <v>70</v>
      </c>
      <c r="AQ52" s="49">
        <f t="shared" si="16"/>
        <v>0.05</v>
      </c>
      <c r="AR52" s="18">
        <f t="shared" si="17"/>
        <v>4.0741237836483535E-3</v>
      </c>
      <c r="AS52" s="11">
        <f t="shared" si="29"/>
        <v>0</v>
      </c>
      <c r="AT52" s="11">
        <f t="shared" si="30"/>
        <v>29360.945127238316</v>
      </c>
      <c r="AU52" s="11">
        <f>IF(AB52&lt;&gt;"",AT52-SUM($AS$28:AS52),"")</f>
        <v>1671.5051272383171</v>
      </c>
    </row>
    <row r="53" spans="1:47" ht="14.5" x14ac:dyDescent="0.35">
      <c r="A53" s="76">
        <f t="shared" si="31"/>
        <v>45505</v>
      </c>
      <c r="B53" s="8">
        <f t="shared" si="5"/>
        <v>26</v>
      </c>
      <c r="C53" s="11">
        <f t="shared" si="6"/>
        <v>3461.18</v>
      </c>
      <c r="D53" s="11">
        <f t="shared" si="7"/>
        <v>764.28583757809065</v>
      </c>
      <c r="E53" s="11">
        <f t="shared" si="8"/>
        <v>2696.8941624219092</v>
      </c>
      <c r="F53" s="9">
        <f t="shared" si="18"/>
        <v>381773.89322935941</v>
      </c>
      <c r="G53" s="10">
        <f t="shared" si="9"/>
        <v>6.7599999999999993E-2</v>
      </c>
      <c r="H53" s="10">
        <f t="shared" si="10"/>
        <v>1.7000000000000001E-2</v>
      </c>
      <c r="I53" s="49">
        <f t="shared" si="11"/>
        <v>8.4599999999999995E-2</v>
      </c>
      <c r="J53" s="11">
        <f t="shared" si="12"/>
        <v>20</v>
      </c>
      <c r="K53" s="11">
        <f>IF(B53&lt;&gt;"",IF($B$16=listy!$K$8,'RZĄDOWY PROGRAM'!$F$3*'RZĄDOWY PROGRAM'!$F$15,F52*$F$15),"")</f>
        <v>50</v>
      </c>
      <c r="L53" s="11">
        <f t="shared" si="19"/>
        <v>70</v>
      </c>
      <c r="N53" s="55">
        <f t="shared" si="32"/>
        <v>45505</v>
      </c>
      <c r="O53" s="8">
        <f t="shared" si="20"/>
        <v>26</v>
      </c>
      <c r="P53" s="8"/>
      <c r="Q53" s="33">
        <f>IF(O53&lt;&gt;"",ROUND(IF($F$11="raty równe",-PMT(W53/12,$F$4-O52+SUM($P$28:P53),T52,2),R53+S53),2),"")</f>
        <v>3461.18</v>
      </c>
      <c r="R53" s="11">
        <f>IF(O53&lt;&gt;"",IF($F$11="raty malejące",T52/($F$4-O52+SUM($P$28:P53)),IF(Q53-S53&gt;T52,T52,Q53-S53)),"")</f>
        <v>722.51612108482323</v>
      </c>
      <c r="S53" s="11">
        <f t="shared" si="34"/>
        <v>2738.6638789151766</v>
      </c>
      <c r="T53" s="9">
        <f t="shared" si="21"/>
        <v>387740.44542716723</v>
      </c>
      <c r="U53" s="10">
        <f t="shared" si="13"/>
        <v>6.7599999999999993E-2</v>
      </c>
      <c r="V53" s="10">
        <f t="shared" si="14"/>
        <v>1.7000000000000001E-2</v>
      </c>
      <c r="W53" s="49">
        <f t="shared" si="22"/>
        <v>8.4599999999999995E-2</v>
      </c>
      <c r="X53" s="11">
        <f t="shared" si="15"/>
        <v>20</v>
      </c>
      <c r="Y53" s="11">
        <f>IF(O53&lt;&gt;"",IF($B$16=listy!$K$8,'RZĄDOWY PROGRAM'!$F$3*'RZĄDOWY PROGRAM'!$F$15,T52*$F$15),"")</f>
        <v>50</v>
      </c>
      <c r="Z53" s="11">
        <f t="shared" si="23"/>
        <v>70</v>
      </c>
      <c r="AB53" s="8">
        <f t="shared" si="24"/>
        <v>26</v>
      </c>
      <c r="AC53" s="8"/>
      <c r="AD53" s="33">
        <f>IF(AB53&lt;&gt;"",ROUND(IF($F$11="raty równe",-PMT(W53/12,$F$4-AB52+SUM($AC$28:AC53),AG52,2),AE53+AF53),2),"")</f>
        <v>3227.69</v>
      </c>
      <c r="AE53" s="11">
        <f>IF(AB53&lt;&gt;"",IF($F$11="raty malejące",AG52/($F$4-AB52+SUM($AC$28:AC52)),MIN(AD53-AF53,AG52)),"")</f>
        <v>673.76866770257948</v>
      </c>
      <c r="AF53" s="11">
        <f t="shared" si="35"/>
        <v>2553.9213322974206</v>
      </c>
      <c r="AG53" s="9">
        <f t="shared" si="33"/>
        <v>361584.57633902377</v>
      </c>
      <c r="AH53" s="11"/>
      <c r="AI53" s="33">
        <f>IF(AB53&lt;&gt;"",ROUND(IF($F$11="raty równe",-PMT(W53/12,($F$4-AB52+SUM($AC$27:AC52)),AG52,2),AG52/($F$4-AB52+SUM($AC$27:AC52))+AG52*W53/12),2),"")</f>
        <v>3227.69</v>
      </c>
      <c r="AJ53" s="33">
        <f t="shared" si="25"/>
        <v>233.48999999999978</v>
      </c>
      <c r="AK53" s="33">
        <f t="shared" si="26"/>
        <v>4537.3737003141259</v>
      </c>
      <c r="AL53" s="33">
        <f>IF(AB53&lt;&gt;"",AK53-SUM($AJ$28:AJ53),"")</f>
        <v>141.8337003141296</v>
      </c>
      <c r="AM53" s="11">
        <f t="shared" si="27"/>
        <v>20</v>
      </c>
      <c r="AN53" s="11">
        <f>IF(AB53&lt;&gt;"",IF($B$16=listy!$K$8,'RZĄDOWY PROGRAM'!$F$3*'RZĄDOWY PROGRAM'!$F$15,AG52*$F$15),"")</f>
        <v>50</v>
      </c>
      <c r="AO53" s="11">
        <f t="shared" si="28"/>
        <v>70</v>
      </c>
      <c r="AQ53" s="49">
        <f t="shared" si="16"/>
        <v>0.05</v>
      </c>
      <c r="AR53" s="18">
        <f t="shared" si="17"/>
        <v>4.0741237836483535E-3</v>
      </c>
      <c r="AS53" s="11">
        <f t="shared" si="29"/>
        <v>0</v>
      </c>
      <c r="AT53" s="11">
        <f t="shared" si="30"/>
        <v>29457.837428369468</v>
      </c>
      <c r="AU53" s="11">
        <f>IF(AB53&lt;&gt;"",AT53-SUM($AS$28:AS53),"")</f>
        <v>1768.3974283694697</v>
      </c>
    </row>
    <row r="54" spans="1:47" ht="14.5" x14ac:dyDescent="0.35">
      <c r="A54" s="76">
        <f t="shared" si="31"/>
        <v>45536</v>
      </c>
      <c r="B54" s="8">
        <f t="shared" si="5"/>
        <v>27</v>
      </c>
      <c r="C54" s="11">
        <f t="shared" si="6"/>
        <v>3461.18</v>
      </c>
      <c r="D54" s="11">
        <f t="shared" si="7"/>
        <v>769.6740527330162</v>
      </c>
      <c r="E54" s="11">
        <f t="shared" si="8"/>
        <v>2691.5059472669836</v>
      </c>
      <c r="F54" s="9">
        <f t="shared" si="18"/>
        <v>381004.21917662641</v>
      </c>
      <c r="G54" s="10">
        <f t="shared" si="9"/>
        <v>6.7599999999999993E-2</v>
      </c>
      <c r="H54" s="10">
        <f t="shared" si="10"/>
        <v>1.7000000000000001E-2</v>
      </c>
      <c r="I54" s="49">
        <f t="shared" si="11"/>
        <v>8.4599999999999995E-2</v>
      </c>
      <c r="J54" s="11">
        <f t="shared" si="12"/>
        <v>20</v>
      </c>
      <c r="K54" s="11">
        <f>IF(B54&lt;&gt;"",IF($B$16=listy!$K$8,'RZĄDOWY PROGRAM'!$F$3*'RZĄDOWY PROGRAM'!$F$15,F53*$F$15),"")</f>
        <v>50</v>
      </c>
      <c r="L54" s="11">
        <f t="shared" si="19"/>
        <v>70</v>
      </c>
      <c r="N54" s="55">
        <f t="shared" si="32"/>
        <v>45536</v>
      </c>
      <c r="O54" s="8">
        <f t="shared" si="20"/>
        <v>27</v>
      </c>
      <c r="P54" s="8"/>
      <c r="Q54" s="33">
        <f>IF(O54&lt;&gt;"",ROUND(IF($F$11="raty równe",-PMT(W54/12,$F$4-O53+SUM($P$28:P54),T53,2),R54+S54),2),"")</f>
        <v>3461.18</v>
      </c>
      <c r="R54" s="11">
        <f>IF(O54&lt;&gt;"",IF($F$11="raty malejące",T53/($F$4-O53+SUM($P$28:P54)),IF(Q54-S54&gt;T53,T53,Q54-S54)),"")</f>
        <v>727.60985973847119</v>
      </c>
      <c r="S54" s="11">
        <f t="shared" si="34"/>
        <v>2733.5701402615286</v>
      </c>
      <c r="T54" s="9">
        <f t="shared" si="21"/>
        <v>387012.83556742873</v>
      </c>
      <c r="U54" s="10">
        <f t="shared" si="13"/>
        <v>6.7599999999999993E-2</v>
      </c>
      <c r="V54" s="10">
        <f t="shared" si="14"/>
        <v>1.7000000000000001E-2</v>
      </c>
      <c r="W54" s="49">
        <f t="shared" si="22"/>
        <v>8.4599999999999995E-2</v>
      </c>
      <c r="X54" s="11">
        <f t="shared" si="15"/>
        <v>20</v>
      </c>
      <c r="Y54" s="11">
        <f>IF(O54&lt;&gt;"",IF($B$16=listy!$K$8,'RZĄDOWY PROGRAM'!$F$3*'RZĄDOWY PROGRAM'!$F$15,T53*$F$15),"")</f>
        <v>50</v>
      </c>
      <c r="Z54" s="11">
        <f t="shared" si="23"/>
        <v>70</v>
      </c>
      <c r="AB54" s="8">
        <f t="shared" si="24"/>
        <v>27</v>
      </c>
      <c r="AC54" s="8"/>
      <c r="AD54" s="33">
        <f>IF(AB54&lt;&gt;"",ROUND(IF($F$11="raty równe",-PMT(W54/12,$F$4-AB53+SUM($AC$28:AC54),AG53,2),AE54+AF54),2),"")</f>
        <v>3227.69</v>
      </c>
      <c r="AE54" s="11">
        <f>IF(AB54&lt;&gt;"",IF($F$11="raty malejące",AG53/($F$4-AB53+SUM($AC$28:AC53)),MIN(AD54-AF54,AG53)),"")</f>
        <v>678.51873680988274</v>
      </c>
      <c r="AF54" s="11">
        <f t="shared" si="35"/>
        <v>2549.1712631901173</v>
      </c>
      <c r="AG54" s="9">
        <f t="shared" si="33"/>
        <v>360906.05760221387</v>
      </c>
      <c r="AH54" s="11"/>
      <c r="AI54" s="33">
        <f>IF(AB54&lt;&gt;"",ROUND(IF($F$11="raty równe",-PMT(W54/12,($F$4-AB53+SUM($AC$27:AC53)),AG53,2),AG53/($F$4-AB53+SUM($AC$27:AC53))+AG53*W54/12),2),"")</f>
        <v>3227.69</v>
      </c>
      <c r="AJ54" s="33">
        <f t="shared" si="25"/>
        <v>233.48999999999978</v>
      </c>
      <c r="AK54" s="33">
        <f t="shared" si="26"/>
        <v>4785.8372162214037</v>
      </c>
      <c r="AL54" s="33">
        <f>IF(AB54&lt;&gt;"",AK54-SUM($AJ$28:AJ54),"")</f>
        <v>156.80721622140754</v>
      </c>
      <c r="AM54" s="11">
        <f t="shared" si="27"/>
        <v>20</v>
      </c>
      <c r="AN54" s="11">
        <f>IF(AB54&lt;&gt;"",IF($B$16=listy!$K$8,'RZĄDOWY PROGRAM'!$F$3*'RZĄDOWY PROGRAM'!$F$15,AG53*$F$15),"")</f>
        <v>50</v>
      </c>
      <c r="AO54" s="11">
        <f t="shared" si="28"/>
        <v>70</v>
      </c>
      <c r="AQ54" s="49">
        <f t="shared" si="16"/>
        <v>0.05</v>
      </c>
      <c r="AR54" s="18">
        <f t="shared" si="17"/>
        <v>4.0741237836483535E-3</v>
      </c>
      <c r="AS54" s="11">
        <f t="shared" si="29"/>
        <v>0</v>
      </c>
      <c r="AT54" s="11">
        <f t="shared" si="30"/>
        <v>29555.049477995701</v>
      </c>
      <c r="AU54" s="11">
        <f>IF(AB54&lt;&gt;"",AT54-SUM($AS$28:AS54),"")</f>
        <v>1865.609477995702</v>
      </c>
    </row>
    <row r="55" spans="1:47" ht="14.5" x14ac:dyDescent="0.35">
      <c r="A55" s="76">
        <f t="shared" si="31"/>
        <v>45566</v>
      </c>
      <c r="B55" s="8">
        <f t="shared" si="5"/>
        <v>28</v>
      </c>
      <c r="C55" s="11">
        <f t="shared" si="6"/>
        <v>3461.18</v>
      </c>
      <c r="D55" s="11">
        <f t="shared" si="7"/>
        <v>775.10025480478362</v>
      </c>
      <c r="E55" s="11">
        <f t="shared" si="8"/>
        <v>2686.0797451952162</v>
      </c>
      <c r="F55" s="9">
        <f t="shared" si="18"/>
        <v>380229.11892182165</v>
      </c>
      <c r="G55" s="10">
        <f t="shared" si="9"/>
        <v>6.7599999999999993E-2</v>
      </c>
      <c r="H55" s="10">
        <f t="shared" si="10"/>
        <v>1.7000000000000001E-2</v>
      </c>
      <c r="I55" s="49">
        <f t="shared" si="11"/>
        <v>8.4599999999999995E-2</v>
      </c>
      <c r="J55" s="11">
        <f t="shared" si="12"/>
        <v>20</v>
      </c>
      <c r="K55" s="11">
        <f>IF(B55&lt;&gt;"",IF($B$16=listy!$K$8,'RZĄDOWY PROGRAM'!$F$3*'RZĄDOWY PROGRAM'!$F$15,F54*$F$15),"")</f>
        <v>50</v>
      </c>
      <c r="L55" s="11">
        <f t="shared" si="19"/>
        <v>70</v>
      </c>
      <c r="N55" s="55">
        <f t="shared" si="32"/>
        <v>45566</v>
      </c>
      <c r="O55" s="8">
        <f t="shared" si="20"/>
        <v>28</v>
      </c>
      <c r="P55" s="8"/>
      <c r="Q55" s="33">
        <f>IF(O55&lt;&gt;"",ROUND(IF($F$11="raty równe",-PMT(W55/12,$F$4-O54+SUM($P$28:P55),T54,2),R55+S55),2),"")</f>
        <v>3461.18</v>
      </c>
      <c r="R55" s="11">
        <f>IF(O55&lt;&gt;"",IF($F$11="raty malejące",T54/($F$4-O54+SUM($P$28:P55)),IF(Q55-S55&gt;T54,T54,Q55-S55)),"")</f>
        <v>732.73950924962719</v>
      </c>
      <c r="S55" s="11">
        <f t="shared" si="34"/>
        <v>2728.4404907503726</v>
      </c>
      <c r="T55" s="9">
        <f t="shared" si="21"/>
        <v>386280.0960581791</v>
      </c>
      <c r="U55" s="10">
        <f t="shared" si="13"/>
        <v>6.7599999999999993E-2</v>
      </c>
      <c r="V55" s="10">
        <f t="shared" si="14"/>
        <v>1.7000000000000001E-2</v>
      </c>
      <c r="W55" s="49">
        <f t="shared" si="22"/>
        <v>8.4599999999999995E-2</v>
      </c>
      <c r="X55" s="11">
        <f t="shared" si="15"/>
        <v>20</v>
      </c>
      <c r="Y55" s="11">
        <f>IF(O55&lt;&gt;"",IF($B$16=listy!$K$8,'RZĄDOWY PROGRAM'!$F$3*'RZĄDOWY PROGRAM'!$F$15,T54*$F$15),"")</f>
        <v>50</v>
      </c>
      <c r="Z55" s="11">
        <f t="shared" si="23"/>
        <v>70</v>
      </c>
      <c r="AB55" s="8">
        <f t="shared" si="24"/>
        <v>28</v>
      </c>
      <c r="AC55" s="8"/>
      <c r="AD55" s="33">
        <f>IF(AB55&lt;&gt;"",ROUND(IF($F$11="raty równe",-PMT(W55/12,$F$4-AB54+SUM($AC$28:AC55),AG54,2),AE55+AF55),2),"")</f>
        <v>3227.69</v>
      </c>
      <c r="AE55" s="11">
        <f>IF(AB55&lt;&gt;"",IF($F$11="raty malejące",AG54/($F$4-AB54+SUM($AC$28:AC54)),MIN(AD55-AF55,AG54)),"")</f>
        <v>683.30229390439217</v>
      </c>
      <c r="AF55" s="11">
        <f t="shared" si="35"/>
        <v>2544.3877060956079</v>
      </c>
      <c r="AG55" s="9">
        <f t="shared" si="33"/>
        <v>360222.75530830945</v>
      </c>
      <c r="AH55" s="11"/>
      <c r="AI55" s="33">
        <f>IF(AB55&lt;&gt;"",ROUND(IF($F$11="raty równe",-PMT(W55/12,($F$4-AB54+SUM($AC$27:AC54)),AG54,2),AG54/($F$4-AB54+SUM($AC$27:AC54))+AG54*W55/12),2),"")</f>
        <v>3227.69</v>
      </c>
      <c r="AJ55" s="33">
        <f t="shared" si="25"/>
        <v>233.48999999999978</v>
      </c>
      <c r="AK55" s="33">
        <f t="shared" si="26"/>
        <v>5035.120671735498</v>
      </c>
      <c r="AL55" s="33">
        <f>IF(AB55&lt;&gt;"",AK55-SUM($AJ$28:AJ55),"")</f>
        <v>172.60067173550215</v>
      </c>
      <c r="AM55" s="11">
        <f t="shared" si="27"/>
        <v>20</v>
      </c>
      <c r="AN55" s="11">
        <f>IF(AB55&lt;&gt;"",IF($B$16=listy!$K$8,'RZĄDOWY PROGRAM'!$F$3*'RZĄDOWY PROGRAM'!$F$15,AG54*$F$15),"")</f>
        <v>50</v>
      </c>
      <c r="AO55" s="11">
        <f t="shared" si="28"/>
        <v>70</v>
      </c>
      <c r="AQ55" s="49">
        <f t="shared" si="16"/>
        <v>0.05</v>
      </c>
      <c r="AR55" s="18">
        <f t="shared" si="17"/>
        <v>4.0741237836483535E-3</v>
      </c>
      <c r="AS55" s="11">
        <f t="shared" si="29"/>
        <v>0</v>
      </c>
      <c r="AT55" s="11">
        <f t="shared" si="30"/>
        <v>29652.582331299916</v>
      </c>
      <c r="AU55" s="11">
        <f>IF(AB55&lt;&gt;"",AT55-SUM($AS$28:AS55),"")</f>
        <v>1963.1423312999177</v>
      </c>
    </row>
    <row r="56" spans="1:47" ht="14.5" x14ac:dyDescent="0.35">
      <c r="A56" s="76">
        <f t="shared" si="31"/>
        <v>45597</v>
      </c>
      <c r="B56" s="8">
        <f t="shared" si="5"/>
        <v>29</v>
      </c>
      <c r="C56" s="11">
        <f t="shared" si="6"/>
        <v>3461.18</v>
      </c>
      <c r="D56" s="11">
        <f t="shared" si="7"/>
        <v>780.56471160115734</v>
      </c>
      <c r="E56" s="11">
        <f t="shared" si="8"/>
        <v>2680.6152883988425</v>
      </c>
      <c r="F56" s="9">
        <f t="shared" si="18"/>
        <v>379448.55421022046</v>
      </c>
      <c r="G56" s="10">
        <f t="shared" si="9"/>
        <v>6.7599999999999993E-2</v>
      </c>
      <c r="H56" s="10">
        <f t="shared" si="10"/>
        <v>1.7000000000000001E-2</v>
      </c>
      <c r="I56" s="49">
        <f t="shared" si="11"/>
        <v>8.4599999999999995E-2</v>
      </c>
      <c r="J56" s="11">
        <f t="shared" si="12"/>
        <v>20</v>
      </c>
      <c r="K56" s="11">
        <f>IF(B56&lt;&gt;"",IF($B$16=listy!$K$8,'RZĄDOWY PROGRAM'!$F$3*'RZĄDOWY PROGRAM'!$F$15,F55*$F$15),"")</f>
        <v>50</v>
      </c>
      <c r="L56" s="11">
        <f t="shared" si="19"/>
        <v>70</v>
      </c>
      <c r="N56" s="55">
        <f t="shared" si="32"/>
        <v>45597</v>
      </c>
      <c r="O56" s="8">
        <f t="shared" si="20"/>
        <v>29</v>
      </c>
      <c r="P56" s="8"/>
      <c r="Q56" s="33">
        <f>IF(O56&lt;&gt;"",ROUND(IF($F$11="raty równe",-PMT(W56/12,$F$4-O55+SUM($P$28:P56),T55,2),R56+S56),2),"")</f>
        <v>3461.18</v>
      </c>
      <c r="R56" s="11">
        <f>IF(O56&lt;&gt;"",IF($F$11="raty malejące",T55/($F$4-O55+SUM($P$28:P56)),IF(Q56-S56&gt;T55,T55,Q56-S56)),"")</f>
        <v>737.90532278983756</v>
      </c>
      <c r="S56" s="11">
        <f t="shared" si="34"/>
        <v>2723.2746772101623</v>
      </c>
      <c r="T56" s="9">
        <f t="shared" si="21"/>
        <v>385542.19073538925</v>
      </c>
      <c r="U56" s="10">
        <f t="shared" si="13"/>
        <v>6.7599999999999993E-2</v>
      </c>
      <c r="V56" s="10">
        <f t="shared" si="14"/>
        <v>1.7000000000000001E-2</v>
      </c>
      <c r="W56" s="49">
        <f t="shared" si="22"/>
        <v>8.4599999999999995E-2</v>
      </c>
      <c r="X56" s="11">
        <f t="shared" si="15"/>
        <v>20</v>
      </c>
      <c r="Y56" s="11">
        <f>IF(O56&lt;&gt;"",IF($B$16=listy!$K$8,'RZĄDOWY PROGRAM'!$F$3*'RZĄDOWY PROGRAM'!$F$15,T55*$F$15),"")</f>
        <v>50</v>
      </c>
      <c r="Z56" s="11">
        <f t="shared" si="23"/>
        <v>70</v>
      </c>
      <c r="AB56" s="8">
        <f t="shared" si="24"/>
        <v>29</v>
      </c>
      <c r="AC56" s="8"/>
      <c r="AD56" s="33">
        <f>IF(AB56&lt;&gt;"",ROUND(IF($F$11="raty równe",-PMT(W56/12,$F$4-AB55+SUM($AC$28:AC56),AG55,2),AE56+AF56),2),"")</f>
        <v>3227.69</v>
      </c>
      <c r="AE56" s="11">
        <f>IF(AB56&lt;&gt;"",IF($F$11="raty malejące",AG55/($F$4-AB55+SUM($AC$28:AC55)),MIN(AD56-AF56,AG55)),"")</f>
        <v>688.11957507641864</v>
      </c>
      <c r="AF56" s="11">
        <f t="shared" si="35"/>
        <v>2539.5704249235814</v>
      </c>
      <c r="AG56" s="9">
        <f t="shared" si="33"/>
        <v>359534.63573323301</v>
      </c>
      <c r="AH56" s="11"/>
      <c r="AI56" s="33">
        <f>IF(AB56&lt;&gt;"",ROUND(IF($F$11="raty równe",-PMT(W56/12,($F$4-AB55+SUM($AC$27:AC55)),AG55,2),AG55/($F$4-AB55+SUM($AC$27:AC55))+AG55*W56/12),2),"")</f>
        <v>3227.69</v>
      </c>
      <c r="AJ56" s="33">
        <f t="shared" si="25"/>
        <v>233.48999999999978</v>
      </c>
      <c r="AK56" s="33">
        <f t="shared" si="26"/>
        <v>5285.2267726901264</v>
      </c>
      <c r="AL56" s="33">
        <f>IF(AB56&lt;&gt;"",AK56-SUM($AJ$28:AJ56),"")</f>
        <v>189.21677269013071</v>
      </c>
      <c r="AM56" s="11">
        <f t="shared" si="27"/>
        <v>20</v>
      </c>
      <c r="AN56" s="11">
        <f>IF(AB56&lt;&gt;"",IF($B$16=listy!$K$8,'RZĄDOWY PROGRAM'!$F$3*'RZĄDOWY PROGRAM'!$F$15,AG55*$F$15),"")</f>
        <v>50</v>
      </c>
      <c r="AO56" s="11">
        <f t="shared" si="28"/>
        <v>70</v>
      </c>
      <c r="AQ56" s="49">
        <f t="shared" si="16"/>
        <v>0.05</v>
      </c>
      <c r="AR56" s="18">
        <f t="shared" si="17"/>
        <v>4.0741237836483535E-3</v>
      </c>
      <c r="AS56" s="11">
        <f t="shared" si="29"/>
        <v>0</v>
      </c>
      <c r="AT56" s="11">
        <f t="shared" si="30"/>
        <v>29750.437046947172</v>
      </c>
      <c r="AU56" s="11">
        <f>IF(AB56&lt;&gt;"",AT56-SUM($AS$28:AS56),"")</f>
        <v>2060.9970469471737</v>
      </c>
    </row>
    <row r="57" spans="1:47" ht="14.5" x14ac:dyDescent="0.35">
      <c r="A57" s="76">
        <f t="shared" si="31"/>
        <v>45627</v>
      </c>
      <c r="B57" s="8">
        <f t="shared" si="5"/>
        <v>30</v>
      </c>
      <c r="C57" s="11">
        <f t="shared" si="6"/>
        <v>3461.18</v>
      </c>
      <c r="D57" s="11">
        <f t="shared" si="7"/>
        <v>786.0676928179455</v>
      </c>
      <c r="E57" s="11">
        <f t="shared" si="8"/>
        <v>2675.1123071820543</v>
      </c>
      <c r="F57" s="9">
        <f t="shared" si="18"/>
        <v>378662.48651740252</v>
      </c>
      <c r="G57" s="10">
        <f t="shared" si="9"/>
        <v>6.7599999999999993E-2</v>
      </c>
      <c r="H57" s="10">
        <f t="shared" si="10"/>
        <v>1.7000000000000001E-2</v>
      </c>
      <c r="I57" s="49">
        <f t="shared" si="11"/>
        <v>8.4599999999999995E-2</v>
      </c>
      <c r="J57" s="11">
        <f t="shared" si="12"/>
        <v>20</v>
      </c>
      <c r="K57" s="11">
        <f>IF(B57&lt;&gt;"",IF($B$16=listy!$K$8,'RZĄDOWY PROGRAM'!$F$3*'RZĄDOWY PROGRAM'!$F$15,F56*$F$15),"")</f>
        <v>50</v>
      </c>
      <c r="L57" s="11">
        <f t="shared" si="19"/>
        <v>70</v>
      </c>
      <c r="N57" s="55">
        <f t="shared" si="32"/>
        <v>45627</v>
      </c>
      <c r="O57" s="8">
        <f t="shared" si="20"/>
        <v>30</v>
      </c>
      <c r="P57" s="8"/>
      <c r="Q57" s="33">
        <f>IF(O57&lt;&gt;"",ROUND(IF($F$11="raty równe",-PMT(W57/12,$F$4-O56+SUM($P$28:P57),T56,2),R57+S57),2),"")</f>
        <v>3461.18</v>
      </c>
      <c r="R57" s="11">
        <f>IF(O57&lt;&gt;"",IF($F$11="raty malejące",T56/($F$4-O56+SUM($P$28:P57)),IF(Q57-S57&gt;T56,T56,Q57-S57)),"")</f>
        <v>743.10755531550603</v>
      </c>
      <c r="S57" s="11">
        <f t="shared" si="34"/>
        <v>2718.0724446844938</v>
      </c>
      <c r="T57" s="9">
        <f t="shared" si="21"/>
        <v>384799.08318007377</v>
      </c>
      <c r="U57" s="10">
        <f t="shared" si="13"/>
        <v>6.7599999999999993E-2</v>
      </c>
      <c r="V57" s="10">
        <f t="shared" si="14"/>
        <v>1.7000000000000001E-2</v>
      </c>
      <c r="W57" s="49">
        <f t="shared" si="22"/>
        <v>8.4599999999999995E-2</v>
      </c>
      <c r="X57" s="11">
        <f t="shared" si="15"/>
        <v>20</v>
      </c>
      <c r="Y57" s="11">
        <f>IF(O57&lt;&gt;"",IF($B$16=listy!$K$8,'RZĄDOWY PROGRAM'!$F$3*'RZĄDOWY PROGRAM'!$F$15,T56*$F$15),"")</f>
        <v>50</v>
      </c>
      <c r="Z57" s="11">
        <f t="shared" si="23"/>
        <v>70</v>
      </c>
      <c r="AB57" s="8">
        <f t="shared" si="24"/>
        <v>30</v>
      </c>
      <c r="AC57" s="8"/>
      <c r="AD57" s="33">
        <f>IF(AB57&lt;&gt;"",ROUND(IF($F$11="raty równe",-PMT(W57/12,$F$4-AB56+SUM($AC$28:AC57),AG56,2),AE57+AF57),2),"")</f>
        <v>3227.69</v>
      </c>
      <c r="AE57" s="11">
        <f>IF(AB57&lt;&gt;"",IF($F$11="raty malejące",AG56/($F$4-AB56+SUM($AC$28:AC56)),MIN(AD57-AF57,AG56)),"")</f>
        <v>692.97081808070743</v>
      </c>
      <c r="AF57" s="11">
        <f t="shared" si="35"/>
        <v>2534.7191819192926</v>
      </c>
      <c r="AG57" s="9">
        <f t="shared" si="33"/>
        <v>358841.6649151523</v>
      </c>
      <c r="AH57" s="11"/>
      <c r="AI57" s="33">
        <f>IF(AB57&lt;&gt;"",ROUND(IF($F$11="raty równe",-PMT(W57/12,($F$4-AB56+SUM($AC$27:AC56)),AG56,2),AG56/($F$4-AB56+SUM($AC$27:AC56))+AG56*W57/12),2),"")</f>
        <v>3227.69</v>
      </c>
      <c r="AJ57" s="33">
        <f t="shared" si="25"/>
        <v>233.48999999999978</v>
      </c>
      <c r="AK57" s="33">
        <f t="shared" si="26"/>
        <v>5536.1582338483659</v>
      </c>
      <c r="AL57" s="33">
        <f>IF(AB57&lt;&gt;"",AK57-SUM($AJ$28:AJ57),"")</f>
        <v>206.6582338483704</v>
      </c>
      <c r="AM57" s="11">
        <f t="shared" si="27"/>
        <v>20</v>
      </c>
      <c r="AN57" s="11">
        <f>IF(AB57&lt;&gt;"",IF($B$16=listy!$K$8,'RZĄDOWY PROGRAM'!$F$3*'RZĄDOWY PROGRAM'!$F$15,AG56*$F$15),"")</f>
        <v>50</v>
      </c>
      <c r="AO57" s="11">
        <f t="shared" si="28"/>
        <v>70</v>
      </c>
      <c r="AQ57" s="49">
        <f t="shared" si="16"/>
        <v>0.05</v>
      </c>
      <c r="AR57" s="18">
        <f t="shared" si="17"/>
        <v>4.0741237836483535E-3</v>
      </c>
      <c r="AS57" s="11">
        <f t="shared" si="29"/>
        <v>0</v>
      </c>
      <c r="AT57" s="11">
        <f t="shared" si="30"/>
        <v>29848.61468709616</v>
      </c>
      <c r="AU57" s="11">
        <f>IF(AB57&lt;&gt;"",AT57-SUM($AS$28:AS57),"")</f>
        <v>2159.1746870961615</v>
      </c>
    </row>
    <row r="58" spans="1:47" ht="14.5" x14ac:dyDescent="0.35">
      <c r="A58" s="76">
        <f t="shared" si="31"/>
        <v>45658</v>
      </c>
      <c r="B58" s="8">
        <f t="shared" si="5"/>
        <v>31</v>
      </c>
      <c r="C58" s="11">
        <f t="shared" si="6"/>
        <v>3461.17</v>
      </c>
      <c r="D58" s="11">
        <f t="shared" si="7"/>
        <v>791.59947005231243</v>
      </c>
      <c r="E58" s="11">
        <f t="shared" si="8"/>
        <v>2669.5705299476876</v>
      </c>
      <c r="F58" s="9">
        <f t="shared" si="18"/>
        <v>377870.88704735023</v>
      </c>
      <c r="G58" s="10">
        <f t="shared" si="9"/>
        <v>6.7599999999999993E-2</v>
      </c>
      <c r="H58" s="10">
        <f t="shared" si="10"/>
        <v>1.7000000000000001E-2</v>
      </c>
      <c r="I58" s="49">
        <f t="shared" si="11"/>
        <v>8.4599999999999995E-2</v>
      </c>
      <c r="J58" s="11">
        <f t="shared" si="12"/>
        <v>20</v>
      </c>
      <c r="K58" s="11">
        <f>IF(B58&lt;&gt;"",IF($B$16=listy!$K$8,'RZĄDOWY PROGRAM'!$F$3*'RZĄDOWY PROGRAM'!$F$15,F57*$F$15),"")</f>
        <v>50</v>
      </c>
      <c r="L58" s="11">
        <f t="shared" si="19"/>
        <v>70</v>
      </c>
      <c r="N58" s="55">
        <f t="shared" si="32"/>
        <v>45658</v>
      </c>
      <c r="O58" s="8">
        <f t="shared" si="20"/>
        <v>31</v>
      </c>
      <c r="P58" s="8"/>
      <c r="Q58" s="33">
        <f>IF(O58&lt;&gt;"",ROUND(IF($F$11="raty równe",-PMT(W58/12,$F$4-O57+SUM($P$28:P58),T57,2),R58+S58),2),"")</f>
        <v>3461.18</v>
      </c>
      <c r="R58" s="11">
        <f>IF(O58&lt;&gt;"",IF($F$11="raty malejące",T57/($F$4-O57+SUM($P$28:P58)),IF(Q58-S58&gt;T57,T57,Q58-S58)),"")</f>
        <v>748.34646358047985</v>
      </c>
      <c r="S58" s="11">
        <f t="shared" si="34"/>
        <v>2712.83353641952</v>
      </c>
      <c r="T58" s="9">
        <f t="shared" si="21"/>
        <v>384050.73671649327</v>
      </c>
      <c r="U58" s="10">
        <f t="shared" si="13"/>
        <v>6.7599999999999993E-2</v>
      </c>
      <c r="V58" s="10">
        <f t="shared" si="14"/>
        <v>1.7000000000000001E-2</v>
      </c>
      <c r="W58" s="49">
        <f t="shared" si="22"/>
        <v>8.4599999999999995E-2</v>
      </c>
      <c r="X58" s="11">
        <f t="shared" si="15"/>
        <v>20</v>
      </c>
      <c r="Y58" s="11">
        <f>IF(O58&lt;&gt;"",IF($B$16=listy!$K$8,'RZĄDOWY PROGRAM'!$F$3*'RZĄDOWY PROGRAM'!$F$15,T57*$F$15),"")</f>
        <v>50</v>
      </c>
      <c r="Z58" s="11">
        <f t="shared" si="23"/>
        <v>70</v>
      </c>
      <c r="AB58" s="8">
        <f t="shared" si="24"/>
        <v>31</v>
      </c>
      <c r="AC58" s="8"/>
      <c r="AD58" s="33">
        <f>IF(AB58&lt;&gt;"",ROUND(IF($F$11="raty równe",-PMT(W58/12,$F$4-AB57+SUM($AC$28:AC58),AG57,2),AE58+AF58),2),"")</f>
        <v>3227.69</v>
      </c>
      <c r="AE58" s="11">
        <f>IF(AB58&lt;&gt;"",IF($F$11="raty malejące",AG57/($F$4-AB57+SUM($AC$28:AC57)),MIN(AD58-AF58,AG57)),"")</f>
        <v>697.85626234817664</v>
      </c>
      <c r="AF58" s="11">
        <f t="shared" si="35"/>
        <v>2529.8337376518234</v>
      </c>
      <c r="AG58" s="9">
        <f t="shared" si="33"/>
        <v>358143.80865280412</v>
      </c>
      <c r="AH58" s="11"/>
      <c r="AI58" s="33">
        <f>IF(AB58&lt;&gt;"",ROUND(IF($F$11="raty równe",-PMT(W58/12,($F$4-AB57+SUM($AC$27:AC57)),AG57,2),AG57/($F$4-AB57+SUM($AC$27:AC57))+AG57*W58/12),2),"")</f>
        <v>3227.69</v>
      </c>
      <c r="AJ58" s="33">
        <f t="shared" si="25"/>
        <v>233.48000000000002</v>
      </c>
      <c r="AK58" s="33">
        <f t="shared" si="26"/>
        <v>5787.9077789321218</v>
      </c>
      <c r="AL58" s="33">
        <f>IF(AB58&lt;&gt;"",AK58-SUM($AJ$28:AJ58),"")</f>
        <v>224.92777893212588</v>
      </c>
      <c r="AM58" s="11">
        <f t="shared" si="27"/>
        <v>20</v>
      </c>
      <c r="AN58" s="11">
        <f>IF(AB58&lt;&gt;"",IF($B$16=listy!$K$8,'RZĄDOWY PROGRAM'!$F$3*'RZĄDOWY PROGRAM'!$F$15,AG57*$F$15),"")</f>
        <v>50</v>
      </c>
      <c r="AO58" s="11">
        <f t="shared" si="28"/>
        <v>70</v>
      </c>
      <c r="AQ58" s="49">
        <f t="shared" si="16"/>
        <v>0.05</v>
      </c>
      <c r="AR58" s="18">
        <f t="shared" si="17"/>
        <v>4.0741237836483535E-3</v>
      </c>
      <c r="AS58" s="11">
        <f t="shared" si="29"/>
        <v>-9.9999999997635314E-3</v>
      </c>
      <c r="AT58" s="11">
        <f t="shared" si="30"/>
        <v>29947.10631741074</v>
      </c>
      <c r="AU58" s="11">
        <f>IF(AB58&lt;&gt;"",AT58-SUM($AS$28:AS58),"")</f>
        <v>2257.67631741074</v>
      </c>
    </row>
    <row r="59" spans="1:47" ht="14.5" x14ac:dyDescent="0.35">
      <c r="A59" s="76">
        <f t="shared" si="31"/>
        <v>45689</v>
      </c>
      <c r="B59" s="8">
        <f t="shared" si="5"/>
        <v>32</v>
      </c>
      <c r="C59" s="11">
        <f t="shared" si="6"/>
        <v>3461.18</v>
      </c>
      <c r="D59" s="11">
        <f t="shared" si="7"/>
        <v>797.19024631618095</v>
      </c>
      <c r="E59" s="11">
        <f t="shared" si="8"/>
        <v>2663.9897536838189</v>
      </c>
      <c r="F59" s="9">
        <f t="shared" si="18"/>
        <v>377073.69680103404</v>
      </c>
      <c r="G59" s="10">
        <f t="shared" si="9"/>
        <v>6.7599999999999993E-2</v>
      </c>
      <c r="H59" s="10">
        <f t="shared" si="10"/>
        <v>1.7000000000000001E-2</v>
      </c>
      <c r="I59" s="49">
        <f t="shared" si="11"/>
        <v>8.4599999999999995E-2</v>
      </c>
      <c r="J59" s="11">
        <f t="shared" si="12"/>
        <v>20</v>
      </c>
      <c r="K59" s="11">
        <f>IF(B59&lt;&gt;"",IF($B$16=listy!$K$8,'RZĄDOWY PROGRAM'!$F$3*'RZĄDOWY PROGRAM'!$F$15,F58*$F$15),"")</f>
        <v>50</v>
      </c>
      <c r="L59" s="11">
        <f t="shared" si="19"/>
        <v>70</v>
      </c>
      <c r="N59" s="55">
        <f t="shared" si="32"/>
        <v>45689</v>
      </c>
      <c r="O59" s="8">
        <f t="shared" si="20"/>
        <v>32</v>
      </c>
      <c r="P59" s="8"/>
      <c r="Q59" s="33">
        <f>IF(O59&lt;&gt;"",ROUND(IF($F$11="raty równe",-PMT(W59/12,$F$4-O58+SUM($P$28:P59),T58,2),R59+S59),2),"")</f>
        <v>3461.18</v>
      </c>
      <c r="R59" s="11">
        <f>IF(O59&lt;&gt;"",IF($F$11="raty malejące",T58/($F$4-O58+SUM($P$28:P59)),IF(Q59-S59&gt;T58,T58,Q59-S59)),"")</f>
        <v>753.6223061487226</v>
      </c>
      <c r="S59" s="11">
        <f t="shared" si="34"/>
        <v>2707.5576938512772</v>
      </c>
      <c r="T59" s="9">
        <f t="shared" si="21"/>
        <v>383297.11441034457</v>
      </c>
      <c r="U59" s="10">
        <f t="shared" si="13"/>
        <v>6.7599999999999993E-2</v>
      </c>
      <c r="V59" s="10">
        <f t="shared" si="14"/>
        <v>1.7000000000000001E-2</v>
      </c>
      <c r="W59" s="49">
        <f t="shared" si="22"/>
        <v>8.4599999999999995E-2</v>
      </c>
      <c r="X59" s="11">
        <f t="shared" si="15"/>
        <v>20</v>
      </c>
      <c r="Y59" s="11">
        <f>IF(O59&lt;&gt;"",IF($B$16=listy!$K$8,'RZĄDOWY PROGRAM'!$F$3*'RZĄDOWY PROGRAM'!$F$15,T58*$F$15),"")</f>
        <v>50</v>
      </c>
      <c r="Z59" s="11">
        <f t="shared" si="23"/>
        <v>70</v>
      </c>
      <c r="AB59" s="8">
        <f t="shared" si="24"/>
        <v>32</v>
      </c>
      <c r="AC59" s="8"/>
      <c r="AD59" s="33">
        <f>IF(AB59&lt;&gt;"",ROUND(IF($F$11="raty równe",-PMT(W59/12,$F$4-AB58+SUM($AC$28:AC59),AG58,2),AE59+AF59),2),"")</f>
        <v>3227.69</v>
      </c>
      <c r="AE59" s="11">
        <f>IF(AB59&lt;&gt;"",IF($F$11="raty malejące",AG58/($F$4-AB58+SUM($AC$28:AC58)),MIN(AD59-AF59,AG58)),"")</f>
        <v>702.77614899773107</v>
      </c>
      <c r="AF59" s="11">
        <f t="shared" si="35"/>
        <v>2524.913851002269</v>
      </c>
      <c r="AG59" s="9">
        <f t="shared" si="33"/>
        <v>357441.0325038064</v>
      </c>
      <c r="AH59" s="11"/>
      <c r="AI59" s="33">
        <f>IF(AB59&lt;&gt;"",ROUND(IF($F$11="raty równe",-PMT(W59/12,($F$4-AB58+SUM($AC$27:AC58)),AG58,2),AG58/($F$4-AB58+SUM($AC$27:AC58))+AG58*W59/12),2),"")</f>
        <v>3227.69</v>
      </c>
      <c r="AJ59" s="33">
        <f t="shared" si="25"/>
        <v>233.48999999999978</v>
      </c>
      <c r="AK59" s="33">
        <f t="shared" si="26"/>
        <v>6040.4981076512877</v>
      </c>
      <c r="AL59" s="33">
        <f>IF(AB59&lt;&gt;"",AK59-SUM($AJ$28:AJ59),"")</f>
        <v>244.02810765129198</v>
      </c>
      <c r="AM59" s="11">
        <f t="shared" si="27"/>
        <v>20</v>
      </c>
      <c r="AN59" s="11">
        <f>IF(AB59&lt;&gt;"",IF($B$16=listy!$K$8,'RZĄDOWY PROGRAM'!$F$3*'RZĄDOWY PROGRAM'!$F$15,AG58*$F$15),"")</f>
        <v>50</v>
      </c>
      <c r="AO59" s="11">
        <f t="shared" si="28"/>
        <v>70</v>
      </c>
      <c r="AQ59" s="49">
        <f t="shared" si="16"/>
        <v>0.05</v>
      </c>
      <c r="AR59" s="18">
        <f t="shared" si="17"/>
        <v>4.0741237836483535E-3</v>
      </c>
      <c r="AS59" s="11">
        <f t="shared" si="29"/>
        <v>0</v>
      </c>
      <c r="AT59" s="11">
        <f t="shared" si="30"/>
        <v>30045.9329740711</v>
      </c>
      <c r="AU59" s="11">
        <f>IF(AB59&lt;&gt;"",AT59-SUM($AS$28:AS59),"")</f>
        <v>2356.5029740710997</v>
      </c>
    </row>
    <row r="60" spans="1:47" ht="14.5" x14ac:dyDescent="0.35">
      <c r="A60" s="76">
        <f t="shared" si="31"/>
        <v>45717</v>
      </c>
      <c r="B60" s="8">
        <f t="shared" si="5"/>
        <v>33</v>
      </c>
      <c r="C60" s="11">
        <f t="shared" si="6"/>
        <v>3461.17</v>
      </c>
      <c r="D60" s="11">
        <f t="shared" si="7"/>
        <v>802.80043755271026</v>
      </c>
      <c r="E60" s="11">
        <f t="shared" si="8"/>
        <v>2658.3695624472898</v>
      </c>
      <c r="F60" s="9">
        <f t="shared" si="18"/>
        <v>376270.8963634813</v>
      </c>
      <c r="G60" s="10">
        <f t="shared" si="9"/>
        <v>6.7599999999999993E-2</v>
      </c>
      <c r="H60" s="10">
        <f t="shared" si="10"/>
        <v>1.7000000000000001E-2</v>
      </c>
      <c r="I60" s="49">
        <f t="shared" si="11"/>
        <v>8.4599999999999995E-2</v>
      </c>
      <c r="J60" s="11">
        <f t="shared" si="12"/>
        <v>20</v>
      </c>
      <c r="K60" s="11">
        <f>IF(B60&lt;&gt;"",IF($B$16=listy!$K$8,'RZĄDOWY PROGRAM'!$F$3*'RZĄDOWY PROGRAM'!$F$15,F59*$F$15),"")</f>
        <v>50</v>
      </c>
      <c r="L60" s="11">
        <f t="shared" si="19"/>
        <v>70</v>
      </c>
      <c r="N60" s="55">
        <f t="shared" si="32"/>
        <v>45717</v>
      </c>
      <c r="O60" s="8">
        <f t="shared" si="20"/>
        <v>33</v>
      </c>
      <c r="P60" s="8"/>
      <c r="Q60" s="33">
        <f>IF(O60&lt;&gt;"",ROUND(IF($F$11="raty równe",-PMT(W60/12,$F$4-O59+SUM($P$28:P60),T59,2),R60+S60),2),"")</f>
        <v>3461.18</v>
      </c>
      <c r="R60" s="11">
        <f>IF(O60&lt;&gt;"",IF($F$11="raty malejące",T59/($F$4-O59+SUM($P$28:P60)),IF(Q60-S60&gt;T59,T59,Q60-S60)),"")</f>
        <v>758.93534340707083</v>
      </c>
      <c r="S60" s="11">
        <f t="shared" si="34"/>
        <v>2702.244656592929</v>
      </c>
      <c r="T60" s="9">
        <f t="shared" si="21"/>
        <v>382538.17906693747</v>
      </c>
      <c r="U60" s="10">
        <f t="shared" si="13"/>
        <v>6.7599999999999993E-2</v>
      </c>
      <c r="V60" s="10">
        <f t="shared" si="14"/>
        <v>1.7000000000000001E-2</v>
      </c>
      <c r="W60" s="49">
        <f t="shared" si="22"/>
        <v>8.4599999999999995E-2</v>
      </c>
      <c r="X60" s="11">
        <f t="shared" si="15"/>
        <v>20</v>
      </c>
      <c r="Y60" s="11">
        <f>IF(O60&lt;&gt;"",IF($B$16=listy!$K$8,'RZĄDOWY PROGRAM'!$F$3*'RZĄDOWY PROGRAM'!$F$15,T59*$F$15),"")</f>
        <v>50</v>
      </c>
      <c r="Z60" s="11">
        <f t="shared" si="23"/>
        <v>70</v>
      </c>
      <c r="AB60" s="8">
        <f t="shared" si="24"/>
        <v>33</v>
      </c>
      <c r="AC60" s="8"/>
      <c r="AD60" s="33">
        <f>IF(AB60&lt;&gt;"",ROUND(IF($F$11="raty równe",-PMT(W60/12,$F$4-AB59+SUM($AC$28:AC60),AG59,2),AE60+AF60),2),"")</f>
        <v>3227.69</v>
      </c>
      <c r="AE60" s="11">
        <f>IF(AB60&lt;&gt;"",IF($F$11="raty malejące",AG59/($F$4-AB59+SUM($AC$28:AC59)),MIN(AD60-AF60,AG59)),"")</f>
        <v>707.73072084816522</v>
      </c>
      <c r="AF60" s="11">
        <f t="shared" si="35"/>
        <v>2519.9592791518348</v>
      </c>
      <c r="AG60" s="9">
        <f t="shared" si="33"/>
        <v>356733.30178295821</v>
      </c>
      <c r="AH60" s="11"/>
      <c r="AI60" s="33">
        <f>IF(AB60&lt;&gt;"",ROUND(IF($F$11="raty równe",-PMT(W60/12,($F$4-AB59+SUM($AC$27:AC59)),AG59,2),AG59/($F$4-AB59+SUM($AC$27:AC59))+AG59*W60/12),2),"")</f>
        <v>3227.69</v>
      </c>
      <c r="AJ60" s="33">
        <f t="shared" si="25"/>
        <v>233.48000000000002</v>
      </c>
      <c r="AK60" s="33">
        <f t="shared" si="26"/>
        <v>6293.9119946257142</v>
      </c>
      <c r="AL60" s="33">
        <f>IF(AB60&lt;&gt;"",AK60-SUM($AJ$28:AJ60),"")</f>
        <v>263.96199462571894</v>
      </c>
      <c r="AM60" s="11">
        <f t="shared" si="27"/>
        <v>20</v>
      </c>
      <c r="AN60" s="11">
        <f>IF(AB60&lt;&gt;"",IF($B$16=listy!$K$8,'RZĄDOWY PROGRAM'!$F$3*'RZĄDOWY PROGRAM'!$F$15,AG59*$F$15),"")</f>
        <v>50</v>
      </c>
      <c r="AO60" s="11">
        <f t="shared" si="28"/>
        <v>70</v>
      </c>
      <c r="AQ60" s="49">
        <f t="shared" si="16"/>
        <v>0.05</v>
      </c>
      <c r="AR60" s="18">
        <f t="shared" si="17"/>
        <v>4.0741237836483535E-3</v>
      </c>
      <c r="AS60" s="11">
        <f t="shared" si="29"/>
        <v>-9.9999999997635314E-3</v>
      </c>
      <c r="AT60" s="11">
        <f t="shared" si="30"/>
        <v>30145.075762677672</v>
      </c>
      <c r="AU60" s="11">
        <f>IF(AB60&lt;&gt;"",AT60-SUM($AS$28:AS60),"")</f>
        <v>2455.6557626776703</v>
      </c>
    </row>
    <row r="61" spans="1:47" ht="14.5" x14ac:dyDescent="0.35">
      <c r="A61" s="76">
        <f t="shared" si="31"/>
        <v>45748</v>
      </c>
      <c r="B61" s="8">
        <f t="shared" si="5"/>
        <v>34</v>
      </c>
      <c r="C61" s="11">
        <f t="shared" si="6"/>
        <v>3461.18</v>
      </c>
      <c r="D61" s="11">
        <f t="shared" si="7"/>
        <v>808.47018063745691</v>
      </c>
      <c r="E61" s="11">
        <f t="shared" si="8"/>
        <v>2652.7098193625429</v>
      </c>
      <c r="F61" s="9">
        <f t="shared" si="18"/>
        <v>375462.42618284386</v>
      </c>
      <c r="G61" s="10">
        <f t="shared" si="9"/>
        <v>6.7599999999999993E-2</v>
      </c>
      <c r="H61" s="10">
        <f t="shared" si="10"/>
        <v>1.7000000000000001E-2</v>
      </c>
      <c r="I61" s="49">
        <f t="shared" si="11"/>
        <v>8.4599999999999995E-2</v>
      </c>
      <c r="J61" s="11">
        <f t="shared" si="12"/>
        <v>20</v>
      </c>
      <c r="K61" s="11">
        <f>IF(B61&lt;&gt;"",IF($B$16=listy!$K$8,'RZĄDOWY PROGRAM'!$F$3*'RZĄDOWY PROGRAM'!$F$15,F60*$F$15),"")</f>
        <v>50</v>
      </c>
      <c r="L61" s="11">
        <f t="shared" si="19"/>
        <v>70</v>
      </c>
      <c r="N61" s="55">
        <f t="shared" si="32"/>
        <v>45748</v>
      </c>
      <c r="O61" s="8">
        <f t="shared" si="20"/>
        <v>34</v>
      </c>
      <c r="P61" s="8"/>
      <c r="Q61" s="33">
        <f>IF(O61&lt;&gt;"",ROUND(IF($F$11="raty równe",-PMT(W61/12,$F$4-O60+SUM($P$28:P61),T60,2),R61+S61),2),"")</f>
        <v>3461.18</v>
      </c>
      <c r="R61" s="11">
        <f>IF(O61&lt;&gt;"",IF($F$11="raty malejące",T60/($F$4-O60+SUM($P$28:P61)),IF(Q61-S61&gt;T60,T60,Q61-S61)),"")</f>
        <v>764.28583757809065</v>
      </c>
      <c r="S61" s="11">
        <f t="shared" si="34"/>
        <v>2696.8941624219092</v>
      </c>
      <c r="T61" s="9">
        <f t="shared" si="21"/>
        <v>381773.89322935941</v>
      </c>
      <c r="U61" s="10">
        <f t="shared" si="13"/>
        <v>6.7599999999999993E-2</v>
      </c>
      <c r="V61" s="10">
        <f t="shared" si="14"/>
        <v>1.7000000000000001E-2</v>
      </c>
      <c r="W61" s="49">
        <f t="shared" si="22"/>
        <v>8.4599999999999995E-2</v>
      </c>
      <c r="X61" s="11">
        <f t="shared" si="15"/>
        <v>20</v>
      </c>
      <c r="Y61" s="11">
        <f>IF(O61&lt;&gt;"",IF($B$16=listy!$K$8,'RZĄDOWY PROGRAM'!$F$3*'RZĄDOWY PROGRAM'!$F$15,T60*$F$15),"")</f>
        <v>50</v>
      </c>
      <c r="Z61" s="11">
        <f t="shared" si="23"/>
        <v>70</v>
      </c>
      <c r="AB61" s="8">
        <f t="shared" si="24"/>
        <v>34</v>
      </c>
      <c r="AC61" s="8"/>
      <c r="AD61" s="33">
        <f>IF(AB61&lt;&gt;"",ROUND(IF($F$11="raty równe",-PMT(W61/12,$F$4-AB60+SUM($AC$28:AC61),AG60,2),AE61+AF61),2),"")</f>
        <v>3227.69</v>
      </c>
      <c r="AE61" s="11">
        <f>IF(AB61&lt;&gt;"",IF($F$11="raty malejące",AG60/($F$4-AB60+SUM($AC$28:AC60)),MIN(AD61-AF61,AG60)),"")</f>
        <v>712.72022243014499</v>
      </c>
      <c r="AF61" s="11">
        <f t="shared" si="35"/>
        <v>2514.9697775698551</v>
      </c>
      <c r="AG61" s="9">
        <f t="shared" si="33"/>
        <v>356020.58156052808</v>
      </c>
      <c r="AH61" s="11"/>
      <c r="AI61" s="33">
        <f>IF(AB61&lt;&gt;"",ROUND(IF($F$11="raty równe",-PMT(W61/12,($F$4-AB60+SUM($AC$27:AC60)),AG60,2),AG60/($F$4-AB60+SUM($AC$27:AC60))+AG60*W61/12),2),"")</f>
        <v>3227.69</v>
      </c>
      <c r="AJ61" s="33">
        <f t="shared" si="25"/>
        <v>233.48999999999978</v>
      </c>
      <c r="AK61" s="33">
        <f t="shared" si="26"/>
        <v>6548.1721576308046</v>
      </c>
      <c r="AL61" s="33">
        <f>IF(AB61&lt;&gt;"",AK61-SUM($AJ$28:AJ61),"")</f>
        <v>284.73215763080952</v>
      </c>
      <c r="AM61" s="11">
        <f t="shared" si="27"/>
        <v>20</v>
      </c>
      <c r="AN61" s="11">
        <f>IF(AB61&lt;&gt;"",IF($B$16=listy!$K$8,'RZĄDOWY PROGRAM'!$F$3*'RZĄDOWY PROGRAM'!$F$15,AG60*$F$15),"")</f>
        <v>50</v>
      </c>
      <c r="AO61" s="11">
        <f t="shared" si="28"/>
        <v>70</v>
      </c>
      <c r="AQ61" s="49">
        <f t="shared" si="16"/>
        <v>0.05</v>
      </c>
      <c r="AR61" s="18">
        <f t="shared" si="17"/>
        <v>4.0741237836483535E-3</v>
      </c>
      <c r="AS61" s="11">
        <f t="shared" si="29"/>
        <v>0</v>
      </c>
      <c r="AT61" s="11">
        <f t="shared" si="30"/>
        <v>30244.555726478604</v>
      </c>
      <c r="AU61" s="11">
        <f>IF(AB61&lt;&gt;"",AT61-SUM($AS$28:AS61),"")</f>
        <v>2555.135726478602</v>
      </c>
    </row>
    <row r="62" spans="1:47" ht="14.5" x14ac:dyDescent="0.35">
      <c r="A62" s="76">
        <f t="shared" si="31"/>
        <v>45778</v>
      </c>
      <c r="B62" s="8">
        <f t="shared" si="5"/>
        <v>35</v>
      </c>
      <c r="C62" s="11">
        <f t="shared" si="6"/>
        <v>3461.17</v>
      </c>
      <c r="D62" s="11">
        <f t="shared" si="7"/>
        <v>814.15989541095087</v>
      </c>
      <c r="E62" s="11">
        <f t="shared" si="8"/>
        <v>2647.0101045890492</v>
      </c>
      <c r="F62" s="9">
        <f t="shared" si="18"/>
        <v>374648.26628743293</v>
      </c>
      <c r="G62" s="10">
        <f t="shared" si="9"/>
        <v>6.7599999999999993E-2</v>
      </c>
      <c r="H62" s="10">
        <f t="shared" si="10"/>
        <v>1.7000000000000001E-2</v>
      </c>
      <c r="I62" s="49">
        <f t="shared" si="11"/>
        <v>8.4599999999999995E-2</v>
      </c>
      <c r="J62" s="11">
        <f t="shared" si="12"/>
        <v>20</v>
      </c>
      <c r="K62" s="11">
        <f>IF(B62&lt;&gt;"",IF($B$16=listy!$K$8,'RZĄDOWY PROGRAM'!$F$3*'RZĄDOWY PROGRAM'!$F$15,F61*$F$15),"")</f>
        <v>50</v>
      </c>
      <c r="L62" s="11">
        <f t="shared" si="19"/>
        <v>70</v>
      </c>
      <c r="N62" s="55">
        <f t="shared" si="32"/>
        <v>45778</v>
      </c>
      <c r="O62" s="8">
        <f t="shared" si="20"/>
        <v>35</v>
      </c>
      <c r="P62" s="8"/>
      <c r="Q62" s="33">
        <f>IF(O62&lt;&gt;"",ROUND(IF($F$11="raty równe",-PMT(W62/12,$F$4-O61+SUM($P$28:P62),T61,2),R62+S62),2),"")</f>
        <v>3461.18</v>
      </c>
      <c r="R62" s="11">
        <f>IF(O62&lt;&gt;"",IF($F$11="raty malejące",T61/($F$4-O61+SUM($P$28:P62)),IF(Q62-S62&gt;T61,T61,Q62-S62)),"")</f>
        <v>769.6740527330162</v>
      </c>
      <c r="S62" s="11">
        <f t="shared" si="34"/>
        <v>2691.5059472669836</v>
      </c>
      <c r="T62" s="9">
        <f t="shared" si="21"/>
        <v>381004.21917662641</v>
      </c>
      <c r="U62" s="10">
        <f t="shared" si="13"/>
        <v>6.7599999999999993E-2</v>
      </c>
      <c r="V62" s="10">
        <f t="shared" si="14"/>
        <v>1.7000000000000001E-2</v>
      </c>
      <c r="W62" s="49">
        <f t="shared" si="22"/>
        <v>8.4599999999999995E-2</v>
      </c>
      <c r="X62" s="11">
        <f t="shared" si="15"/>
        <v>20</v>
      </c>
      <c r="Y62" s="11">
        <f>IF(O62&lt;&gt;"",IF($B$16=listy!$K$8,'RZĄDOWY PROGRAM'!$F$3*'RZĄDOWY PROGRAM'!$F$15,T61*$F$15),"")</f>
        <v>50</v>
      </c>
      <c r="Z62" s="11">
        <f t="shared" si="23"/>
        <v>70</v>
      </c>
      <c r="AB62" s="8">
        <f t="shared" si="24"/>
        <v>35</v>
      </c>
      <c r="AC62" s="8"/>
      <c r="AD62" s="33">
        <f>IF(AB62&lt;&gt;"",ROUND(IF($F$11="raty równe",-PMT(W62/12,$F$4-AB61+SUM($AC$28:AC62),AG61,2),AE62+AF62),2),"")</f>
        <v>3227.7</v>
      </c>
      <c r="AE62" s="11">
        <f>IF(AB62&lt;&gt;"",IF($F$11="raty malejące",AG61/($F$4-AB61+SUM($AC$28:AC61)),MIN(AD62-AF62,AG61)),"")</f>
        <v>717.75489999827687</v>
      </c>
      <c r="AF62" s="11">
        <f t="shared" si="35"/>
        <v>2509.9451000017229</v>
      </c>
      <c r="AG62" s="9">
        <f t="shared" si="33"/>
        <v>355302.82666052983</v>
      </c>
      <c r="AH62" s="11"/>
      <c r="AI62" s="33">
        <f>IF(AB62&lt;&gt;"",ROUND(IF($F$11="raty równe",-PMT(W62/12,($F$4-AB61+SUM($AC$27:AC61)),AG61,2),AG61/($F$4-AB61+SUM($AC$27:AC61))+AG61*W62/12),2),"")</f>
        <v>3227.7</v>
      </c>
      <c r="AJ62" s="33">
        <f t="shared" si="25"/>
        <v>233.47000000000025</v>
      </c>
      <c r="AK62" s="33">
        <f t="shared" si="26"/>
        <v>6803.2513894115355</v>
      </c>
      <c r="AL62" s="33">
        <f>IF(AB62&lt;&gt;"",AK62-SUM($AJ$28:AJ62),"")</f>
        <v>306.34138941154015</v>
      </c>
      <c r="AM62" s="11">
        <f t="shared" si="27"/>
        <v>20</v>
      </c>
      <c r="AN62" s="11">
        <f>IF(AB62&lt;&gt;"",IF($B$16=listy!$K$8,'RZĄDOWY PROGRAM'!$F$3*'RZĄDOWY PROGRAM'!$F$15,AG61*$F$15),"")</f>
        <v>50</v>
      </c>
      <c r="AO62" s="11">
        <f t="shared" si="28"/>
        <v>70</v>
      </c>
      <c r="AQ62" s="49">
        <f t="shared" si="16"/>
        <v>0.05</v>
      </c>
      <c r="AR62" s="18">
        <f t="shared" si="17"/>
        <v>4.0741237836483535E-3</v>
      </c>
      <c r="AS62" s="11">
        <f t="shared" si="29"/>
        <v>-9.9999999997635314E-3</v>
      </c>
      <c r="AT62" s="11">
        <f t="shared" si="30"/>
        <v>30344.353978165615</v>
      </c>
      <c r="AU62" s="11">
        <f>IF(AB62&lt;&gt;"",AT62-SUM($AS$28:AS62),"")</f>
        <v>2654.943978165611</v>
      </c>
    </row>
    <row r="63" spans="1:47" ht="14.5" x14ac:dyDescent="0.35">
      <c r="A63" s="76">
        <f t="shared" si="31"/>
        <v>45809</v>
      </c>
      <c r="B63" s="8">
        <f t="shared" si="5"/>
        <v>36</v>
      </c>
      <c r="C63" s="11">
        <f t="shared" si="6"/>
        <v>3461.18</v>
      </c>
      <c r="D63" s="11">
        <f t="shared" si="7"/>
        <v>819.90972267359803</v>
      </c>
      <c r="E63" s="11">
        <f t="shared" si="8"/>
        <v>2641.2702773264018</v>
      </c>
      <c r="F63" s="9">
        <f t="shared" si="18"/>
        <v>373828.35656475934</v>
      </c>
      <c r="G63" s="10">
        <f t="shared" si="9"/>
        <v>6.7599999999999993E-2</v>
      </c>
      <c r="H63" s="10">
        <f t="shared" si="10"/>
        <v>1.7000000000000001E-2</v>
      </c>
      <c r="I63" s="49">
        <f t="shared" si="11"/>
        <v>8.4599999999999995E-2</v>
      </c>
      <c r="J63" s="11">
        <f t="shared" si="12"/>
        <v>20</v>
      </c>
      <c r="K63" s="11">
        <f>IF(B63&lt;&gt;"",IF($B$16=listy!$K$8,'RZĄDOWY PROGRAM'!$F$3*'RZĄDOWY PROGRAM'!$F$15,F62*$F$15),"")</f>
        <v>50</v>
      </c>
      <c r="L63" s="11">
        <f t="shared" si="19"/>
        <v>70</v>
      </c>
      <c r="N63" s="55">
        <f t="shared" si="32"/>
        <v>45809</v>
      </c>
      <c r="O63" s="8">
        <f t="shared" si="20"/>
        <v>36</v>
      </c>
      <c r="P63" s="8"/>
      <c r="Q63" s="33">
        <f>IF(O63&lt;&gt;"",ROUND(IF($F$11="raty równe",-PMT(W63/12,$F$4-O62+SUM($P$28:P63),T62,2),R63+S63),2),"")</f>
        <v>3461.18</v>
      </c>
      <c r="R63" s="11">
        <f>IF(O63&lt;&gt;"",IF($F$11="raty malejące",T62/($F$4-O62+SUM($P$28:P63)),IF(Q63-S63&gt;T62,T62,Q63-S63)),"")</f>
        <v>775.10025480478362</v>
      </c>
      <c r="S63" s="11">
        <f t="shared" si="34"/>
        <v>2686.0797451952162</v>
      </c>
      <c r="T63" s="9">
        <f t="shared" si="21"/>
        <v>380229.11892182165</v>
      </c>
      <c r="U63" s="10">
        <f t="shared" si="13"/>
        <v>6.7599999999999993E-2</v>
      </c>
      <c r="V63" s="10">
        <f t="shared" si="14"/>
        <v>1.7000000000000001E-2</v>
      </c>
      <c r="W63" s="49">
        <f t="shared" si="22"/>
        <v>8.4599999999999995E-2</v>
      </c>
      <c r="X63" s="11">
        <f t="shared" si="15"/>
        <v>20</v>
      </c>
      <c r="Y63" s="11">
        <f>IF(O63&lt;&gt;"",IF($B$16=listy!$K$8,'RZĄDOWY PROGRAM'!$F$3*'RZĄDOWY PROGRAM'!$F$15,T62*$F$15),"")</f>
        <v>50</v>
      </c>
      <c r="Z63" s="11">
        <f t="shared" si="23"/>
        <v>70</v>
      </c>
      <c r="AB63" s="8">
        <f t="shared" si="24"/>
        <v>36</v>
      </c>
      <c r="AC63" s="8"/>
      <c r="AD63" s="33">
        <f>IF(AB63&lt;&gt;"",ROUND(IF($F$11="raty równe",-PMT(W63/12,$F$4-AB62+SUM($AC$28:AC63),AG62,2),AE63+AF63),2),"")</f>
        <v>3227.69</v>
      </c>
      <c r="AE63" s="11">
        <f>IF(AB63&lt;&gt;"",IF($F$11="raty malejące",AG62/($F$4-AB62+SUM($AC$28:AC62)),MIN(AD63-AF63,AG62)),"")</f>
        <v>722.80507204326477</v>
      </c>
      <c r="AF63" s="11">
        <f t="shared" si="35"/>
        <v>2504.8849279567353</v>
      </c>
      <c r="AG63" s="9">
        <f t="shared" si="33"/>
        <v>354580.02158848656</v>
      </c>
      <c r="AH63" s="11"/>
      <c r="AI63" s="33">
        <f>IF(AB63&lt;&gt;"",ROUND(IF($F$11="raty równe",-PMT(W63/12,($F$4-AB62+SUM($AC$27:AC62)),AG62,2),AG62/($F$4-AB62+SUM($AC$27:AC62))+AG62*W63/12),2),"")</f>
        <v>3227.69</v>
      </c>
      <c r="AJ63" s="33">
        <f t="shared" si="25"/>
        <v>233.48999999999978</v>
      </c>
      <c r="AK63" s="33">
        <f t="shared" si="26"/>
        <v>7059.1923929278446</v>
      </c>
      <c r="AL63" s="33">
        <f>IF(AB63&lt;&gt;"",AK63-SUM($AJ$28:AJ63),"")</f>
        <v>328.79239292784951</v>
      </c>
      <c r="AM63" s="11">
        <f t="shared" si="27"/>
        <v>20</v>
      </c>
      <c r="AN63" s="11">
        <f>IF(AB63&lt;&gt;"",IF($B$16=listy!$K$8,'RZĄDOWY PROGRAM'!$F$3*'RZĄDOWY PROGRAM'!$F$15,AG62*$F$15),"")</f>
        <v>50</v>
      </c>
      <c r="AO63" s="11">
        <f t="shared" si="28"/>
        <v>70</v>
      </c>
      <c r="AQ63" s="49">
        <f t="shared" si="16"/>
        <v>0.05</v>
      </c>
      <c r="AR63" s="18">
        <f t="shared" si="17"/>
        <v>4.0741237836483535E-3</v>
      </c>
      <c r="AS63" s="11">
        <f t="shared" si="29"/>
        <v>0</v>
      </c>
      <c r="AT63" s="11">
        <f t="shared" si="30"/>
        <v>30444.491568101545</v>
      </c>
      <c r="AU63" s="11">
        <f>IF(AB63&lt;&gt;"",AT63-SUM($AS$28:AS63),"")</f>
        <v>2755.0815681015411</v>
      </c>
    </row>
    <row r="64" spans="1:47" ht="14.5" x14ac:dyDescent="0.35">
      <c r="A64" s="76">
        <f t="shared" si="31"/>
        <v>45839</v>
      </c>
      <c r="B64" s="8">
        <f t="shared" si="5"/>
        <v>37</v>
      </c>
      <c r="C64" s="11">
        <f t="shared" si="6"/>
        <v>3461.17</v>
      </c>
      <c r="D64" s="11">
        <f t="shared" si="7"/>
        <v>825.68008621844683</v>
      </c>
      <c r="E64" s="11">
        <f t="shared" si="8"/>
        <v>2635.4899137815532</v>
      </c>
      <c r="F64" s="9">
        <f t="shared" si="18"/>
        <v>373002.67647854087</v>
      </c>
      <c r="G64" s="10">
        <f t="shared" si="9"/>
        <v>6.7599999999999993E-2</v>
      </c>
      <c r="H64" s="10">
        <f t="shared" si="10"/>
        <v>1.7000000000000001E-2</v>
      </c>
      <c r="I64" s="49">
        <f t="shared" si="11"/>
        <v>8.4599999999999995E-2</v>
      </c>
      <c r="J64" s="11">
        <f t="shared" si="12"/>
        <v>20</v>
      </c>
      <c r="K64" s="11">
        <f>IF(B64&lt;&gt;"",IF($B$16=listy!$K$8,'RZĄDOWY PROGRAM'!$F$3*'RZĄDOWY PROGRAM'!$F$15,F63*$F$15),"")</f>
        <v>50</v>
      </c>
      <c r="L64" s="11">
        <f t="shared" si="19"/>
        <v>70</v>
      </c>
      <c r="N64" s="55">
        <f t="shared" si="32"/>
        <v>45839</v>
      </c>
      <c r="O64" s="8">
        <f t="shared" si="20"/>
        <v>37</v>
      </c>
      <c r="P64" s="8"/>
      <c r="Q64" s="33">
        <f>IF(O64&lt;&gt;"",ROUND(IF($F$11="raty równe",-PMT(W64/12,$F$4-O63+SUM($P$28:P64),T63,2),R64+S64),2),"")</f>
        <v>3461.18</v>
      </c>
      <c r="R64" s="11">
        <f>IF(O64&lt;&gt;"",IF($F$11="raty malejące",T63/($F$4-O63+SUM($P$28:P64)),IF(Q64-S64&gt;T63,T63,Q64-S64)),"")</f>
        <v>780.56471160115734</v>
      </c>
      <c r="S64" s="11">
        <f t="shared" si="34"/>
        <v>2680.6152883988425</v>
      </c>
      <c r="T64" s="9">
        <f t="shared" si="21"/>
        <v>379448.55421022046</v>
      </c>
      <c r="U64" s="10">
        <f t="shared" si="13"/>
        <v>6.7599999999999993E-2</v>
      </c>
      <c r="V64" s="10">
        <f t="shared" si="14"/>
        <v>1.7000000000000001E-2</v>
      </c>
      <c r="W64" s="49">
        <f t="shared" si="22"/>
        <v>8.4599999999999995E-2</v>
      </c>
      <c r="X64" s="11">
        <f t="shared" si="15"/>
        <v>20</v>
      </c>
      <c r="Y64" s="11">
        <f>IF(O64&lt;&gt;"",IF($B$16=listy!$K$8,'RZĄDOWY PROGRAM'!$F$3*'RZĄDOWY PROGRAM'!$F$15,T63*$F$15),"")</f>
        <v>50</v>
      </c>
      <c r="Z64" s="11">
        <f t="shared" si="23"/>
        <v>70</v>
      </c>
      <c r="AB64" s="8">
        <f t="shared" si="24"/>
        <v>37</v>
      </c>
      <c r="AC64" s="8"/>
      <c r="AD64" s="33">
        <f>IF(AB64&lt;&gt;"",ROUND(IF($F$11="raty równe",-PMT(W64/12,$F$4-AB63+SUM($AC$28:AC64),AG63,2),AE64+AF64),2),"")</f>
        <v>3227.7</v>
      </c>
      <c r="AE64" s="11">
        <f>IF(AB64&lt;&gt;"",IF($F$11="raty malejące",AG63/($F$4-AB63+SUM($AC$28:AC63)),MIN(AD64-AF64,AG63)),"")</f>
        <v>727.91084780116989</v>
      </c>
      <c r="AF64" s="11">
        <f t="shared" si="35"/>
        <v>2499.7891521988299</v>
      </c>
      <c r="AG64" s="9">
        <f t="shared" si="33"/>
        <v>353852.11074068537</v>
      </c>
      <c r="AH64" s="11"/>
      <c r="AI64" s="33">
        <f>IF(AB64&lt;&gt;"",ROUND(IF($F$11="raty równe",-PMT(W64/12,($F$4-AB63+SUM($AC$27:AC63)),AG63,2),AG63/($F$4-AB63+SUM($AC$27:AC63))+AG63*W64/12),2),"")</f>
        <v>3227.7</v>
      </c>
      <c r="AJ64" s="33">
        <f t="shared" si="25"/>
        <v>233.47000000000025</v>
      </c>
      <c r="AK64" s="33">
        <f t="shared" si="26"/>
        <v>7315.9580120611599</v>
      </c>
      <c r="AL64" s="33">
        <f>IF(AB64&lt;&gt;"",AK64-SUM($AJ$28:AJ64),"")</f>
        <v>352.08801206116459</v>
      </c>
      <c r="AM64" s="11">
        <f t="shared" si="27"/>
        <v>20</v>
      </c>
      <c r="AN64" s="11">
        <f>IF(AB64&lt;&gt;"",IF($B$16=listy!$K$8,'RZĄDOWY PROGRAM'!$F$3*'RZĄDOWY PROGRAM'!$F$15,AG63*$F$15),"")</f>
        <v>50</v>
      </c>
      <c r="AO64" s="11">
        <f t="shared" si="28"/>
        <v>70</v>
      </c>
      <c r="AQ64" s="49">
        <f t="shared" si="16"/>
        <v>0.05</v>
      </c>
      <c r="AR64" s="18">
        <f t="shared" si="17"/>
        <v>4.0741237836483535E-3</v>
      </c>
      <c r="AS64" s="11">
        <f t="shared" si="29"/>
        <v>-9.9999999997635314E-3</v>
      </c>
      <c r="AT64" s="11">
        <f t="shared" si="30"/>
        <v>30544.949616116279</v>
      </c>
      <c r="AU64" s="11">
        <f>IF(AB64&lt;&gt;"",AT64-SUM($AS$28:AS64),"")</f>
        <v>2855.5496161162737</v>
      </c>
    </row>
    <row r="65" spans="1:47" ht="14.5" x14ac:dyDescent="0.35">
      <c r="A65" s="76">
        <f t="shared" si="31"/>
        <v>45870</v>
      </c>
      <c r="B65" s="8">
        <f t="shared" si="5"/>
        <v>38</v>
      </c>
      <c r="C65" s="11">
        <f t="shared" si="6"/>
        <v>3461.18</v>
      </c>
      <c r="D65" s="11">
        <f t="shared" si="7"/>
        <v>831.51113082628672</v>
      </c>
      <c r="E65" s="11">
        <f t="shared" si="8"/>
        <v>2629.6688691737131</v>
      </c>
      <c r="F65" s="9">
        <f t="shared" si="18"/>
        <v>372171.16534771456</v>
      </c>
      <c r="G65" s="10">
        <f t="shared" si="9"/>
        <v>6.7599999999999993E-2</v>
      </c>
      <c r="H65" s="10">
        <f t="shared" si="10"/>
        <v>1.7000000000000001E-2</v>
      </c>
      <c r="I65" s="49">
        <f t="shared" si="11"/>
        <v>8.4599999999999995E-2</v>
      </c>
      <c r="J65" s="11">
        <f t="shared" si="12"/>
        <v>20</v>
      </c>
      <c r="K65" s="11">
        <f>IF(B65&lt;&gt;"",IF($B$16=listy!$K$8,'RZĄDOWY PROGRAM'!$F$3*'RZĄDOWY PROGRAM'!$F$15,F64*$F$15),"")</f>
        <v>50</v>
      </c>
      <c r="L65" s="11">
        <f t="shared" si="19"/>
        <v>70</v>
      </c>
      <c r="N65" s="55">
        <f t="shared" si="32"/>
        <v>45870</v>
      </c>
      <c r="O65" s="8">
        <f t="shared" si="20"/>
        <v>38</v>
      </c>
      <c r="P65" s="8"/>
      <c r="Q65" s="33">
        <f>IF(O65&lt;&gt;"",ROUND(IF($F$11="raty równe",-PMT(W65/12,$F$4-O64+SUM($P$28:P65),T64,2),R65+S65),2),"")</f>
        <v>3461.18</v>
      </c>
      <c r="R65" s="11">
        <f>IF(O65&lt;&gt;"",IF($F$11="raty malejące",T64/($F$4-O64+SUM($P$28:P65)),IF(Q65-S65&gt;T64,T64,Q65-S65)),"")</f>
        <v>786.0676928179455</v>
      </c>
      <c r="S65" s="11">
        <f t="shared" si="34"/>
        <v>2675.1123071820543</v>
      </c>
      <c r="T65" s="9">
        <f t="shared" si="21"/>
        <v>378662.48651740252</v>
      </c>
      <c r="U65" s="10">
        <f t="shared" si="13"/>
        <v>6.7599999999999993E-2</v>
      </c>
      <c r="V65" s="10">
        <f t="shared" si="14"/>
        <v>1.7000000000000001E-2</v>
      </c>
      <c r="W65" s="49">
        <f t="shared" si="22"/>
        <v>8.4599999999999995E-2</v>
      </c>
      <c r="X65" s="11">
        <f t="shared" si="15"/>
        <v>20</v>
      </c>
      <c r="Y65" s="11">
        <f>IF(O65&lt;&gt;"",IF($B$16=listy!$K$8,'RZĄDOWY PROGRAM'!$F$3*'RZĄDOWY PROGRAM'!$F$15,T64*$F$15),"")</f>
        <v>50</v>
      </c>
      <c r="Z65" s="11">
        <f t="shared" si="23"/>
        <v>70</v>
      </c>
      <c r="AB65" s="8">
        <f t="shared" si="24"/>
        <v>38</v>
      </c>
      <c r="AC65" s="8"/>
      <c r="AD65" s="33">
        <f>IF(AB65&lt;&gt;"",ROUND(IF($F$11="raty równe",-PMT(W65/12,$F$4-AB64+SUM($AC$28:AC65),AG64,2),AE65+AF65),2),"")</f>
        <v>3227.69</v>
      </c>
      <c r="AE65" s="11">
        <f>IF(AB65&lt;&gt;"",IF($F$11="raty malejące",AG64/($F$4-AB64+SUM($AC$28:AC64)),MIN(AD65-AF65,AG64)),"")</f>
        <v>733.03261927816857</v>
      </c>
      <c r="AF65" s="11">
        <f t="shared" si="35"/>
        <v>2494.6573807218315</v>
      </c>
      <c r="AG65" s="9">
        <f t="shared" si="33"/>
        <v>353119.07812140719</v>
      </c>
      <c r="AH65" s="11"/>
      <c r="AI65" s="33">
        <f>IF(AB65&lt;&gt;"",ROUND(IF($F$11="raty równe",-PMT(W65/12,($F$4-AB64+SUM($AC$27:AC64)),AG64,2),AG64/($F$4-AB64+SUM($AC$27:AC64))+AG64*W65/12),2),"")</f>
        <v>3227.69</v>
      </c>
      <c r="AJ65" s="33">
        <f t="shared" si="25"/>
        <v>233.48999999999978</v>
      </c>
      <c r="AK65" s="33">
        <f t="shared" si="26"/>
        <v>7573.5909680762197</v>
      </c>
      <c r="AL65" s="33">
        <f>IF(AB65&lt;&gt;"",AK65-SUM($AJ$28:AJ65),"")</f>
        <v>376.2309680762246</v>
      </c>
      <c r="AM65" s="11">
        <f t="shared" si="27"/>
        <v>20</v>
      </c>
      <c r="AN65" s="11">
        <f>IF(AB65&lt;&gt;"",IF($B$16=listy!$K$8,'RZĄDOWY PROGRAM'!$F$3*'RZĄDOWY PROGRAM'!$F$15,AG64*$F$15),"")</f>
        <v>50</v>
      </c>
      <c r="AO65" s="11">
        <f t="shared" si="28"/>
        <v>70</v>
      </c>
      <c r="AQ65" s="49">
        <f t="shared" si="16"/>
        <v>0.05</v>
      </c>
      <c r="AR65" s="18">
        <f t="shared" si="17"/>
        <v>4.0741237836483535E-3</v>
      </c>
      <c r="AS65" s="11">
        <f t="shared" si="29"/>
        <v>0</v>
      </c>
      <c r="AT65" s="11">
        <f t="shared" si="30"/>
        <v>30645.749179734379</v>
      </c>
      <c r="AU65" s="11">
        <f>IF(AB65&lt;&gt;"",AT65-SUM($AS$28:AS65),"")</f>
        <v>2956.349179734374</v>
      </c>
    </row>
    <row r="66" spans="1:47" ht="14.5" x14ac:dyDescent="0.35">
      <c r="A66" s="76">
        <f t="shared" si="31"/>
        <v>45901</v>
      </c>
      <c r="B66" s="8">
        <f t="shared" si="5"/>
        <v>39</v>
      </c>
      <c r="C66" s="11">
        <f t="shared" si="6"/>
        <v>3461.17</v>
      </c>
      <c r="D66" s="11">
        <f t="shared" si="7"/>
        <v>837.3632842986126</v>
      </c>
      <c r="E66" s="11">
        <f t="shared" si="8"/>
        <v>2623.8067157013875</v>
      </c>
      <c r="F66" s="9">
        <f t="shared" si="18"/>
        <v>371333.80206341593</v>
      </c>
      <c r="G66" s="10">
        <f t="shared" si="9"/>
        <v>6.7599999999999993E-2</v>
      </c>
      <c r="H66" s="10">
        <f t="shared" si="10"/>
        <v>1.7000000000000001E-2</v>
      </c>
      <c r="I66" s="49">
        <f t="shared" si="11"/>
        <v>8.4599999999999995E-2</v>
      </c>
      <c r="J66" s="11">
        <f t="shared" si="12"/>
        <v>20</v>
      </c>
      <c r="K66" s="11">
        <f>IF(B66&lt;&gt;"",IF($B$16=listy!$K$8,'RZĄDOWY PROGRAM'!$F$3*'RZĄDOWY PROGRAM'!$F$15,F65*$F$15),"")</f>
        <v>50</v>
      </c>
      <c r="L66" s="11">
        <f t="shared" si="19"/>
        <v>70</v>
      </c>
      <c r="N66" s="55">
        <f t="shared" si="32"/>
        <v>45901</v>
      </c>
      <c r="O66" s="8">
        <f t="shared" si="20"/>
        <v>39</v>
      </c>
      <c r="P66" s="8"/>
      <c r="Q66" s="33">
        <f>IF(O66&lt;&gt;"",ROUND(IF($F$11="raty równe",-PMT(W66/12,$F$4-O65+SUM($P$28:P66),T65,2),R66+S66),2),"")</f>
        <v>3461.17</v>
      </c>
      <c r="R66" s="11">
        <f>IF(O66&lt;&gt;"",IF($F$11="raty malejące",T65/($F$4-O65+SUM($P$28:P66)),IF(Q66-S66&gt;T65,T65,Q66-S66)),"")</f>
        <v>791.59947005231243</v>
      </c>
      <c r="S66" s="11">
        <f t="shared" si="34"/>
        <v>2669.5705299476876</v>
      </c>
      <c r="T66" s="9">
        <f t="shared" si="21"/>
        <v>377870.88704735023</v>
      </c>
      <c r="U66" s="10">
        <f t="shared" si="13"/>
        <v>6.7599999999999993E-2</v>
      </c>
      <c r="V66" s="10">
        <f t="shared" si="14"/>
        <v>1.7000000000000001E-2</v>
      </c>
      <c r="W66" s="49">
        <f t="shared" si="22"/>
        <v>8.4599999999999995E-2</v>
      </c>
      <c r="X66" s="11">
        <f t="shared" si="15"/>
        <v>20</v>
      </c>
      <c r="Y66" s="11">
        <f>IF(O66&lt;&gt;"",IF($B$16=listy!$K$8,'RZĄDOWY PROGRAM'!$F$3*'RZĄDOWY PROGRAM'!$F$15,T65*$F$15),"")</f>
        <v>50</v>
      </c>
      <c r="Z66" s="11">
        <f t="shared" si="23"/>
        <v>70</v>
      </c>
      <c r="AB66" s="8">
        <f t="shared" si="24"/>
        <v>39</v>
      </c>
      <c r="AC66" s="8"/>
      <c r="AD66" s="33">
        <f>IF(AB66&lt;&gt;"",ROUND(IF($F$11="raty równe",-PMT(W66/12,$F$4-AB65+SUM($AC$28:AC66),AG65,2),AE66+AF66),2),"")</f>
        <v>3227.7</v>
      </c>
      <c r="AE66" s="11">
        <f>IF(AB66&lt;&gt;"",IF($F$11="raty malejące",AG65/($F$4-AB65+SUM($AC$28:AC65)),MIN(AD66-AF66,AG65)),"")</f>
        <v>738.21049924407953</v>
      </c>
      <c r="AF66" s="11">
        <f t="shared" si="35"/>
        <v>2489.4895007559203</v>
      </c>
      <c r="AG66" s="9">
        <f t="shared" si="33"/>
        <v>352380.86762216309</v>
      </c>
      <c r="AH66" s="11"/>
      <c r="AI66" s="33">
        <f>IF(AB66&lt;&gt;"",ROUND(IF($F$11="raty równe",-PMT(W66/12,($F$4-AB65+SUM($AC$27:AC65)),AG65,2),AG65/($F$4-AB65+SUM($AC$27:AC65))+AG65*W66/12),2),"")</f>
        <v>3227.7</v>
      </c>
      <c r="AJ66" s="33">
        <f t="shared" si="25"/>
        <v>233.47000000000025</v>
      </c>
      <c r="AK66" s="33">
        <f t="shared" si="26"/>
        <v>7832.0541232196574</v>
      </c>
      <c r="AL66" s="33">
        <f>IF(AB66&lt;&gt;"",AK66-SUM($AJ$28:AJ66),"")</f>
        <v>401.22412321966203</v>
      </c>
      <c r="AM66" s="11">
        <f t="shared" si="27"/>
        <v>20</v>
      </c>
      <c r="AN66" s="11">
        <f>IF(AB66&lt;&gt;"",IF($B$16=listy!$K$8,'RZĄDOWY PROGRAM'!$F$3*'RZĄDOWY PROGRAM'!$F$15,AG65*$F$15),"")</f>
        <v>50</v>
      </c>
      <c r="AO66" s="11">
        <f t="shared" si="28"/>
        <v>70</v>
      </c>
      <c r="AQ66" s="49">
        <f t="shared" si="16"/>
        <v>0.05</v>
      </c>
      <c r="AR66" s="18">
        <f t="shared" si="17"/>
        <v>4.0741237836483535E-3</v>
      </c>
      <c r="AS66" s="11">
        <f t="shared" si="29"/>
        <v>0</v>
      </c>
      <c r="AT66" s="11">
        <f t="shared" si="30"/>
        <v>30746.88138597109</v>
      </c>
      <c r="AU66" s="11">
        <f>IF(AB66&lt;&gt;"",AT66-SUM($AS$28:AS66),"")</f>
        <v>3057.4813859710848</v>
      </c>
    </row>
    <row r="67" spans="1:47" ht="14.5" x14ac:dyDescent="0.35">
      <c r="A67" s="76">
        <f t="shared" si="31"/>
        <v>45931</v>
      </c>
      <c r="B67" s="8">
        <f t="shared" si="5"/>
        <v>40</v>
      </c>
      <c r="C67" s="11">
        <f t="shared" si="6"/>
        <v>3461.18</v>
      </c>
      <c r="D67" s="11">
        <f t="shared" si="7"/>
        <v>843.27669545291792</v>
      </c>
      <c r="E67" s="11">
        <f t="shared" si="8"/>
        <v>2617.9033045470819</v>
      </c>
      <c r="F67" s="9">
        <f t="shared" si="18"/>
        <v>370490.52536796301</v>
      </c>
      <c r="G67" s="10">
        <f t="shared" si="9"/>
        <v>6.7599999999999993E-2</v>
      </c>
      <c r="H67" s="10">
        <f t="shared" si="10"/>
        <v>1.7000000000000001E-2</v>
      </c>
      <c r="I67" s="49">
        <f t="shared" si="11"/>
        <v>8.4599999999999995E-2</v>
      </c>
      <c r="J67" s="11">
        <f t="shared" si="12"/>
        <v>20</v>
      </c>
      <c r="K67" s="11">
        <f>IF(B67&lt;&gt;"",IF($B$16=listy!$K$8,'RZĄDOWY PROGRAM'!$F$3*'RZĄDOWY PROGRAM'!$F$15,F66*$F$15),"")</f>
        <v>50</v>
      </c>
      <c r="L67" s="11">
        <f t="shared" si="19"/>
        <v>70</v>
      </c>
      <c r="N67" s="55">
        <f t="shared" si="32"/>
        <v>45931</v>
      </c>
      <c r="O67" s="8">
        <f t="shared" si="20"/>
        <v>40</v>
      </c>
      <c r="P67" s="8"/>
      <c r="Q67" s="33">
        <f>IF(O67&lt;&gt;"",ROUND(IF($F$11="raty równe",-PMT(W67/12,$F$4-O66+SUM($P$28:P67),T66,2),R67+S67),2),"")</f>
        <v>3461.18</v>
      </c>
      <c r="R67" s="11">
        <f>IF(O67&lt;&gt;"",IF($F$11="raty malejące",T66/($F$4-O66+SUM($P$28:P67)),IF(Q67-S67&gt;T66,T66,Q67-S67)),"")</f>
        <v>797.19024631618095</v>
      </c>
      <c r="S67" s="11">
        <f t="shared" si="34"/>
        <v>2663.9897536838189</v>
      </c>
      <c r="T67" s="9">
        <f t="shared" si="21"/>
        <v>377073.69680103404</v>
      </c>
      <c r="U67" s="10">
        <f t="shared" si="13"/>
        <v>6.7599999999999993E-2</v>
      </c>
      <c r="V67" s="10">
        <f t="shared" si="14"/>
        <v>1.7000000000000001E-2</v>
      </c>
      <c r="W67" s="49">
        <f t="shared" si="22"/>
        <v>8.4599999999999995E-2</v>
      </c>
      <c r="X67" s="11">
        <f t="shared" si="15"/>
        <v>20</v>
      </c>
      <c r="Y67" s="11">
        <f>IF(O67&lt;&gt;"",IF($B$16=listy!$K$8,'RZĄDOWY PROGRAM'!$F$3*'RZĄDOWY PROGRAM'!$F$15,T66*$F$15),"")</f>
        <v>50</v>
      </c>
      <c r="Z67" s="11">
        <f t="shared" si="23"/>
        <v>70</v>
      </c>
      <c r="AB67" s="8">
        <f t="shared" si="24"/>
        <v>40</v>
      </c>
      <c r="AC67" s="8"/>
      <c r="AD67" s="33">
        <f>IF(AB67&lt;&gt;"",ROUND(IF($F$11="raty równe",-PMT(W67/12,$F$4-AB66+SUM($AC$28:AC67),AG66,2),AE67+AF67),2),"")</f>
        <v>3227.69</v>
      </c>
      <c r="AE67" s="11">
        <f>IF(AB67&lt;&gt;"",IF($F$11="raty malejące",AG66/($F$4-AB66+SUM($AC$28:AC66)),MIN(AD67-AF67,AG66)),"")</f>
        <v>743.40488326375043</v>
      </c>
      <c r="AF67" s="11">
        <f t="shared" si="35"/>
        <v>2484.2851167362496</v>
      </c>
      <c r="AG67" s="9">
        <f t="shared" si="33"/>
        <v>351637.46273889934</v>
      </c>
      <c r="AH67" s="11"/>
      <c r="AI67" s="33">
        <f>IF(AB67&lt;&gt;"",ROUND(IF($F$11="raty równe",-PMT(W67/12,($F$4-AB66+SUM($AC$27:AC66)),AG66,2),AG66/($F$4-AB66+SUM($AC$27:AC66))+AG66*W67/12),2),"")</f>
        <v>3227.69</v>
      </c>
      <c r="AJ67" s="33">
        <f t="shared" si="25"/>
        <v>233.48999999999978</v>
      </c>
      <c r="AK67" s="33">
        <f t="shared" si="26"/>
        <v>8091.3902171820237</v>
      </c>
      <c r="AL67" s="33">
        <f>IF(AB67&lt;&gt;"",AK67-SUM($AJ$28:AJ67),"")</f>
        <v>427.0702171820285</v>
      </c>
      <c r="AM67" s="11">
        <f t="shared" si="27"/>
        <v>20</v>
      </c>
      <c r="AN67" s="11">
        <f>IF(AB67&lt;&gt;"",IF($B$16=listy!$K$8,'RZĄDOWY PROGRAM'!$F$3*'RZĄDOWY PROGRAM'!$F$15,AG66*$F$15),"")</f>
        <v>50</v>
      </c>
      <c r="AO67" s="11">
        <f t="shared" si="28"/>
        <v>70</v>
      </c>
      <c r="AQ67" s="49">
        <f t="shared" si="16"/>
        <v>0.05</v>
      </c>
      <c r="AR67" s="18">
        <f t="shared" si="17"/>
        <v>4.0741237836483535E-3</v>
      </c>
      <c r="AS67" s="11">
        <f t="shared" si="29"/>
        <v>0</v>
      </c>
      <c r="AT67" s="11">
        <f t="shared" si="30"/>
        <v>30848.347332560446</v>
      </c>
      <c r="AU67" s="11">
        <f>IF(AB67&lt;&gt;"",AT67-SUM($AS$28:AS67),"")</f>
        <v>3158.9473325604413</v>
      </c>
    </row>
    <row r="68" spans="1:47" ht="14.5" x14ac:dyDescent="0.35">
      <c r="A68" s="76">
        <f t="shared" si="31"/>
        <v>45962</v>
      </c>
      <c r="B68" s="8">
        <f t="shared" si="5"/>
        <v>41</v>
      </c>
      <c r="C68" s="11">
        <f t="shared" si="6"/>
        <v>3461.17</v>
      </c>
      <c r="D68" s="11">
        <f t="shared" si="7"/>
        <v>849.21179615586107</v>
      </c>
      <c r="E68" s="11">
        <f t="shared" si="8"/>
        <v>2611.958203844139</v>
      </c>
      <c r="F68" s="9">
        <f t="shared" si="18"/>
        <v>369641.31357180717</v>
      </c>
      <c r="G68" s="10">
        <f t="shared" si="9"/>
        <v>6.7599999999999993E-2</v>
      </c>
      <c r="H68" s="10">
        <f t="shared" si="10"/>
        <v>1.7000000000000001E-2</v>
      </c>
      <c r="I68" s="49">
        <f t="shared" si="11"/>
        <v>8.4599999999999995E-2</v>
      </c>
      <c r="J68" s="11">
        <f t="shared" si="12"/>
        <v>20</v>
      </c>
      <c r="K68" s="11">
        <f>IF(B68&lt;&gt;"",IF($B$16=listy!$K$8,'RZĄDOWY PROGRAM'!$F$3*'RZĄDOWY PROGRAM'!$F$15,F67*$F$15),"")</f>
        <v>50</v>
      </c>
      <c r="L68" s="11">
        <f t="shared" si="19"/>
        <v>70</v>
      </c>
      <c r="N68" s="55">
        <f t="shared" si="32"/>
        <v>45962</v>
      </c>
      <c r="O68" s="8">
        <f t="shared" si="20"/>
        <v>41</v>
      </c>
      <c r="P68" s="8"/>
      <c r="Q68" s="33">
        <f>IF(O68&lt;&gt;"",ROUND(IF($F$11="raty równe",-PMT(W68/12,$F$4-O67+SUM($P$28:P68),T67,2),R68+S68),2),"")</f>
        <v>3461.17</v>
      </c>
      <c r="R68" s="11">
        <f>IF(O68&lt;&gt;"",IF($F$11="raty malejące",T67/($F$4-O67+SUM($P$28:P68)),IF(Q68-S68&gt;T67,T67,Q68-S68)),"")</f>
        <v>802.80043755271026</v>
      </c>
      <c r="S68" s="11">
        <f t="shared" si="34"/>
        <v>2658.3695624472898</v>
      </c>
      <c r="T68" s="9">
        <f t="shared" si="21"/>
        <v>376270.8963634813</v>
      </c>
      <c r="U68" s="10">
        <f t="shared" si="13"/>
        <v>6.7599999999999993E-2</v>
      </c>
      <c r="V68" s="10">
        <f t="shared" si="14"/>
        <v>1.7000000000000001E-2</v>
      </c>
      <c r="W68" s="49">
        <f t="shared" si="22"/>
        <v>8.4599999999999995E-2</v>
      </c>
      <c r="X68" s="11">
        <f t="shared" si="15"/>
        <v>20</v>
      </c>
      <c r="Y68" s="11">
        <f>IF(O68&lt;&gt;"",IF($B$16=listy!$K$8,'RZĄDOWY PROGRAM'!$F$3*'RZĄDOWY PROGRAM'!$F$15,T67*$F$15),"")</f>
        <v>50</v>
      </c>
      <c r="Z68" s="11">
        <f t="shared" si="23"/>
        <v>70</v>
      </c>
      <c r="AB68" s="8">
        <f t="shared" si="24"/>
        <v>41</v>
      </c>
      <c r="AC68" s="8"/>
      <c r="AD68" s="33">
        <f>IF(AB68&lt;&gt;"",ROUND(IF($F$11="raty równe",-PMT(W68/12,$F$4-AB67+SUM($AC$28:AC68),AG67,2),AE68+AF68),2),"")</f>
        <v>3227.7</v>
      </c>
      <c r="AE68" s="11">
        <f>IF(AB68&lt;&gt;"",IF($F$11="raty malejące",AG67/($F$4-AB67+SUM($AC$28:AC67)),MIN(AD68-AF68,AG67)),"")</f>
        <v>748.65588769075976</v>
      </c>
      <c r="AF68" s="11">
        <f t="shared" si="35"/>
        <v>2479.0441123092401</v>
      </c>
      <c r="AG68" s="9">
        <f t="shared" si="33"/>
        <v>350888.80685120856</v>
      </c>
      <c r="AH68" s="11"/>
      <c r="AI68" s="33">
        <f>IF(AB68&lt;&gt;"",ROUND(IF($F$11="raty równe",-PMT(W68/12,($F$4-AB67+SUM($AC$27:AC67)),AG67,2),AG67/($F$4-AB67+SUM($AC$27:AC67))+AG67*W68/12),2),"")</f>
        <v>3227.7</v>
      </c>
      <c r="AJ68" s="33">
        <f t="shared" si="25"/>
        <v>233.47000000000025</v>
      </c>
      <c r="AK68" s="33">
        <f t="shared" si="26"/>
        <v>8351.5621306965695</v>
      </c>
      <c r="AL68" s="33">
        <f>IF(AB68&lt;&gt;"",AK68-SUM($AJ$28:AJ68),"")</f>
        <v>453.7721306965741</v>
      </c>
      <c r="AM68" s="11">
        <f t="shared" si="27"/>
        <v>20</v>
      </c>
      <c r="AN68" s="11">
        <f>IF(AB68&lt;&gt;"",IF($B$16=listy!$K$8,'RZĄDOWY PROGRAM'!$F$3*'RZĄDOWY PROGRAM'!$F$15,AG67*$F$15),"")</f>
        <v>50</v>
      </c>
      <c r="AO68" s="11">
        <f t="shared" si="28"/>
        <v>70</v>
      </c>
      <c r="AQ68" s="49">
        <f t="shared" si="16"/>
        <v>0.05</v>
      </c>
      <c r="AR68" s="18">
        <f t="shared" si="17"/>
        <v>4.0741237836483535E-3</v>
      </c>
      <c r="AS68" s="11">
        <f t="shared" si="29"/>
        <v>0</v>
      </c>
      <c r="AT68" s="11">
        <f t="shared" si="30"/>
        <v>30950.148120859049</v>
      </c>
      <c r="AU68" s="11">
        <f>IF(AB68&lt;&gt;"",AT68-SUM($AS$28:AS68),"")</f>
        <v>3260.7481208590434</v>
      </c>
    </row>
    <row r="69" spans="1:47" ht="14.5" x14ac:dyDescent="0.35">
      <c r="A69" s="76">
        <f t="shared" si="31"/>
        <v>45992</v>
      </c>
      <c r="B69" s="8">
        <f t="shared" si="5"/>
        <v>42</v>
      </c>
      <c r="C69" s="11">
        <f t="shared" si="6"/>
        <v>3461.18</v>
      </c>
      <c r="D69" s="11">
        <f t="shared" si="7"/>
        <v>855.2087393187594</v>
      </c>
      <c r="E69" s="11">
        <f t="shared" si="8"/>
        <v>2605.9712606812404</v>
      </c>
      <c r="F69" s="9">
        <f t="shared" si="18"/>
        <v>368786.1048324884</v>
      </c>
      <c r="G69" s="10">
        <f t="shared" si="9"/>
        <v>6.7599999999999993E-2</v>
      </c>
      <c r="H69" s="10">
        <f t="shared" si="10"/>
        <v>1.7000000000000001E-2</v>
      </c>
      <c r="I69" s="49">
        <f t="shared" si="11"/>
        <v>8.4599999999999995E-2</v>
      </c>
      <c r="J69" s="11">
        <f t="shared" si="12"/>
        <v>20</v>
      </c>
      <c r="K69" s="11">
        <f>IF(B69&lt;&gt;"",IF($B$16=listy!$K$8,'RZĄDOWY PROGRAM'!$F$3*'RZĄDOWY PROGRAM'!$F$15,F68*$F$15),"")</f>
        <v>50</v>
      </c>
      <c r="L69" s="11">
        <f t="shared" si="19"/>
        <v>70</v>
      </c>
      <c r="N69" s="55">
        <f t="shared" si="32"/>
        <v>45992</v>
      </c>
      <c r="O69" s="8">
        <f t="shared" si="20"/>
        <v>42</v>
      </c>
      <c r="P69" s="8"/>
      <c r="Q69" s="33">
        <f>IF(O69&lt;&gt;"",ROUND(IF($F$11="raty równe",-PMT(W69/12,$F$4-O68+SUM($P$28:P69),T68,2),R69+S69),2),"")</f>
        <v>3461.18</v>
      </c>
      <c r="R69" s="11">
        <f>IF(O69&lt;&gt;"",IF($F$11="raty malejące",T68/($F$4-O68+SUM($P$28:P69)),IF(Q69-S69&gt;T68,T68,Q69-S69)),"")</f>
        <v>808.47018063745691</v>
      </c>
      <c r="S69" s="11">
        <f t="shared" si="34"/>
        <v>2652.7098193625429</v>
      </c>
      <c r="T69" s="9">
        <f t="shared" si="21"/>
        <v>375462.42618284386</v>
      </c>
      <c r="U69" s="10">
        <f t="shared" si="13"/>
        <v>6.7599999999999993E-2</v>
      </c>
      <c r="V69" s="10">
        <f t="shared" si="14"/>
        <v>1.7000000000000001E-2</v>
      </c>
      <c r="W69" s="49">
        <f t="shared" si="22"/>
        <v>8.4599999999999995E-2</v>
      </c>
      <c r="X69" s="11">
        <f t="shared" si="15"/>
        <v>20</v>
      </c>
      <c r="Y69" s="11">
        <f>IF(O69&lt;&gt;"",IF($B$16=listy!$K$8,'RZĄDOWY PROGRAM'!$F$3*'RZĄDOWY PROGRAM'!$F$15,T68*$F$15),"")</f>
        <v>50</v>
      </c>
      <c r="Z69" s="11">
        <f t="shared" si="23"/>
        <v>70</v>
      </c>
      <c r="AB69" s="8">
        <f t="shared" si="24"/>
        <v>42</v>
      </c>
      <c r="AC69" s="8"/>
      <c r="AD69" s="33">
        <f>IF(AB69&lt;&gt;"",ROUND(IF($F$11="raty równe",-PMT(W69/12,$F$4-AB68+SUM($AC$28:AC69),AG68,2),AE69+AF69),2),"")</f>
        <v>3227.69</v>
      </c>
      <c r="AE69" s="11">
        <f>IF(AB69&lt;&gt;"",IF($F$11="raty malejące",AG68/($F$4-AB68+SUM($AC$28:AC68)),MIN(AD69-AF69,AG68)),"")</f>
        <v>753.92391169897974</v>
      </c>
      <c r="AF69" s="11">
        <f t="shared" si="35"/>
        <v>2473.7660883010203</v>
      </c>
      <c r="AG69" s="9">
        <f t="shared" si="33"/>
        <v>350134.88293950958</v>
      </c>
      <c r="AH69" s="11"/>
      <c r="AI69" s="33">
        <f>IF(AB69&lt;&gt;"",ROUND(IF($F$11="raty równe",-PMT(W69/12,($F$4-AB68+SUM($AC$27:AC68)),AG68,2),AG68/($F$4-AB68+SUM($AC$27:AC68))+AG68*W69/12),2),"")</f>
        <v>3227.69</v>
      </c>
      <c r="AJ69" s="33">
        <f t="shared" si="25"/>
        <v>233.48999999999978</v>
      </c>
      <c r="AK69" s="33">
        <f t="shared" si="26"/>
        <v>8612.6126220014721</v>
      </c>
      <c r="AL69" s="33">
        <f>IF(AB69&lt;&gt;"",AK69-SUM($AJ$28:AJ69),"")</f>
        <v>481.33262200147692</v>
      </c>
      <c r="AM69" s="11">
        <f t="shared" si="27"/>
        <v>20</v>
      </c>
      <c r="AN69" s="11">
        <f>IF(AB69&lt;&gt;"",IF($B$16=listy!$K$8,'RZĄDOWY PROGRAM'!$F$3*'RZĄDOWY PROGRAM'!$F$15,AG68*$F$15),"")</f>
        <v>50</v>
      </c>
      <c r="AO69" s="11">
        <f t="shared" si="28"/>
        <v>70</v>
      </c>
      <c r="AQ69" s="49">
        <f t="shared" si="16"/>
        <v>0.05</v>
      </c>
      <c r="AR69" s="18">
        <f t="shared" si="17"/>
        <v>4.0741237836483535E-3</v>
      </c>
      <c r="AS69" s="11">
        <f t="shared" si="29"/>
        <v>0</v>
      </c>
      <c r="AT69" s="11">
        <f t="shared" si="30"/>
        <v>31052.284855858019</v>
      </c>
      <c r="AU69" s="11">
        <f>IF(AB69&lt;&gt;"",AT69-SUM($AS$28:AS69),"")</f>
        <v>3362.8848558580139</v>
      </c>
    </row>
    <row r="70" spans="1:47" ht="14.5" x14ac:dyDescent="0.35">
      <c r="A70" s="76">
        <f t="shared" si="31"/>
        <v>46023</v>
      </c>
      <c r="B70" s="8">
        <f t="shared" si="5"/>
        <v>43</v>
      </c>
      <c r="C70" s="11">
        <f t="shared" si="6"/>
        <v>3461.17</v>
      </c>
      <c r="D70" s="11">
        <f t="shared" si="7"/>
        <v>861.22796093095712</v>
      </c>
      <c r="E70" s="11">
        <f t="shared" si="8"/>
        <v>2599.9420390690429</v>
      </c>
      <c r="F70" s="9">
        <f t="shared" si="18"/>
        <v>367924.87687155744</v>
      </c>
      <c r="G70" s="10">
        <f t="shared" si="9"/>
        <v>6.7599999999999993E-2</v>
      </c>
      <c r="H70" s="10">
        <f t="shared" si="10"/>
        <v>1.7000000000000001E-2</v>
      </c>
      <c r="I70" s="49">
        <f t="shared" si="11"/>
        <v>8.4599999999999995E-2</v>
      </c>
      <c r="J70" s="11">
        <f t="shared" si="12"/>
        <v>20</v>
      </c>
      <c r="K70" s="11">
        <f>IF(B70&lt;&gt;"",IF($B$16=listy!$K$8,'RZĄDOWY PROGRAM'!$F$3*'RZĄDOWY PROGRAM'!$F$15,F69*$F$15),"")</f>
        <v>50</v>
      </c>
      <c r="L70" s="11">
        <f t="shared" si="19"/>
        <v>70</v>
      </c>
      <c r="N70" s="55">
        <f t="shared" si="32"/>
        <v>46023</v>
      </c>
      <c r="O70" s="8">
        <f t="shared" si="20"/>
        <v>43</v>
      </c>
      <c r="P70" s="8"/>
      <c r="Q70" s="33">
        <f>IF(O70&lt;&gt;"",ROUND(IF($F$11="raty równe",-PMT(W70/12,$F$4-O69+SUM($P$28:P70),T69,2),R70+S70),2),"")</f>
        <v>3461.17</v>
      </c>
      <c r="R70" s="11">
        <f>IF(O70&lt;&gt;"",IF($F$11="raty malejące",T69/($F$4-O69+SUM($P$28:P70)),IF(Q70-S70&gt;T69,T69,Q70-S70)),"")</f>
        <v>814.15989541095087</v>
      </c>
      <c r="S70" s="11">
        <f t="shared" si="34"/>
        <v>2647.0101045890492</v>
      </c>
      <c r="T70" s="9">
        <f t="shared" si="21"/>
        <v>374648.26628743293</v>
      </c>
      <c r="U70" s="10">
        <f t="shared" si="13"/>
        <v>6.7599999999999993E-2</v>
      </c>
      <c r="V70" s="10">
        <f t="shared" si="14"/>
        <v>1.7000000000000001E-2</v>
      </c>
      <c r="W70" s="49">
        <f t="shared" si="22"/>
        <v>8.4599999999999995E-2</v>
      </c>
      <c r="X70" s="11">
        <f t="shared" si="15"/>
        <v>20</v>
      </c>
      <c r="Y70" s="11">
        <f>IF(O70&lt;&gt;"",IF($B$16=listy!$K$8,'RZĄDOWY PROGRAM'!$F$3*'RZĄDOWY PROGRAM'!$F$15,T69*$F$15),"")</f>
        <v>50</v>
      </c>
      <c r="Z70" s="11">
        <f t="shared" si="23"/>
        <v>70</v>
      </c>
      <c r="AB70" s="8">
        <f t="shared" si="24"/>
        <v>43</v>
      </c>
      <c r="AC70" s="8"/>
      <c r="AD70" s="33">
        <f>IF(AB70&lt;&gt;"",ROUND(IF($F$11="raty równe",-PMT(W70/12,$F$4-AB69+SUM($AC$28:AC70),AG69,2),AE70+AF70),2),"")</f>
        <v>3227.7</v>
      </c>
      <c r="AE70" s="11">
        <f>IF(AB70&lt;&gt;"",IF($F$11="raty malejące",AG69/($F$4-AB69+SUM($AC$28:AC69)),MIN(AD70-AF70,AG69)),"")</f>
        <v>759.24907527645746</v>
      </c>
      <c r="AF70" s="11">
        <f t="shared" si="35"/>
        <v>2468.4509247235424</v>
      </c>
      <c r="AG70" s="9">
        <f t="shared" si="33"/>
        <v>349375.6338642331</v>
      </c>
      <c r="AH70" s="11"/>
      <c r="AI70" s="33">
        <f>IF(AB70&lt;&gt;"",ROUND(IF($F$11="raty równe",-PMT(W70/12,($F$4-AB69+SUM($AC$27:AC69)),AG69,2),AG69/($F$4-AB69+SUM($AC$27:AC69))+AG69*W70/12),2),"")</f>
        <v>3227.7</v>
      </c>
      <c r="AJ70" s="33">
        <f t="shared" si="25"/>
        <v>233.47000000000025</v>
      </c>
      <c r="AK70" s="33">
        <f t="shared" si="26"/>
        <v>8874.5045904388171</v>
      </c>
      <c r="AL70" s="33">
        <f>IF(AB70&lt;&gt;"",AK70-SUM($AJ$28:AJ70),"")</f>
        <v>509.75459043882074</v>
      </c>
      <c r="AM70" s="11">
        <f t="shared" si="27"/>
        <v>20</v>
      </c>
      <c r="AN70" s="11">
        <f>IF(AB70&lt;&gt;"",IF($B$16=listy!$K$8,'RZĄDOWY PROGRAM'!$F$3*'RZĄDOWY PROGRAM'!$F$15,AG69*$F$15),"")</f>
        <v>50</v>
      </c>
      <c r="AO70" s="11">
        <f t="shared" si="28"/>
        <v>70</v>
      </c>
      <c r="AQ70" s="49">
        <f t="shared" si="16"/>
        <v>0.05</v>
      </c>
      <c r="AR70" s="18">
        <f t="shared" si="17"/>
        <v>4.0741237836483535E-3</v>
      </c>
      <c r="AS70" s="11">
        <f t="shared" si="29"/>
        <v>0</v>
      </c>
      <c r="AT70" s="11">
        <f t="shared" si="30"/>
        <v>31154.758646194998</v>
      </c>
      <c r="AU70" s="11">
        <f>IF(AB70&lt;&gt;"",AT70-SUM($AS$28:AS70),"")</f>
        <v>3465.3586461949926</v>
      </c>
    </row>
    <row r="71" spans="1:47" ht="14.5" x14ac:dyDescent="0.35">
      <c r="A71" s="76">
        <f t="shared" si="31"/>
        <v>46054</v>
      </c>
      <c r="B71" s="8">
        <f t="shared" si="5"/>
        <v>44</v>
      </c>
      <c r="C71" s="11">
        <f t="shared" si="6"/>
        <v>3461.18</v>
      </c>
      <c r="D71" s="11">
        <f t="shared" si="7"/>
        <v>867.30961805552033</v>
      </c>
      <c r="E71" s="11">
        <f t="shared" si="8"/>
        <v>2593.8703819444795</v>
      </c>
      <c r="F71" s="9">
        <f t="shared" si="18"/>
        <v>367057.56725350191</v>
      </c>
      <c r="G71" s="10">
        <f t="shared" si="9"/>
        <v>6.7599999999999993E-2</v>
      </c>
      <c r="H71" s="10">
        <f t="shared" si="10"/>
        <v>1.7000000000000001E-2</v>
      </c>
      <c r="I71" s="49">
        <f t="shared" si="11"/>
        <v>8.4599999999999995E-2</v>
      </c>
      <c r="J71" s="11">
        <f t="shared" si="12"/>
        <v>20</v>
      </c>
      <c r="K71" s="11">
        <f>IF(B71&lt;&gt;"",IF($B$16=listy!$K$8,'RZĄDOWY PROGRAM'!$F$3*'RZĄDOWY PROGRAM'!$F$15,F70*$F$15),"")</f>
        <v>50</v>
      </c>
      <c r="L71" s="11">
        <f t="shared" si="19"/>
        <v>70</v>
      </c>
      <c r="N71" s="55">
        <f t="shared" si="32"/>
        <v>46054</v>
      </c>
      <c r="O71" s="8">
        <f t="shared" si="20"/>
        <v>44</v>
      </c>
      <c r="P71" s="8"/>
      <c r="Q71" s="33">
        <f>IF(O71&lt;&gt;"",ROUND(IF($F$11="raty równe",-PMT(W71/12,$F$4-O70+SUM($P$28:P71),T70,2),R71+S71),2),"")</f>
        <v>3461.18</v>
      </c>
      <c r="R71" s="11">
        <f>IF(O71&lt;&gt;"",IF($F$11="raty malejące",T70/($F$4-O70+SUM($P$28:P71)),IF(Q71-S71&gt;T70,T70,Q71-S71)),"")</f>
        <v>819.90972267359803</v>
      </c>
      <c r="S71" s="11">
        <f t="shared" si="34"/>
        <v>2641.2702773264018</v>
      </c>
      <c r="T71" s="9">
        <f t="shared" si="21"/>
        <v>373828.35656475934</v>
      </c>
      <c r="U71" s="10">
        <f t="shared" si="13"/>
        <v>6.7599999999999993E-2</v>
      </c>
      <c r="V71" s="10">
        <f t="shared" si="14"/>
        <v>1.7000000000000001E-2</v>
      </c>
      <c r="W71" s="49">
        <f t="shared" si="22"/>
        <v>8.4599999999999995E-2</v>
      </c>
      <c r="X71" s="11">
        <f t="shared" si="15"/>
        <v>20</v>
      </c>
      <c r="Y71" s="11">
        <f>IF(O71&lt;&gt;"",IF($B$16=listy!$K$8,'RZĄDOWY PROGRAM'!$F$3*'RZĄDOWY PROGRAM'!$F$15,T70*$F$15),"")</f>
        <v>50</v>
      </c>
      <c r="Z71" s="11">
        <f t="shared" si="23"/>
        <v>70</v>
      </c>
      <c r="AB71" s="8">
        <f t="shared" si="24"/>
        <v>44</v>
      </c>
      <c r="AC71" s="8"/>
      <c r="AD71" s="33">
        <f>IF(AB71&lt;&gt;"",ROUND(IF($F$11="raty równe",-PMT(W71/12,$F$4-AB70+SUM($AC$28:AC71),AG70,2),AE71+AF71),2),"")</f>
        <v>3227.69</v>
      </c>
      <c r="AE71" s="11">
        <f>IF(AB71&lt;&gt;"",IF($F$11="raty malejące",AG70/($F$4-AB70+SUM($AC$28:AC70)),MIN(AD71-AF71,AG70)),"")</f>
        <v>764.59178125715698</v>
      </c>
      <c r="AF71" s="11">
        <f t="shared" si="35"/>
        <v>2463.0982187428431</v>
      </c>
      <c r="AG71" s="9">
        <f t="shared" si="33"/>
        <v>348611.04208297597</v>
      </c>
      <c r="AH71" s="11"/>
      <c r="AI71" s="33">
        <f>IF(AB71&lt;&gt;"",ROUND(IF($F$11="raty równe",-PMT(W71/12,($F$4-AB70+SUM($AC$27:AC70)),AG70,2),AG70/($F$4-AB70+SUM($AC$27:AC70))+AG70*W71/12),2),"")</f>
        <v>3227.69</v>
      </c>
      <c r="AJ71" s="33">
        <f t="shared" si="25"/>
        <v>233.48999999999978</v>
      </c>
      <c r="AK71" s="33">
        <f t="shared" si="26"/>
        <v>9137.2808129170189</v>
      </c>
      <c r="AL71" s="33">
        <f>IF(AB71&lt;&gt;"",AK71-SUM($AJ$28:AJ71),"")</f>
        <v>539.04081291702278</v>
      </c>
      <c r="AM71" s="11">
        <f t="shared" si="27"/>
        <v>20</v>
      </c>
      <c r="AN71" s="11">
        <f>IF(AB71&lt;&gt;"",IF($B$16=listy!$K$8,'RZĄDOWY PROGRAM'!$F$3*'RZĄDOWY PROGRAM'!$F$15,AG70*$F$15),"")</f>
        <v>50</v>
      </c>
      <c r="AO71" s="11">
        <f t="shared" si="28"/>
        <v>70</v>
      </c>
      <c r="AQ71" s="49">
        <f t="shared" si="16"/>
        <v>0.05</v>
      </c>
      <c r="AR71" s="18">
        <f t="shared" si="17"/>
        <v>4.0741237836483535E-3</v>
      </c>
      <c r="AS71" s="11">
        <f t="shared" si="29"/>
        <v>0</v>
      </c>
      <c r="AT71" s="11">
        <f t="shared" si="30"/>
        <v>31257.570604166169</v>
      </c>
      <c r="AU71" s="11">
        <f>IF(AB71&lt;&gt;"",AT71-SUM($AS$28:AS71),"")</f>
        <v>3568.1706041661637</v>
      </c>
    </row>
    <row r="72" spans="1:47" ht="14.5" x14ac:dyDescent="0.35">
      <c r="A72" s="76">
        <f t="shared" si="31"/>
        <v>46082</v>
      </c>
      <c r="B72" s="8">
        <f t="shared" si="5"/>
        <v>45</v>
      </c>
      <c r="C72" s="11">
        <f t="shared" si="6"/>
        <v>3461.17</v>
      </c>
      <c r="D72" s="11">
        <f t="shared" si="7"/>
        <v>873.41415086281177</v>
      </c>
      <c r="E72" s="11">
        <f t="shared" si="8"/>
        <v>2587.7558491371883</v>
      </c>
      <c r="F72" s="9">
        <f t="shared" si="18"/>
        <v>366184.15310263907</v>
      </c>
      <c r="G72" s="10">
        <f t="shared" si="9"/>
        <v>6.7599999999999993E-2</v>
      </c>
      <c r="H72" s="10">
        <f t="shared" si="10"/>
        <v>1.7000000000000001E-2</v>
      </c>
      <c r="I72" s="49">
        <f t="shared" si="11"/>
        <v>8.4599999999999995E-2</v>
      </c>
      <c r="J72" s="11">
        <f t="shared" si="12"/>
        <v>20</v>
      </c>
      <c r="K72" s="11">
        <f>IF(B72&lt;&gt;"",IF($B$16=listy!$K$8,'RZĄDOWY PROGRAM'!$F$3*'RZĄDOWY PROGRAM'!$F$15,F71*$F$15),"")</f>
        <v>50</v>
      </c>
      <c r="L72" s="11">
        <f t="shared" si="19"/>
        <v>70</v>
      </c>
      <c r="N72" s="55">
        <f t="shared" si="32"/>
        <v>46082</v>
      </c>
      <c r="O72" s="8">
        <f t="shared" si="20"/>
        <v>45</v>
      </c>
      <c r="P72" s="8"/>
      <c r="Q72" s="33">
        <f>IF(O72&lt;&gt;"",ROUND(IF($F$11="raty równe",-PMT(W72/12,$F$4-O71+SUM($P$28:P72),T71,2),R72+S72),2),"")</f>
        <v>3461.17</v>
      </c>
      <c r="R72" s="11">
        <f>IF(O72&lt;&gt;"",IF($F$11="raty malejące",T71/($F$4-O71+SUM($P$28:P72)),IF(Q72-S72&gt;T71,T71,Q72-S72)),"")</f>
        <v>825.68008621844683</v>
      </c>
      <c r="S72" s="11">
        <f t="shared" si="34"/>
        <v>2635.4899137815532</v>
      </c>
      <c r="T72" s="9">
        <f t="shared" si="21"/>
        <v>373002.67647854087</v>
      </c>
      <c r="U72" s="10">
        <f t="shared" si="13"/>
        <v>6.7599999999999993E-2</v>
      </c>
      <c r="V72" s="10">
        <f t="shared" si="14"/>
        <v>1.7000000000000001E-2</v>
      </c>
      <c r="W72" s="49">
        <f t="shared" si="22"/>
        <v>8.4599999999999995E-2</v>
      </c>
      <c r="X72" s="11">
        <f t="shared" si="15"/>
        <v>20</v>
      </c>
      <c r="Y72" s="11">
        <f>IF(O72&lt;&gt;"",IF($B$16=listy!$K$8,'RZĄDOWY PROGRAM'!$F$3*'RZĄDOWY PROGRAM'!$F$15,T71*$F$15),"")</f>
        <v>50</v>
      </c>
      <c r="Z72" s="11">
        <f t="shared" si="23"/>
        <v>70</v>
      </c>
      <c r="AB72" s="8">
        <f t="shared" si="24"/>
        <v>45</v>
      </c>
      <c r="AC72" s="8"/>
      <c r="AD72" s="33">
        <f>IF(AB72&lt;&gt;"",ROUND(IF($F$11="raty równe",-PMT(W72/12,$F$4-AB71+SUM($AC$28:AC72),AG71,2),AE72+AF72),2),"")</f>
        <v>3227.7</v>
      </c>
      <c r="AE72" s="11">
        <f>IF(AB72&lt;&gt;"",IF($F$11="raty malejące",AG71/($F$4-AB71+SUM($AC$28:AC71)),MIN(AD72-AF72,AG71)),"")</f>
        <v>769.99215331501955</v>
      </c>
      <c r="AF72" s="11">
        <f t="shared" si="35"/>
        <v>2457.7078466849803</v>
      </c>
      <c r="AG72" s="9">
        <f t="shared" si="33"/>
        <v>347841.04992966092</v>
      </c>
      <c r="AH72" s="11"/>
      <c r="AI72" s="33">
        <f>IF(AB72&lt;&gt;"",ROUND(IF($F$11="raty równe",-PMT(W72/12,($F$4-AB71+SUM($AC$27:AC71)),AG71,2),AG71/($F$4-AB71+SUM($AC$27:AC71))+AG71*W72/12),2),"")</f>
        <v>3227.7</v>
      </c>
      <c r="AJ72" s="33">
        <f t="shared" si="25"/>
        <v>233.47000000000025</v>
      </c>
      <c r="AK72" s="33">
        <f t="shared" si="26"/>
        <v>9400.9042075100188</v>
      </c>
      <c r="AL72" s="33">
        <f>IF(AB72&lt;&gt;"",AK72-SUM($AJ$28:AJ72),"")</f>
        <v>569.19420751002326</v>
      </c>
      <c r="AM72" s="11">
        <f t="shared" si="27"/>
        <v>20</v>
      </c>
      <c r="AN72" s="11">
        <f>IF(AB72&lt;&gt;"",IF($B$16=listy!$K$8,'RZĄDOWY PROGRAM'!$F$3*'RZĄDOWY PROGRAM'!$F$15,AG71*$F$15),"")</f>
        <v>50</v>
      </c>
      <c r="AO72" s="11">
        <f t="shared" si="28"/>
        <v>70</v>
      </c>
      <c r="AQ72" s="49">
        <f t="shared" si="16"/>
        <v>0.05</v>
      </c>
      <c r="AR72" s="18">
        <f t="shared" si="17"/>
        <v>4.0741237836483535E-3</v>
      </c>
      <c r="AS72" s="11">
        <f t="shared" si="29"/>
        <v>0</v>
      </c>
      <c r="AT72" s="11">
        <f t="shared" si="30"/>
        <v>31360.721845738346</v>
      </c>
      <c r="AU72" s="11">
        <f>IF(AB72&lt;&gt;"",AT72-SUM($AS$28:AS72),"")</f>
        <v>3671.3218457383409</v>
      </c>
    </row>
    <row r="73" spans="1:47" ht="14.5" x14ac:dyDescent="0.35">
      <c r="A73" s="76">
        <f t="shared" si="31"/>
        <v>46113</v>
      </c>
      <c r="B73" s="8">
        <f t="shared" si="5"/>
        <v>46</v>
      </c>
      <c r="C73" s="11">
        <f t="shared" si="6"/>
        <v>3461.18</v>
      </c>
      <c r="D73" s="11">
        <f t="shared" si="7"/>
        <v>879.5817206263946</v>
      </c>
      <c r="E73" s="11">
        <f t="shared" si="8"/>
        <v>2581.5982793736052</v>
      </c>
      <c r="F73" s="9">
        <f t="shared" si="18"/>
        <v>365304.57138201268</v>
      </c>
      <c r="G73" s="10">
        <f t="shared" si="9"/>
        <v>6.7599999999999993E-2</v>
      </c>
      <c r="H73" s="10">
        <f t="shared" si="10"/>
        <v>1.7000000000000001E-2</v>
      </c>
      <c r="I73" s="49">
        <f t="shared" si="11"/>
        <v>8.4599999999999995E-2</v>
      </c>
      <c r="J73" s="11">
        <f t="shared" si="12"/>
        <v>20</v>
      </c>
      <c r="K73" s="11">
        <f>IF(B73&lt;&gt;"",IF($B$16=listy!$K$8,'RZĄDOWY PROGRAM'!$F$3*'RZĄDOWY PROGRAM'!$F$15,F72*$F$15),"")</f>
        <v>50</v>
      </c>
      <c r="L73" s="11">
        <f t="shared" si="19"/>
        <v>70</v>
      </c>
      <c r="N73" s="55">
        <f t="shared" si="32"/>
        <v>46113</v>
      </c>
      <c r="O73" s="8">
        <f t="shared" si="20"/>
        <v>46</v>
      </c>
      <c r="P73" s="8"/>
      <c r="Q73" s="33">
        <f>IF(O73&lt;&gt;"",ROUND(IF($F$11="raty równe",-PMT(W73/12,$F$4-O72+SUM($P$28:P73),T72,2),R73+S73),2),"")</f>
        <v>3461.18</v>
      </c>
      <c r="R73" s="11">
        <f>IF(O73&lt;&gt;"",IF($F$11="raty malejące",T72/($F$4-O72+SUM($P$28:P73)),IF(Q73-S73&gt;T72,T72,Q73-S73)),"")</f>
        <v>831.51113082628672</v>
      </c>
      <c r="S73" s="11">
        <f t="shared" si="34"/>
        <v>2629.6688691737131</v>
      </c>
      <c r="T73" s="9">
        <f t="shared" si="21"/>
        <v>372171.16534771456</v>
      </c>
      <c r="U73" s="10">
        <f t="shared" si="13"/>
        <v>6.7599999999999993E-2</v>
      </c>
      <c r="V73" s="10">
        <f t="shared" si="14"/>
        <v>1.7000000000000001E-2</v>
      </c>
      <c r="W73" s="49">
        <f t="shared" si="22"/>
        <v>8.4599999999999995E-2</v>
      </c>
      <c r="X73" s="11">
        <f t="shared" si="15"/>
        <v>20</v>
      </c>
      <c r="Y73" s="11">
        <f>IF(O73&lt;&gt;"",IF($B$16=listy!$K$8,'RZĄDOWY PROGRAM'!$F$3*'RZĄDOWY PROGRAM'!$F$15,T72*$F$15),"")</f>
        <v>50</v>
      </c>
      <c r="Z73" s="11">
        <f t="shared" si="23"/>
        <v>70</v>
      </c>
      <c r="AB73" s="8">
        <f t="shared" si="24"/>
        <v>46</v>
      </c>
      <c r="AC73" s="8"/>
      <c r="AD73" s="33">
        <f>IF(AB73&lt;&gt;"",ROUND(IF($F$11="raty równe",-PMT(W73/12,$F$4-AB72+SUM($AC$28:AC73),AG72,2),AE73+AF73),2),"")</f>
        <v>3227.69</v>
      </c>
      <c r="AE73" s="11">
        <f>IF(AB73&lt;&gt;"",IF($F$11="raty malejące",AG72/($F$4-AB72+SUM($AC$28:AC72)),MIN(AD73-AF73,AG72)),"")</f>
        <v>775.41059799589084</v>
      </c>
      <c r="AF73" s="11">
        <f t="shared" si="35"/>
        <v>2452.2794020041092</v>
      </c>
      <c r="AG73" s="9">
        <f t="shared" si="33"/>
        <v>347065.63933166501</v>
      </c>
      <c r="AH73" s="11"/>
      <c r="AI73" s="33">
        <f>IF(AB73&lt;&gt;"",ROUND(IF($F$11="raty równe",-PMT(W73/12,($F$4-AB72+SUM($AC$27:AC72)),AG72,2),AG72/($F$4-AB72+SUM($AC$27:AC72))+AG72*W73/12),2),"")</f>
        <v>3227.69</v>
      </c>
      <c r="AJ73" s="33">
        <f t="shared" si="25"/>
        <v>233.48999999999978</v>
      </c>
      <c r="AK73" s="33">
        <f t="shared" si="26"/>
        <v>9665.4175699199077</v>
      </c>
      <c r="AL73" s="33">
        <f>IF(AB73&lt;&gt;"",AK73-SUM($AJ$28:AJ73),"")</f>
        <v>600.21756991991242</v>
      </c>
      <c r="AM73" s="11">
        <f t="shared" si="27"/>
        <v>20</v>
      </c>
      <c r="AN73" s="11">
        <f>IF(AB73&lt;&gt;"",IF($B$16=listy!$K$8,'RZĄDOWY PROGRAM'!$F$3*'RZĄDOWY PROGRAM'!$F$15,AG72*$F$15),"")</f>
        <v>50</v>
      </c>
      <c r="AO73" s="11">
        <f t="shared" si="28"/>
        <v>70</v>
      </c>
      <c r="AQ73" s="49">
        <f t="shared" si="16"/>
        <v>0.05</v>
      </c>
      <c r="AR73" s="18">
        <f t="shared" si="17"/>
        <v>4.0741237836483535E-3</v>
      </c>
      <c r="AS73" s="11">
        <f t="shared" si="29"/>
        <v>0</v>
      </c>
      <c r="AT73" s="11">
        <f t="shared" si="30"/>
        <v>31464.213490561069</v>
      </c>
      <c r="AU73" s="11">
        <f>IF(AB73&lt;&gt;"",AT73-SUM($AS$28:AS73),"")</f>
        <v>3774.8134905610641</v>
      </c>
    </row>
    <row r="74" spans="1:47" ht="14.5" x14ac:dyDescent="0.35">
      <c r="A74" s="76">
        <f t="shared" si="31"/>
        <v>46143</v>
      </c>
      <c r="B74" s="8">
        <f t="shared" si="5"/>
        <v>47</v>
      </c>
      <c r="C74" s="11">
        <f t="shared" si="6"/>
        <v>3461.17</v>
      </c>
      <c r="D74" s="11">
        <f t="shared" si="7"/>
        <v>885.77277175681093</v>
      </c>
      <c r="E74" s="11">
        <f t="shared" si="8"/>
        <v>2575.3972282431891</v>
      </c>
      <c r="F74" s="9">
        <f t="shared" si="18"/>
        <v>364418.79861025588</v>
      </c>
      <c r="G74" s="10">
        <f t="shared" si="9"/>
        <v>6.7599999999999993E-2</v>
      </c>
      <c r="H74" s="10">
        <f t="shared" si="10"/>
        <v>1.7000000000000001E-2</v>
      </c>
      <c r="I74" s="49">
        <f t="shared" si="11"/>
        <v>8.4599999999999995E-2</v>
      </c>
      <c r="J74" s="11">
        <f t="shared" si="12"/>
        <v>20</v>
      </c>
      <c r="K74" s="11">
        <f>IF(B74&lt;&gt;"",IF($B$16=listy!$K$8,'RZĄDOWY PROGRAM'!$F$3*'RZĄDOWY PROGRAM'!$F$15,F73*$F$15),"")</f>
        <v>50</v>
      </c>
      <c r="L74" s="11">
        <f t="shared" si="19"/>
        <v>70</v>
      </c>
      <c r="N74" s="55">
        <f t="shared" si="32"/>
        <v>46143</v>
      </c>
      <c r="O74" s="8">
        <f t="shared" si="20"/>
        <v>47</v>
      </c>
      <c r="P74" s="8"/>
      <c r="Q74" s="33">
        <f>IF(O74&lt;&gt;"",ROUND(IF($F$11="raty równe",-PMT(W74/12,$F$4-O73+SUM($P$28:P74),T73,2),R74+S74),2),"")</f>
        <v>3461.17</v>
      </c>
      <c r="R74" s="11">
        <f>IF(O74&lt;&gt;"",IF($F$11="raty malejące",T73/($F$4-O73+SUM($P$28:P74)),IF(Q74-S74&gt;T73,T73,Q74-S74)),"")</f>
        <v>837.3632842986126</v>
      </c>
      <c r="S74" s="11">
        <f t="shared" si="34"/>
        <v>2623.8067157013875</v>
      </c>
      <c r="T74" s="9">
        <f t="shared" si="21"/>
        <v>371333.80206341593</v>
      </c>
      <c r="U74" s="10">
        <f t="shared" si="13"/>
        <v>6.7599999999999993E-2</v>
      </c>
      <c r="V74" s="10">
        <f t="shared" si="14"/>
        <v>1.7000000000000001E-2</v>
      </c>
      <c r="W74" s="49">
        <f t="shared" si="22"/>
        <v>8.4599999999999995E-2</v>
      </c>
      <c r="X74" s="11">
        <f t="shared" si="15"/>
        <v>20</v>
      </c>
      <c r="Y74" s="11">
        <f>IF(O74&lt;&gt;"",IF($B$16=listy!$K$8,'RZĄDOWY PROGRAM'!$F$3*'RZĄDOWY PROGRAM'!$F$15,T73*$F$15),"")</f>
        <v>50</v>
      </c>
      <c r="Z74" s="11">
        <f t="shared" si="23"/>
        <v>70</v>
      </c>
      <c r="AB74" s="8">
        <f t="shared" si="24"/>
        <v>47</v>
      </c>
      <c r="AC74" s="8"/>
      <c r="AD74" s="33">
        <f>IF(AB74&lt;&gt;"",ROUND(IF($F$11="raty równe",-PMT(W74/12,$F$4-AB73+SUM($AC$28:AC74),AG73,2),AE74+AF74),2),"")</f>
        <v>3227.7</v>
      </c>
      <c r="AE74" s="11">
        <f>IF(AB74&lt;&gt;"",IF($F$11="raty malejące",AG73/($F$4-AB73+SUM($AC$28:AC73)),MIN(AD74-AF74,AG73)),"")</f>
        <v>780.8872427117617</v>
      </c>
      <c r="AF74" s="11">
        <f t="shared" si="35"/>
        <v>2446.8127572882381</v>
      </c>
      <c r="AG74" s="9">
        <f t="shared" si="33"/>
        <v>346284.75208895322</v>
      </c>
      <c r="AH74" s="11"/>
      <c r="AI74" s="33">
        <f>IF(AB74&lt;&gt;"",ROUND(IF($F$11="raty równe",-PMT(W74/12,($F$4-AB73+SUM($AC$27:AC73)),AG73,2),AG73/($F$4-AB73+SUM($AC$27:AC73))+AG73*W74/12),2),"")</f>
        <v>3227.7</v>
      </c>
      <c r="AJ74" s="33">
        <f t="shared" si="25"/>
        <v>233.47000000000025</v>
      </c>
      <c r="AK74" s="33">
        <f t="shared" si="26"/>
        <v>9930.7838370763166</v>
      </c>
      <c r="AL74" s="33">
        <f>IF(AB74&lt;&gt;"",AK74-SUM($AJ$28:AJ74),"")</f>
        <v>632.11383707632194</v>
      </c>
      <c r="AM74" s="11">
        <f t="shared" si="27"/>
        <v>20</v>
      </c>
      <c r="AN74" s="11">
        <f>IF(AB74&lt;&gt;"",IF($B$16=listy!$K$8,'RZĄDOWY PROGRAM'!$F$3*'RZĄDOWY PROGRAM'!$F$15,AG73*$F$15),"")</f>
        <v>50</v>
      </c>
      <c r="AO74" s="11">
        <f t="shared" si="28"/>
        <v>70</v>
      </c>
      <c r="AQ74" s="49">
        <f t="shared" si="16"/>
        <v>0.05</v>
      </c>
      <c r="AR74" s="18">
        <f t="shared" si="17"/>
        <v>4.0741237836483535E-3</v>
      </c>
      <c r="AS74" s="11">
        <f t="shared" si="29"/>
        <v>0</v>
      </c>
      <c r="AT74" s="11">
        <f t="shared" si="30"/>
        <v>31568.046661978773</v>
      </c>
      <c r="AU74" s="11">
        <f>IF(AB74&lt;&gt;"",AT74-SUM($AS$28:AS74),"")</f>
        <v>3878.646661978768</v>
      </c>
    </row>
    <row r="75" spans="1:47" ht="14.5" x14ac:dyDescent="0.35">
      <c r="A75" s="76">
        <f t="shared" si="31"/>
        <v>46174</v>
      </c>
      <c r="B75" s="8">
        <f t="shared" si="5"/>
        <v>48</v>
      </c>
      <c r="C75" s="11">
        <f t="shared" si="6"/>
        <v>3461.18</v>
      </c>
      <c r="D75" s="11">
        <f t="shared" si="7"/>
        <v>892.02746979769609</v>
      </c>
      <c r="E75" s="11">
        <f t="shared" si="8"/>
        <v>2569.1525302023038</v>
      </c>
      <c r="F75" s="9">
        <f t="shared" si="18"/>
        <v>363526.77114045818</v>
      </c>
      <c r="G75" s="10">
        <f t="shared" si="9"/>
        <v>6.7599999999999993E-2</v>
      </c>
      <c r="H75" s="10">
        <f t="shared" si="10"/>
        <v>1.7000000000000001E-2</v>
      </c>
      <c r="I75" s="49">
        <f t="shared" si="11"/>
        <v>8.4599999999999995E-2</v>
      </c>
      <c r="J75" s="11">
        <f t="shared" si="12"/>
        <v>20</v>
      </c>
      <c r="K75" s="11">
        <f>IF(B75&lt;&gt;"",IF($B$16=listy!$K$8,'RZĄDOWY PROGRAM'!$F$3*'RZĄDOWY PROGRAM'!$F$15,F74*$F$15),"")</f>
        <v>50</v>
      </c>
      <c r="L75" s="11">
        <f t="shared" si="19"/>
        <v>70</v>
      </c>
      <c r="N75" s="55">
        <f t="shared" si="32"/>
        <v>46174</v>
      </c>
      <c r="O75" s="8">
        <f t="shared" si="20"/>
        <v>48</v>
      </c>
      <c r="P75" s="8"/>
      <c r="Q75" s="33">
        <f>IF(O75&lt;&gt;"",ROUND(IF($F$11="raty równe",-PMT(W75/12,$F$4-O74+SUM($P$28:P75),T74,2),R75+S75),2),"")</f>
        <v>3461.18</v>
      </c>
      <c r="R75" s="11">
        <f>IF(O75&lt;&gt;"",IF($F$11="raty malejące",T74/($F$4-O74+SUM($P$28:P75)),IF(Q75-S75&gt;T74,T74,Q75-S75)),"")</f>
        <v>843.27669545291792</v>
      </c>
      <c r="S75" s="11">
        <f t="shared" si="34"/>
        <v>2617.9033045470819</v>
      </c>
      <c r="T75" s="9">
        <f t="shared" si="21"/>
        <v>370490.52536796301</v>
      </c>
      <c r="U75" s="10">
        <f t="shared" si="13"/>
        <v>6.7599999999999993E-2</v>
      </c>
      <c r="V75" s="10">
        <f t="shared" si="14"/>
        <v>1.7000000000000001E-2</v>
      </c>
      <c r="W75" s="49">
        <f t="shared" si="22"/>
        <v>8.4599999999999995E-2</v>
      </c>
      <c r="X75" s="11">
        <f t="shared" si="15"/>
        <v>20</v>
      </c>
      <c r="Y75" s="11">
        <f>IF(O75&lt;&gt;"",IF($B$16=listy!$K$8,'RZĄDOWY PROGRAM'!$F$3*'RZĄDOWY PROGRAM'!$F$15,T74*$F$15),"")</f>
        <v>50</v>
      </c>
      <c r="Z75" s="11">
        <f t="shared" si="23"/>
        <v>70</v>
      </c>
      <c r="AB75" s="8">
        <f t="shared" si="24"/>
        <v>48</v>
      </c>
      <c r="AC75" s="8"/>
      <c r="AD75" s="33">
        <f>IF(AB75&lt;&gt;"",ROUND(IF($F$11="raty równe",-PMT(W75/12,$F$4-AB74+SUM($AC$28:AC75),AG74,2),AE75+AF75),2),"")</f>
        <v>3227.69</v>
      </c>
      <c r="AE75" s="11">
        <f>IF(AB75&lt;&gt;"",IF($F$11="raty malejące",AG74/($F$4-AB74+SUM($AC$28:AC74)),MIN(AD75-AF75,AG74)),"")</f>
        <v>786.38249777288001</v>
      </c>
      <c r="AF75" s="11">
        <f t="shared" si="35"/>
        <v>2441.30750222712</v>
      </c>
      <c r="AG75" s="9">
        <f t="shared" si="33"/>
        <v>345498.36959118035</v>
      </c>
      <c r="AH75" s="11"/>
      <c r="AI75" s="33">
        <f>IF(AB75&lt;&gt;"",ROUND(IF($F$11="raty równe",-PMT(W75/12,($F$4-AB74+SUM($AC$27:AC74)),AG74,2),AG74/($F$4-AB74+SUM($AC$27:AC74))+AG74*W75/12),2),"")</f>
        <v>3227.69</v>
      </c>
      <c r="AJ75" s="33">
        <f t="shared" si="25"/>
        <v>233.48999999999978</v>
      </c>
      <c r="AK75" s="33">
        <f t="shared" si="26"/>
        <v>10197.045823599248</v>
      </c>
      <c r="AL75" s="33">
        <f>IF(AB75&lt;&gt;"",AK75-SUM($AJ$28:AJ75),"")</f>
        <v>664.88582359925385</v>
      </c>
      <c r="AM75" s="11">
        <f t="shared" si="27"/>
        <v>20</v>
      </c>
      <c r="AN75" s="11">
        <f>IF(AB75&lt;&gt;"",IF($B$16=listy!$K$8,'RZĄDOWY PROGRAM'!$F$3*'RZĄDOWY PROGRAM'!$F$15,AG74*$F$15),"")</f>
        <v>50</v>
      </c>
      <c r="AO75" s="11">
        <f t="shared" si="28"/>
        <v>70</v>
      </c>
      <c r="AQ75" s="49">
        <f t="shared" si="16"/>
        <v>0.05</v>
      </c>
      <c r="AR75" s="18">
        <f t="shared" si="17"/>
        <v>4.0741237836483535E-3</v>
      </c>
      <c r="AS75" s="11">
        <f t="shared" si="29"/>
        <v>0</v>
      </c>
      <c r="AT75" s="11">
        <f t="shared" si="30"/>
        <v>31672.222487042975</v>
      </c>
      <c r="AU75" s="11">
        <f>IF(AB75&lt;&gt;"",AT75-SUM($AS$28:AS75),"")</f>
        <v>3982.8224870429694</v>
      </c>
    </row>
    <row r="76" spans="1:47" ht="14.5" x14ac:dyDescent="0.35">
      <c r="A76" s="76">
        <f t="shared" si="31"/>
        <v>46204</v>
      </c>
      <c r="B76" s="8">
        <f t="shared" si="5"/>
        <v>49</v>
      </c>
      <c r="C76" s="11">
        <f t="shared" si="6"/>
        <v>3461.17</v>
      </c>
      <c r="D76" s="11">
        <f t="shared" si="7"/>
        <v>898.30626345976998</v>
      </c>
      <c r="E76" s="11">
        <f t="shared" si="8"/>
        <v>2562.8637365402301</v>
      </c>
      <c r="F76" s="9">
        <f t="shared" si="18"/>
        <v>362628.46487699839</v>
      </c>
      <c r="G76" s="10">
        <f t="shared" si="9"/>
        <v>6.7599999999999993E-2</v>
      </c>
      <c r="H76" s="10">
        <f t="shared" si="10"/>
        <v>1.7000000000000001E-2</v>
      </c>
      <c r="I76" s="49">
        <f t="shared" si="11"/>
        <v>8.4599999999999995E-2</v>
      </c>
      <c r="J76" s="11">
        <f t="shared" si="12"/>
        <v>20</v>
      </c>
      <c r="K76" s="11">
        <f>IF(B76&lt;&gt;"",IF($B$16=listy!$K$8,'RZĄDOWY PROGRAM'!$F$3*'RZĄDOWY PROGRAM'!$F$15,F75*$F$15),"")</f>
        <v>50</v>
      </c>
      <c r="L76" s="11">
        <f t="shared" si="19"/>
        <v>70</v>
      </c>
      <c r="N76" s="55">
        <f t="shared" si="32"/>
        <v>46204</v>
      </c>
      <c r="O76" s="8">
        <f t="shared" si="20"/>
        <v>49</v>
      </c>
      <c r="P76" s="8"/>
      <c r="Q76" s="33">
        <f>IF(O76&lt;&gt;"",ROUND(IF($F$11="raty równe",-PMT(W76/12,$F$4-O75+SUM($P$28:P76),T75,2),R76+S76),2),"")</f>
        <v>3461.17</v>
      </c>
      <c r="R76" s="11">
        <f>IF(O76&lt;&gt;"",IF($F$11="raty malejące",T75/($F$4-O75+SUM($P$28:P76)),IF(Q76-S76&gt;T75,T75,Q76-S76)),"")</f>
        <v>849.21179615586107</v>
      </c>
      <c r="S76" s="11">
        <f t="shared" si="34"/>
        <v>2611.958203844139</v>
      </c>
      <c r="T76" s="9">
        <f t="shared" si="21"/>
        <v>369641.31357180717</v>
      </c>
      <c r="U76" s="10">
        <f t="shared" si="13"/>
        <v>6.7599999999999993E-2</v>
      </c>
      <c r="V76" s="10">
        <f t="shared" si="14"/>
        <v>1.7000000000000001E-2</v>
      </c>
      <c r="W76" s="49">
        <f t="shared" si="22"/>
        <v>8.4599999999999995E-2</v>
      </c>
      <c r="X76" s="11">
        <f t="shared" si="15"/>
        <v>20</v>
      </c>
      <c r="Y76" s="11">
        <f>IF(O76&lt;&gt;"",IF($B$16=listy!$K$8,'RZĄDOWY PROGRAM'!$F$3*'RZĄDOWY PROGRAM'!$F$15,T75*$F$15),"")</f>
        <v>50</v>
      </c>
      <c r="Z76" s="11">
        <f t="shared" si="23"/>
        <v>70</v>
      </c>
      <c r="AB76" s="8">
        <f t="shared" si="24"/>
        <v>49</v>
      </c>
      <c r="AC76" s="8"/>
      <c r="AD76" s="33">
        <f>IF(AB76&lt;&gt;"",ROUND(IF($F$11="raty równe",-PMT(W76/12,$F$4-AB75+SUM($AC$28:AC76),AG75,2),AE76+AF76),2),"")</f>
        <v>3227.7</v>
      </c>
      <c r="AE76" s="11">
        <f>IF(AB76&lt;&gt;"",IF($F$11="raty malejące",AG75/($F$4-AB75+SUM($AC$28:AC75)),MIN(AD76-AF76,AG75)),"")</f>
        <v>791.93649438217835</v>
      </c>
      <c r="AF76" s="11">
        <f t="shared" si="35"/>
        <v>2435.7635056178215</v>
      </c>
      <c r="AG76" s="9">
        <f t="shared" si="33"/>
        <v>344706.4330967982</v>
      </c>
      <c r="AH76" s="11"/>
      <c r="AI76" s="33">
        <f>IF(AB76&lt;&gt;"",ROUND(IF($F$11="raty równe",-PMT(W76/12,($F$4-AB75+SUM($AC$27:AC75)),AG75,2),AG75/($F$4-AB75+SUM($AC$27:AC75))+AG75*W76/12),2),"")</f>
        <v>3227.7</v>
      </c>
      <c r="AJ76" s="33">
        <f t="shared" si="25"/>
        <v>233.47000000000025</v>
      </c>
      <c r="AK76" s="33">
        <f t="shared" si="26"/>
        <v>10464.16648539868</v>
      </c>
      <c r="AL76" s="33">
        <f>IF(AB76&lt;&gt;"",AK76-SUM($AJ$28:AJ76),"")</f>
        <v>698.53648539868664</v>
      </c>
      <c r="AM76" s="11">
        <f t="shared" si="27"/>
        <v>20</v>
      </c>
      <c r="AN76" s="11">
        <f>IF(AB76&lt;&gt;"",IF($B$16=listy!$K$8,'RZĄDOWY PROGRAM'!$F$3*'RZĄDOWY PROGRAM'!$F$15,AG75*$F$15),"")</f>
        <v>50</v>
      </c>
      <c r="AO76" s="11">
        <f t="shared" si="28"/>
        <v>70</v>
      </c>
      <c r="AQ76" s="49">
        <f t="shared" si="16"/>
        <v>0.05</v>
      </c>
      <c r="AR76" s="18">
        <f t="shared" si="17"/>
        <v>4.0741237836483535E-3</v>
      </c>
      <c r="AS76" s="11">
        <f t="shared" si="29"/>
        <v>0</v>
      </c>
      <c r="AT76" s="11">
        <f t="shared" si="30"/>
        <v>31776.7420965245</v>
      </c>
      <c r="AU76" s="11">
        <f>IF(AB76&lt;&gt;"",AT76-SUM($AS$28:AS76),"")</f>
        <v>4087.342096524495</v>
      </c>
    </row>
    <row r="77" spans="1:47" ht="14.5" x14ac:dyDescent="0.35">
      <c r="A77" s="76">
        <f t="shared" si="31"/>
        <v>46235</v>
      </c>
      <c r="B77" s="8">
        <f t="shared" si="5"/>
        <v>50</v>
      </c>
      <c r="C77" s="11">
        <f t="shared" si="6"/>
        <v>3461.18</v>
      </c>
      <c r="D77" s="11">
        <f t="shared" si="7"/>
        <v>904.64932261716149</v>
      </c>
      <c r="E77" s="11">
        <f t="shared" si="8"/>
        <v>2556.5306773828383</v>
      </c>
      <c r="F77" s="9">
        <f t="shared" si="18"/>
        <v>361723.81555438123</v>
      </c>
      <c r="G77" s="10">
        <f t="shared" si="9"/>
        <v>6.7599999999999993E-2</v>
      </c>
      <c r="H77" s="10">
        <f t="shared" si="10"/>
        <v>1.7000000000000001E-2</v>
      </c>
      <c r="I77" s="49">
        <f t="shared" si="11"/>
        <v>8.4599999999999995E-2</v>
      </c>
      <c r="J77" s="11">
        <f t="shared" si="12"/>
        <v>20</v>
      </c>
      <c r="K77" s="11">
        <f>IF(B77&lt;&gt;"",IF($B$16=listy!$K$8,'RZĄDOWY PROGRAM'!$F$3*'RZĄDOWY PROGRAM'!$F$15,F76*$F$15),"")</f>
        <v>50</v>
      </c>
      <c r="L77" s="11">
        <f t="shared" si="19"/>
        <v>70</v>
      </c>
      <c r="N77" s="55">
        <f t="shared" si="32"/>
        <v>46235</v>
      </c>
      <c r="O77" s="8">
        <f t="shared" si="20"/>
        <v>50</v>
      </c>
      <c r="P77" s="8"/>
      <c r="Q77" s="33">
        <f>IF(O77&lt;&gt;"",ROUND(IF($F$11="raty równe",-PMT(W77/12,$F$4-O76+SUM($P$28:P77),T76,2),R77+S77),2),"")</f>
        <v>3461.18</v>
      </c>
      <c r="R77" s="11">
        <f>IF(O77&lt;&gt;"",IF($F$11="raty malejące",T76/($F$4-O76+SUM($P$28:P77)),IF(Q77-S77&gt;T76,T76,Q77-S77)),"")</f>
        <v>855.2087393187594</v>
      </c>
      <c r="S77" s="11">
        <f t="shared" si="34"/>
        <v>2605.9712606812404</v>
      </c>
      <c r="T77" s="9">
        <f t="shared" si="21"/>
        <v>368786.1048324884</v>
      </c>
      <c r="U77" s="10">
        <f t="shared" si="13"/>
        <v>6.7599999999999993E-2</v>
      </c>
      <c r="V77" s="10">
        <f t="shared" si="14"/>
        <v>1.7000000000000001E-2</v>
      </c>
      <c r="W77" s="49">
        <f t="shared" si="22"/>
        <v>8.4599999999999995E-2</v>
      </c>
      <c r="X77" s="11">
        <f t="shared" si="15"/>
        <v>20</v>
      </c>
      <c r="Y77" s="11">
        <f>IF(O77&lt;&gt;"",IF($B$16=listy!$K$8,'RZĄDOWY PROGRAM'!$F$3*'RZĄDOWY PROGRAM'!$F$15,T76*$F$15),"")</f>
        <v>50</v>
      </c>
      <c r="Z77" s="11">
        <f t="shared" si="23"/>
        <v>70</v>
      </c>
      <c r="AB77" s="8">
        <f t="shared" si="24"/>
        <v>50</v>
      </c>
      <c r="AC77" s="8"/>
      <c r="AD77" s="33">
        <f>IF(AB77&lt;&gt;"",ROUND(IF($F$11="raty równe",-PMT(W77/12,$F$4-AB76+SUM($AC$28:AC77),AG76,2),AE77+AF77),2),"")</f>
        <v>3227.69</v>
      </c>
      <c r="AE77" s="11">
        <f>IF(AB77&lt;&gt;"",IF($F$11="raty malejące",AG76/($F$4-AB76+SUM($AC$28:AC76)),MIN(AD77-AF77,AG76)),"")</f>
        <v>797.50964666757318</v>
      </c>
      <c r="AF77" s="11">
        <f t="shared" si="35"/>
        <v>2430.1803533324269</v>
      </c>
      <c r="AG77" s="9">
        <f t="shared" si="33"/>
        <v>343908.92345013062</v>
      </c>
      <c r="AH77" s="11"/>
      <c r="AI77" s="33">
        <f>IF(AB77&lt;&gt;"",ROUND(IF($F$11="raty równe",-PMT(W77/12,($F$4-AB76+SUM($AC$27:AC76)),AG76,2),AG76/($F$4-AB76+SUM($AC$27:AC76))+AG76*W77/12),2),"")</f>
        <v>3227.69</v>
      </c>
      <c r="AJ77" s="33">
        <f t="shared" si="25"/>
        <v>233.48999999999978</v>
      </c>
      <c r="AK77" s="33">
        <f t="shared" si="26"/>
        <v>10732.188656137598</v>
      </c>
      <c r="AL77" s="33">
        <f>IF(AB77&lt;&gt;"",AK77-SUM($AJ$28:AJ77),"")</f>
        <v>733.06865613760419</v>
      </c>
      <c r="AM77" s="11">
        <f t="shared" si="27"/>
        <v>20</v>
      </c>
      <c r="AN77" s="11">
        <f>IF(AB77&lt;&gt;"",IF($B$16=listy!$K$8,'RZĄDOWY PROGRAM'!$F$3*'RZĄDOWY PROGRAM'!$F$15,AG76*$F$15),"")</f>
        <v>50</v>
      </c>
      <c r="AO77" s="11">
        <f t="shared" si="28"/>
        <v>70</v>
      </c>
      <c r="AQ77" s="49">
        <f t="shared" si="16"/>
        <v>0.05</v>
      </c>
      <c r="AR77" s="18">
        <f t="shared" si="17"/>
        <v>4.0741237836483535E-3</v>
      </c>
      <c r="AS77" s="11">
        <f t="shared" si="29"/>
        <v>0</v>
      </c>
      <c r="AT77" s="11">
        <f t="shared" si="30"/>
        <v>31881.606624925771</v>
      </c>
      <c r="AU77" s="11">
        <f>IF(AB77&lt;&gt;"",AT77-SUM($AS$28:AS77),"")</f>
        <v>4192.2066249257659</v>
      </c>
    </row>
    <row r="78" spans="1:47" ht="14.5" x14ac:dyDescent="0.35">
      <c r="A78" s="76">
        <f t="shared" si="31"/>
        <v>46266</v>
      </c>
      <c r="B78" s="8">
        <f t="shared" si="5"/>
        <v>51</v>
      </c>
      <c r="C78" s="11">
        <f t="shared" si="6"/>
        <v>3461.17</v>
      </c>
      <c r="D78" s="11">
        <f t="shared" si="7"/>
        <v>911.0171003416126</v>
      </c>
      <c r="E78" s="11">
        <f t="shared" si="8"/>
        <v>2550.1528996583875</v>
      </c>
      <c r="F78" s="9">
        <f t="shared" si="18"/>
        <v>360812.79845403961</v>
      </c>
      <c r="G78" s="10">
        <f t="shared" si="9"/>
        <v>6.7599999999999993E-2</v>
      </c>
      <c r="H78" s="10">
        <f t="shared" si="10"/>
        <v>1.7000000000000001E-2</v>
      </c>
      <c r="I78" s="49">
        <f t="shared" si="11"/>
        <v>8.4599999999999995E-2</v>
      </c>
      <c r="J78" s="11">
        <f t="shared" si="12"/>
        <v>20</v>
      </c>
      <c r="K78" s="11">
        <f>IF(B78&lt;&gt;"",IF($B$16=listy!$K$8,'RZĄDOWY PROGRAM'!$F$3*'RZĄDOWY PROGRAM'!$F$15,F77*$F$15),"")</f>
        <v>50</v>
      </c>
      <c r="L78" s="11">
        <f t="shared" si="19"/>
        <v>70</v>
      </c>
      <c r="N78" s="55">
        <f t="shared" si="32"/>
        <v>46266</v>
      </c>
      <c r="O78" s="8">
        <f t="shared" si="20"/>
        <v>51</v>
      </c>
      <c r="P78" s="8"/>
      <c r="Q78" s="33">
        <f>IF(O78&lt;&gt;"",ROUND(IF($F$11="raty równe",-PMT(W78/12,$F$4-O77+SUM($P$28:P78),T77,2),R78+S78),2),"")</f>
        <v>3461.17</v>
      </c>
      <c r="R78" s="11">
        <f>IF(O78&lt;&gt;"",IF($F$11="raty malejące",T77/($F$4-O77+SUM($P$28:P78)),IF(Q78-S78&gt;T77,T77,Q78-S78)),"")</f>
        <v>861.22796093095712</v>
      </c>
      <c r="S78" s="11">
        <f t="shared" si="34"/>
        <v>2599.9420390690429</v>
      </c>
      <c r="T78" s="9">
        <f t="shared" si="21"/>
        <v>367924.87687155744</v>
      </c>
      <c r="U78" s="10">
        <f t="shared" si="13"/>
        <v>6.7599999999999993E-2</v>
      </c>
      <c r="V78" s="10">
        <f t="shared" si="14"/>
        <v>1.7000000000000001E-2</v>
      </c>
      <c r="W78" s="49">
        <f t="shared" si="22"/>
        <v>8.4599999999999995E-2</v>
      </c>
      <c r="X78" s="11">
        <f t="shared" si="15"/>
        <v>20</v>
      </c>
      <c r="Y78" s="11">
        <f>IF(O78&lt;&gt;"",IF($B$16=listy!$K$8,'RZĄDOWY PROGRAM'!$F$3*'RZĄDOWY PROGRAM'!$F$15,T77*$F$15),"")</f>
        <v>50</v>
      </c>
      <c r="Z78" s="11">
        <f t="shared" si="23"/>
        <v>70</v>
      </c>
      <c r="AB78" s="8">
        <f t="shared" si="24"/>
        <v>51</v>
      </c>
      <c r="AC78" s="8"/>
      <c r="AD78" s="33">
        <f>IF(AB78&lt;&gt;"",ROUND(IF($F$11="raty równe",-PMT(W78/12,$F$4-AB77+SUM($AC$28:AC78),AG77,2),AE78+AF78),2),"")</f>
        <v>3227.7</v>
      </c>
      <c r="AE78" s="11">
        <f>IF(AB78&lt;&gt;"",IF($F$11="raty malejące",AG77/($F$4-AB77+SUM($AC$28:AC77)),MIN(AD78-AF78,AG77)),"")</f>
        <v>803.14208967657896</v>
      </c>
      <c r="AF78" s="11">
        <f t="shared" si="35"/>
        <v>2424.5579103234209</v>
      </c>
      <c r="AG78" s="9">
        <f t="shared" si="33"/>
        <v>343105.78136045404</v>
      </c>
      <c r="AH78" s="11"/>
      <c r="AI78" s="33">
        <f>IF(AB78&lt;&gt;"",ROUND(IF($F$11="raty równe",-PMT(W78/12,($F$4-AB77+SUM($AC$27:AC77)),AG77,2),AG77/($F$4-AB77+SUM($AC$27:AC77))+AG77*W78/12),2),"")</f>
        <v>3227.7</v>
      </c>
      <c r="AJ78" s="33">
        <f t="shared" si="25"/>
        <v>233.47000000000025</v>
      </c>
      <c r="AK78" s="33">
        <f t="shared" si="26"/>
        <v>11001.075310831802</v>
      </c>
      <c r="AL78" s="33">
        <f>IF(AB78&lt;&gt;"",AK78-SUM($AJ$28:AJ78),"")</f>
        <v>768.48531083180933</v>
      </c>
      <c r="AM78" s="11">
        <f t="shared" si="27"/>
        <v>20</v>
      </c>
      <c r="AN78" s="11">
        <f>IF(AB78&lt;&gt;"",IF($B$16=listy!$K$8,'RZĄDOWY PROGRAM'!$F$3*'RZĄDOWY PROGRAM'!$F$15,AG77*$F$15),"")</f>
        <v>50</v>
      </c>
      <c r="AO78" s="11">
        <f t="shared" si="28"/>
        <v>70</v>
      </c>
      <c r="AQ78" s="49">
        <f t="shared" si="16"/>
        <v>0.05</v>
      </c>
      <c r="AR78" s="18">
        <f t="shared" si="17"/>
        <v>4.0741237836483535E-3</v>
      </c>
      <c r="AS78" s="11">
        <f t="shared" si="29"/>
        <v>0</v>
      </c>
      <c r="AT78" s="11">
        <f t="shared" si="30"/>
        <v>31986.817210493111</v>
      </c>
      <c r="AU78" s="11">
        <f>IF(AB78&lt;&gt;"",AT78-SUM($AS$28:AS78),"")</f>
        <v>4297.4172104931058</v>
      </c>
    </row>
    <row r="79" spans="1:47" ht="14.5" x14ac:dyDescent="0.35">
      <c r="A79" s="76">
        <f t="shared" si="31"/>
        <v>46296</v>
      </c>
      <c r="B79" s="8">
        <f t="shared" si="5"/>
        <v>52</v>
      </c>
      <c r="C79" s="11">
        <f t="shared" si="6"/>
        <v>3461.18</v>
      </c>
      <c r="D79" s="11">
        <f t="shared" si="7"/>
        <v>917.44977089902068</v>
      </c>
      <c r="E79" s="11">
        <f t="shared" si="8"/>
        <v>2543.7302291009792</v>
      </c>
      <c r="F79" s="9">
        <f t="shared" si="18"/>
        <v>359895.34868314059</v>
      </c>
      <c r="G79" s="10">
        <f t="shared" si="9"/>
        <v>6.7599999999999993E-2</v>
      </c>
      <c r="H79" s="10">
        <f t="shared" si="10"/>
        <v>1.7000000000000001E-2</v>
      </c>
      <c r="I79" s="49">
        <f t="shared" si="11"/>
        <v>8.4599999999999995E-2</v>
      </c>
      <c r="J79" s="11">
        <f t="shared" si="12"/>
        <v>20</v>
      </c>
      <c r="K79" s="11">
        <f>IF(B79&lt;&gt;"",IF($B$16=listy!$K$8,'RZĄDOWY PROGRAM'!$F$3*'RZĄDOWY PROGRAM'!$F$15,F78*$F$15),"")</f>
        <v>50</v>
      </c>
      <c r="L79" s="11">
        <f t="shared" si="19"/>
        <v>70</v>
      </c>
      <c r="N79" s="55">
        <f t="shared" si="32"/>
        <v>46296</v>
      </c>
      <c r="O79" s="8">
        <f t="shared" si="20"/>
        <v>52</v>
      </c>
      <c r="P79" s="8"/>
      <c r="Q79" s="33">
        <f>IF(O79&lt;&gt;"",ROUND(IF($F$11="raty równe",-PMT(W79/12,$F$4-O78+SUM($P$28:P79),T78,2),R79+S79),2),"")</f>
        <v>3461.18</v>
      </c>
      <c r="R79" s="11">
        <f>IF(O79&lt;&gt;"",IF($F$11="raty malejące",T78/($F$4-O78+SUM($P$28:P79)),IF(Q79-S79&gt;T78,T78,Q79-S79)),"")</f>
        <v>867.30961805552033</v>
      </c>
      <c r="S79" s="11">
        <f t="shared" si="34"/>
        <v>2593.8703819444795</v>
      </c>
      <c r="T79" s="9">
        <f t="shared" si="21"/>
        <v>367057.56725350191</v>
      </c>
      <c r="U79" s="10">
        <f t="shared" si="13"/>
        <v>6.7599999999999993E-2</v>
      </c>
      <c r="V79" s="10">
        <f t="shared" si="14"/>
        <v>1.7000000000000001E-2</v>
      </c>
      <c r="W79" s="49">
        <f t="shared" si="22"/>
        <v>8.4599999999999995E-2</v>
      </c>
      <c r="X79" s="11">
        <f t="shared" si="15"/>
        <v>20</v>
      </c>
      <c r="Y79" s="11">
        <f>IF(O79&lt;&gt;"",IF($B$16=listy!$K$8,'RZĄDOWY PROGRAM'!$F$3*'RZĄDOWY PROGRAM'!$F$15,T78*$F$15),"")</f>
        <v>50</v>
      </c>
      <c r="Z79" s="11">
        <f t="shared" si="23"/>
        <v>70</v>
      </c>
      <c r="AB79" s="8">
        <f t="shared" si="24"/>
        <v>52</v>
      </c>
      <c r="AC79" s="8"/>
      <c r="AD79" s="33">
        <f>IF(AB79&lt;&gt;"",ROUND(IF($F$11="raty równe",-PMT(W79/12,$F$4-AB78+SUM($AC$28:AC79),AG78,2),AE79+AF79),2),"")</f>
        <v>3227.69</v>
      </c>
      <c r="AE79" s="11">
        <f>IF(AB79&lt;&gt;"",IF($F$11="raty malejące",AG78/($F$4-AB78+SUM($AC$28:AC78)),MIN(AD79-AF79,AG78)),"")</f>
        <v>808.79424140879928</v>
      </c>
      <c r="AF79" s="11">
        <f t="shared" si="35"/>
        <v>2418.8957585912008</v>
      </c>
      <c r="AG79" s="9">
        <f t="shared" si="33"/>
        <v>342296.98711904522</v>
      </c>
      <c r="AH79" s="11"/>
      <c r="AI79" s="33">
        <f>IF(AB79&lt;&gt;"",ROUND(IF($F$11="raty równe",-PMT(W79/12,($F$4-AB78+SUM($AC$27:AC78)),AG78,2),AG78/($F$4-AB78+SUM($AC$27:AC78))+AG78*W79/12),2),"")</f>
        <v>3227.69</v>
      </c>
      <c r="AJ79" s="33">
        <f t="shared" si="25"/>
        <v>233.48999999999978</v>
      </c>
      <c r="AK79" s="33">
        <f t="shared" si="26"/>
        <v>11270.869302313151</v>
      </c>
      <c r="AL79" s="33">
        <f>IF(AB79&lt;&gt;"",AK79-SUM($AJ$28:AJ79),"")</f>
        <v>804.78930231315826</v>
      </c>
      <c r="AM79" s="11">
        <f t="shared" si="27"/>
        <v>20</v>
      </c>
      <c r="AN79" s="11">
        <f>IF(AB79&lt;&gt;"",IF($B$16=listy!$K$8,'RZĄDOWY PROGRAM'!$F$3*'RZĄDOWY PROGRAM'!$F$15,AG78*$F$15),"")</f>
        <v>50</v>
      </c>
      <c r="AO79" s="11">
        <f t="shared" si="28"/>
        <v>70</v>
      </c>
      <c r="AQ79" s="49">
        <f t="shared" si="16"/>
        <v>0.05</v>
      </c>
      <c r="AR79" s="18">
        <f t="shared" si="17"/>
        <v>4.0741237836483535E-3</v>
      </c>
      <c r="AS79" s="11">
        <f t="shared" si="29"/>
        <v>0</v>
      </c>
      <c r="AT79" s="11">
        <f t="shared" si="30"/>
        <v>32092.3749952291</v>
      </c>
      <c r="AU79" s="11">
        <f>IF(AB79&lt;&gt;"",AT79-SUM($AS$28:AS79),"")</f>
        <v>4402.9749952290949</v>
      </c>
    </row>
    <row r="80" spans="1:47" ht="14.5" x14ac:dyDescent="0.35">
      <c r="A80" s="76">
        <f t="shared" si="31"/>
        <v>46327</v>
      </c>
      <c r="B80" s="8">
        <f t="shared" si="5"/>
        <v>53</v>
      </c>
      <c r="C80" s="11">
        <f t="shared" si="6"/>
        <v>3461.17</v>
      </c>
      <c r="D80" s="11">
        <f t="shared" si="7"/>
        <v>923.90779178385901</v>
      </c>
      <c r="E80" s="11">
        <f t="shared" si="8"/>
        <v>2537.2622082161411</v>
      </c>
      <c r="F80" s="9">
        <f t="shared" si="18"/>
        <v>358971.44089135673</v>
      </c>
      <c r="G80" s="10">
        <f t="shared" si="9"/>
        <v>6.7599999999999993E-2</v>
      </c>
      <c r="H80" s="10">
        <f t="shared" si="10"/>
        <v>1.7000000000000001E-2</v>
      </c>
      <c r="I80" s="49">
        <f t="shared" si="11"/>
        <v>8.4599999999999995E-2</v>
      </c>
      <c r="J80" s="11">
        <f t="shared" si="12"/>
        <v>20</v>
      </c>
      <c r="K80" s="11">
        <f>IF(B80&lt;&gt;"",IF($B$16=listy!$K$8,'RZĄDOWY PROGRAM'!$F$3*'RZĄDOWY PROGRAM'!$F$15,F79*$F$15),"")</f>
        <v>50</v>
      </c>
      <c r="L80" s="11">
        <f t="shared" si="19"/>
        <v>70</v>
      </c>
      <c r="N80" s="55">
        <f t="shared" si="32"/>
        <v>46327</v>
      </c>
      <c r="O80" s="8">
        <f t="shared" si="20"/>
        <v>53</v>
      </c>
      <c r="P80" s="8"/>
      <c r="Q80" s="33">
        <f>IF(O80&lt;&gt;"",ROUND(IF($F$11="raty równe",-PMT(W80/12,$F$4-O79+SUM($P$28:P80),T79,2),R80+S80),2),"")</f>
        <v>3461.17</v>
      </c>
      <c r="R80" s="11">
        <f>IF(O80&lt;&gt;"",IF($F$11="raty malejące",T79/($F$4-O79+SUM($P$28:P80)),IF(Q80-S80&gt;T79,T79,Q80-S80)),"")</f>
        <v>873.41415086281177</v>
      </c>
      <c r="S80" s="11">
        <f t="shared" si="34"/>
        <v>2587.7558491371883</v>
      </c>
      <c r="T80" s="9">
        <f t="shared" si="21"/>
        <v>366184.15310263907</v>
      </c>
      <c r="U80" s="10">
        <f t="shared" si="13"/>
        <v>6.7599999999999993E-2</v>
      </c>
      <c r="V80" s="10">
        <f t="shared" si="14"/>
        <v>1.7000000000000001E-2</v>
      </c>
      <c r="W80" s="49">
        <f t="shared" si="22"/>
        <v>8.4599999999999995E-2</v>
      </c>
      <c r="X80" s="11">
        <f t="shared" si="15"/>
        <v>20</v>
      </c>
      <c r="Y80" s="11">
        <f>IF(O80&lt;&gt;"",IF($B$16=listy!$K$8,'RZĄDOWY PROGRAM'!$F$3*'RZĄDOWY PROGRAM'!$F$15,T79*$F$15),"")</f>
        <v>50</v>
      </c>
      <c r="Z80" s="11">
        <f t="shared" si="23"/>
        <v>70</v>
      </c>
      <c r="AB80" s="8">
        <f t="shared" si="24"/>
        <v>53</v>
      </c>
      <c r="AC80" s="8"/>
      <c r="AD80" s="33">
        <f>IF(AB80&lt;&gt;"",ROUND(IF($F$11="raty równe",-PMT(W80/12,$F$4-AB79+SUM($AC$28:AC80),AG79,2),AE80+AF80),2),"")</f>
        <v>3227.7</v>
      </c>
      <c r="AE80" s="11">
        <f>IF(AB80&lt;&gt;"",IF($F$11="raty malejące",AG79/($F$4-AB79+SUM($AC$28:AC79)),MIN(AD80-AF80,AG79)),"")</f>
        <v>814.50624081073101</v>
      </c>
      <c r="AF80" s="11">
        <f t="shared" si="35"/>
        <v>2413.1937591892688</v>
      </c>
      <c r="AG80" s="9">
        <f t="shared" si="33"/>
        <v>341482.48087823449</v>
      </c>
      <c r="AH80" s="11"/>
      <c r="AI80" s="33">
        <f>IF(AB80&lt;&gt;"",ROUND(IF($F$11="raty równe",-PMT(W80/12,($F$4-AB79+SUM($AC$27:AC79)),AG79,2),AG79/($F$4-AB79+SUM($AC$27:AC79))+AG79*W80/12),2),"")</f>
        <v>3227.7</v>
      </c>
      <c r="AJ80" s="33">
        <f t="shared" si="25"/>
        <v>233.47000000000025</v>
      </c>
      <c r="AK80" s="33">
        <f t="shared" si="26"/>
        <v>11541.533624829579</v>
      </c>
      <c r="AL80" s="33">
        <f>IF(AB80&lt;&gt;"",AK80-SUM($AJ$28:AJ80),"")</f>
        <v>841.98362482958692</v>
      </c>
      <c r="AM80" s="11">
        <f t="shared" si="27"/>
        <v>20</v>
      </c>
      <c r="AN80" s="11">
        <f>IF(AB80&lt;&gt;"",IF($B$16=listy!$K$8,'RZĄDOWY PROGRAM'!$F$3*'RZĄDOWY PROGRAM'!$F$15,AG79*$F$15),"")</f>
        <v>50</v>
      </c>
      <c r="AO80" s="11">
        <f t="shared" si="28"/>
        <v>70</v>
      </c>
      <c r="AQ80" s="49">
        <f t="shared" si="16"/>
        <v>0.05</v>
      </c>
      <c r="AR80" s="18">
        <f t="shared" si="17"/>
        <v>4.0741237836483535E-3</v>
      </c>
      <c r="AS80" s="11">
        <f t="shared" si="29"/>
        <v>0</v>
      </c>
      <c r="AT80" s="11">
        <f t="shared" si="30"/>
        <v>32198.281124904977</v>
      </c>
      <c r="AU80" s="11">
        <f>IF(AB80&lt;&gt;"",AT80-SUM($AS$28:AS80),"")</f>
        <v>4508.8811249049722</v>
      </c>
    </row>
    <row r="81" spans="1:47" ht="14.5" x14ac:dyDescent="0.35">
      <c r="A81" s="76">
        <f t="shared" si="31"/>
        <v>46357</v>
      </c>
      <c r="B81" s="8">
        <f t="shared" si="5"/>
        <v>54</v>
      </c>
      <c r="C81" s="11">
        <f t="shared" si="6"/>
        <v>3461.18</v>
      </c>
      <c r="D81" s="11">
        <f t="shared" si="7"/>
        <v>930.4313417159351</v>
      </c>
      <c r="E81" s="11">
        <f t="shared" si="8"/>
        <v>2530.7486582840647</v>
      </c>
      <c r="F81" s="9">
        <f t="shared" si="18"/>
        <v>358041.00954964082</v>
      </c>
      <c r="G81" s="10">
        <f t="shared" si="9"/>
        <v>6.7599999999999993E-2</v>
      </c>
      <c r="H81" s="10">
        <f t="shared" si="10"/>
        <v>1.7000000000000001E-2</v>
      </c>
      <c r="I81" s="49">
        <f t="shared" si="11"/>
        <v>8.4599999999999995E-2</v>
      </c>
      <c r="J81" s="11">
        <f t="shared" si="12"/>
        <v>20</v>
      </c>
      <c r="K81" s="11">
        <f>IF(B81&lt;&gt;"",IF($B$16=listy!$K$8,'RZĄDOWY PROGRAM'!$F$3*'RZĄDOWY PROGRAM'!$F$15,F80*$F$15),"")</f>
        <v>50</v>
      </c>
      <c r="L81" s="11">
        <f t="shared" si="19"/>
        <v>70</v>
      </c>
      <c r="N81" s="55">
        <f t="shared" si="32"/>
        <v>46357</v>
      </c>
      <c r="O81" s="8">
        <f t="shared" si="20"/>
        <v>54</v>
      </c>
      <c r="P81" s="8"/>
      <c r="Q81" s="33">
        <f>IF(O81&lt;&gt;"",ROUND(IF($F$11="raty równe",-PMT(W81/12,$F$4-O80+SUM($P$28:P81),T80,2),R81+S81),2),"")</f>
        <v>3461.18</v>
      </c>
      <c r="R81" s="11">
        <f>IF(O81&lt;&gt;"",IF($F$11="raty malejące",T80/($F$4-O80+SUM($P$28:P81)),IF(Q81-S81&gt;T80,T80,Q81-S81)),"")</f>
        <v>879.5817206263946</v>
      </c>
      <c r="S81" s="11">
        <f t="shared" si="34"/>
        <v>2581.5982793736052</v>
      </c>
      <c r="T81" s="9">
        <f t="shared" si="21"/>
        <v>365304.57138201268</v>
      </c>
      <c r="U81" s="10">
        <f t="shared" si="13"/>
        <v>6.7599999999999993E-2</v>
      </c>
      <c r="V81" s="10">
        <f t="shared" si="14"/>
        <v>1.7000000000000001E-2</v>
      </c>
      <c r="W81" s="49">
        <f t="shared" si="22"/>
        <v>8.4599999999999995E-2</v>
      </c>
      <c r="X81" s="11">
        <f t="shared" si="15"/>
        <v>20</v>
      </c>
      <c r="Y81" s="11">
        <f>IF(O81&lt;&gt;"",IF($B$16=listy!$K$8,'RZĄDOWY PROGRAM'!$F$3*'RZĄDOWY PROGRAM'!$F$15,T80*$F$15),"")</f>
        <v>50</v>
      </c>
      <c r="Z81" s="11">
        <f t="shared" si="23"/>
        <v>70</v>
      </c>
      <c r="AB81" s="8">
        <f t="shared" si="24"/>
        <v>54</v>
      </c>
      <c r="AC81" s="8"/>
      <c r="AD81" s="33">
        <f>IF(AB81&lt;&gt;"",ROUND(IF($F$11="raty równe",-PMT(W81/12,$F$4-AB80+SUM($AC$28:AC81),AG80,2),AE81+AF81),2),"")</f>
        <v>3227.69</v>
      </c>
      <c r="AE81" s="11">
        <f>IF(AB81&lt;&gt;"",IF($F$11="raty malejące",AG80/($F$4-AB80+SUM($AC$28:AC80)),MIN(AD81-AF81,AG80)),"")</f>
        <v>820.23850980844691</v>
      </c>
      <c r="AF81" s="11">
        <f t="shared" si="35"/>
        <v>2407.4514901915531</v>
      </c>
      <c r="AG81" s="9">
        <f t="shared" si="33"/>
        <v>340662.24236842606</v>
      </c>
      <c r="AH81" s="11"/>
      <c r="AI81" s="33">
        <f>IF(AB81&lt;&gt;"",ROUND(IF($F$11="raty równe",-PMT(W81/12,($F$4-AB80+SUM($AC$27:AC80)),AG80,2),AG80/($F$4-AB80+SUM($AC$27:AC80))+AG80*W81/12),2),"")</f>
        <v>3227.69</v>
      </c>
      <c r="AJ81" s="33">
        <f t="shared" si="25"/>
        <v>233.48999999999978</v>
      </c>
      <c r="AK81" s="33">
        <f t="shared" si="26"/>
        <v>11813.111150508543</v>
      </c>
      <c r="AL81" s="33">
        <f>IF(AB81&lt;&gt;"",AK81-SUM($AJ$28:AJ81),"")</f>
        <v>880.071150508551</v>
      </c>
      <c r="AM81" s="11">
        <f t="shared" si="27"/>
        <v>20</v>
      </c>
      <c r="AN81" s="11">
        <f>IF(AB81&lt;&gt;"",IF($B$16=listy!$K$8,'RZĄDOWY PROGRAM'!$F$3*'RZĄDOWY PROGRAM'!$F$15,AG80*$F$15),"")</f>
        <v>50</v>
      </c>
      <c r="AO81" s="11">
        <f t="shared" si="28"/>
        <v>70</v>
      </c>
      <c r="AQ81" s="49">
        <f t="shared" si="16"/>
        <v>0.05</v>
      </c>
      <c r="AR81" s="18">
        <f t="shared" si="17"/>
        <v>4.0741237836483535E-3</v>
      </c>
      <c r="AS81" s="11">
        <f t="shared" si="29"/>
        <v>0</v>
      </c>
      <c r="AT81" s="11">
        <f t="shared" si="30"/>
        <v>32304.536749073071</v>
      </c>
      <c r="AU81" s="11">
        <f>IF(AB81&lt;&gt;"",AT81-SUM($AS$28:AS81),"")</f>
        <v>4615.1367490730663</v>
      </c>
    </row>
    <row r="82" spans="1:47" ht="14.5" x14ac:dyDescent="0.35">
      <c r="A82" s="76">
        <f t="shared" si="31"/>
        <v>46388</v>
      </c>
      <c r="B82" s="8">
        <f t="shared" si="5"/>
        <v>55</v>
      </c>
      <c r="C82" s="11">
        <f t="shared" si="6"/>
        <v>3461.17</v>
      </c>
      <c r="D82" s="11">
        <f t="shared" si="7"/>
        <v>936.98088267503272</v>
      </c>
      <c r="E82" s="11">
        <f t="shared" si="8"/>
        <v>2524.1891173249674</v>
      </c>
      <c r="F82" s="9">
        <f t="shared" si="18"/>
        <v>357104.02866696578</v>
      </c>
      <c r="G82" s="10">
        <f t="shared" si="9"/>
        <v>6.7599999999999993E-2</v>
      </c>
      <c r="H82" s="10">
        <f t="shared" si="10"/>
        <v>1.7000000000000001E-2</v>
      </c>
      <c r="I82" s="49">
        <f t="shared" si="11"/>
        <v>8.4599999999999995E-2</v>
      </c>
      <c r="J82" s="11">
        <f t="shared" si="12"/>
        <v>20</v>
      </c>
      <c r="K82" s="11">
        <f>IF(B82&lt;&gt;"",IF($B$16=listy!$K$8,'RZĄDOWY PROGRAM'!$F$3*'RZĄDOWY PROGRAM'!$F$15,F81*$F$15),"")</f>
        <v>50</v>
      </c>
      <c r="L82" s="11">
        <f t="shared" si="19"/>
        <v>70</v>
      </c>
      <c r="N82" s="55">
        <f t="shared" si="32"/>
        <v>46388</v>
      </c>
      <c r="O82" s="8">
        <f t="shared" si="20"/>
        <v>55</v>
      </c>
      <c r="P82" s="8"/>
      <c r="Q82" s="33">
        <f>IF(O82&lt;&gt;"",ROUND(IF($F$11="raty równe",-PMT(W82/12,$F$4-O81+SUM($P$28:P82),T81,2),R82+S82),2),"")</f>
        <v>3461.17</v>
      </c>
      <c r="R82" s="11">
        <f>IF(O82&lt;&gt;"",IF($F$11="raty malejące",T81/($F$4-O81+SUM($P$28:P82)),IF(Q82-S82&gt;T81,T81,Q82-S82)),"")</f>
        <v>885.77277175681093</v>
      </c>
      <c r="S82" s="11">
        <f t="shared" si="34"/>
        <v>2575.3972282431891</v>
      </c>
      <c r="T82" s="9">
        <f t="shared" si="21"/>
        <v>364418.79861025588</v>
      </c>
      <c r="U82" s="10">
        <f t="shared" si="13"/>
        <v>6.7599999999999993E-2</v>
      </c>
      <c r="V82" s="10">
        <f t="shared" si="14"/>
        <v>1.7000000000000001E-2</v>
      </c>
      <c r="W82" s="49">
        <f t="shared" si="22"/>
        <v>8.4599999999999995E-2</v>
      </c>
      <c r="X82" s="11">
        <f t="shared" si="15"/>
        <v>20</v>
      </c>
      <c r="Y82" s="11">
        <f>IF(O82&lt;&gt;"",IF($B$16=listy!$K$8,'RZĄDOWY PROGRAM'!$F$3*'RZĄDOWY PROGRAM'!$F$15,T81*$F$15),"")</f>
        <v>50</v>
      </c>
      <c r="Z82" s="11">
        <f t="shared" si="23"/>
        <v>70</v>
      </c>
      <c r="AB82" s="8">
        <f t="shared" si="24"/>
        <v>55</v>
      </c>
      <c r="AC82" s="8"/>
      <c r="AD82" s="33">
        <f>IF(AB82&lt;&gt;"",ROUND(IF($F$11="raty równe",-PMT(W82/12,$F$4-AB81+SUM($AC$28:AC82),AG81,2),AE82+AF82),2),"")</f>
        <v>3227.7</v>
      </c>
      <c r="AE82" s="11">
        <f>IF(AB82&lt;&gt;"",IF($F$11="raty malejące",AG81/($F$4-AB81+SUM($AC$28:AC81)),MIN(AD82-AF82,AG81)),"")</f>
        <v>826.0311913025962</v>
      </c>
      <c r="AF82" s="11">
        <f t="shared" si="35"/>
        <v>2401.6688086974036</v>
      </c>
      <c r="AG82" s="9">
        <f t="shared" si="33"/>
        <v>339836.21117712348</v>
      </c>
      <c r="AH82" s="11"/>
      <c r="AI82" s="33">
        <f>IF(AB82&lt;&gt;"",ROUND(IF($F$11="raty równe",-PMT(W82/12,($F$4-AB81+SUM($AC$27:AC81)),AG81,2),AG81/($F$4-AB81+SUM($AC$27:AC81))+AG81*W82/12),2),"")</f>
        <v>3227.7</v>
      </c>
      <c r="AJ82" s="33">
        <f t="shared" si="25"/>
        <v>233.47000000000025</v>
      </c>
      <c r="AK82" s="33">
        <f t="shared" si="26"/>
        <v>12085.564892957249</v>
      </c>
      <c r="AL82" s="33">
        <f>IF(AB82&lt;&gt;"",AK82-SUM($AJ$28:AJ82),"")</f>
        <v>919.05489295725783</v>
      </c>
      <c r="AM82" s="11">
        <f t="shared" si="27"/>
        <v>20</v>
      </c>
      <c r="AN82" s="11">
        <f>IF(AB82&lt;&gt;"",IF($B$16=listy!$K$8,'RZĄDOWY PROGRAM'!$F$3*'RZĄDOWY PROGRAM'!$F$15,AG81*$F$15),"")</f>
        <v>50</v>
      </c>
      <c r="AO82" s="11">
        <f t="shared" si="28"/>
        <v>70</v>
      </c>
      <c r="AQ82" s="49">
        <f t="shared" si="16"/>
        <v>0.05</v>
      </c>
      <c r="AR82" s="18">
        <f t="shared" si="17"/>
        <v>4.0741237836483535E-3</v>
      </c>
      <c r="AS82" s="11">
        <f t="shared" si="29"/>
        <v>0</v>
      </c>
      <c r="AT82" s="11">
        <f t="shared" si="30"/>
        <v>32411.143021079275</v>
      </c>
      <c r="AU82" s="11">
        <f>IF(AB82&lt;&gt;"",AT82-SUM($AS$28:AS82),"")</f>
        <v>4721.74302107927</v>
      </c>
    </row>
    <row r="83" spans="1:47" ht="14.5" x14ac:dyDescent="0.35">
      <c r="A83" s="76">
        <f t="shared" si="31"/>
        <v>46419</v>
      </c>
      <c r="B83" s="8">
        <f t="shared" si="5"/>
        <v>56</v>
      </c>
      <c r="C83" s="11">
        <f t="shared" si="6"/>
        <v>3461.18</v>
      </c>
      <c r="D83" s="11">
        <f t="shared" si="7"/>
        <v>943.59659789789112</v>
      </c>
      <c r="E83" s="11">
        <f t="shared" si="8"/>
        <v>2517.5834021021087</v>
      </c>
      <c r="F83" s="9">
        <f t="shared" si="18"/>
        <v>356160.4320690679</v>
      </c>
      <c r="G83" s="10">
        <f t="shared" si="9"/>
        <v>6.7599999999999993E-2</v>
      </c>
      <c r="H83" s="10">
        <f t="shared" si="10"/>
        <v>1.7000000000000001E-2</v>
      </c>
      <c r="I83" s="49">
        <f t="shared" si="11"/>
        <v>8.4599999999999995E-2</v>
      </c>
      <c r="J83" s="11">
        <f t="shared" si="12"/>
        <v>20</v>
      </c>
      <c r="K83" s="11">
        <f>IF(B83&lt;&gt;"",IF($B$16=listy!$K$8,'RZĄDOWY PROGRAM'!$F$3*'RZĄDOWY PROGRAM'!$F$15,F82*$F$15),"")</f>
        <v>50</v>
      </c>
      <c r="L83" s="11">
        <f t="shared" si="19"/>
        <v>70</v>
      </c>
      <c r="N83" s="55">
        <f t="shared" si="32"/>
        <v>46419</v>
      </c>
      <c r="O83" s="8">
        <f t="shared" si="20"/>
        <v>56</v>
      </c>
      <c r="P83" s="8"/>
      <c r="Q83" s="33">
        <f>IF(O83&lt;&gt;"",ROUND(IF($F$11="raty równe",-PMT(W83/12,$F$4-O82+SUM($P$28:P83),T82,2),R83+S83),2),"")</f>
        <v>3461.18</v>
      </c>
      <c r="R83" s="11">
        <f>IF(O83&lt;&gt;"",IF($F$11="raty malejące",T82/($F$4-O82+SUM($P$28:P83)),IF(Q83-S83&gt;T82,T82,Q83-S83)),"")</f>
        <v>892.02746979769609</v>
      </c>
      <c r="S83" s="11">
        <f t="shared" si="34"/>
        <v>2569.1525302023038</v>
      </c>
      <c r="T83" s="9">
        <f t="shared" si="21"/>
        <v>363526.77114045818</v>
      </c>
      <c r="U83" s="10">
        <f t="shared" si="13"/>
        <v>6.7599999999999993E-2</v>
      </c>
      <c r="V83" s="10">
        <f t="shared" si="14"/>
        <v>1.7000000000000001E-2</v>
      </c>
      <c r="W83" s="49">
        <f t="shared" si="22"/>
        <v>8.4599999999999995E-2</v>
      </c>
      <c r="X83" s="11">
        <f t="shared" si="15"/>
        <v>20</v>
      </c>
      <c r="Y83" s="11">
        <f>IF(O83&lt;&gt;"",IF($B$16=listy!$K$8,'RZĄDOWY PROGRAM'!$F$3*'RZĄDOWY PROGRAM'!$F$15,T82*$F$15),"")</f>
        <v>50</v>
      </c>
      <c r="Z83" s="11">
        <f t="shared" si="23"/>
        <v>70</v>
      </c>
      <c r="AB83" s="8">
        <f t="shared" si="24"/>
        <v>56</v>
      </c>
      <c r="AC83" s="8"/>
      <c r="AD83" s="33">
        <f>IF(AB83&lt;&gt;"",ROUND(IF($F$11="raty równe",-PMT(W83/12,$F$4-AB82+SUM($AC$28:AC83),AG82,2),AE83+AF83),2),"")</f>
        <v>3227.69</v>
      </c>
      <c r="AE83" s="11">
        <f>IF(AB83&lt;&gt;"",IF($F$11="raty malejące",AG82/($F$4-AB82+SUM($AC$28:AC82)),MIN(AD83-AF83,AG82)),"")</f>
        <v>831.84471120127955</v>
      </c>
      <c r="AF83" s="11">
        <f t="shared" si="35"/>
        <v>2395.8452887987205</v>
      </c>
      <c r="AG83" s="9">
        <f t="shared" si="33"/>
        <v>339004.36646592221</v>
      </c>
      <c r="AH83" s="11"/>
      <c r="AI83" s="33">
        <f>IF(AB83&lt;&gt;"",ROUND(IF($F$11="raty równe",-PMT(W83/12,($F$4-AB82+SUM($AC$27:AC82)),AG82,2),AG82/($F$4-AB82+SUM($AC$27:AC82))+AG82*W83/12),2),"")</f>
        <v>3227.69</v>
      </c>
      <c r="AJ83" s="33">
        <f t="shared" si="25"/>
        <v>233.48999999999978</v>
      </c>
      <c r="AK83" s="33">
        <f t="shared" si="26"/>
        <v>12358.937743726319</v>
      </c>
      <c r="AL83" s="33">
        <f>IF(AB83&lt;&gt;"",AK83-SUM($AJ$28:AJ83),"")</f>
        <v>958.93774372632834</v>
      </c>
      <c r="AM83" s="11">
        <f t="shared" si="27"/>
        <v>20</v>
      </c>
      <c r="AN83" s="11">
        <f>IF(AB83&lt;&gt;"",IF($B$16=listy!$K$8,'RZĄDOWY PROGRAM'!$F$3*'RZĄDOWY PROGRAM'!$F$15,AG82*$F$15),"")</f>
        <v>50</v>
      </c>
      <c r="AO83" s="11">
        <f t="shared" si="28"/>
        <v>70</v>
      </c>
      <c r="AQ83" s="49">
        <f t="shared" si="16"/>
        <v>0.05</v>
      </c>
      <c r="AR83" s="18">
        <f t="shared" si="17"/>
        <v>4.0741237836483535E-3</v>
      </c>
      <c r="AS83" s="11">
        <f t="shared" si="29"/>
        <v>0</v>
      </c>
      <c r="AT83" s="11">
        <f t="shared" si="30"/>
        <v>32518.101098075575</v>
      </c>
      <c r="AU83" s="11">
        <f>IF(AB83&lt;&gt;"",AT83-SUM($AS$28:AS83),"")</f>
        <v>4828.7010980755695</v>
      </c>
    </row>
    <row r="84" spans="1:47" ht="14.5" x14ac:dyDescent="0.35">
      <c r="A84" s="76">
        <f t="shared" si="31"/>
        <v>46447</v>
      </c>
      <c r="B84" s="8">
        <f t="shared" si="5"/>
        <v>57</v>
      </c>
      <c r="C84" s="11">
        <f t="shared" si="6"/>
        <v>3461.17</v>
      </c>
      <c r="D84" s="11">
        <f t="shared" si="7"/>
        <v>950.23895391307133</v>
      </c>
      <c r="E84" s="11">
        <f t="shared" si="8"/>
        <v>2510.9310460869287</v>
      </c>
      <c r="F84" s="9">
        <f t="shared" si="18"/>
        <v>355210.19311515481</v>
      </c>
      <c r="G84" s="10">
        <f t="shared" si="9"/>
        <v>6.7599999999999993E-2</v>
      </c>
      <c r="H84" s="10">
        <f t="shared" si="10"/>
        <v>1.7000000000000001E-2</v>
      </c>
      <c r="I84" s="49">
        <f t="shared" si="11"/>
        <v>8.4599999999999995E-2</v>
      </c>
      <c r="J84" s="11">
        <f t="shared" si="12"/>
        <v>20</v>
      </c>
      <c r="K84" s="11">
        <f>IF(B84&lt;&gt;"",IF($B$16=listy!$K$8,'RZĄDOWY PROGRAM'!$F$3*'RZĄDOWY PROGRAM'!$F$15,F83*$F$15),"")</f>
        <v>50</v>
      </c>
      <c r="L84" s="11">
        <f t="shared" si="19"/>
        <v>70</v>
      </c>
      <c r="N84" s="55">
        <f t="shared" si="32"/>
        <v>46447</v>
      </c>
      <c r="O84" s="8">
        <f t="shared" si="20"/>
        <v>57</v>
      </c>
      <c r="P84" s="8"/>
      <c r="Q84" s="33">
        <f>IF(O84&lt;&gt;"",ROUND(IF($F$11="raty równe",-PMT(W84/12,$F$4-O83+SUM($P$28:P84),T83,2),R84+S84),2),"")</f>
        <v>3461.17</v>
      </c>
      <c r="R84" s="11">
        <f>IF(O84&lt;&gt;"",IF($F$11="raty malejące",T83/($F$4-O83+SUM($P$28:P84)),IF(Q84-S84&gt;T83,T83,Q84-S84)),"")</f>
        <v>898.30626345976998</v>
      </c>
      <c r="S84" s="11">
        <f t="shared" si="34"/>
        <v>2562.8637365402301</v>
      </c>
      <c r="T84" s="9">
        <f t="shared" si="21"/>
        <v>362628.46487699839</v>
      </c>
      <c r="U84" s="10">
        <f t="shared" si="13"/>
        <v>6.7599999999999993E-2</v>
      </c>
      <c r="V84" s="10">
        <f t="shared" si="14"/>
        <v>1.7000000000000001E-2</v>
      </c>
      <c r="W84" s="49">
        <f t="shared" si="22"/>
        <v>8.4599999999999995E-2</v>
      </c>
      <c r="X84" s="11">
        <f t="shared" si="15"/>
        <v>20</v>
      </c>
      <c r="Y84" s="11">
        <f>IF(O84&lt;&gt;"",IF($B$16=listy!$K$8,'RZĄDOWY PROGRAM'!$F$3*'RZĄDOWY PROGRAM'!$F$15,T83*$F$15),"")</f>
        <v>50</v>
      </c>
      <c r="Z84" s="11">
        <f t="shared" si="23"/>
        <v>70</v>
      </c>
      <c r="AB84" s="8">
        <f t="shared" si="24"/>
        <v>57</v>
      </c>
      <c r="AC84" s="8"/>
      <c r="AD84" s="33">
        <f>IF(AB84&lt;&gt;"",ROUND(IF($F$11="raty równe",-PMT(W84/12,$F$4-AB83+SUM($AC$28:AC84),AG83,2),AE84+AF84),2),"")</f>
        <v>3227.7</v>
      </c>
      <c r="AE84" s="11">
        <f>IF(AB84&lt;&gt;"",IF($F$11="raty malejące",AG83/($F$4-AB83+SUM($AC$28:AC83)),MIN(AD84-AF84,AG83)),"")</f>
        <v>837.71921641524841</v>
      </c>
      <c r="AF84" s="11">
        <f t="shared" si="35"/>
        <v>2389.9807835847514</v>
      </c>
      <c r="AG84" s="9">
        <f t="shared" si="33"/>
        <v>338166.64724950696</v>
      </c>
      <c r="AH84" s="11"/>
      <c r="AI84" s="33">
        <f>IF(AB84&lt;&gt;"",ROUND(IF($F$11="raty równe",-PMT(W84/12,($F$4-AB83+SUM($AC$27:AC83)),AG83,2),AG83/($F$4-AB83+SUM($AC$27:AC83))+AG83*W84/12),2),"")</f>
        <v>3227.7</v>
      </c>
      <c r="AJ84" s="33">
        <f t="shared" si="25"/>
        <v>233.47000000000025</v>
      </c>
      <c r="AK84" s="33">
        <f t="shared" si="26"/>
        <v>12633.192735910219</v>
      </c>
      <c r="AL84" s="33">
        <f>IF(AB84&lt;&gt;"",AK84-SUM($AJ$28:AJ84),"")</f>
        <v>999.72273591022895</v>
      </c>
      <c r="AM84" s="11">
        <f t="shared" si="27"/>
        <v>20</v>
      </c>
      <c r="AN84" s="11">
        <f>IF(AB84&lt;&gt;"",IF($B$16=listy!$K$8,'RZĄDOWY PROGRAM'!$F$3*'RZĄDOWY PROGRAM'!$F$15,AG83*$F$15),"")</f>
        <v>50</v>
      </c>
      <c r="AO84" s="11">
        <f t="shared" si="28"/>
        <v>70</v>
      </c>
      <c r="AQ84" s="49">
        <f t="shared" si="16"/>
        <v>0.05</v>
      </c>
      <c r="AR84" s="18">
        <f t="shared" si="17"/>
        <v>4.0741237836483535E-3</v>
      </c>
      <c r="AS84" s="11">
        <f t="shared" si="29"/>
        <v>0</v>
      </c>
      <c r="AT84" s="11">
        <f t="shared" si="30"/>
        <v>32625.412141032604</v>
      </c>
      <c r="AU84" s="11">
        <f>IF(AB84&lt;&gt;"",AT84-SUM($AS$28:AS84),"")</f>
        <v>4936.0121410325992</v>
      </c>
    </row>
    <row r="85" spans="1:47" ht="14.5" x14ac:dyDescent="0.35">
      <c r="A85" s="76">
        <f t="shared" si="31"/>
        <v>46478</v>
      </c>
      <c r="B85" s="8">
        <f t="shared" si="5"/>
        <v>58</v>
      </c>
      <c r="C85" s="11">
        <f t="shared" si="6"/>
        <v>3461.18</v>
      </c>
      <c r="D85" s="11">
        <f t="shared" si="7"/>
        <v>956.94813853815867</v>
      </c>
      <c r="E85" s="11">
        <f t="shared" si="8"/>
        <v>2504.2318614618412</v>
      </c>
      <c r="F85" s="9">
        <f t="shared" si="18"/>
        <v>354253.24497661664</v>
      </c>
      <c r="G85" s="10">
        <f t="shared" si="9"/>
        <v>6.7599999999999993E-2</v>
      </c>
      <c r="H85" s="10">
        <f t="shared" si="10"/>
        <v>1.7000000000000001E-2</v>
      </c>
      <c r="I85" s="49">
        <f t="shared" si="11"/>
        <v>8.4599999999999995E-2</v>
      </c>
      <c r="J85" s="11">
        <f t="shared" si="12"/>
        <v>20</v>
      </c>
      <c r="K85" s="11">
        <f>IF(B85&lt;&gt;"",IF($B$16=listy!$K$8,'RZĄDOWY PROGRAM'!$F$3*'RZĄDOWY PROGRAM'!$F$15,F84*$F$15),"")</f>
        <v>50</v>
      </c>
      <c r="L85" s="11">
        <f t="shared" si="19"/>
        <v>70</v>
      </c>
      <c r="N85" s="55">
        <f t="shared" si="32"/>
        <v>46478</v>
      </c>
      <c r="O85" s="8">
        <f t="shared" si="20"/>
        <v>58</v>
      </c>
      <c r="P85" s="8"/>
      <c r="Q85" s="33">
        <f>IF(O85&lt;&gt;"",ROUND(IF($F$11="raty równe",-PMT(W85/12,$F$4-O84+SUM($P$28:P85),T84,2),R85+S85),2),"")</f>
        <v>3461.18</v>
      </c>
      <c r="R85" s="11">
        <f>IF(O85&lt;&gt;"",IF($F$11="raty malejące",T84/($F$4-O84+SUM($P$28:P85)),IF(Q85-S85&gt;T84,T84,Q85-S85)),"")</f>
        <v>904.64932261716149</v>
      </c>
      <c r="S85" s="11">
        <f t="shared" si="34"/>
        <v>2556.5306773828383</v>
      </c>
      <c r="T85" s="9">
        <f t="shared" si="21"/>
        <v>361723.81555438123</v>
      </c>
      <c r="U85" s="10">
        <f t="shared" si="13"/>
        <v>6.7599999999999993E-2</v>
      </c>
      <c r="V85" s="10">
        <f t="shared" si="14"/>
        <v>1.7000000000000001E-2</v>
      </c>
      <c r="W85" s="49">
        <f t="shared" si="22"/>
        <v>8.4599999999999995E-2</v>
      </c>
      <c r="X85" s="11">
        <f t="shared" si="15"/>
        <v>20</v>
      </c>
      <c r="Y85" s="11">
        <f>IF(O85&lt;&gt;"",IF($B$16=listy!$K$8,'RZĄDOWY PROGRAM'!$F$3*'RZĄDOWY PROGRAM'!$F$15,T84*$F$15),"")</f>
        <v>50</v>
      </c>
      <c r="Z85" s="11">
        <f t="shared" si="23"/>
        <v>70</v>
      </c>
      <c r="AB85" s="8">
        <f t="shared" si="24"/>
        <v>58</v>
      </c>
      <c r="AC85" s="8"/>
      <c r="AD85" s="33">
        <f>IF(AB85&lt;&gt;"",ROUND(IF($F$11="raty równe",-PMT(W85/12,$F$4-AB84+SUM($AC$28:AC85),AG84,2),AE85+AF85),2),"")</f>
        <v>3227.69</v>
      </c>
      <c r="AE85" s="11">
        <f>IF(AB85&lt;&gt;"",IF($F$11="raty malejące",AG84/($F$4-AB84+SUM($AC$28:AC84)),MIN(AD85-AF85,AG84)),"")</f>
        <v>843.61513689097592</v>
      </c>
      <c r="AF85" s="11">
        <f t="shared" si="35"/>
        <v>2384.0748631090241</v>
      </c>
      <c r="AG85" s="9">
        <f t="shared" si="33"/>
        <v>337323.032112616</v>
      </c>
      <c r="AH85" s="11"/>
      <c r="AI85" s="33">
        <f>IF(AB85&lt;&gt;"",ROUND(IF($F$11="raty równe",-PMT(W85/12,($F$4-AB84+SUM($AC$27:AC84)),AG84,2),AG84/($F$4-AB84+SUM($AC$27:AC84))+AG84*W85/12),2),"")</f>
        <v>3227.69</v>
      </c>
      <c r="AJ85" s="33">
        <f t="shared" si="25"/>
        <v>233.48999999999978</v>
      </c>
      <c r="AK85" s="33">
        <f t="shared" si="26"/>
        <v>12908.372780611135</v>
      </c>
      <c r="AL85" s="33">
        <f>IF(AB85&lt;&gt;"",AK85-SUM($AJ$28:AJ85),"")</f>
        <v>1041.4127806111446</v>
      </c>
      <c r="AM85" s="11">
        <f t="shared" si="27"/>
        <v>20</v>
      </c>
      <c r="AN85" s="11">
        <f>IF(AB85&lt;&gt;"",IF($B$16=listy!$K$8,'RZĄDOWY PROGRAM'!$F$3*'RZĄDOWY PROGRAM'!$F$15,AG84*$F$15),"")</f>
        <v>50</v>
      </c>
      <c r="AO85" s="11">
        <f t="shared" si="28"/>
        <v>70</v>
      </c>
      <c r="AQ85" s="49">
        <f t="shared" si="16"/>
        <v>0.05</v>
      </c>
      <c r="AR85" s="18">
        <f t="shared" si="17"/>
        <v>4.0741237836483535E-3</v>
      </c>
      <c r="AS85" s="11">
        <f t="shared" si="29"/>
        <v>0</v>
      </c>
      <c r="AT85" s="11">
        <f t="shared" si="30"/>
        <v>32733.077314752245</v>
      </c>
      <c r="AU85" s="11">
        <f>IF(AB85&lt;&gt;"",AT85-SUM($AS$28:AS85),"")</f>
        <v>5043.6773147522399</v>
      </c>
    </row>
    <row r="86" spans="1:47" ht="14.5" x14ac:dyDescent="0.35">
      <c r="A86" s="76">
        <f t="shared" si="31"/>
        <v>46508</v>
      </c>
      <c r="B86" s="8">
        <f t="shared" si="5"/>
        <v>59</v>
      </c>
      <c r="C86" s="11">
        <f t="shared" si="6"/>
        <v>3461.17</v>
      </c>
      <c r="D86" s="11">
        <f t="shared" si="7"/>
        <v>963.68462291485275</v>
      </c>
      <c r="E86" s="11">
        <f t="shared" si="8"/>
        <v>2497.4853770851473</v>
      </c>
      <c r="F86" s="9">
        <f t="shared" si="18"/>
        <v>353289.56035370176</v>
      </c>
      <c r="G86" s="10">
        <f t="shared" si="9"/>
        <v>6.7599999999999993E-2</v>
      </c>
      <c r="H86" s="10">
        <f t="shared" si="10"/>
        <v>1.7000000000000001E-2</v>
      </c>
      <c r="I86" s="49">
        <f t="shared" si="11"/>
        <v>8.4599999999999995E-2</v>
      </c>
      <c r="J86" s="11">
        <f t="shared" si="12"/>
        <v>20</v>
      </c>
      <c r="K86" s="11">
        <f>IF(B86&lt;&gt;"",IF($B$16=listy!$K$8,'RZĄDOWY PROGRAM'!$F$3*'RZĄDOWY PROGRAM'!$F$15,F85*$F$15),"")</f>
        <v>50</v>
      </c>
      <c r="L86" s="11">
        <f t="shared" si="19"/>
        <v>70</v>
      </c>
      <c r="N86" s="55">
        <f t="shared" si="32"/>
        <v>46508</v>
      </c>
      <c r="O86" s="8">
        <f t="shared" si="20"/>
        <v>59</v>
      </c>
      <c r="P86" s="8"/>
      <c r="Q86" s="33">
        <f>IF(O86&lt;&gt;"",ROUND(IF($F$11="raty równe",-PMT(W86/12,$F$4-O85+SUM($P$28:P86),T85,2),R86+S86),2),"")</f>
        <v>3461.17</v>
      </c>
      <c r="R86" s="11">
        <f>IF(O86&lt;&gt;"",IF($F$11="raty malejące",T85/($F$4-O85+SUM($P$28:P86)),IF(Q86-S86&gt;T85,T85,Q86-S86)),"")</f>
        <v>911.0171003416126</v>
      </c>
      <c r="S86" s="11">
        <f t="shared" si="34"/>
        <v>2550.1528996583875</v>
      </c>
      <c r="T86" s="9">
        <f t="shared" si="21"/>
        <v>360812.79845403961</v>
      </c>
      <c r="U86" s="10">
        <f t="shared" si="13"/>
        <v>6.7599999999999993E-2</v>
      </c>
      <c r="V86" s="10">
        <f t="shared" si="14"/>
        <v>1.7000000000000001E-2</v>
      </c>
      <c r="W86" s="49">
        <f t="shared" si="22"/>
        <v>8.4599999999999995E-2</v>
      </c>
      <c r="X86" s="11">
        <f t="shared" si="15"/>
        <v>20</v>
      </c>
      <c r="Y86" s="11">
        <f>IF(O86&lt;&gt;"",IF($B$16=listy!$K$8,'RZĄDOWY PROGRAM'!$F$3*'RZĄDOWY PROGRAM'!$F$15,T85*$F$15),"")</f>
        <v>50</v>
      </c>
      <c r="Z86" s="11">
        <f t="shared" si="23"/>
        <v>70</v>
      </c>
      <c r="AB86" s="8">
        <f t="shared" si="24"/>
        <v>59</v>
      </c>
      <c r="AC86" s="8"/>
      <c r="AD86" s="33">
        <f>IF(AB86&lt;&gt;"",ROUND(IF($F$11="raty równe",-PMT(W86/12,$F$4-AB85+SUM($AC$28:AC86),AG85,2),AE86+AF86),2),"")</f>
        <v>3227.7</v>
      </c>
      <c r="AE86" s="11">
        <f>IF(AB86&lt;&gt;"",IF($F$11="raty malejące",AG85/($F$4-AB85+SUM($AC$28:AC85)),MIN(AD86-AF86,AG85)),"")</f>
        <v>849.57262360605728</v>
      </c>
      <c r="AF86" s="11">
        <f t="shared" si="35"/>
        <v>2378.1273763939425</v>
      </c>
      <c r="AG86" s="9">
        <f t="shared" si="33"/>
        <v>336473.45948900993</v>
      </c>
      <c r="AH86" s="11"/>
      <c r="AI86" s="33">
        <f>IF(AB86&lt;&gt;"",ROUND(IF($F$11="raty równe",-PMT(W86/12,($F$4-AB85+SUM($AC$27:AC85)),AG85,2),AG85/($F$4-AB85+SUM($AC$27:AC85))+AG85*W86/12),2),"")</f>
        <v>3227.7</v>
      </c>
      <c r="AJ86" s="33">
        <f t="shared" si="25"/>
        <v>233.47000000000025</v>
      </c>
      <c r="AK86" s="33">
        <f t="shared" si="26"/>
        <v>13184.440930539622</v>
      </c>
      <c r="AL86" s="33">
        <f>IF(AB86&lt;&gt;"",AK86-SUM($AJ$28:AJ86),"")</f>
        <v>1084.0109305396327</v>
      </c>
      <c r="AM86" s="11">
        <f t="shared" si="27"/>
        <v>20</v>
      </c>
      <c r="AN86" s="11">
        <f>IF(AB86&lt;&gt;"",IF($B$16=listy!$K$8,'RZĄDOWY PROGRAM'!$F$3*'RZĄDOWY PROGRAM'!$F$15,AG85*$F$15),"")</f>
        <v>50</v>
      </c>
      <c r="AO86" s="11">
        <f t="shared" si="28"/>
        <v>70</v>
      </c>
      <c r="AQ86" s="49">
        <f t="shared" si="16"/>
        <v>0.05</v>
      </c>
      <c r="AR86" s="18">
        <f t="shared" si="17"/>
        <v>4.0741237836483535E-3</v>
      </c>
      <c r="AS86" s="11">
        <f t="shared" si="29"/>
        <v>0</v>
      </c>
      <c r="AT86" s="11">
        <f t="shared" si="30"/>
        <v>32841.097787880273</v>
      </c>
      <c r="AU86" s="11">
        <f>IF(AB86&lt;&gt;"",AT86-SUM($AS$28:AS86),"")</f>
        <v>5151.6977878802682</v>
      </c>
    </row>
    <row r="87" spans="1:47" ht="14.5" x14ac:dyDescent="0.35">
      <c r="A87" s="76">
        <f t="shared" si="31"/>
        <v>46539</v>
      </c>
      <c r="B87" s="8">
        <f t="shared" si="5"/>
        <v>60</v>
      </c>
      <c r="C87" s="11">
        <f t="shared" si="6"/>
        <v>3461.18</v>
      </c>
      <c r="D87" s="11">
        <f t="shared" si="7"/>
        <v>970.48859950640235</v>
      </c>
      <c r="E87" s="11">
        <f t="shared" si="8"/>
        <v>2490.6914004935975</v>
      </c>
      <c r="F87" s="9">
        <f t="shared" si="18"/>
        <v>352319.07175419538</v>
      </c>
      <c r="G87" s="10">
        <f t="shared" si="9"/>
        <v>6.7599999999999993E-2</v>
      </c>
      <c r="H87" s="10">
        <f t="shared" si="10"/>
        <v>1.7000000000000001E-2</v>
      </c>
      <c r="I87" s="49">
        <f t="shared" si="11"/>
        <v>8.4599999999999995E-2</v>
      </c>
      <c r="J87" s="11">
        <f t="shared" si="12"/>
        <v>20</v>
      </c>
      <c r="K87" s="11">
        <f>IF(B87&lt;&gt;"",IF($B$16=listy!$K$8,'RZĄDOWY PROGRAM'!$F$3*'RZĄDOWY PROGRAM'!$F$15,F86*$F$15),"")</f>
        <v>50</v>
      </c>
      <c r="L87" s="11">
        <f t="shared" si="19"/>
        <v>70</v>
      </c>
      <c r="N87" s="55">
        <f t="shared" si="32"/>
        <v>46539</v>
      </c>
      <c r="O87" s="8">
        <f t="shared" si="20"/>
        <v>60</v>
      </c>
      <c r="P87" s="8"/>
      <c r="Q87" s="33">
        <f>IF(O87&lt;&gt;"",ROUND(IF($F$11="raty równe",-PMT(W87/12,$F$4-O86+SUM($P$28:P87),T86,2),R87+S87),2),"")</f>
        <v>3461.18</v>
      </c>
      <c r="R87" s="11">
        <f>IF(O87&lt;&gt;"",IF($F$11="raty malejące",T86/($F$4-O86+SUM($P$28:P87)),IF(Q87-S87&gt;T86,T86,Q87-S87)),"")</f>
        <v>917.44977089902068</v>
      </c>
      <c r="S87" s="11">
        <f t="shared" si="34"/>
        <v>2543.7302291009792</v>
      </c>
      <c r="T87" s="9">
        <f t="shared" si="21"/>
        <v>359895.34868314059</v>
      </c>
      <c r="U87" s="10">
        <f t="shared" si="13"/>
        <v>6.7599999999999993E-2</v>
      </c>
      <c r="V87" s="10">
        <f t="shared" si="14"/>
        <v>1.7000000000000001E-2</v>
      </c>
      <c r="W87" s="49">
        <f t="shared" si="22"/>
        <v>8.4599999999999995E-2</v>
      </c>
      <c r="X87" s="11">
        <f t="shared" si="15"/>
        <v>20</v>
      </c>
      <c r="Y87" s="11">
        <f>IF(O87&lt;&gt;"",IF($B$16=listy!$K$8,'RZĄDOWY PROGRAM'!$F$3*'RZĄDOWY PROGRAM'!$F$15,T86*$F$15),"")</f>
        <v>50</v>
      </c>
      <c r="Z87" s="11">
        <f t="shared" si="23"/>
        <v>70</v>
      </c>
      <c r="AB87" s="8">
        <f t="shared" si="24"/>
        <v>60</v>
      </c>
      <c r="AC87" s="8"/>
      <c r="AD87" s="33">
        <f>IF(AB87&lt;&gt;"",ROUND(IF($F$11="raty równe",-PMT(W87/12,$F$4-AB86+SUM($AC$28:AC87),AG86,2),AE87+AF87),2),"")</f>
        <v>3227.69</v>
      </c>
      <c r="AE87" s="11">
        <f>IF(AB87&lt;&gt;"",IF($F$11="raty malejące",AG86/($F$4-AB86+SUM($AC$28:AC86)),MIN(AD87-AF87,AG86)),"")</f>
        <v>855.5521106024803</v>
      </c>
      <c r="AF87" s="11">
        <f t="shared" si="35"/>
        <v>2372.1378893975198</v>
      </c>
      <c r="AG87" s="9">
        <f t="shared" si="33"/>
        <v>335617.90737840743</v>
      </c>
      <c r="AH87" s="11"/>
      <c r="AI87" s="33">
        <f>IF(AB87&lt;&gt;"",ROUND(IF($F$11="raty równe",-PMT(W87/12,($F$4-AB86+SUM($AC$27:AC86)),AG86,2),AG86/($F$4-AB86+SUM($AC$27:AC86))+AG86*W87/12),2),"")</f>
        <v>3227.69</v>
      </c>
      <c r="AJ87" s="33">
        <f t="shared" si="25"/>
        <v>233.48999999999978</v>
      </c>
      <c r="AK87" s="33">
        <f t="shared" si="26"/>
        <v>13461.440116478689</v>
      </c>
      <c r="AL87" s="33">
        <f>IF(AB87&lt;&gt;"",AK87-SUM($AJ$28:AJ87),"")</f>
        <v>1127.5201164786995</v>
      </c>
      <c r="AM87" s="11">
        <f t="shared" si="27"/>
        <v>20</v>
      </c>
      <c r="AN87" s="11">
        <f>IF(AB87&lt;&gt;"",IF($B$16=listy!$K$8,'RZĄDOWY PROGRAM'!$F$3*'RZĄDOWY PROGRAM'!$F$15,AG86*$F$15),"")</f>
        <v>50</v>
      </c>
      <c r="AO87" s="11">
        <f t="shared" si="28"/>
        <v>70</v>
      </c>
      <c r="AQ87" s="49">
        <f t="shared" si="16"/>
        <v>0.05</v>
      </c>
      <c r="AR87" s="18">
        <f t="shared" si="17"/>
        <v>4.0741237836483535E-3</v>
      </c>
      <c r="AS87" s="11">
        <f t="shared" si="29"/>
        <v>0</v>
      </c>
      <c r="AT87" s="11">
        <f t="shared" si="30"/>
        <v>32949.474732919043</v>
      </c>
      <c r="AU87" s="11">
        <f>IF(AB87&lt;&gt;"",AT87-SUM($AS$28:AS87),"")</f>
        <v>5260.0747329190381</v>
      </c>
    </row>
    <row r="88" spans="1:47" ht="14.5" x14ac:dyDescent="0.35">
      <c r="A88" s="76">
        <f t="shared" si="31"/>
        <v>46569</v>
      </c>
      <c r="B88" s="8">
        <f t="shared" si="5"/>
        <v>61</v>
      </c>
      <c r="C88" s="11">
        <f t="shared" si="6"/>
        <v>3461.17</v>
      </c>
      <c r="D88" s="11">
        <f t="shared" si="7"/>
        <v>977.32054413292281</v>
      </c>
      <c r="E88" s="11">
        <f t="shared" si="8"/>
        <v>2483.8494558670773</v>
      </c>
      <c r="F88" s="9">
        <f t="shared" si="18"/>
        <v>351341.75121006247</v>
      </c>
      <c r="G88" s="10">
        <f t="shared" si="9"/>
        <v>6.7599999999999993E-2</v>
      </c>
      <c r="H88" s="10">
        <f t="shared" si="10"/>
        <v>1.7000000000000001E-2</v>
      </c>
      <c r="I88" s="49">
        <f t="shared" si="11"/>
        <v>8.4599999999999995E-2</v>
      </c>
      <c r="J88" s="11">
        <f t="shared" si="12"/>
        <v>20</v>
      </c>
      <c r="K88" s="11">
        <f>IF(B88&lt;&gt;"",IF($B$16=listy!$K$8,'RZĄDOWY PROGRAM'!$F$3*'RZĄDOWY PROGRAM'!$F$15,F87*$F$15),"")</f>
        <v>50</v>
      </c>
      <c r="L88" s="11">
        <f t="shared" si="19"/>
        <v>70</v>
      </c>
      <c r="N88" s="55">
        <f t="shared" si="32"/>
        <v>46569</v>
      </c>
      <c r="O88" s="8">
        <f t="shared" si="20"/>
        <v>61</v>
      </c>
      <c r="P88" s="8"/>
      <c r="Q88" s="33">
        <f>IF(O88&lt;&gt;"",ROUND(IF($F$11="raty równe",-PMT(W88/12,$F$4-O87+SUM($P$28:P88),T87,2),R88+S88),2),"")</f>
        <v>3461.17</v>
      </c>
      <c r="R88" s="11">
        <f>IF(O88&lt;&gt;"",IF($F$11="raty malejące",T87/($F$4-O87+SUM($P$28:P88)),IF(Q88-S88&gt;T87,T87,Q88-S88)),"")</f>
        <v>923.90779178385901</v>
      </c>
      <c r="S88" s="11">
        <f t="shared" si="34"/>
        <v>2537.2622082161411</v>
      </c>
      <c r="T88" s="9">
        <f t="shared" si="21"/>
        <v>358971.44089135673</v>
      </c>
      <c r="U88" s="10">
        <f t="shared" si="13"/>
        <v>6.7599999999999993E-2</v>
      </c>
      <c r="V88" s="10">
        <f t="shared" si="14"/>
        <v>1.7000000000000001E-2</v>
      </c>
      <c r="W88" s="49">
        <f t="shared" si="22"/>
        <v>8.4599999999999995E-2</v>
      </c>
      <c r="X88" s="11">
        <f t="shared" si="15"/>
        <v>20</v>
      </c>
      <c r="Y88" s="11">
        <f>IF(O88&lt;&gt;"",IF($B$16=listy!$K$8,'RZĄDOWY PROGRAM'!$F$3*'RZĄDOWY PROGRAM'!$F$15,T87*$F$15),"")</f>
        <v>50</v>
      </c>
      <c r="Z88" s="11">
        <f t="shared" si="23"/>
        <v>70</v>
      </c>
      <c r="AB88" s="8">
        <f t="shared" si="24"/>
        <v>61</v>
      </c>
      <c r="AC88" s="8"/>
      <c r="AD88" s="33">
        <f>IF(AB88&lt;&gt;"",ROUND(IF($F$11="raty równe",-PMT(W88/12,$F$4-AB87+SUM($AC$28:AC88),AG87,2),AE88+AF88),2),"")</f>
        <v>3227.7</v>
      </c>
      <c r="AE88" s="11">
        <f>IF(AB88&lt;&gt;"",IF($F$11="raty malejące",AG87/($F$4-AB87+SUM($AC$28:AC87)),MIN(AD88-AF88,AG87)),"")</f>
        <v>861.59375298222767</v>
      </c>
      <c r="AF88" s="11">
        <f t="shared" si="35"/>
        <v>2366.1062470177721</v>
      </c>
      <c r="AG88" s="9">
        <f t="shared" si="33"/>
        <v>334756.31362542522</v>
      </c>
      <c r="AH88" s="11"/>
      <c r="AI88" s="33">
        <f>IF(AB88&lt;&gt;"",ROUND(IF($F$11="raty równe",-PMT(W88/12,($F$4-AB87+SUM($AC$27:AC87)),AG87,2),AG87/($F$4-AB87+SUM($AC$27:AC87))+AG87*W88/12),2),"")</f>
        <v>3227.7</v>
      </c>
      <c r="AJ88" s="33">
        <f t="shared" si="25"/>
        <v>233.47000000000025</v>
      </c>
      <c r="AK88" s="33">
        <f t="shared" si="26"/>
        <v>13739.333410884657</v>
      </c>
      <c r="AL88" s="33">
        <f>IF(AB88&lt;&gt;"",AK88-SUM($AJ$28:AJ88),"")</f>
        <v>1171.943410884669</v>
      </c>
      <c r="AM88" s="11">
        <f t="shared" si="27"/>
        <v>20</v>
      </c>
      <c r="AN88" s="11">
        <f>IF(AB88&lt;&gt;"",IF($B$16=listy!$K$8,'RZĄDOWY PROGRAM'!$F$3*'RZĄDOWY PROGRAM'!$F$15,AG87*$F$15),"")</f>
        <v>50</v>
      </c>
      <c r="AO88" s="11">
        <f t="shared" si="28"/>
        <v>70</v>
      </c>
      <c r="AQ88" s="49">
        <f t="shared" si="16"/>
        <v>0.05</v>
      </c>
      <c r="AR88" s="18">
        <f t="shared" si="17"/>
        <v>4.0741237836483535E-3</v>
      </c>
      <c r="AS88" s="11">
        <f t="shared" si="29"/>
        <v>0</v>
      </c>
      <c r="AT88" s="11">
        <f t="shared" si="30"/>
        <v>33058.209326240212</v>
      </c>
      <c r="AU88" s="11">
        <f>IF(AB88&lt;&gt;"",AT88-SUM($AS$28:AS88),"")</f>
        <v>5368.8093262402072</v>
      </c>
    </row>
    <row r="89" spans="1:47" ht="14.5" x14ac:dyDescent="0.35">
      <c r="A89" s="76">
        <f t="shared" si="31"/>
        <v>46600</v>
      </c>
      <c r="B89" s="8">
        <f t="shared" si="5"/>
        <v>62</v>
      </c>
      <c r="C89" s="11">
        <f t="shared" si="6"/>
        <v>3461.18</v>
      </c>
      <c r="D89" s="11">
        <f t="shared" si="7"/>
        <v>984.22065396905964</v>
      </c>
      <c r="E89" s="11">
        <f t="shared" si="8"/>
        <v>2476.9593460309402</v>
      </c>
      <c r="F89" s="9">
        <f t="shared" si="18"/>
        <v>350357.53055609344</v>
      </c>
      <c r="G89" s="10">
        <f t="shared" si="9"/>
        <v>6.7599999999999993E-2</v>
      </c>
      <c r="H89" s="10">
        <f t="shared" si="10"/>
        <v>1.7000000000000001E-2</v>
      </c>
      <c r="I89" s="49">
        <f t="shared" si="11"/>
        <v>8.4599999999999995E-2</v>
      </c>
      <c r="J89" s="11">
        <f t="shared" si="12"/>
        <v>20</v>
      </c>
      <c r="K89" s="11">
        <f>IF(B89&lt;&gt;"",IF($B$16=listy!$K$8,'RZĄDOWY PROGRAM'!$F$3*'RZĄDOWY PROGRAM'!$F$15,F88*$F$15),"")</f>
        <v>50</v>
      </c>
      <c r="L89" s="11">
        <f t="shared" si="19"/>
        <v>70</v>
      </c>
      <c r="N89" s="55">
        <f t="shared" si="32"/>
        <v>46600</v>
      </c>
      <c r="O89" s="8">
        <f t="shared" si="20"/>
        <v>62</v>
      </c>
      <c r="P89" s="8"/>
      <c r="Q89" s="33">
        <f>IF(O89&lt;&gt;"",ROUND(IF($F$11="raty równe",-PMT(W89/12,$F$4-O88+SUM($P$28:P89),T88,2),R89+S89),2),"")</f>
        <v>3461.18</v>
      </c>
      <c r="R89" s="11">
        <f>IF(O89&lt;&gt;"",IF($F$11="raty malejące",T88/($F$4-O88+SUM($P$28:P89)),IF(Q89-S89&gt;T88,T88,Q89-S89)),"")</f>
        <v>930.4313417159351</v>
      </c>
      <c r="S89" s="11">
        <f t="shared" si="34"/>
        <v>2530.7486582840647</v>
      </c>
      <c r="T89" s="9">
        <f t="shared" si="21"/>
        <v>358041.00954964082</v>
      </c>
      <c r="U89" s="10">
        <f t="shared" si="13"/>
        <v>6.7599999999999993E-2</v>
      </c>
      <c r="V89" s="10">
        <f t="shared" si="14"/>
        <v>1.7000000000000001E-2</v>
      </c>
      <c r="W89" s="49">
        <f t="shared" si="22"/>
        <v>8.4599999999999995E-2</v>
      </c>
      <c r="X89" s="11">
        <f t="shared" si="15"/>
        <v>20</v>
      </c>
      <c r="Y89" s="11">
        <f>IF(O89&lt;&gt;"",IF($B$16=listy!$K$8,'RZĄDOWY PROGRAM'!$F$3*'RZĄDOWY PROGRAM'!$F$15,T88*$F$15),"")</f>
        <v>50</v>
      </c>
      <c r="Z89" s="11">
        <f t="shared" si="23"/>
        <v>70</v>
      </c>
      <c r="AB89" s="8">
        <f t="shared" si="24"/>
        <v>62</v>
      </c>
      <c r="AC89" s="8"/>
      <c r="AD89" s="33">
        <f>IF(AB89&lt;&gt;"",ROUND(IF($F$11="raty równe",-PMT(W89/12,$F$4-AB88+SUM($AC$28:AC89),AG88,2),AE89+AF89),2),"")</f>
        <v>3227.69</v>
      </c>
      <c r="AE89" s="11">
        <f>IF(AB89&lt;&gt;"",IF($F$11="raty malejące",AG88/($F$4-AB88+SUM($AC$28:AC88)),MIN(AD89-AF89,AG88)),"")</f>
        <v>867.65798894075215</v>
      </c>
      <c r="AF89" s="11">
        <f t="shared" si="35"/>
        <v>2360.0320110592479</v>
      </c>
      <c r="AG89" s="9">
        <f t="shared" si="33"/>
        <v>333888.65563648444</v>
      </c>
      <c r="AH89" s="11"/>
      <c r="AI89" s="33">
        <f>IF(AB89&lt;&gt;"",ROUND(IF($F$11="raty równe",-PMT(W89/12,($F$4-AB88+SUM($AC$27:AC88)),AG88,2),AG88/($F$4-AB88+SUM($AC$27:AC88))+AG88*W89/12),2),"")</f>
        <v>3227.69</v>
      </c>
      <c r="AJ89" s="33">
        <f t="shared" si="25"/>
        <v>233.48999999999978</v>
      </c>
      <c r="AK89" s="33">
        <f t="shared" si="26"/>
        <v>14018.163764351473</v>
      </c>
      <c r="AL89" s="33">
        <f>IF(AB89&lt;&gt;"",AK89-SUM($AJ$28:AJ89),"")</f>
        <v>1217.2837643514849</v>
      </c>
      <c r="AM89" s="11">
        <f t="shared" si="27"/>
        <v>20</v>
      </c>
      <c r="AN89" s="11">
        <f>IF(AB89&lt;&gt;"",IF($B$16=listy!$K$8,'RZĄDOWY PROGRAM'!$F$3*'RZĄDOWY PROGRAM'!$F$15,AG88*$F$15),"")</f>
        <v>50</v>
      </c>
      <c r="AO89" s="11">
        <f t="shared" si="28"/>
        <v>70</v>
      </c>
      <c r="AQ89" s="49">
        <f t="shared" si="16"/>
        <v>0.05</v>
      </c>
      <c r="AR89" s="18">
        <f t="shared" si="17"/>
        <v>4.0741237836483535E-3</v>
      </c>
      <c r="AS89" s="11">
        <f t="shared" si="29"/>
        <v>0</v>
      </c>
      <c r="AT89" s="11">
        <f t="shared" si="30"/>
        <v>33167.302748097507</v>
      </c>
      <c r="AU89" s="11">
        <f>IF(AB89&lt;&gt;"",AT89-SUM($AS$28:AS89),"")</f>
        <v>5477.9027480975019</v>
      </c>
    </row>
    <row r="90" spans="1:47" ht="14.5" x14ac:dyDescent="0.35">
      <c r="A90" s="76">
        <f t="shared" si="31"/>
        <v>46631</v>
      </c>
      <c r="B90" s="8">
        <f t="shared" si="5"/>
        <v>63</v>
      </c>
      <c r="C90" s="11">
        <f t="shared" si="6"/>
        <v>3461.17</v>
      </c>
      <c r="D90" s="11">
        <f t="shared" si="7"/>
        <v>991.1494095795415</v>
      </c>
      <c r="E90" s="11">
        <f t="shared" si="8"/>
        <v>2470.0205904204586</v>
      </c>
      <c r="F90" s="9">
        <f t="shared" si="18"/>
        <v>349366.38114651392</v>
      </c>
      <c r="G90" s="10">
        <f t="shared" si="9"/>
        <v>6.7599999999999993E-2</v>
      </c>
      <c r="H90" s="10">
        <f t="shared" si="10"/>
        <v>1.7000000000000001E-2</v>
      </c>
      <c r="I90" s="49">
        <f t="shared" si="11"/>
        <v>8.4599999999999995E-2</v>
      </c>
      <c r="J90" s="11">
        <f t="shared" si="12"/>
        <v>20</v>
      </c>
      <c r="K90" s="11">
        <f>IF(B90&lt;&gt;"",IF($B$16=listy!$K$8,'RZĄDOWY PROGRAM'!$F$3*'RZĄDOWY PROGRAM'!$F$15,F89*$F$15),"")</f>
        <v>50</v>
      </c>
      <c r="L90" s="11">
        <f t="shared" si="19"/>
        <v>70</v>
      </c>
      <c r="N90" s="55">
        <f t="shared" si="32"/>
        <v>46631</v>
      </c>
      <c r="O90" s="8">
        <f t="shared" si="20"/>
        <v>63</v>
      </c>
      <c r="P90" s="8"/>
      <c r="Q90" s="33">
        <f>IF(O90&lt;&gt;"",ROUND(IF($F$11="raty równe",-PMT(W90/12,$F$4-O89+SUM($P$28:P90),T89,2),R90+S90),2),"")</f>
        <v>3461.17</v>
      </c>
      <c r="R90" s="11">
        <f>IF(O90&lt;&gt;"",IF($F$11="raty malejące",T89/($F$4-O89+SUM($P$28:P90)),IF(Q90-S90&gt;T89,T89,Q90-S90)),"")</f>
        <v>936.98088267503272</v>
      </c>
      <c r="S90" s="11">
        <f t="shared" si="34"/>
        <v>2524.1891173249674</v>
      </c>
      <c r="T90" s="9">
        <f t="shared" si="21"/>
        <v>357104.02866696578</v>
      </c>
      <c r="U90" s="10">
        <f t="shared" si="13"/>
        <v>6.7599999999999993E-2</v>
      </c>
      <c r="V90" s="10">
        <f t="shared" si="14"/>
        <v>1.7000000000000001E-2</v>
      </c>
      <c r="W90" s="49">
        <f t="shared" si="22"/>
        <v>8.4599999999999995E-2</v>
      </c>
      <c r="X90" s="11">
        <f t="shared" si="15"/>
        <v>20</v>
      </c>
      <c r="Y90" s="11">
        <f>IF(O90&lt;&gt;"",IF($B$16=listy!$K$8,'RZĄDOWY PROGRAM'!$F$3*'RZĄDOWY PROGRAM'!$F$15,T89*$F$15),"")</f>
        <v>50</v>
      </c>
      <c r="Z90" s="11">
        <f t="shared" si="23"/>
        <v>70</v>
      </c>
      <c r="AB90" s="8">
        <f t="shared" si="24"/>
        <v>63</v>
      </c>
      <c r="AC90" s="8"/>
      <c r="AD90" s="33">
        <f>IF(AB90&lt;&gt;"",ROUND(IF($F$11="raty równe",-PMT(W90/12,$F$4-AB89+SUM($AC$28:AC90),AG89,2),AE90+AF90),2),"")</f>
        <v>3227.7</v>
      </c>
      <c r="AE90" s="11">
        <f>IF(AB90&lt;&gt;"",IF($F$11="raty malejące",AG89/($F$4-AB89+SUM($AC$28:AC89)),MIN(AD90-AF90,AG89)),"")</f>
        <v>873.78497776278482</v>
      </c>
      <c r="AF90" s="11">
        <f t="shared" si="35"/>
        <v>2353.915022237215</v>
      </c>
      <c r="AG90" s="9">
        <f t="shared" si="33"/>
        <v>333014.87065872166</v>
      </c>
      <c r="AH90" s="11"/>
      <c r="AI90" s="33">
        <f>IF(AB90&lt;&gt;"",ROUND(IF($F$11="raty równe",-PMT(W90/12,($F$4-AB89+SUM($AC$27:AC89)),AG89,2),AG89/($F$4-AB89+SUM($AC$27:AC89))+AG89*W90/12),2),"")</f>
        <v>3227.7</v>
      </c>
      <c r="AJ90" s="33">
        <f t="shared" si="25"/>
        <v>233.47000000000025</v>
      </c>
      <c r="AK90" s="33">
        <f t="shared" si="26"/>
        <v>14297.894269211763</v>
      </c>
      <c r="AL90" s="33">
        <f>IF(AB90&lt;&gt;"",AK90-SUM($AJ$28:AJ90),"")</f>
        <v>1263.5442692117758</v>
      </c>
      <c r="AM90" s="11">
        <f t="shared" si="27"/>
        <v>20</v>
      </c>
      <c r="AN90" s="11">
        <f>IF(AB90&lt;&gt;"",IF($B$16=listy!$K$8,'RZĄDOWY PROGRAM'!$F$3*'RZĄDOWY PROGRAM'!$F$15,AG89*$F$15),"")</f>
        <v>50</v>
      </c>
      <c r="AO90" s="11">
        <f t="shared" si="28"/>
        <v>70</v>
      </c>
      <c r="AQ90" s="49">
        <f t="shared" si="16"/>
        <v>0.05</v>
      </c>
      <c r="AR90" s="18">
        <f t="shared" si="17"/>
        <v>4.0741237836483535E-3</v>
      </c>
      <c r="AS90" s="11">
        <f t="shared" si="29"/>
        <v>0</v>
      </c>
      <c r="AT90" s="11">
        <f t="shared" si="30"/>
        <v>33276.756182639554</v>
      </c>
      <c r="AU90" s="11">
        <f>IF(AB90&lt;&gt;"",AT90-SUM($AS$28:AS90),"")</f>
        <v>5587.3561826395489</v>
      </c>
    </row>
    <row r="91" spans="1:47" ht="14.5" x14ac:dyDescent="0.35">
      <c r="A91" s="76">
        <f t="shared" si="31"/>
        <v>46661</v>
      </c>
      <c r="B91" s="8">
        <f t="shared" si="5"/>
        <v>64</v>
      </c>
      <c r="C91" s="11">
        <f t="shared" si="6"/>
        <v>3461.18</v>
      </c>
      <c r="D91" s="11">
        <f t="shared" si="7"/>
        <v>998.14701291707661</v>
      </c>
      <c r="E91" s="11">
        <f t="shared" si="8"/>
        <v>2463.0329870829232</v>
      </c>
      <c r="F91" s="9">
        <f t="shared" si="18"/>
        <v>348368.23413359682</v>
      </c>
      <c r="G91" s="10">
        <f t="shared" si="9"/>
        <v>6.7599999999999993E-2</v>
      </c>
      <c r="H91" s="10">
        <f t="shared" si="10"/>
        <v>1.7000000000000001E-2</v>
      </c>
      <c r="I91" s="49">
        <f t="shared" si="11"/>
        <v>8.4599999999999995E-2</v>
      </c>
      <c r="J91" s="11">
        <f t="shared" si="12"/>
        <v>20</v>
      </c>
      <c r="K91" s="11">
        <f>IF(B91&lt;&gt;"",IF($B$16=listy!$K$8,'RZĄDOWY PROGRAM'!$F$3*'RZĄDOWY PROGRAM'!$F$15,F90*$F$15),"")</f>
        <v>50</v>
      </c>
      <c r="L91" s="11">
        <f t="shared" si="19"/>
        <v>70</v>
      </c>
      <c r="N91" s="55">
        <f t="shared" si="32"/>
        <v>46661</v>
      </c>
      <c r="O91" s="8">
        <f t="shared" si="20"/>
        <v>64</v>
      </c>
      <c r="P91" s="8"/>
      <c r="Q91" s="33">
        <f>IF(O91&lt;&gt;"",ROUND(IF($F$11="raty równe",-PMT(W91/12,$F$4-O90+SUM($P$28:P91),T90,2),R91+S91),2),"")</f>
        <v>3461.18</v>
      </c>
      <c r="R91" s="11">
        <f>IF(O91&lt;&gt;"",IF($F$11="raty malejące",T90/($F$4-O90+SUM($P$28:P91)),IF(Q91-S91&gt;T90,T90,Q91-S91)),"")</f>
        <v>943.59659789789112</v>
      </c>
      <c r="S91" s="11">
        <f t="shared" si="34"/>
        <v>2517.5834021021087</v>
      </c>
      <c r="T91" s="9">
        <f t="shared" si="21"/>
        <v>356160.4320690679</v>
      </c>
      <c r="U91" s="10">
        <f t="shared" si="13"/>
        <v>6.7599999999999993E-2</v>
      </c>
      <c r="V91" s="10">
        <f t="shared" si="14"/>
        <v>1.7000000000000001E-2</v>
      </c>
      <c r="W91" s="49">
        <f t="shared" si="22"/>
        <v>8.4599999999999995E-2</v>
      </c>
      <c r="X91" s="11">
        <f t="shared" si="15"/>
        <v>20</v>
      </c>
      <c r="Y91" s="11">
        <f>IF(O91&lt;&gt;"",IF($B$16=listy!$K$8,'RZĄDOWY PROGRAM'!$F$3*'RZĄDOWY PROGRAM'!$F$15,T90*$F$15),"")</f>
        <v>50</v>
      </c>
      <c r="Z91" s="11">
        <f t="shared" si="23"/>
        <v>70</v>
      </c>
      <c r="AB91" s="8">
        <f t="shared" si="24"/>
        <v>64</v>
      </c>
      <c r="AC91" s="8"/>
      <c r="AD91" s="33">
        <f>IF(AB91&lt;&gt;"",ROUND(IF($F$11="raty równe",-PMT(W91/12,$F$4-AB90+SUM($AC$28:AC91),AG90,2),AE91+AF91),2),"")</f>
        <v>3227.69</v>
      </c>
      <c r="AE91" s="11">
        <f>IF(AB91&lt;&gt;"",IF($F$11="raty malejące",AG90/($F$4-AB90+SUM($AC$28:AC90)),MIN(AD91-AF91,AG90)),"")</f>
        <v>879.93516185601266</v>
      </c>
      <c r="AF91" s="11">
        <f t="shared" si="35"/>
        <v>2347.7548381439874</v>
      </c>
      <c r="AG91" s="9">
        <f t="shared" si="33"/>
        <v>332134.93549686566</v>
      </c>
      <c r="AH91" s="11"/>
      <c r="AI91" s="33">
        <f>IF(AB91&lt;&gt;"",ROUND(IF($F$11="raty równe",-PMT(W91/12,($F$4-AB90+SUM($AC$27:AC90)),AG90,2),AG90/($F$4-AB90+SUM($AC$27:AC90))+AG90*W91/12),2),"")</f>
        <v>3227.69</v>
      </c>
      <c r="AJ91" s="33">
        <f t="shared" si="25"/>
        <v>233.48999999999978</v>
      </c>
      <c r="AK91" s="33">
        <f t="shared" si="26"/>
        <v>14578.567896001374</v>
      </c>
      <c r="AL91" s="33">
        <f>IF(AB91&lt;&gt;"",AK91-SUM($AJ$28:AJ91),"")</f>
        <v>1310.7278960013864</v>
      </c>
      <c r="AM91" s="11">
        <f t="shared" si="27"/>
        <v>20</v>
      </c>
      <c r="AN91" s="11">
        <f>IF(AB91&lt;&gt;"",IF($B$16=listy!$K$8,'RZĄDOWY PROGRAM'!$F$3*'RZĄDOWY PROGRAM'!$F$15,AG90*$F$15),"")</f>
        <v>50</v>
      </c>
      <c r="AO91" s="11">
        <f t="shared" si="28"/>
        <v>70</v>
      </c>
      <c r="AQ91" s="49">
        <f t="shared" si="16"/>
        <v>0.05</v>
      </c>
      <c r="AR91" s="18">
        <f t="shared" si="17"/>
        <v>4.0741237836483535E-3</v>
      </c>
      <c r="AS91" s="11">
        <f t="shared" si="29"/>
        <v>0</v>
      </c>
      <c r="AT91" s="11">
        <f t="shared" si="30"/>
        <v>33386.570817922708</v>
      </c>
      <c r="AU91" s="11">
        <f>IF(AB91&lt;&gt;"",AT91-SUM($AS$28:AS91),"")</f>
        <v>5697.1708179227026</v>
      </c>
    </row>
    <row r="92" spans="1:47" ht="14.5" x14ac:dyDescent="0.35">
      <c r="A92" s="76">
        <f t="shared" si="31"/>
        <v>46692</v>
      </c>
      <c r="B92" s="8">
        <f t="shared" ref="B92:B155" si="36">IFERROR(IF(B91+1&lt;=$F$4,B91+1,""),"")</f>
        <v>65</v>
      </c>
      <c r="C92" s="11">
        <f t="shared" ref="C92:C155" si="37">IF(B92&lt;&gt;"",ROUND(IF($F$11="raty równe",-PMT(I92/12,$F$4-B91,F91,2),D92+E92),2),"")</f>
        <v>3461.17</v>
      </c>
      <c r="D92" s="11">
        <f t="shared" ref="D92:D155" si="38">IF(B92&lt;&gt;"",IF($F$11="raty malejące",F91/($F$4-B91),IF(C92-E92&gt;F91,F91,C92-E92)),"")</f>
        <v>1005.1739493581426</v>
      </c>
      <c r="E92" s="11">
        <f t="shared" ref="E92:E155" si="39">IF(B92&lt;&gt;"",F91*I92/12,"")</f>
        <v>2455.9960506418574</v>
      </c>
      <c r="F92" s="9">
        <f t="shared" si="18"/>
        <v>347363.06018423865</v>
      </c>
      <c r="G92" s="10">
        <f t="shared" ref="G92:G155" si="40">IF(B92&lt;&gt;"",$F$5,"")</f>
        <v>6.7599999999999993E-2</v>
      </c>
      <c r="H92" s="10">
        <f t="shared" ref="H92:H155" si="41">IF(B92&lt;&gt;"",$F$6,"")</f>
        <v>1.7000000000000001E-2</v>
      </c>
      <c r="I92" s="49">
        <f t="shared" ref="I92:I155" si="42">IF($B92&lt;&gt;"",IF(AND($F$8="TAK",$B92&lt;=$F$9),$F$10,G92+H92),"")</f>
        <v>8.4599999999999995E-2</v>
      </c>
      <c r="J92" s="11">
        <f t="shared" ref="J92:J155" si="43">IF(B92&lt;=$F$4,$F$14,"")</f>
        <v>20</v>
      </c>
      <c r="K92" s="11">
        <f>IF(B92&lt;&gt;"",IF($B$16=listy!$K$8,'RZĄDOWY PROGRAM'!$F$3*'RZĄDOWY PROGRAM'!$F$15,F91*$F$15),"")</f>
        <v>50</v>
      </c>
      <c r="L92" s="11">
        <f t="shared" si="19"/>
        <v>70</v>
      </c>
      <c r="N92" s="55">
        <f t="shared" si="32"/>
        <v>46692</v>
      </c>
      <c r="O92" s="8">
        <f t="shared" si="20"/>
        <v>65</v>
      </c>
      <c r="P92" s="8"/>
      <c r="Q92" s="33">
        <f>IF(O92&lt;&gt;"",ROUND(IF($F$11="raty równe",-PMT(W92/12,$F$4-O91+SUM($P$28:P92),T91,2),R92+S92),2),"")</f>
        <v>3461.17</v>
      </c>
      <c r="R92" s="11">
        <f>IF(O92&lt;&gt;"",IF($F$11="raty malejące",T91/($F$4-O91+SUM($P$28:P92)),IF(Q92-S92&gt;T91,T91,Q92-S92)),"")</f>
        <v>950.23895391307133</v>
      </c>
      <c r="S92" s="11">
        <f t="shared" si="34"/>
        <v>2510.9310460869287</v>
      </c>
      <c r="T92" s="9">
        <f t="shared" si="21"/>
        <v>355210.19311515481</v>
      </c>
      <c r="U92" s="10">
        <f t="shared" ref="U92:U155" si="44">IF(O92&lt;&gt;"",$F$5,"")</f>
        <v>6.7599999999999993E-2</v>
      </c>
      <c r="V92" s="10">
        <f t="shared" ref="V92:V155" si="45">IF(O92&lt;&gt;"",$F$6,"")</f>
        <v>1.7000000000000001E-2</v>
      </c>
      <c r="W92" s="49">
        <f t="shared" si="22"/>
        <v>8.4599999999999995E-2</v>
      </c>
      <c r="X92" s="11">
        <f t="shared" ref="X92:X155" si="46">IF(O92&lt;&gt;"",$F$14,"")</f>
        <v>20</v>
      </c>
      <c r="Y92" s="11">
        <f>IF(O92&lt;&gt;"",IF($B$16=listy!$K$8,'RZĄDOWY PROGRAM'!$F$3*'RZĄDOWY PROGRAM'!$F$15,T91*$F$15),"")</f>
        <v>50</v>
      </c>
      <c r="Z92" s="11">
        <f t="shared" si="23"/>
        <v>70</v>
      </c>
      <c r="AB92" s="8">
        <f t="shared" si="24"/>
        <v>65</v>
      </c>
      <c r="AC92" s="8"/>
      <c r="AD92" s="33">
        <f>IF(AB92&lt;&gt;"",ROUND(IF($F$11="raty równe",-PMT(W92/12,$F$4-AB91+SUM($AC$28:AC92),AG91,2),AE92+AF92),2),"")</f>
        <v>3227.7</v>
      </c>
      <c r="AE92" s="11">
        <f>IF(AB92&lt;&gt;"",IF($F$11="raty malejące",AG91/($F$4-AB91+SUM($AC$28:AC91)),MIN(AD92-AF92,AG91)),"")</f>
        <v>886.14870474709687</v>
      </c>
      <c r="AF92" s="11">
        <f t="shared" si="35"/>
        <v>2341.5512952529029</v>
      </c>
      <c r="AG92" s="9">
        <f t="shared" si="33"/>
        <v>331248.78679211857</v>
      </c>
      <c r="AH92" s="11"/>
      <c r="AI92" s="33">
        <f>IF(AB92&lt;&gt;"",ROUND(IF($F$11="raty równe",-PMT(W92/12,($F$4-AB91+SUM($AC$27:AC91)),AG91,2),AG91/($F$4-AB91+SUM($AC$27:AC91))+AG91*W92/12),2),"")</f>
        <v>3227.7</v>
      </c>
      <c r="AJ92" s="33">
        <f t="shared" si="25"/>
        <v>233.47000000000025</v>
      </c>
      <c r="AK92" s="33">
        <f t="shared" si="26"/>
        <v>14860.147757060644</v>
      </c>
      <c r="AL92" s="33">
        <f>IF(AB92&lt;&gt;"",AK92-SUM($AJ$28:AJ92),"")</f>
        <v>1358.8377570606572</v>
      </c>
      <c r="AM92" s="11">
        <f t="shared" si="27"/>
        <v>20</v>
      </c>
      <c r="AN92" s="11">
        <f>IF(AB92&lt;&gt;"",IF($B$16=listy!$K$8,'RZĄDOWY PROGRAM'!$F$3*'RZĄDOWY PROGRAM'!$F$15,AG91*$F$15),"")</f>
        <v>50</v>
      </c>
      <c r="AO92" s="11">
        <f t="shared" si="28"/>
        <v>70</v>
      </c>
      <c r="AQ92" s="49">
        <f t="shared" ref="AQ92:AQ155" si="47">IF(AB92&lt;&gt;"",$F$19,"")</f>
        <v>0.05</v>
      </c>
      <c r="AR92" s="18">
        <f t="shared" ref="AR92:AR155" si="48">IF(AB92&lt;&gt;"",(1+AQ92)^(1/12)-1,"")</f>
        <v>4.0741237836483535E-3</v>
      </c>
      <c r="AS92" s="11">
        <f t="shared" si="29"/>
        <v>0</v>
      </c>
      <c r="AT92" s="11">
        <f t="shared" si="30"/>
        <v>33496.74784592395</v>
      </c>
      <c r="AU92" s="11">
        <f>IF(AB92&lt;&gt;"",AT92-SUM($AS$28:AS92),"")</f>
        <v>5807.347845923945</v>
      </c>
    </row>
    <row r="93" spans="1:47" ht="14.5" x14ac:dyDescent="0.35">
      <c r="A93" s="76">
        <f t="shared" si="31"/>
        <v>46722</v>
      </c>
      <c r="B93" s="8">
        <f t="shared" si="36"/>
        <v>66</v>
      </c>
      <c r="C93" s="11">
        <f t="shared" si="37"/>
        <v>3461.18</v>
      </c>
      <c r="D93" s="11">
        <f t="shared" si="38"/>
        <v>1012.2704257011173</v>
      </c>
      <c r="E93" s="11">
        <f t="shared" si="39"/>
        <v>2448.9095742988825</v>
      </c>
      <c r="F93" s="9">
        <f t="shared" ref="F93:F156" si="49">IF(B93&lt;&gt;"",F92-D93,"")</f>
        <v>346350.78975853755</v>
      </c>
      <c r="G93" s="10">
        <f t="shared" si="40"/>
        <v>6.7599999999999993E-2</v>
      </c>
      <c r="H93" s="10">
        <f t="shared" si="41"/>
        <v>1.7000000000000001E-2</v>
      </c>
      <c r="I93" s="49">
        <f t="shared" si="42"/>
        <v>8.4599999999999995E-2</v>
      </c>
      <c r="J93" s="11">
        <f t="shared" si="43"/>
        <v>20</v>
      </c>
      <c r="K93" s="11">
        <f>IF(B93&lt;&gt;"",IF($B$16=listy!$K$8,'RZĄDOWY PROGRAM'!$F$3*'RZĄDOWY PROGRAM'!$F$15,F92*$F$15),"")</f>
        <v>50</v>
      </c>
      <c r="L93" s="11">
        <f t="shared" ref="L93:L156" si="50">IF(B93&lt;&gt;"",J93+K93,"")</f>
        <v>70</v>
      </c>
      <c r="N93" s="55">
        <f t="shared" si="32"/>
        <v>46722</v>
      </c>
      <c r="O93" s="8">
        <f t="shared" ref="O93:O156" si="51">IFERROR(IF(O92+1&lt;=$F$4+8,O92+1,""),"")</f>
        <v>66</v>
      </c>
      <c r="P93" s="8"/>
      <c r="Q93" s="33">
        <f>IF(O93&lt;&gt;"",ROUND(IF($F$11="raty równe",-PMT(W93/12,$F$4-O92+SUM($P$28:P93),T92,2),R93+S93),2),"")</f>
        <v>3461.18</v>
      </c>
      <c r="R93" s="11">
        <f>IF(O93&lt;&gt;"",IF($F$11="raty malejące",T92/($F$4-O92+SUM($P$28:P93)),IF(Q93-S93&gt;T92,T92,Q93-S93)),"")</f>
        <v>956.94813853815867</v>
      </c>
      <c r="S93" s="11">
        <f t="shared" si="34"/>
        <v>2504.2318614618412</v>
      </c>
      <c r="T93" s="9">
        <f t="shared" ref="T93:T156" si="52">IF(O93&lt;&gt;"",T92-R93,"")</f>
        <v>354253.24497661664</v>
      </c>
      <c r="U93" s="10">
        <f t="shared" si="44"/>
        <v>6.7599999999999993E-2</v>
      </c>
      <c r="V93" s="10">
        <f t="shared" si="45"/>
        <v>1.7000000000000001E-2</v>
      </c>
      <c r="W93" s="49">
        <f t="shared" ref="W93:W156" si="53">IF(O93&lt;&gt;"",IF(AND($F$8="TAK",$B93&lt;=$F$9),$F$10,U93+V93),"")</f>
        <v>8.4599999999999995E-2</v>
      </c>
      <c r="X93" s="11">
        <f t="shared" si="46"/>
        <v>20</v>
      </c>
      <c r="Y93" s="11">
        <f>IF(O93&lt;&gt;"",IF($B$16=listy!$K$8,'RZĄDOWY PROGRAM'!$F$3*'RZĄDOWY PROGRAM'!$F$15,T92*$F$15),"")</f>
        <v>50</v>
      </c>
      <c r="Z93" s="11">
        <f t="shared" ref="Z93:Z156" si="54">IF(O93&lt;&gt;"",X93+Y93,"")</f>
        <v>70</v>
      </c>
      <c r="AB93" s="8">
        <f t="shared" ref="AB93:AB156" si="55">IFERROR(IF(AG92&gt;0,AB92+1,""),"")</f>
        <v>66</v>
      </c>
      <c r="AC93" s="8"/>
      <c r="AD93" s="33">
        <f>IF(AB93&lt;&gt;"",ROUND(IF($F$11="raty równe",-PMT(W93/12,$F$4-AB92+SUM($AC$28:AC93),AG92,2),AE93+AF93),2),"")</f>
        <v>3227.69</v>
      </c>
      <c r="AE93" s="11">
        <f>IF(AB93&lt;&gt;"",IF($F$11="raty malejące",AG92/($F$4-AB92+SUM($AC$28:AC92)),MIN(AD93-AF93,AG92)),"")</f>
        <v>892.38605311556421</v>
      </c>
      <c r="AF93" s="11">
        <f t="shared" si="35"/>
        <v>2335.3039468844358</v>
      </c>
      <c r="AG93" s="9">
        <f t="shared" si="33"/>
        <v>330356.40073900303</v>
      </c>
      <c r="AH93" s="11"/>
      <c r="AI93" s="33">
        <f>IF(AB93&lt;&gt;"",ROUND(IF($F$11="raty równe",-PMT(W93/12,($F$4-AB92+SUM($AC$27:AC92)),AG92,2),AG92/($F$4-AB92+SUM($AC$27:AC92))+AG92*W93/12),2),"")</f>
        <v>3227.69</v>
      </c>
      <c r="AJ93" s="33">
        <f t="shared" ref="AJ93:AJ156" si="56">IF(AB93&lt;&gt;"",IF(B93&lt;&gt;"",C93-AD93-AH93,-(AD93+AH93)),"")</f>
        <v>233.48999999999978</v>
      </c>
      <c r="AK93" s="33">
        <f t="shared" ref="AK93:AK156" si="57">IF(AB93&lt;&gt;"",IF($F$21="co miesiąc",AK92*(1+(1-$F$20)*AR93)+AJ93,(AK92*(1+AR93)+AJ93)),"")</f>
        <v>15142.676842999155</v>
      </c>
      <c r="AL93" s="33">
        <f>IF(AB93&lt;&gt;"",AK93-SUM($AJ$28:AJ93),"")</f>
        <v>1407.8768429991687</v>
      </c>
      <c r="AM93" s="11">
        <f t="shared" ref="AM93:AM156" si="58">IF(AB93&lt;&gt;"",$F$14,"")</f>
        <v>20</v>
      </c>
      <c r="AN93" s="11">
        <f>IF(AB93&lt;&gt;"",IF($B$16=listy!$K$8,'RZĄDOWY PROGRAM'!$F$3*'RZĄDOWY PROGRAM'!$F$15,AG92*$F$15),"")</f>
        <v>50</v>
      </c>
      <c r="AO93" s="11">
        <f t="shared" ref="AO93:AO156" si="59">IF(AD93&lt;&gt;"",AM93+AN93,"")</f>
        <v>70</v>
      </c>
      <c r="AQ93" s="49">
        <f t="shared" si="47"/>
        <v>0.05</v>
      </c>
      <c r="AR93" s="18">
        <f t="shared" si="48"/>
        <v>4.0741237836483535E-3</v>
      </c>
      <c r="AS93" s="11">
        <f t="shared" ref="AS93:AS156" si="60">IF(AB93&lt;&gt;"",IF(A93&lt;&gt;"",C93-Q93,0),"")</f>
        <v>0</v>
      </c>
      <c r="AT93" s="11">
        <f t="shared" ref="AT93:AT156" si="61">IF(AB93&lt;&gt;"",IF($F$21="co miesiąc",AT92*(1+(1-$F$20)*AR93)+AS93,(AT92*(1+AR93)+AS93)),"")</f>
        <v>33607.28846255385</v>
      </c>
      <c r="AU93" s="11">
        <f>IF(AB93&lt;&gt;"",AT93-SUM($AS$28:AS93),"")</f>
        <v>5917.8884625538449</v>
      </c>
    </row>
    <row r="94" spans="1:47" ht="14.5" x14ac:dyDescent="0.35">
      <c r="A94" s="76">
        <f t="shared" ref="A94:A157" si="62">IF(B94&lt;&gt;"",EDATE(A93,1),"")</f>
        <v>46753</v>
      </c>
      <c r="B94" s="8">
        <f t="shared" si="36"/>
        <v>67</v>
      </c>
      <c r="C94" s="11">
        <f t="shared" si="37"/>
        <v>3461.17</v>
      </c>
      <c r="D94" s="11">
        <f t="shared" si="38"/>
        <v>1019.3969322023104</v>
      </c>
      <c r="E94" s="11">
        <f t="shared" si="39"/>
        <v>2441.7730677976897</v>
      </c>
      <c r="F94" s="9">
        <f t="shared" si="49"/>
        <v>345331.39282633521</v>
      </c>
      <c r="G94" s="10">
        <f t="shared" si="40"/>
        <v>6.7599999999999993E-2</v>
      </c>
      <c r="H94" s="10">
        <f t="shared" si="41"/>
        <v>1.7000000000000001E-2</v>
      </c>
      <c r="I94" s="49">
        <f t="shared" si="42"/>
        <v>8.4599999999999995E-2</v>
      </c>
      <c r="J94" s="11">
        <f t="shared" si="43"/>
        <v>20</v>
      </c>
      <c r="K94" s="11">
        <f>IF(B94&lt;&gt;"",IF($B$16=listy!$K$8,'RZĄDOWY PROGRAM'!$F$3*'RZĄDOWY PROGRAM'!$F$15,F93*$F$15),"")</f>
        <v>50</v>
      </c>
      <c r="L94" s="11">
        <f t="shared" si="50"/>
        <v>70</v>
      </c>
      <c r="N94" s="55">
        <f t="shared" ref="N94:N157" si="63">IF(O94&lt;&gt;"",EDATE(N93,1),"")</f>
        <v>46753</v>
      </c>
      <c r="O94" s="8">
        <f t="shared" si="51"/>
        <v>67</v>
      </c>
      <c r="P94" s="8"/>
      <c r="Q94" s="33">
        <f>IF(O94&lt;&gt;"",ROUND(IF($F$11="raty równe",-PMT(W94/12,$F$4-O93+SUM($P$28:P94),T93,2),R94+S94),2),"")</f>
        <v>3461.17</v>
      </c>
      <c r="R94" s="11">
        <f>IF(O94&lt;&gt;"",IF($F$11="raty malejące",T93/($F$4-O93+SUM($P$28:P94)),IF(Q94-S94&gt;T93,T93,Q94-S94)),"")</f>
        <v>963.68462291485275</v>
      </c>
      <c r="S94" s="11">
        <f t="shared" si="34"/>
        <v>2497.4853770851473</v>
      </c>
      <c r="T94" s="9">
        <f t="shared" si="52"/>
        <v>353289.56035370176</v>
      </c>
      <c r="U94" s="10">
        <f t="shared" si="44"/>
        <v>6.7599999999999993E-2</v>
      </c>
      <c r="V94" s="10">
        <f t="shared" si="45"/>
        <v>1.7000000000000001E-2</v>
      </c>
      <c r="W94" s="49">
        <f t="shared" si="53"/>
        <v>8.4599999999999995E-2</v>
      </c>
      <c r="X94" s="11">
        <f t="shared" si="46"/>
        <v>20</v>
      </c>
      <c r="Y94" s="11">
        <f>IF(O94&lt;&gt;"",IF($B$16=listy!$K$8,'RZĄDOWY PROGRAM'!$F$3*'RZĄDOWY PROGRAM'!$F$15,T93*$F$15),"")</f>
        <v>50</v>
      </c>
      <c r="Z94" s="11">
        <f t="shared" si="54"/>
        <v>70</v>
      </c>
      <c r="AB94" s="8">
        <f t="shared" si="55"/>
        <v>67</v>
      </c>
      <c r="AC94" s="8"/>
      <c r="AD94" s="33">
        <f>IF(AB94&lt;&gt;"",ROUND(IF($F$11="raty równe",-PMT(W94/12,$F$4-AB93+SUM($AC$28:AC94),AG93,2),AE94+AF94),2),"")</f>
        <v>3227.7</v>
      </c>
      <c r="AE94" s="11">
        <f>IF(AB94&lt;&gt;"",IF($F$11="raty malejące",AG93/($F$4-AB93+SUM($AC$28:AC93)),MIN(AD94-AF94,AG93)),"")</f>
        <v>898.68737479002857</v>
      </c>
      <c r="AF94" s="11">
        <f t="shared" si="35"/>
        <v>2329.0126252099712</v>
      </c>
      <c r="AG94" s="9">
        <f t="shared" ref="AG94:AG157" si="64">IF(AB94&lt;&gt;"",IF(AH94&lt;&gt;"",AG93-AE94-AH94,AG93-AE94),"")</f>
        <v>329457.71336421301</v>
      </c>
      <c r="AH94" s="11"/>
      <c r="AI94" s="33">
        <f>IF(AB94&lt;&gt;"",ROUND(IF($F$11="raty równe",-PMT(W94/12,($F$4-AB93+SUM($AC$27:AC93)),AG93,2),AG93/($F$4-AB93+SUM($AC$27:AC93))+AG93*W94/12),2),"")</f>
        <v>3227.7</v>
      </c>
      <c r="AJ94" s="33">
        <f t="shared" si="56"/>
        <v>233.47000000000025</v>
      </c>
      <c r="AK94" s="33">
        <f t="shared" si="57"/>
        <v>15426.118286297227</v>
      </c>
      <c r="AL94" s="33">
        <f>IF(AB94&lt;&gt;"",AK94-SUM($AJ$28:AJ94),"")</f>
        <v>1457.8482862972414</v>
      </c>
      <c r="AM94" s="11">
        <f t="shared" si="58"/>
        <v>20</v>
      </c>
      <c r="AN94" s="11">
        <f>IF(AB94&lt;&gt;"",IF($B$16=listy!$K$8,'RZĄDOWY PROGRAM'!$F$3*'RZĄDOWY PROGRAM'!$F$15,AG93*$F$15),"")</f>
        <v>50</v>
      </c>
      <c r="AO94" s="11">
        <f t="shared" si="59"/>
        <v>70</v>
      </c>
      <c r="AQ94" s="49">
        <f t="shared" si="47"/>
        <v>0.05</v>
      </c>
      <c r="AR94" s="18">
        <f t="shared" si="48"/>
        <v>4.0741237836483535E-3</v>
      </c>
      <c r="AS94" s="11">
        <f t="shared" si="60"/>
        <v>0</v>
      </c>
      <c r="AT94" s="11">
        <f t="shared" si="61"/>
        <v>33718.193867669521</v>
      </c>
      <c r="AU94" s="11">
        <f>IF(AB94&lt;&gt;"",AT94-SUM($AS$28:AS94),"")</f>
        <v>6028.7938676695157</v>
      </c>
    </row>
    <row r="95" spans="1:47" ht="14.5" x14ac:dyDescent="0.35">
      <c r="A95" s="76">
        <f t="shared" si="62"/>
        <v>46784</v>
      </c>
      <c r="B95" s="8">
        <f t="shared" si="36"/>
        <v>68</v>
      </c>
      <c r="C95" s="11">
        <f t="shared" si="37"/>
        <v>3461.18</v>
      </c>
      <c r="D95" s="11">
        <f t="shared" si="38"/>
        <v>1026.5936805743368</v>
      </c>
      <c r="E95" s="11">
        <f t="shared" si="39"/>
        <v>2434.5863194256631</v>
      </c>
      <c r="F95" s="9">
        <f t="shared" si="49"/>
        <v>344304.79914576089</v>
      </c>
      <c r="G95" s="10">
        <f t="shared" si="40"/>
        <v>6.7599999999999993E-2</v>
      </c>
      <c r="H95" s="10">
        <f t="shared" si="41"/>
        <v>1.7000000000000001E-2</v>
      </c>
      <c r="I95" s="49">
        <f t="shared" si="42"/>
        <v>8.4599999999999995E-2</v>
      </c>
      <c r="J95" s="11">
        <f t="shared" si="43"/>
        <v>20</v>
      </c>
      <c r="K95" s="11">
        <f>IF(B95&lt;&gt;"",IF($B$16=listy!$K$8,'RZĄDOWY PROGRAM'!$F$3*'RZĄDOWY PROGRAM'!$F$15,F94*$F$15),"")</f>
        <v>50</v>
      </c>
      <c r="L95" s="11">
        <f t="shared" si="50"/>
        <v>70</v>
      </c>
      <c r="N95" s="55">
        <f t="shared" si="63"/>
        <v>46784</v>
      </c>
      <c r="O95" s="8">
        <f t="shared" si="51"/>
        <v>68</v>
      </c>
      <c r="P95" s="8"/>
      <c r="Q95" s="33">
        <f>IF(O95&lt;&gt;"",ROUND(IF($F$11="raty równe",-PMT(W95/12,$F$4-O94+SUM($P$28:P95),T94,2),R95+S95),2),"")</f>
        <v>3461.18</v>
      </c>
      <c r="R95" s="11">
        <f>IF(O95&lt;&gt;"",IF($F$11="raty malejące",T94/($F$4-O94+SUM($P$28:P95)),IF(Q95-S95&gt;T94,T94,Q95-S95)),"")</f>
        <v>970.48859950640235</v>
      </c>
      <c r="S95" s="11">
        <f t="shared" si="34"/>
        <v>2490.6914004935975</v>
      </c>
      <c r="T95" s="9">
        <f t="shared" si="52"/>
        <v>352319.07175419538</v>
      </c>
      <c r="U95" s="10">
        <f t="shared" si="44"/>
        <v>6.7599999999999993E-2</v>
      </c>
      <c r="V95" s="10">
        <f t="shared" si="45"/>
        <v>1.7000000000000001E-2</v>
      </c>
      <c r="W95" s="49">
        <f t="shared" si="53"/>
        <v>8.4599999999999995E-2</v>
      </c>
      <c r="X95" s="11">
        <f t="shared" si="46"/>
        <v>20</v>
      </c>
      <c r="Y95" s="11">
        <f>IF(O95&lt;&gt;"",IF($B$16=listy!$K$8,'RZĄDOWY PROGRAM'!$F$3*'RZĄDOWY PROGRAM'!$F$15,T94*$F$15),"")</f>
        <v>50</v>
      </c>
      <c r="Z95" s="11">
        <f t="shared" si="54"/>
        <v>70</v>
      </c>
      <c r="AB95" s="8">
        <f t="shared" si="55"/>
        <v>68</v>
      </c>
      <c r="AC95" s="8"/>
      <c r="AD95" s="33">
        <f>IF(AB95&lt;&gt;"",ROUND(IF($F$11="raty równe",-PMT(W95/12,$F$4-AB94+SUM($AC$28:AC95),AG94,2),AE95+AF95),2),"")</f>
        <v>3227.69</v>
      </c>
      <c r="AE95" s="11">
        <f>IF(AB95&lt;&gt;"",IF($F$11="raty malejące",AG94/($F$4-AB94+SUM($AC$28:AC94)),MIN(AD95-AF95,AG94)),"")</f>
        <v>905.01312078229876</v>
      </c>
      <c r="AF95" s="11">
        <f t="shared" si="35"/>
        <v>2322.6768792177013</v>
      </c>
      <c r="AG95" s="9">
        <f t="shared" si="64"/>
        <v>328552.70024343074</v>
      </c>
      <c r="AH95" s="11"/>
      <c r="AI95" s="33">
        <f>IF(AB95&lt;&gt;"",ROUND(IF($F$11="raty równe",-PMT(W95/12,($F$4-AB94+SUM($AC$27:AC94)),AG94,2),AG94/($F$4-AB94+SUM($AC$27:AC94))+AG94*W95/12),2),"")</f>
        <v>3227.69</v>
      </c>
      <c r="AJ95" s="33">
        <f t="shared" si="56"/>
        <v>233.48999999999978</v>
      </c>
      <c r="AK95" s="33">
        <f t="shared" si="57"/>
        <v>15710.515097770884</v>
      </c>
      <c r="AL95" s="33">
        <f>IF(AB95&lt;&gt;"",AK95-SUM($AJ$28:AJ95),"")</f>
        <v>1508.7550977708979</v>
      </c>
      <c r="AM95" s="11">
        <f t="shared" si="58"/>
        <v>20</v>
      </c>
      <c r="AN95" s="11">
        <f>IF(AB95&lt;&gt;"",IF($B$16=listy!$K$8,'RZĄDOWY PROGRAM'!$F$3*'RZĄDOWY PROGRAM'!$F$15,AG94*$F$15),"")</f>
        <v>50</v>
      </c>
      <c r="AO95" s="11">
        <f t="shared" si="59"/>
        <v>70</v>
      </c>
      <c r="AQ95" s="49">
        <f t="shared" si="47"/>
        <v>0.05</v>
      </c>
      <c r="AR95" s="18">
        <f t="shared" si="48"/>
        <v>4.0741237836483535E-3</v>
      </c>
      <c r="AS95" s="11">
        <f t="shared" si="60"/>
        <v>0</v>
      </c>
      <c r="AT95" s="11">
        <f t="shared" si="61"/>
        <v>33829.465265087652</v>
      </c>
      <c r="AU95" s="11">
        <f>IF(AB95&lt;&gt;"",AT95-SUM($AS$28:AS95),"")</f>
        <v>6140.0652650876473</v>
      </c>
    </row>
    <row r="96" spans="1:47" ht="14.5" x14ac:dyDescent="0.35">
      <c r="A96" s="76">
        <f t="shared" si="62"/>
        <v>46813</v>
      </c>
      <c r="B96" s="8">
        <f t="shared" si="36"/>
        <v>69</v>
      </c>
      <c r="C96" s="11">
        <f t="shared" si="37"/>
        <v>3461.17</v>
      </c>
      <c r="D96" s="11">
        <f t="shared" si="38"/>
        <v>1033.821166022386</v>
      </c>
      <c r="E96" s="11">
        <f t="shared" si="39"/>
        <v>2427.348833977614</v>
      </c>
      <c r="F96" s="9">
        <f t="shared" si="49"/>
        <v>343270.9779797385</v>
      </c>
      <c r="G96" s="10">
        <f t="shared" si="40"/>
        <v>6.7599999999999993E-2</v>
      </c>
      <c r="H96" s="10">
        <f t="shared" si="41"/>
        <v>1.7000000000000001E-2</v>
      </c>
      <c r="I96" s="49">
        <f t="shared" si="42"/>
        <v>8.4599999999999995E-2</v>
      </c>
      <c r="J96" s="11">
        <f t="shared" si="43"/>
        <v>20</v>
      </c>
      <c r="K96" s="11">
        <f>IF(B96&lt;&gt;"",IF($B$16=listy!$K$8,'RZĄDOWY PROGRAM'!$F$3*'RZĄDOWY PROGRAM'!$F$15,F95*$F$15),"")</f>
        <v>50</v>
      </c>
      <c r="L96" s="11">
        <f t="shared" si="50"/>
        <v>70</v>
      </c>
      <c r="N96" s="55">
        <f t="shared" si="63"/>
        <v>46813</v>
      </c>
      <c r="O96" s="8">
        <f t="shared" si="51"/>
        <v>69</v>
      </c>
      <c r="P96" s="8"/>
      <c r="Q96" s="33">
        <f>IF(O96&lt;&gt;"",ROUND(IF($F$11="raty równe",-PMT(W96/12,$F$4-O95+SUM($P$28:P96),T95,2),R96+S96),2),"")</f>
        <v>3461.17</v>
      </c>
      <c r="R96" s="11">
        <f>IF(O96&lt;&gt;"",IF($F$11="raty malejące",T95/($F$4-O95+SUM($P$28:P96)),IF(Q96-S96&gt;T95,T95,Q96-S96)),"")</f>
        <v>977.32054413292281</v>
      </c>
      <c r="S96" s="11">
        <f t="shared" si="34"/>
        <v>2483.8494558670773</v>
      </c>
      <c r="T96" s="9">
        <f t="shared" si="52"/>
        <v>351341.75121006247</v>
      </c>
      <c r="U96" s="10">
        <f t="shared" si="44"/>
        <v>6.7599999999999993E-2</v>
      </c>
      <c r="V96" s="10">
        <f t="shared" si="45"/>
        <v>1.7000000000000001E-2</v>
      </c>
      <c r="W96" s="49">
        <f t="shared" si="53"/>
        <v>8.4599999999999995E-2</v>
      </c>
      <c r="X96" s="11">
        <f t="shared" si="46"/>
        <v>20</v>
      </c>
      <c r="Y96" s="11">
        <f>IF(O96&lt;&gt;"",IF($B$16=listy!$K$8,'RZĄDOWY PROGRAM'!$F$3*'RZĄDOWY PROGRAM'!$F$15,T95*$F$15),"")</f>
        <v>50</v>
      </c>
      <c r="Z96" s="11">
        <f t="shared" si="54"/>
        <v>70</v>
      </c>
      <c r="AB96" s="8">
        <f t="shared" si="55"/>
        <v>69</v>
      </c>
      <c r="AC96" s="8"/>
      <c r="AD96" s="33">
        <f>IF(AB96&lt;&gt;"",ROUND(IF($F$11="raty równe",-PMT(W96/12,$F$4-AB95+SUM($AC$28:AC96),AG95,2),AE96+AF96),2),"")</f>
        <v>3227.7</v>
      </c>
      <c r="AE96" s="11">
        <f>IF(AB96&lt;&gt;"",IF($F$11="raty malejące",AG95/($F$4-AB95+SUM($AC$28:AC95)),MIN(AD96-AF96,AG95)),"")</f>
        <v>911.40346328381338</v>
      </c>
      <c r="AF96" s="11">
        <f t="shared" si="35"/>
        <v>2316.2965367161864</v>
      </c>
      <c r="AG96" s="9">
        <f t="shared" si="64"/>
        <v>327641.29678014695</v>
      </c>
      <c r="AH96" s="11"/>
      <c r="AI96" s="33">
        <f>IF(AB96&lt;&gt;"",ROUND(IF($F$11="raty równe",-PMT(W96/12,($F$4-AB95+SUM($AC$27:AC95)),AG95,2),AG95/($F$4-AB95+SUM($AC$27:AC95))+AG95*W96/12),2),"")</f>
        <v>3227.7</v>
      </c>
      <c r="AJ96" s="33">
        <f t="shared" si="56"/>
        <v>233.47000000000025</v>
      </c>
      <c r="AK96" s="33">
        <f t="shared" si="57"/>
        <v>15995.830430173573</v>
      </c>
      <c r="AL96" s="33">
        <f>IF(AB96&lt;&gt;"",AK96-SUM($AJ$28:AJ96),"")</f>
        <v>1560.6004301735884</v>
      </c>
      <c r="AM96" s="11">
        <f t="shared" si="58"/>
        <v>20</v>
      </c>
      <c r="AN96" s="11">
        <f>IF(AB96&lt;&gt;"",IF($B$16=listy!$K$8,'RZĄDOWY PROGRAM'!$F$3*'RZĄDOWY PROGRAM'!$F$15,AG95*$F$15),"")</f>
        <v>50</v>
      </c>
      <c r="AO96" s="11">
        <f t="shared" si="59"/>
        <v>70</v>
      </c>
      <c r="AQ96" s="49">
        <f t="shared" si="47"/>
        <v>0.05</v>
      </c>
      <c r="AR96" s="18">
        <f t="shared" si="48"/>
        <v>4.0741237836483535E-3</v>
      </c>
      <c r="AS96" s="11">
        <f t="shared" si="60"/>
        <v>0</v>
      </c>
      <c r="AT96" s="11">
        <f t="shared" si="61"/>
        <v>33941.103862597578</v>
      </c>
      <c r="AU96" s="11">
        <f>IF(AB96&lt;&gt;"",AT96-SUM($AS$28:AS96),"")</f>
        <v>6251.7038625975729</v>
      </c>
    </row>
    <row r="97" spans="1:47" ht="14.5" x14ac:dyDescent="0.35">
      <c r="A97" s="76">
        <f t="shared" si="62"/>
        <v>46844</v>
      </c>
      <c r="B97" s="8">
        <f t="shared" si="36"/>
        <v>70</v>
      </c>
      <c r="C97" s="11">
        <f t="shared" si="37"/>
        <v>3461.18</v>
      </c>
      <c r="D97" s="11">
        <f t="shared" si="38"/>
        <v>1041.1196052428436</v>
      </c>
      <c r="E97" s="11">
        <f t="shared" si="39"/>
        <v>2420.0603947571562</v>
      </c>
      <c r="F97" s="9">
        <f t="shared" si="49"/>
        <v>342229.85837449564</v>
      </c>
      <c r="G97" s="10">
        <f t="shared" si="40"/>
        <v>6.7599999999999993E-2</v>
      </c>
      <c r="H97" s="10">
        <f t="shared" si="41"/>
        <v>1.7000000000000001E-2</v>
      </c>
      <c r="I97" s="49">
        <f t="shared" si="42"/>
        <v>8.4599999999999995E-2</v>
      </c>
      <c r="J97" s="11">
        <f t="shared" si="43"/>
        <v>20</v>
      </c>
      <c r="K97" s="11">
        <f>IF(B97&lt;&gt;"",IF($B$16=listy!$K$8,'RZĄDOWY PROGRAM'!$F$3*'RZĄDOWY PROGRAM'!$F$15,F96*$F$15),"")</f>
        <v>50</v>
      </c>
      <c r="L97" s="11">
        <f t="shared" si="50"/>
        <v>70</v>
      </c>
      <c r="N97" s="55">
        <f t="shared" si="63"/>
        <v>46844</v>
      </c>
      <c r="O97" s="8">
        <f t="shared" si="51"/>
        <v>70</v>
      </c>
      <c r="P97" s="8"/>
      <c r="Q97" s="33">
        <f>IF(O97&lt;&gt;"",ROUND(IF($F$11="raty równe",-PMT(W97/12,$F$4-O96+SUM($P$28:P97),T96,2),R97+S97),2),"")</f>
        <v>3461.18</v>
      </c>
      <c r="R97" s="11">
        <f>IF(O97&lt;&gt;"",IF($F$11="raty malejące",T96/($F$4-O96+SUM($P$28:P97)),IF(Q97-S97&gt;T96,T96,Q97-S97)),"")</f>
        <v>984.22065396905964</v>
      </c>
      <c r="S97" s="11">
        <f t="shared" si="34"/>
        <v>2476.9593460309402</v>
      </c>
      <c r="T97" s="9">
        <f t="shared" si="52"/>
        <v>350357.53055609344</v>
      </c>
      <c r="U97" s="10">
        <f t="shared" si="44"/>
        <v>6.7599999999999993E-2</v>
      </c>
      <c r="V97" s="10">
        <f t="shared" si="45"/>
        <v>1.7000000000000001E-2</v>
      </c>
      <c r="W97" s="49">
        <f t="shared" si="53"/>
        <v>8.4599999999999995E-2</v>
      </c>
      <c r="X97" s="11">
        <f t="shared" si="46"/>
        <v>20</v>
      </c>
      <c r="Y97" s="11">
        <f>IF(O97&lt;&gt;"",IF($B$16=listy!$K$8,'RZĄDOWY PROGRAM'!$F$3*'RZĄDOWY PROGRAM'!$F$15,T96*$F$15),"")</f>
        <v>50</v>
      </c>
      <c r="Z97" s="11">
        <f t="shared" si="54"/>
        <v>70</v>
      </c>
      <c r="AB97" s="8">
        <f t="shared" si="55"/>
        <v>70</v>
      </c>
      <c r="AC97" s="8"/>
      <c r="AD97" s="33">
        <f>IF(AB97&lt;&gt;"",ROUND(IF($F$11="raty równe",-PMT(W97/12,$F$4-AB96+SUM($AC$28:AC97),AG96,2),AE97+AF97),2),"")</f>
        <v>3227.69</v>
      </c>
      <c r="AE97" s="11">
        <f>IF(AB97&lt;&gt;"",IF($F$11="raty malejące",AG96/($F$4-AB96+SUM($AC$28:AC96)),MIN(AD97-AF97,AG96)),"")</f>
        <v>917.81885769996416</v>
      </c>
      <c r="AF97" s="11">
        <f t="shared" si="35"/>
        <v>2309.8711423000359</v>
      </c>
      <c r="AG97" s="9">
        <f t="shared" si="64"/>
        <v>326723.47792244697</v>
      </c>
      <c r="AH97" s="11"/>
      <c r="AI97" s="33">
        <f>IF(AB97&lt;&gt;"",ROUND(IF($F$11="raty równe",-PMT(W97/12,($F$4-AB96+SUM($AC$27:AC96)),AG96,2),AG96/($F$4-AB96+SUM($AC$27:AC96))+AG96*W97/12),2),"")</f>
        <v>3227.69</v>
      </c>
      <c r="AJ97" s="33">
        <f t="shared" si="56"/>
        <v>233.48999999999978</v>
      </c>
      <c r="AK97" s="33">
        <f t="shared" si="57"/>
        <v>16282.107314661342</v>
      </c>
      <c r="AL97" s="33">
        <f>IF(AB97&lt;&gt;"",AK97-SUM($AJ$28:AJ97),"")</f>
        <v>1613.3873146613569</v>
      </c>
      <c r="AM97" s="11">
        <f t="shared" si="58"/>
        <v>20</v>
      </c>
      <c r="AN97" s="11">
        <f>IF(AB97&lt;&gt;"",IF($B$16=listy!$K$8,'RZĄDOWY PROGRAM'!$F$3*'RZĄDOWY PROGRAM'!$F$15,AG96*$F$15),"")</f>
        <v>50</v>
      </c>
      <c r="AO97" s="11">
        <f t="shared" si="59"/>
        <v>70</v>
      </c>
      <c r="AQ97" s="49">
        <f t="shared" si="47"/>
        <v>0.05</v>
      </c>
      <c r="AR97" s="18">
        <f t="shared" si="48"/>
        <v>4.0741237836483535E-3</v>
      </c>
      <c r="AS97" s="11">
        <f t="shared" si="60"/>
        <v>0</v>
      </c>
      <c r="AT97" s="11">
        <f t="shared" si="61"/>
        <v>34053.110871974386</v>
      </c>
      <c r="AU97" s="11">
        <f>IF(AB97&lt;&gt;"",AT97-SUM($AS$28:AS97),"")</f>
        <v>6363.710871974381</v>
      </c>
    </row>
    <row r="98" spans="1:47" ht="14.5" x14ac:dyDescent="0.35">
      <c r="A98" s="76">
        <f t="shared" si="62"/>
        <v>46874</v>
      </c>
      <c r="B98" s="8">
        <f t="shared" si="36"/>
        <v>71</v>
      </c>
      <c r="C98" s="11">
        <f t="shared" si="37"/>
        <v>3461.17</v>
      </c>
      <c r="D98" s="11">
        <f t="shared" si="38"/>
        <v>1048.4494984598059</v>
      </c>
      <c r="E98" s="11">
        <f t="shared" si="39"/>
        <v>2412.7205015401942</v>
      </c>
      <c r="F98" s="9">
        <f t="shared" si="49"/>
        <v>341181.40887603583</v>
      </c>
      <c r="G98" s="10">
        <f t="shared" si="40"/>
        <v>6.7599999999999993E-2</v>
      </c>
      <c r="H98" s="10">
        <f t="shared" si="41"/>
        <v>1.7000000000000001E-2</v>
      </c>
      <c r="I98" s="49">
        <f t="shared" si="42"/>
        <v>8.4599999999999995E-2</v>
      </c>
      <c r="J98" s="11">
        <f t="shared" si="43"/>
        <v>20</v>
      </c>
      <c r="K98" s="11">
        <f>IF(B98&lt;&gt;"",IF($B$16=listy!$K$8,'RZĄDOWY PROGRAM'!$F$3*'RZĄDOWY PROGRAM'!$F$15,F97*$F$15),"")</f>
        <v>50</v>
      </c>
      <c r="L98" s="11">
        <f t="shared" si="50"/>
        <v>70</v>
      </c>
      <c r="N98" s="55">
        <f t="shared" si="63"/>
        <v>46874</v>
      </c>
      <c r="O98" s="8">
        <f t="shared" si="51"/>
        <v>71</v>
      </c>
      <c r="P98" s="8"/>
      <c r="Q98" s="33">
        <f>IF(O98&lt;&gt;"",ROUND(IF($F$11="raty równe",-PMT(W98/12,$F$4-O97+SUM($P$28:P98),T97,2),R98+S98),2),"")</f>
        <v>3461.17</v>
      </c>
      <c r="R98" s="11">
        <f>IF(O98&lt;&gt;"",IF($F$11="raty malejące",T97/($F$4-O97+SUM($P$28:P98)),IF(Q98-S98&gt;T97,T97,Q98-S98)),"")</f>
        <v>991.1494095795415</v>
      </c>
      <c r="S98" s="11">
        <f t="shared" si="34"/>
        <v>2470.0205904204586</v>
      </c>
      <c r="T98" s="9">
        <f t="shared" si="52"/>
        <v>349366.38114651392</v>
      </c>
      <c r="U98" s="10">
        <f t="shared" si="44"/>
        <v>6.7599999999999993E-2</v>
      </c>
      <c r="V98" s="10">
        <f t="shared" si="45"/>
        <v>1.7000000000000001E-2</v>
      </c>
      <c r="W98" s="49">
        <f t="shared" si="53"/>
        <v>8.4599999999999995E-2</v>
      </c>
      <c r="X98" s="11">
        <f t="shared" si="46"/>
        <v>20</v>
      </c>
      <c r="Y98" s="11">
        <f>IF(O98&lt;&gt;"",IF($B$16=listy!$K$8,'RZĄDOWY PROGRAM'!$F$3*'RZĄDOWY PROGRAM'!$F$15,T97*$F$15),"")</f>
        <v>50</v>
      </c>
      <c r="Z98" s="11">
        <f t="shared" si="54"/>
        <v>70</v>
      </c>
      <c r="AB98" s="8">
        <f t="shared" si="55"/>
        <v>71</v>
      </c>
      <c r="AC98" s="8"/>
      <c r="AD98" s="33">
        <f>IF(AB98&lt;&gt;"",ROUND(IF($F$11="raty równe",-PMT(W98/12,$F$4-AB97+SUM($AC$28:AC98),AG97,2),AE98+AF98),2),"")</f>
        <v>3227.7</v>
      </c>
      <c r="AE98" s="11">
        <f>IF(AB98&lt;&gt;"",IF($F$11="raty malejące",AG97/($F$4-AB97+SUM($AC$28:AC97)),MIN(AD98-AF98,AG97)),"")</f>
        <v>924.29948064674909</v>
      </c>
      <c r="AF98" s="11">
        <f t="shared" si="35"/>
        <v>2303.4005193532507</v>
      </c>
      <c r="AG98" s="9">
        <f t="shared" si="64"/>
        <v>325799.17844180024</v>
      </c>
      <c r="AH98" s="11"/>
      <c r="AI98" s="33">
        <f>IF(AB98&lt;&gt;"",ROUND(IF($F$11="raty równe",-PMT(W98/12,($F$4-AB97+SUM($AC$27:AC97)),AG97,2),AG97/($F$4-AB97+SUM($AC$27:AC97))+AG97*W98/12),2),"")</f>
        <v>3227.7</v>
      </c>
      <c r="AJ98" s="33">
        <f t="shared" si="56"/>
        <v>233.47000000000025</v>
      </c>
      <c r="AK98" s="33">
        <f t="shared" si="57"/>
        <v>16569.308924394791</v>
      </c>
      <c r="AL98" s="33">
        <f>IF(AB98&lt;&gt;"",AK98-SUM($AJ$28:AJ98),"")</f>
        <v>1667.1189243948065</v>
      </c>
      <c r="AM98" s="11">
        <f t="shared" si="58"/>
        <v>20</v>
      </c>
      <c r="AN98" s="11">
        <f>IF(AB98&lt;&gt;"",IF($B$16=listy!$K$8,'RZĄDOWY PROGRAM'!$F$3*'RZĄDOWY PROGRAM'!$F$15,AG97*$F$15),"")</f>
        <v>50</v>
      </c>
      <c r="AO98" s="11">
        <f t="shared" si="59"/>
        <v>70</v>
      </c>
      <c r="AQ98" s="49">
        <f t="shared" si="47"/>
        <v>0.05</v>
      </c>
      <c r="AR98" s="18">
        <f t="shared" si="48"/>
        <v>4.0741237836483535E-3</v>
      </c>
      <c r="AS98" s="11">
        <f t="shared" si="60"/>
        <v>0</v>
      </c>
      <c r="AT98" s="11">
        <f t="shared" si="61"/>
        <v>34165.487508992075</v>
      </c>
      <c r="AU98" s="11">
        <f>IF(AB98&lt;&gt;"",AT98-SUM($AS$28:AS98),"")</f>
        <v>6476.0875089920701</v>
      </c>
    </row>
    <row r="99" spans="1:47" ht="14.5" x14ac:dyDescent="0.35">
      <c r="A99" s="76">
        <f t="shared" si="62"/>
        <v>46905</v>
      </c>
      <c r="B99" s="8">
        <f t="shared" si="36"/>
        <v>72</v>
      </c>
      <c r="C99" s="11">
        <f t="shared" si="37"/>
        <v>3461.18</v>
      </c>
      <c r="D99" s="11">
        <f t="shared" si="38"/>
        <v>1055.8510674239474</v>
      </c>
      <c r="E99" s="11">
        <f t="shared" si="39"/>
        <v>2405.3289325760525</v>
      </c>
      <c r="F99" s="9">
        <f t="shared" si="49"/>
        <v>340125.55780861189</v>
      </c>
      <c r="G99" s="10">
        <f t="shared" si="40"/>
        <v>6.7599999999999993E-2</v>
      </c>
      <c r="H99" s="10">
        <f t="shared" si="41"/>
        <v>1.7000000000000001E-2</v>
      </c>
      <c r="I99" s="49">
        <f t="shared" si="42"/>
        <v>8.4599999999999995E-2</v>
      </c>
      <c r="J99" s="11">
        <f t="shared" si="43"/>
        <v>20</v>
      </c>
      <c r="K99" s="11">
        <f>IF(B99&lt;&gt;"",IF($B$16=listy!$K$8,'RZĄDOWY PROGRAM'!$F$3*'RZĄDOWY PROGRAM'!$F$15,F98*$F$15),"")</f>
        <v>50</v>
      </c>
      <c r="L99" s="11">
        <f t="shared" si="50"/>
        <v>70</v>
      </c>
      <c r="N99" s="55">
        <f t="shared" si="63"/>
        <v>46905</v>
      </c>
      <c r="O99" s="8">
        <f t="shared" si="51"/>
        <v>72</v>
      </c>
      <c r="P99" s="8"/>
      <c r="Q99" s="33">
        <f>IF(O99&lt;&gt;"",ROUND(IF($F$11="raty równe",-PMT(W99/12,$F$4-O98+SUM($P$28:P99),T98,2),R99+S99),2),"")</f>
        <v>3461.18</v>
      </c>
      <c r="R99" s="11">
        <f>IF(O99&lt;&gt;"",IF($F$11="raty malejące",T98/($F$4-O98+SUM($P$28:P99)),IF(Q99-S99&gt;T98,T98,Q99-S99)),"")</f>
        <v>998.14701291707661</v>
      </c>
      <c r="S99" s="11">
        <f t="shared" si="34"/>
        <v>2463.0329870829232</v>
      </c>
      <c r="T99" s="9">
        <f t="shared" si="52"/>
        <v>348368.23413359682</v>
      </c>
      <c r="U99" s="10">
        <f t="shared" si="44"/>
        <v>6.7599999999999993E-2</v>
      </c>
      <c r="V99" s="10">
        <f t="shared" si="45"/>
        <v>1.7000000000000001E-2</v>
      </c>
      <c r="W99" s="49">
        <f t="shared" si="53"/>
        <v>8.4599999999999995E-2</v>
      </c>
      <c r="X99" s="11">
        <f t="shared" si="46"/>
        <v>20</v>
      </c>
      <c r="Y99" s="11">
        <f>IF(O99&lt;&gt;"",IF($B$16=listy!$K$8,'RZĄDOWY PROGRAM'!$F$3*'RZĄDOWY PROGRAM'!$F$15,T98*$F$15),"")</f>
        <v>50</v>
      </c>
      <c r="Z99" s="11">
        <f t="shared" si="54"/>
        <v>70</v>
      </c>
      <c r="AB99" s="8">
        <f t="shared" si="55"/>
        <v>72</v>
      </c>
      <c r="AC99" s="8"/>
      <c r="AD99" s="33">
        <f>IF(AB99&lt;&gt;"",ROUND(IF($F$11="raty równe",-PMT(W99/12,$F$4-AB98+SUM($AC$28:AC99),AG98,2),AE99+AF99),2),"")</f>
        <v>3227.69</v>
      </c>
      <c r="AE99" s="11">
        <f>IF(AB99&lt;&gt;"",IF($F$11="raty malejące",AG98/($F$4-AB98+SUM($AC$28:AC98)),MIN(AD99-AF99,AG98)),"")</f>
        <v>930.80579198530859</v>
      </c>
      <c r="AF99" s="11">
        <f t="shared" si="35"/>
        <v>2296.8842080146915</v>
      </c>
      <c r="AG99" s="9">
        <f t="shared" si="64"/>
        <v>324868.37264981493</v>
      </c>
      <c r="AH99" s="11"/>
      <c r="AI99" s="33">
        <f>IF(AB99&lt;&gt;"",ROUND(IF($F$11="raty równe",-PMT(W99/12,($F$4-AB98+SUM($AC$27:AC98)),AG98,2),AG98/($F$4-AB98+SUM($AC$27:AC98))+AG98*W99/12),2),"")</f>
        <v>3227.69</v>
      </c>
      <c r="AJ99" s="33">
        <f t="shared" si="56"/>
        <v>233.48999999999978</v>
      </c>
      <c r="AK99" s="33">
        <f t="shared" si="57"/>
        <v>16857.478311004459</v>
      </c>
      <c r="AL99" s="33">
        <f>IF(AB99&lt;&gt;"",AK99-SUM($AJ$28:AJ99),"")</f>
        <v>1721.7983110044752</v>
      </c>
      <c r="AM99" s="11">
        <f t="shared" si="58"/>
        <v>20</v>
      </c>
      <c r="AN99" s="11">
        <f>IF(AB99&lt;&gt;"",IF($B$16=listy!$K$8,'RZĄDOWY PROGRAM'!$F$3*'RZĄDOWY PROGRAM'!$F$15,AG98*$F$15),"")</f>
        <v>50</v>
      </c>
      <c r="AO99" s="11">
        <f t="shared" si="59"/>
        <v>70</v>
      </c>
      <c r="AQ99" s="49">
        <f t="shared" si="47"/>
        <v>0.05</v>
      </c>
      <c r="AR99" s="18">
        <f t="shared" si="48"/>
        <v>4.0741237836483535E-3</v>
      </c>
      <c r="AS99" s="11">
        <f t="shared" si="60"/>
        <v>0</v>
      </c>
      <c r="AT99" s="11">
        <f t="shared" si="61"/>
        <v>34278.234993436738</v>
      </c>
      <c r="AU99" s="11">
        <f>IF(AB99&lt;&gt;"",AT99-SUM($AS$28:AS99),"")</f>
        <v>6588.8349934367325</v>
      </c>
    </row>
    <row r="100" spans="1:47" ht="14.5" x14ac:dyDescent="0.35">
      <c r="A100" s="76">
        <f t="shared" si="62"/>
        <v>46935</v>
      </c>
      <c r="B100" s="8">
        <f t="shared" si="36"/>
        <v>73</v>
      </c>
      <c r="C100" s="11">
        <f t="shared" si="37"/>
        <v>3461.17</v>
      </c>
      <c r="D100" s="11">
        <f t="shared" si="38"/>
        <v>1063.2848174492865</v>
      </c>
      <c r="E100" s="11">
        <f t="shared" si="39"/>
        <v>2397.8851825507136</v>
      </c>
      <c r="F100" s="9">
        <f t="shared" si="49"/>
        <v>339062.27299116261</v>
      </c>
      <c r="G100" s="10">
        <f t="shared" si="40"/>
        <v>6.7599999999999993E-2</v>
      </c>
      <c r="H100" s="10">
        <f t="shared" si="41"/>
        <v>1.7000000000000001E-2</v>
      </c>
      <c r="I100" s="49">
        <f t="shared" si="42"/>
        <v>8.4599999999999995E-2</v>
      </c>
      <c r="J100" s="11">
        <f t="shared" si="43"/>
        <v>20</v>
      </c>
      <c r="K100" s="11">
        <f>IF(B100&lt;&gt;"",IF($B$16=listy!$K$8,'RZĄDOWY PROGRAM'!$F$3*'RZĄDOWY PROGRAM'!$F$15,F99*$F$15),"")</f>
        <v>50</v>
      </c>
      <c r="L100" s="11">
        <f t="shared" si="50"/>
        <v>70</v>
      </c>
      <c r="N100" s="55">
        <f t="shared" si="63"/>
        <v>46935</v>
      </c>
      <c r="O100" s="8">
        <f t="shared" si="51"/>
        <v>73</v>
      </c>
      <c r="P100" s="8"/>
      <c r="Q100" s="33">
        <f>IF(O100&lt;&gt;"",ROUND(IF($F$11="raty równe",-PMT(W100/12,$F$4-O99+SUM($P$28:P100),T99,2),R100+S100),2),"")</f>
        <v>3461.17</v>
      </c>
      <c r="R100" s="11">
        <f>IF(O100&lt;&gt;"",IF($F$11="raty malejące",T99/($F$4-O99+SUM($P$28:P100)),IF(Q100-S100&gt;T99,T99,Q100-S100)),"")</f>
        <v>1005.1739493581426</v>
      </c>
      <c r="S100" s="11">
        <f t="shared" si="34"/>
        <v>2455.9960506418574</v>
      </c>
      <c r="T100" s="9">
        <f t="shared" si="52"/>
        <v>347363.06018423865</v>
      </c>
      <c r="U100" s="10">
        <f t="shared" si="44"/>
        <v>6.7599999999999993E-2</v>
      </c>
      <c r="V100" s="10">
        <f t="shared" si="45"/>
        <v>1.7000000000000001E-2</v>
      </c>
      <c r="W100" s="49">
        <f t="shared" si="53"/>
        <v>8.4599999999999995E-2</v>
      </c>
      <c r="X100" s="11">
        <f t="shared" si="46"/>
        <v>20</v>
      </c>
      <c r="Y100" s="11">
        <f>IF(O100&lt;&gt;"",IF($B$16=listy!$K$8,'RZĄDOWY PROGRAM'!$F$3*'RZĄDOWY PROGRAM'!$F$15,T99*$F$15),"")</f>
        <v>50</v>
      </c>
      <c r="Z100" s="11">
        <f t="shared" si="54"/>
        <v>70</v>
      </c>
      <c r="AB100" s="8">
        <f t="shared" si="55"/>
        <v>73</v>
      </c>
      <c r="AC100" s="8"/>
      <c r="AD100" s="33">
        <f>IF(AB100&lt;&gt;"",ROUND(IF($F$11="raty równe",-PMT(W100/12,$F$4-AB99+SUM($AC$28:AC100),AG99,2),AE100+AF100),2),"")</f>
        <v>3227.7</v>
      </c>
      <c r="AE100" s="11">
        <f>IF(AB100&lt;&gt;"",IF($F$11="raty malejące",AG99/($F$4-AB99+SUM($AC$28:AC99)),MIN(AD100-AF100,AG99)),"")</f>
        <v>937.37797281880466</v>
      </c>
      <c r="AF100" s="11">
        <f t="shared" si="35"/>
        <v>2290.3220271811952</v>
      </c>
      <c r="AG100" s="9">
        <f t="shared" si="64"/>
        <v>323930.99467699614</v>
      </c>
      <c r="AH100" s="11"/>
      <c r="AI100" s="33">
        <f>IF(AB100&lt;&gt;"",ROUND(IF($F$11="raty równe",-PMT(W100/12,($F$4-AB99+SUM($AC$27:AC99)),AG99,2),AG99/($F$4-AB99+SUM($AC$27:AC99))+AG99*W100/12),2),"")</f>
        <v>3227.7</v>
      </c>
      <c r="AJ100" s="33">
        <f t="shared" si="56"/>
        <v>233.47000000000025</v>
      </c>
      <c r="AK100" s="33">
        <f t="shared" si="57"/>
        <v>17146.578668193011</v>
      </c>
      <c r="AL100" s="33">
        <f>IF(AB100&lt;&gt;"",AK100-SUM($AJ$28:AJ100),"")</f>
        <v>1777.428668193028</v>
      </c>
      <c r="AM100" s="11">
        <f t="shared" si="58"/>
        <v>20</v>
      </c>
      <c r="AN100" s="11">
        <f>IF(AB100&lt;&gt;"",IF($B$16=listy!$K$8,'RZĄDOWY PROGRAM'!$F$3*'RZĄDOWY PROGRAM'!$F$15,AG99*$F$15),"")</f>
        <v>50</v>
      </c>
      <c r="AO100" s="11">
        <f t="shared" si="59"/>
        <v>70</v>
      </c>
      <c r="AQ100" s="49">
        <f t="shared" si="47"/>
        <v>0.05</v>
      </c>
      <c r="AR100" s="18">
        <f t="shared" si="48"/>
        <v>4.0741237836483535E-3</v>
      </c>
      <c r="AS100" s="11">
        <f t="shared" si="60"/>
        <v>0</v>
      </c>
      <c r="AT100" s="11">
        <f t="shared" si="61"/>
        <v>34391.354549119817</v>
      </c>
      <c r="AU100" s="11">
        <f>IF(AB100&lt;&gt;"",AT100-SUM($AS$28:AS100),"")</f>
        <v>6701.9545491198114</v>
      </c>
    </row>
    <row r="101" spans="1:47" ht="14.5" x14ac:dyDescent="0.35">
      <c r="A101" s="76">
        <f t="shared" si="62"/>
        <v>46966</v>
      </c>
      <c r="B101" s="8">
        <f t="shared" si="36"/>
        <v>74</v>
      </c>
      <c r="C101" s="11">
        <f t="shared" si="37"/>
        <v>3461.18</v>
      </c>
      <c r="D101" s="11">
        <f t="shared" si="38"/>
        <v>1070.7909754123039</v>
      </c>
      <c r="E101" s="11">
        <f t="shared" si="39"/>
        <v>2390.389024587696</v>
      </c>
      <c r="F101" s="9">
        <f t="shared" si="49"/>
        <v>337991.48201575031</v>
      </c>
      <c r="G101" s="10">
        <f t="shared" si="40"/>
        <v>6.7599999999999993E-2</v>
      </c>
      <c r="H101" s="10">
        <f t="shared" si="41"/>
        <v>1.7000000000000001E-2</v>
      </c>
      <c r="I101" s="49">
        <f t="shared" si="42"/>
        <v>8.4599999999999995E-2</v>
      </c>
      <c r="J101" s="11">
        <f t="shared" si="43"/>
        <v>20</v>
      </c>
      <c r="K101" s="11">
        <f>IF(B101&lt;&gt;"",IF($B$16=listy!$K$8,'RZĄDOWY PROGRAM'!$F$3*'RZĄDOWY PROGRAM'!$F$15,F100*$F$15),"")</f>
        <v>50</v>
      </c>
      <c r="L101" s="11">
        <f t="shared" si="50"/>
        <v>70</v>
      </c>
      <c r="N101" s="55">
        <f t="shared" si="63"/>
        <v>46966</v>
      </c>
      <c r="O101" s="8">
        <f t="shared" si="51"/>
        <v>74</v>
      </c>
      <c r="P101" s="8"/>
      <c r="Q101" s="33">
        <f>IF(O101&lt;&gt;"",ROUND(IF($F$11="raty równe",-PMT(W101/12,$F$4-O100+SUM($P$28:P101),T100,2),R101+S101),2),"")</f>
        <v>3461.18</v>
      </c>
      <c r="R101" s="11">
        <f>IF(O101&lt;&gt;"",IF($F$11="raty malejące",T100/($F$4-O100+SUM($P$28:P101)),IF(Q101-S101&gt;T100,T100,Q101-S101)),"")</f>
        <v>1012.2704257011173</v>
      </c>
      <c r="S101" s="11">
        <f t="shared" si="34"/>
        <v>2448.9095742988825</v>
      </c>
      <c r="T101" s="9">
        <f t="shared" si="52"/>
        <v>346350.78975853755</v>
      </c>
      <c r="U101" s="10">
        <f t="shared" si="44"/>
        <v>6.7599999999999993E-2</v>
      </c>
      <c r="V101" s="10">
        <f t="shared" si="45"/>
        <v>1.7000000000000001E-2</v>
      </c>
      <c r="W101" s="49">
        <f t="shared" si="53"/>
        <v>8.4599999999999995E-2</v>
      </c>
      <c r="X101" s="11">
        <f t="shared" si="46"/>
        <v>20</v>
      </c>
      <c r="Y101" s="11">
        <f>IF(O101&lt;&gt;"",IF($B$16=listy!$K$8,'RZĄDOWY PROGRAM'!$F$3*'RZĄDOWY PROGRAM'!$F$15,T100*$F$15),"")</f>
        <v>50</v>
      </c>
      <c r="Z101" s="11">
        <f t="shared" si="54"/>
        <v>70</v>
      </c>
      <c r="AB101" s="8">
        <f t="shared" si="55"/>
        <v>74</v>
      </c>
      <c r="AC101" s="8"/>
      <c r="AD101" s="33">
        <f>IF(AB101&lt;&gt;"",ROUND(IF($F$11="raty równe",-PMT(W101/12,$F$4-AB100+SUM($AC$28:AC101),AG100,2),AE101+AF101),2),"")</f>
        <v>3227.69</v>
      </c>
      <c r="AE101" s="11">
        <f>IF(AB101&lt;&gt;"",IF($F$11="raty malejące",AG100/($F$4-AB100+SUM($AC$28:AC100)),MIN(AD101-AF101,AG100)),"")</f>
        <v>943.9764875271776</v>
      </c>
      <c r="AF101" s="11">
        <f t="shared" si="35"/>
        <v>2283.7135124728225</v>
      </c>
      <c r="AG101" s="9">
        <f t="shared" si="64"/>
        <v>322987.01818946894</v>
      </c>
      <c r="AH101" s="11"/>
      <c r="AI101" s="33">
        <f>IF(AB101&lt;&gt;"",ROUND(IF($F$11="raty równe",-PMT(W101/12,($F$4-AB100+SUM($AC$27:AC100)),AG100,2),AG100/($F$4-AB100+SUM($AC$27:AC100))+AG100*W101/12),2),"")</f>
        <v>3227.69</v>
      </c>
      <c r="AJ101" s="33">
        <f t="shared" si="56"/>
        <v>233.48999999999978</v>
      </c>
      <c r="AK101" s="33">
        <f t="shared" si="57"/>
        <v>17436.653068200838</v>
      </c>
      <c r="AL101" s="33">
        <f>IF(AB101&lt;&gt;"",AK101-SUM($AJ$28:AJ101),"")</f>
        <v>1834.0130682008548</v>
      </c>
      <c r="AM101" s="11">
        <f t="shared" si="58"/>
        <v>20</v>
      </c>
      <c r="AN101" s="11">
        <f>IF(AB101&lt;&gt;"",IF($B$16=listy!$K$8,'RZĄDOWY PROGRAM'!$F$3*'RZĄDOWY PROGRAM'!$F$15,AG100*$F$15),"")</f>
        <v>50</v>
      </c>
      <c r="AO101" s="11">
        <f t="shared" si="59"/>
        <v>70</v>
      </c>
      <c r="AQ101" s="49">
        <f t="shared" si="47"/>
        <v>0.05</v>
      </c>
      <c r="AR101" s="18">
        <f t="shared" si="48"/>
        <v>4.0741237836483535E-3</v>
      </c>
      <c r="AS101" s="11">
        <f t="shared" si="60"/>
        <v>0</v>
      </c>
      <c r="AT101" s="11">
        <f t="shared" si="61"/>
        <v>34504.847403891385</v>
      </c>
      <c r="AU101" s="11">
        <f>IF(AB101&lt;&gt;"",AT101-SUM($AS$28:AS101),"")</f>
        <v>6815.4474038913795</v>
      </c>
    </row>
    <row r="102" spans="1:47" ht="14.5" x14ac:dyDescent="0.35">
      <c r="A102" s="76">
        <f t="shared" si="62"/>
        <v>46997</v>
      </c>
      <c r="B102" s="8">
        <f t="shared" si="36"/>
        <v>75</v>
      </c>
      <c r="C102" s="11">
        <f t="shared" si="37"/>
        <v>3461.17</v>
      </c>
      <c r="D102" s="11">
        <f t="shared" si="38"/>
        <v>1078.3300517889606</v>
      </c>
      <c r="E102" s="11">
        <f t="shared" si="39"/>
        <v>2382.8399482110394</v>
      </c>
      <c r="F102" s="9">
        <f t="shared" si="49"/>
        <v>336913.15196396137</v>
      </c>
      <c r="G102" s="10">
        <f t="shared" si="40"/>
        <v>6.7599999999999993E-2</v>
      </c>
      <c r="H102" s="10">
        <f t="shared" si="41"/>
        <v>1.7000000000000001E-2</v>
      </c>
      <c r="I102" s="49">
        <f t="shared" si="42"/>
        <v>8.4599999999999995E-2</v>
      </c>
      <c r="J102" s="11">
        <f t="shared" si="43"/>
        <v>20</v>
      </c>
      <c r="K102" s="11">
        <f>IF(B102&lt;&gt;"",IF($B$16=listy!$K$8,'RZĄDOWY PROGRAM'!$F$3*'RZĄDOWY PROGRAM'!$F$15,F101*$F$15),"")</f>
        <v>50</v>
      </c>
      <c r="L102" s="11">
        <f t="shared" si="50"/>
        <v>70</v>
      </c>
      <c r="N102" s="55">
        <f t="shared" si="63"/>
        <v>46997</v>
      </c>
      <c r="O102" s="8">
        <f t="shared" si="51"/>
        <v>75</v>
      </c>
      <c r="P102" s="8"/>
      <c r="Q102" s="33">
        <f>IF(O102&lt;&gt;"",ROUND(IF($F$11="raty równe",-PMT(W102/12,$F$4-O101+SUM($P$28:P102),T101,2),R102+S102),2),"")</f>
        <v>3461.17</v>
      </c>
      <c r="R102" s="11">
        <f>IF(O102&lt;&gt;"",IF($F$11="raty malejące",T101/($F$4-O101+SUM($P$28:P102)),IF(Q102-S102&gt;T101,T101,Q102-S102)),"")</f>
        <v>1019.3969322023104</v>
      </c>
      <c r="S102" s="11">
        <f t="shared" si="34"/>
        <v>2441.7730677976897</v>
      </c>
      <c r="T102" s="9">
        <f t="shared" si="52"/>
        <v>345331.39282633521</v>
      </c>
      <c r="U102" s="10">
        <f t="shared" si="44"/>
        <v>6.7599999999999993E-2</v>
      </c>
      <c r="V102" s="10">
        <f t="shared" si="45"/>
        <v>1.7000000000000001E-2</v>
      </c>
      <c r="W102" s="49">
        <f t="shared" si="53"/>
        <v>8.4599999999999995E-2</v>
      </c>
      <c r="X102" s="11">
        <f t="shared" si="46"/>
        <v>20</v>
      </c>
      <c r="Y102" s="11">
        <f>IF(O102&lt;&gt;"",IF($B$16=listy!$K$8,'RZĄDOWY PROGRAM'!$F$3*'RZĄDOWY PROGRAM'!$F$15,T101*$F$15),"")</f>
        <v>50</v>
      </c>
      <c r="Z102" s="11">
        <f t="shared" si="54"/>
        <v>70</v>
      </c>
      <c r="AB102" s="8">
        <f t="shared" si="55"/>
        <v>75</v>
      </c>
      <c r="AC102" s="8"/>
      <c r="AD102" s="33">
        <f>IF(AB102&lt;&gt;"",ROUND(IF($F$11="raty równe",-PMT(W102/12,$F$4-AB101+SUM($AC$28:AC102),AG101,2),AE102+AF102),2),"")</f>
        <v>3227.7</v>
      </c>
      <c r="AE102" s="11">
        <f>IF(AB102&lt;&gt;"",IF($F$11="raty malejące",AG101/($F$4-AB101+SUM($AC$28:AC101)),MIN(AD102-AF102,AG101)),"")</f>
        <v>950.64152176424386</v>
      </c>
      <c r="AF102" s="11">
        <f t="shared" si="35"/>
        <v>2277.058478235756</v>
      </c>
      <c r="AG102" s="9">
        <f t="shared" si="64"/>
        <v>322036.37666770472</v>
      </c>
      <c r="AH102" s="11"/>
      <c r="AI102" s="33">
        <f>IF(AB102&lt;&gt;"",ROUND(IF($F$11="raty równe",-PMT(W102/12,($F$4-AB101+SUM($AC$27:AC101)),AG101,2),AG101/($F$4-AB101+SUM($AC$27:AC101))+AG101*W102/12),2),"")</f>
        <v>3227.7</v>
      </c>
      <c r="AJ102" s="33">
        <f t="shared" si="56"/>
        <v>233.47000000000025</v>
      </c>
      <c r="AK102" s="33">
        <f t="shared" si="57"/>
        <v>17727.664725408467</v>
      </c>
      <c r="AL102" s="33">
        <f>IF(AB102&lt;&gt;"",AK102-SUM($AJ$28:AJ102),"")</f>
        <v>1891.554725408485</v>
      </c>
      <c r="AM102" s="11">
        <f t="shared" si="58"/>
        <v>20</v>
      </c>
      <c r="AN102" s="11">
        <f>IF(AB102&lt;&gt;"",IF($B$16=listy!$K$8,'RZĄDOWY PROGRAM'!$F$3*'RZĄDOWY PROGRAM'!$F$15,AG101*$F$15),"")</f>
        <v>50</v>
      </c>
      <c r="AO102" s="11">
        <f t="shared" si="59"/>
        <v>70</v>
      </c>
      <c r="AQ102" s="49">
        <f t="shared" si="47"/>
        <v>0.05</v>
      </c>
      <c r="AR102" s="18">
        <f t="shared" si="48"/>
        <v>4.0741237836483535E-3</v>
      </c>
      <c r="AS102" s="11">
        <f t="shared" si="60"/>
        <v>0</v>
      </c>
      <c r="AT102" s="11">
        <f t="shared" si="61"/>
        <v>34618.714789653459</v>
      </c>
      <c r="AU102" s="11">
        <f>IF(AB102&lt;&gt;"",AT102-SUM($AS$28:AS102),"")</f>
        <v>6929.3147896534538</v>
      </c>
    </row>
    <row r="103" spans="1:47" ht="14.5" x14ac:dyDescent="0.35">
      <c r="A103" s="76">
        <f t="shared" si="62"/>
        <v>47027</v>
      </c>
      <c r="B103" s="8">
        <f t="shared" si="36"/>
        <v>76</v>
      </c>
      <c r="C103" s="11">
        <f t="shared" si="37"/>
        <v>3461.18</v>
      </c>
      <c r="D103" s="11">
        <f t="shared" si="38"/>
        <v>1085.9422786540722</v>
      </c>
      <c r="E103" s="11">
        <f t="shared" si="39"/>
        <v>2375.2377213459276</v>
      </c>
      <c r="F103" s="9">
        <f t="shared" si="49"/>
        <v>335827.20968530729</v>
      </c>
      <c r="G103" s="10">
        <f t="shared" si="40"/>
        <v>6.7599999999999993E-2</v>
      </c>
      <c r="H103" s="10">
        <f t="shared" si="41"/>
        <v>1.7000000000000001E-2</v>
      </c>
      <c r="I103" s="49">
        <f t="shared" si="42"/>
        <v>8.4599999999999995E-2</v>
      </c>
      <c r="J103" s="11">
        <f t="shared" si="43"/>
        <v>20</v>
      </c>
      <c r="K103" s="11">
        <f>IF(B103&lt;&gt;"",IF($B$16=listy!$K$8,'RZĄDOWY PROGRAM'!$F$3*'RZĄDOWY PROGRAM'!$F$15,F102*$F$15),"")</f>
        <v>50</v>
      </c>
      <c r="L103" s="11">
        <f t="shared" si="50"/>
        <v>70</v>
      </c>
      <c r="N103" s="55">
        <f t="shared" si="63"/>
        <v>47027</v>
      </c>
      <c r="O103" s="8">
        <f t="shared" si="51"/>
        <v>76</v>
      </c>
      <c r="P103" s="8"/>
      <c r="Q103" s="33">
        <f>IF(O103&lt;&gt;"",ROUND(IF($F$11="raty równe",-PMT(W103/12,$F$4-O102+SUM($P$28:P103),T102,2),R103+S103),2),"")</f>
        <v>3461.18</v>
      </c>
      <c r="R103" s="11">
        <f>IF(O103&lt;&gt;"",IF($F$11="raty malejące",T102/($F$4-O102+SUM($P$28:P103)),IF(Q103-S103&gt;T102,T102,Q103-S103)),"")</f>
        <v>1026.5936805743368</v>
      </c>
      <c r="S103" s="11">
        <f t="shared" si="34"/>
        <v>2434.5863194256631</v>
      </c>
      <c r="T103" s="9">
        <f t="shared" si="52"/>
        <v>344304.79914576089</v>
      </c>
      <c r="U103" s="10">
        <f t="shared" si="44"/>
        <v>6.7599999999999993E-2</v>
      </c>
      <c r="V103" s="10">
        <f t="shared" si="45"/>
        <v>1.7000000000000001E-2</v>
      </c>
      <c r="W103" s="49">
        <f t="shared" si="53"/>
        <v>8.4599999999999995E-2</v>
      </c>
      <c r="X103" s="11">
        <f t="shared" si="46"/>
        <v>20</v>
      </c>
      <c r="Y103" s="11">
        <f>IF(O103&lt;&gt;"",IF($B$16=listy!$K$8,'RZĄDOWY PROGRAM'!$F$3*'RZĄDOWY PROGRAM'!$F$15,T102*$F$15),"")</f>
        <v>50</v>
      </c>
      <c r="Z103" s="11">
        <f t="shared" si="54"/>
        <v>70</v>
      </c>
      <c r="AB103" s="8">
        <f t="shared" si="55"/>
        <v>76</v>
      </c>
      <c r="AC103" s="8"/>
      <c r="AD103" s="33">
        <f>IF(AB103&lt;&gt;"",ROUND(IF($F$11="raty równe",-PMT(W103/12,$F$4-AB102+SUM($AC$28:AC103),AG102,2),AE103+AF103),2),"")</f>
        <v>3227.69</v>
      </c>
      <c r="AE103" s="11">
        <f>IF(AB103&lt;&gt;"",IF($F$11="raty malejące",AG102/($F$4-AB102+SUM($AC$28:AC102)),MIN(AD103-AF103,AG102)),"")</f>
        <v>957.33354449268199</v>
      </c>
      <c r="AF103" s="11">
        <f t="shared" si="35"/>
        <v>2270.3564555073181</v>
      </c>
      <c r="AG103" s="9">
        <f t="shared" si="64"/>
        <v>321079.04312321206</v>
      </c>
      <c r="AH103" s="11"/>
      <c r="AI103" s="33">
        <f>IF(AB103&lt;&gt;"",ROUND(IF($F$11="raty równe",-PMT(W103/12,($F$4-AB102+SUM($AC$27:AC102)),AG102,2),AG102/($F$4-AB102+SUM($AC$27:AC102))+AG102*W103/12),2),"")</f>
        <v>3227.69</v>
      </c>
      <c r="AJ103" s="33">
        <f t="shared" si="56"/>
        <v>233.48999999999978</v>
      </c>
      <c r="AK103" s="33">
        <f t="shared" si="57"/>
        <v>18019.656732802396</v>
      </c>
      <c r="AL103" s="33">
        <f>IF(AB103&lt;&gt;"",AK103-SUM($AJ$28:AJ103),"")</f>
        <v>1950.0567328024135</v>
      </c>
      <c r="AM103" s="11">
        <f t="shared" si="58"/>
        <v>20</v>
      </c>
      <c r="AN103" s="11">
        <f>IF(AB103&lt;&gt;"",IF($B$16=listy!$K$8,'RZĄDOWY PROGRAM'!$F$3*'RZĄDOWY PROGRAM'!$F$15,AG102*$F$15),"")</f>
        <v>50</v>
      </c>
      <c r="AO103" s="11">
        <f t="shared" si="59"/>
        <v>70</v>
      </c>
      <c r="AQ103" s="49">
        <f t="shared" si="47"/>
        <v>0.05</v>
      </c>
      <c r="AR103" s="18">
        <f t="shared" si="48"/>
        <v>4.0741237836483535E-3</v>
      </c>
      <c r="AS103" s="11">
        <f t="shared" si="60"/>
        <v>0</v>
      </c>
      <c r="AT103" s="11">
        <f t="shared" si="61"/>
        <v>34732.957942373389</v>
      </c>
      <c r="AU103" s="11">
        <f>IF(AB103&lt;&gt;"",AT103-SUM($AS$28:AS103),"")</f>
        <v>7043.5579423733834</v>
      </c>
    </row>
    <row r="104" spans="1:47" ht="14.5" x14ac:dyDescent="0.35">
      <c r="A104" s="76">
        <f t="shared" si="62"/>
        <v>47058</v>
      </c>
      <c r="B104" s="8">
        <f t="shared" si="36"/>
        <v>77</v>
      </c>
      <c r="C104" s="11">
        <f t="shared" si="37"/>
        <v>3461.17</v>
      </c>
      <c r="D104" s="11">
        <f t="shared" si="38"/>
        <v>1093.5881717185839</v>
      </c>
      <c r="E104" s="11">
        <f t="shared" si="39"/>
        <v>2367.5818282814162</v>
      </c>
      <c r="F104" s="9">
        <f t="shared" si="49"/>
        <v>334733.6215135887</v>
      </c>
      <c r="G104" s="10">
        <f t="shared" si="40"/>
        <v>6.7599999999999993E-2</v>
      </c>
      <c r="H104" s="10">
        <f t="shared" si="41"/>
        <v>1.7000000000000001E-2</v>
      </c>
      <c r="I104" s="49">
        <f t="shared" si="42"/>
        <v>8.4599999999999995E-2</v>
      </c>
      <c r="J104" s="11">
        <f t="shared" si="43"/>
        <v>20</v>
      </c>
      <c r="K104" s="11">
        <f>IF(B104&lt;&gt;"",IF($B$16=listy!$K$8,'RZĄDOWY PROGRAM'!$F$3*'RZĄDOWY PROGRAM'!$F$15,F103*$F$15),"")</f>
        <v>50</v>
      </c>
      <c r="L104" s="11">
        <f t="shared" si="50"/>
        <v>70</v>
      </c>
      <c r="N104" s="55">
        <f t="shared" si="63"/>
        <v>47058</v>
      </c>
      <c r="O104" s="8">
        <f t="shared" si="51"/>
        <v>77</v>
      </c>
      <c r="P104" s="8"/>
      <c r="Q104" s="33">
        <f>IF(O104&lt;&gt;"",ROUND(IF($F$11="raty równe",-PMT(W104/12,$F$4-O103+SUM($P$28:P104),T103,2),R104+S104),2),"")</f>
        <v>3461.17</v>
      </c>
      <c r="R104" s="11">
        <f>IF(O104&lt;&gt;"",IF($F$11="raty malejące",T103/($F$4-O103+SUM($P$28:P104)),IF(Q104-S104&gt;T103,T103,Q104-S104)),"")</f>
        <v>1033.821166022386</v>
      </c>
      <c r="S104" s="11">
        <f t="shared" si="34"/>
        <v>2427.348833977614</v>
      </c>
      <c r="T104" s="9">
        <f t="shared" si="52"/>
        <v>343270.9779797385</v>
      </c>
      <c r="U104" s="10">
        <f t="shared" si="44"/>
        <v>6.7599999999999993E-2</v>
      </c>
      <c r="V104" s="10">
        <f t="shared" si="45"/>
        <v>1.7000000000000001E-2</v>
      </c>
      <c r="W104" s="49">
        <f t="shared" si="53"/>
        <v>8.4599999999999995E-2</v>
      </c>
      <c r="X104" s="11">
        <f t="shared" si="46"/>
        <v>20</v>
      </c>
      <c r="Y104" s="11">
        <f>IF(O104&lt;&gt;"",IF($B$16=listy!$K$8,'RZĄDOWY PROGRAM'!$F$3*'RZĄDOWY PROGRAM'!$F$15,T103*$F$15),"")</f>
        <v>50</v>
      </c>
      <c r="Z104" s="11">
        <f t="shared" si="54"/>
        <v>70</v>
      </c>
      <c r="AB104" s="8">
        <f t="shared" si="55"/>
        <v>77</v>
      </c>
      <c r="AC104" s="8"/>
      <c r="AD104" s="33">
        <f>IF(AB104&lt;&gt;"",ROUND(IF($F$11="raty równe",-PMT(W104/12,$F$4-AB103+SUM($AC$28:AC104),AG103,2),AE104+AF104),2),"")</f>
        <v>3227.7</v>
      </c>
      <c r="AE104" s="11">
        <f>IF(AB104&lt;&gt;"",IF($F$11="raty malejące",AG103/($F$4-AB103+SUM($AC$28:AC103)),MIN(AD104-AF104,AG103)),"")</f>
        <v>964.09274598135516</v>
      </c>
      <c r="AF104" s="11">
        <f t="shared" si="35"/>
        <v>2263.6072540186447</v>
      </c>
      <c r="AG104" s="9">
        <f t="shared" si="64"/>
        <v>320114.95037723071</v>
      </c>
      <c r="AH104" s="11"/>
      <c r="AI104" s="33">
        <f>IF(AB104&lt;&gt;"",ROUND(IF($F$11="raty równe",-PMT(W104/12,($F$4-AB103+SUM($AC$27:AC103)),AG103,2),AG103/($F$4-AB103+SUM($AC$27:AC103))+AG103*W104/12),2),"")</f>
        <v>3227.7</v>
      </c>
      <c r="AJ104" s="33">
        <f t="shared" si="56"/>
        <v>233.47000000000025</v>
      </c>
      <c r="AK104" s="33">
        <f t="shared" si="57"/>
        <v>18312.592325577712</v>
      </c>
      <c r="AL104" s="33">
        <f>IF(AB104&lt;&gt;"",AK104-SUM($AJ$28:AJ104),"")</f>
        <v>2009.522325577731</v>
      </c>
      <c r="AM104" s="11">
        <f t="shared" si="58"/>
        <v>20</v>
      </c>
      <c r="AN104" s="11">
        <f>IF(AB104&lt;&gt;"",IF($B$16=listy!$K$8,'RZĄDOWY PROGRAM'!$F$3*'RZĄDOWY PROGRAM'!$F$15,AG103*$F$15),"")</f>
        <v>50</v>
      </c>
      <c r="AO104" s="11">
        <f t="shared" si="59"/>
        <v>70</v>
      </c>
      <c r="AQ104" s="49">
        <f t="shared" si="47"/>
        <v>0.05</v>
      </c>
      <c r="AR104" s="18">
        <f t="shared" si="48"/>
        <v>4.0741237836483535E-3</v>
      </c>
      <c r="AS104" s="11">
        <f t="shared" si="60"/>
        <v>0</v>
      </c>
      <c r="AT104" s="11">
        <f t="shared" si="61"/>
        <v>34847.578102097272</v>
      </c>
      <c r="AU104" s="11">
        <f>IF(AB104&lt;&gt;"",AT104-SUM($AS$28:AS104),"")</f>
        <v>7158.1781020972667</v>
      </c>
    </row>
    <row r="105" spans="1:47" ht="14.5" x14ac:dyDescent="0.35">
      <c r="A105" s="76">
        <f t="shared" si="62"/>
        <v>47088</v>
      </c>
      <c r="B105" s="8">
        <f t="shared" si="36"/>
        <v>78</v>
      </c>
      <c r="C105" s="11">
        <f t="shared" si="37"/>
        <v>3461.18</v>
      </c>
      <c r="D105" s="11">
        <f t="shared" si="38"/>
        <v>1101.3079683291999</v>
      </c>
      <c r="E105" s="11">
        <f t="shared" si="39"/>
        <v>2359.8720316708</v>
      </c>
      <c r="F105" s="9">
        <f t="shared" si="49"/>
        <v>333632.31354525953</v>
      </c>
      <c r="G105" s="10">
        <f t="shared" si="40"/>
        <v>6.7599999999999993E-2</v>
      </c>
      <c r="H105" s="10">
        <f t="shared" si="41"/>
        <v>1.7000000000000001E-2</v>
      </c>
      <c r="I105" s="49">
        <f t="shared" si="42"/>
        <v>8.4599999999999995E-2</v>
      </c>
      <c r="J105" s="11">
        <f t="shared" si="43"/>
        <v>20</v>
      </c>
      <c r="K105" s="11">
        <f>IF(B105&lt;&gt;"",IF($B$16=listy!$K$8,'RZĄDOWY PROGRAM'!$F$3*'RZĄDOWY PROGRAM'!$F$15,F104*$F$15),"")</f>
        <v>50</v>
      </c>
      <c r="L105" s="11">
        <f t="shared" si="50"/>
        <v>70</v>
      </c>
      <c r="N105" s="55">
        <f t="shared" si="63"/>
        <v>47088</v>
      </c>
      <c r="O105" s="8">
        <f t="shared" si="51"/>
        <v>78</v>
      </c>
      <c r="P105" s="8"/>
      <c r="Q105" s="33">
        <f>IF(O105&lt;&gt;"",ROUND(IF($F$11="raty równe",-PMT(W105/12,$F$4-O104+SUM($P$28:P105),T104,2),R105+S105),2),"")</f>
        <v>3461.18</v>
      </c>
      <c r="R105" s="11">
        <f>IF(O105&lt;&gt;"",IF($F$11="raty malejące",T104/($F$4-O104+SUM($P$28:P105)),IF(Q105-S105&gt;T104,T104,Q105-S105)),"")</f>
        <v>1041.1196052428436</v>
      </c>
      <c r="S105" s="11">
        <f t="shared" si="34"/>
        <v>2420.0603947571562</v>
      </c>
      <c r="T105" s="9">
        <f t="shared" si="52"/>
        <v>342229.85837449564</v>
      </c>
      <c r="U105" s="10">
        <f t="shared" si="44"/>
        <v>6.7599999999999993E-2</v>
      </c>
      <c r="V105" s="10">
        <f t="shared" si="45"/>
        <v>1.7000000000000001E-2</v>
      </c>
      <c r="W105" s="49">
        <f t="shared" si="53"/>
        <v>8.4599999999999995E-2</v>
      </c>
      <c r="X105" s="11">
        <f t="shared" si="46"/>
        <v>20</v>
      </c>
      <c r="Y105" s="11">
        <f>IF(O105&lt;&gt;"",IF($B$16=listy!$K$8,'RZĄDOWY PROGRAM'!$F$3*'RZĄDOWY PROGRAM'!$F$15,T104*$F$15),"")</f>
        <v>50</v>
      </c>
      <c r="Z105" s="11">
        <f t="shared" si="54"/>
        <v>70</v>
      </c>
      <c r="AB105" s="8">
        <f t="shared" si="55"/>
        <v>78</v>
      </c>
      <c r="AC105" s="8"/>
      <c r="AD105" s="33">
        <f>IF(AB105&lt;&gt;"",ROUND(IF($F$11="raty równe",-PMT(W105/12,$F$4-AB104+SUM($AC$28:AC105),AG104,2),AE105+AF105),2),"")</f>
        <v>3227.69</v>
      </c>
      <c r="AE105" s="11">
        <f>IF(AB105&lt;&gt;"",IF($F$11="raty malejące",AG104/($F$4-AB104+SUM($AC$28:AC104)),MIN(AD105-AF105,AG104)),"")</f>
        <v>970.87959984052395</v>
      </c>
      <c r="AF105" s="11">
        <f t="shared" si="35"/>
        <v>2256.8104001594761</v>
      </c>
      <c r="AG105" s="9">
        <f t="shared" si="64"/>
        <v>319144.07077739021</v>
      </c>
      <c r="AH105" s="11"/>
      <c r="AI105" s="33">
        <f>IF(AB105&lt;&gt;"",ROUND(IF($F$11="raty równe",-PMT(W105/12,($F$4-AB104+SUM($AC$27:AC104)),AG104,2),AG104/($F$4-AB104+SUM($AC$27:AC104))+AG104*W105/12),2),"")</f>
        <v>3227.69</v>
      </c>
      <c r="AJ105" s="33">
        <f t="shared" si="56"/>
        <v>233.48999999999978</v>
      </c>
      <c r="AK105" s="33">
        <f t="shared" si="57"/>
        <v>18606.514617604167</v>
      </c>
      <c r="AL105" s="33">
        <f>IF(AB105&lt;&gt;"",AK105-SUM($AJ$28:AJ105),"")</f>
        <v>2069.954617604184</v>
      </c>
      <c r="AM105" s="11">
        <f t="shared" si="58"/>
        <v>20</v>
      </c>
      <c r="AN105" s="11">
        <f>IF(AB105&lt;&gt;"",IF($B$16=listy!$K$8,'RZĄDOWY PROGRAM'!$F$3*'RZĄDOWY PROGRAM'!$F$15,AG104*$F$15),"")</f>
        <v>50</v>
      </c>
      <c r="AO105" s="11">
        <f t="shared" si="59"/>
        <v>70</v>
      </c>
      <c r="AQ105" s="49">
        <f t="shared" si="47"/>
        <v>0.05</v>
      </c>
      <c r="AR105" s="18">
        <f t="shared" si="48"/>
        <v>4.0741237836483535E-3</v>
      </c>
      <c r="AS105" s="11">
        <f t="shared" si="60"/>
        <v>0</v>
      </c>
      <c r="AT105" s="11">
        <f t="shared" si="61"/>
        <v>34962.576512963395</v>
      </c>
      <c r="AU105" s="11">
        <f>IF(AB105&lt;&gt;"",AT105-SUM($AS$28:AS105),"")</f>
        <v>7273.1765129633895</v>
      </c>
    </row>
    <row r="106" spans="1:47" ht="14.5" x14ac:dyDescent="0.35">
      <c r="A106" s="76">
        <f t="shared" si="62"/>
        <v>47119</v>
      </c>
      <c r="B106" s="8">
        <f t="shared" si="36"/>
        <v>79</v>
      </c>
      <c r="C106" s="11">
        <f t="shared" si="37"/>
        <v>3461.17</v>
      </c>
      <c r="D106" s="11">
        <f t="shared" si="38"/>
        <v>1109.0621895059207</v>
      </c>
      <c r="E106" s="11">
        <f t="shared" si="39"/>
        <v>2352.1078104940793</v>
      </c>
      <c r="F106" s="9">
        <f t="shared" si="49"/>
        <v>332523.25135575363</v>
      </c>
      <c r="G106" s="10">
        <f t="shared" si="40"/>
        <v>6.7599999999999993E-2</v>
      </c>
      <c r="H106" s="10">
        <f t="shared" si="41"/>
        <v>1.7000000000000001E-2</v>
      </c>
      <c r="I106" s="49">
        <f t="shared" si="42"/>
        <v>8.4599999999999995E-2</v>
      </c>
      <c r="J106" s="11">
        <f t="shared" si="43"/>
        <v>20</v>
      </c>
      <c r="K106" s="11">
        <f>IF(B106&lt;&gt;"",IF($B$16=listy!$K$8,'RZĄDOWY PROGRAM'!$F$3*'RZĄDOWY PROGRAM'!$F$15,F105*$F$15),"")</f>
        <v>50</v>
      </c>
      <c r="L106" s="11">
        <f t="shared" si="50"/>
        <v>70</v>
      </c>
      <c r="N106" s="55">
        <f t="shared" si="63"/>
        <v>47119</v>
      </c>
      <c r="O106" s="8">
        <f t="shared" si="51"/>
        <v>79</v>
      </c>
      <c r="P106" s="8"/>
      <c r="Q106" s="33">
        <f>IF(O106&lt;&gt;"",ROUND(IF($F$11="raty równe",-PMT(W106/12,$F$4-O105+SUM($P$28:P106),T105,2),R106+S106),2),"")</f>
        <v>3461.17</v>
      </c>
      <c r="R106" s="11">
        <f>IF(O106&lt;&gt;"",IF($F$11="raty malejące",T105/($F$4-O105+SUM($P$28:P106)),IF(Q106-S106&gt;T105,T105,Q106-S106)),"")</f>
        <v>1048.4494984598059</v>
      </c>
      <c r="S106" s="11">
        <f t="shared" si="34"/>
        <v>2412.7205015401942</v>
      </c>
      <c r="T106" s="9">
        <f t="shared" si="52"/>
        <v>341181.40887603583</v>
      </c>
      <c r="U106" s="10">
        <f t="shared" si="44"/>
        <v>6.7599999999999993E-2</v>
      </c>
      <c r="V106" s="10">
        <f t="shared" si="45"/>
        <v>1.7000000000000001E-2</v>
      </c>
      <c r="W106" s="49">
        <f t="shared" si="53"/>
        <v>8.4599999999999995E-2</v>
      </c>
      <c r="X106" s="11">
        <f t="shared" si="46"/>
        <v>20</v>
      </c>
      <c r="Y106" s="11">
        <f>IF(O106&lt;&gt;"",IF($B$16=listy!$K$8,'RZĄDOWY PROGRAM'!$F$3*'RZĄDOWY PROGRAM'!$F$15,T105*$F$15),"")</f>
        <v>50</v>
      </c>
      <c r="Z106" s="11">
        <f t="shared" si="54"/>
        <v>70</v>
      </c>
      <c r="AB106" s="8">
        <f t="shared" si="55"/>
        <v>79</v>
      </c>
      <c r="AC106" s="8"/>
      <c r="AD106" s="33">
        <f>IF(AB106&lt;&gt;"",ROUND(IF($F$11="raty równe",-PMT(W106/12,$F$4-AB105+SUM($AC$28:AC106),AG105,2),AE106+AF106),2),"")</f>
        <v>3227.7</v>
      </c>
      <c r="AE106" s="11">
        <f>IF(AB106&lt;&gt;"",IF($F$11="raty malejące",AG105/($F$4-AB105+SUM($AC$28:AC105)),MIN(AD106-AF106,AG105)),"")</f>
        <v>977.73430101939903</v>
      </c>
      <c r="AF106" s="11">
        <f t="shared" si="35"/>
        <v>2249.9656989806008</v>
      </c>
      <c r="AG106" s="9">
        <f t="shared" si="64"/>
        <v>318166.33647637081</v>
      </c>
      <c r="AH106" s="11"/>
      <c r="AI106" s="33">
        <f>IF(AB106&lt;&gt;"",ROUND(IF($F$11="raty równe",-PMT(W106/12,($F$4-AB105+SUM($AC$27:AC105)),AG105,2),AG105/($F$4-AB105+SUM($AC$27:AC105))+AG105*W106/12),2),"")</f>
        <v>3227.7</v>
      </c>
      <c r="AJ106" s="33">
        <f t="shared" si="56"/>
        <v>233.47000000000025</v>
      </c>
      <c r="AK106" s="33">
        <f t="shared" si="57"/>
        <v>18901.386865029017</v>
      </c>
      <c r="AL106" s="33">
        <f>IF(AB106&lt;&gt;"",AK106-SUM($AJ$28:AJ106),"")</f>
        <v>2131.3568650290326</v>
      </c>
      <c r="AM106" s="11">
        <f t="shared" si="58"/>
        <v>20</v>
      </c>
      <c r="AN106" s="11">
        <f>IF(AB106&lt;&gt;"",IF($B$16=listy!$K$8,'RZĄDOWY PROGRAM'!$F$3*'RZĄDOWY PROGRAM'!$F$15,AG105*$F$15),"")</f>
        <v>50</v>
      </c>
      <c r="AO106" s="11">
        <f t="shared" si="59"/>
        <v>70</v>
      </c>
      <c r="AQ106" s="49">
        <f t="shared" si="47"/>
        <v>0.05</v>
      </c>
      <c r="AR106" s="18">
        <f t="shared" si="48"/>
        <v>4.0741237836483535E-3</v>
      </c>
      <c r="AS106" s="11">
        <f t="shared" si="60"/>
        <v>0</v>
      </c>
      <c r="AT106" s="11">
        <f t="shared" si="61"/>
        <v>35077.954423215757</v>
      </c>
      <c r="AU106" s="11">
        <f>IF(AB106&lt;&gt;"",AT106-SUM($AS$28:AS106),"")</f>
        <v>7388.5544232157517</v>
      </c>
    </row>
    <row r="107" spans="1:47" ht="14.5" x14ac:dyDescent="0.35">
      <c r="A107" s="76">
        <f t="shared" si="62"/>
        <v>47150</v>
      </c>
      <c r="B107" s="8">
        <f t="shared" si="36"/>
        <v>80</v>
      </c>
      <c r="C107" s="11">
        <f t="shared" si="37"/>
        <v>3461.18</v>
      </c>
      <c r="D107" s="11">
        <f t="shared" si="38"/>
        <v>1116.8910779419366</v>
      </c>
      <c r="E107" s="11">
        <f t="shared" si="39"/>
        <v>2344.2889220580632</v>
      </c>
      <c r="F107" s="9">
        <f t="shared" si="49"/>
        <v>331406.36027781171</v>
      </c>
      <c r="G107" s="10">
        <f t="shared" si="40"/>
        <v>6.7599999999999993E-2</v>
      </c>
      <c r="H107" s="10">
        <f t="shared" si="41"/>
        <v>1.7000000000000001E-2</v>
      </c>
      <c r="I107" s="49">
        <f t="shared" si="42"/>
        <v>8.4599999999999995E-2</v>
      </c>
      <c r="J107" s="11">
        <f t="shared" si="43"/>
        <v>20</v>
      </c>
      <c r="K107" s="11">
        <f>IF(B107&lt;&gt;"",IF($B$16=listy!$K$8,'RZĄDOWY PROGRAM'!$F$3*'RZĄDOWY PROGRAM'!$F$15,F106*$F$15),"")</f>
        <v>50</v>
      </c>
      <c r="L107" s="11">
        <f t="shared" si="50"/>
        <v>70</v>
      </c>
      <c r="N107" s="55">
        <f t="shared" si="63"/>
        <v>47150</v>
      </c>
      <c r="O107" s="8">
        <f t="shared" si="51"/>
        <v>80</v>
      </c>
      <c r="P107" s="8"/>
      <c r="Q107" s="33">
        <f>IF(O107&lt;&gt;"",ROUND(IF($F$11="raty równe",-PMT(W107/12,$F$4-O106+SUM($P$28:P107),T106,2),R107+S107),2),"")</f>
        <v>3461.18</v>
      </c>
      <c r="R107" s="11">
        <f>IF(O107&lt;&gt;"",IF($F$11="raty malejące",T106/($F$4-O106+SUM($P$28:P107)),IF(Q107-S107&gt;T106,T106,Q107-S107)),"")</f>
        <v>1055.8510674239474</v>
      </c>
      <c r="S107" s="11">
        <f t="shared" si="34"/>
        <v>2405.3289325760525</v>
      </c>
      <c r="T107" s="9">
        <f t="shared" si="52"/>
        <v>340125.55780861189</v>
      </c>
      <c r="U107" s="10">
        <f t="shared" si="44"/>
        <v>6.7599999999999993E-2</v>
      </c>
      <c r="V107" s="10">
        <f t="shared" si="45"/>
        <v>1.7000000000000001E-2</v>
      </c>
      <c r="W107" s="49">
        <f t="shared" si="53"/>
        <v>8.4599999999999995E-2</v>
      </c>
      <c r="X107" s="11">
        <f t="shared" si="46"/>
        <v>20</v>
      </c>
      <c r="Y107" s="11">
        <f>IF(O107&lt;&gt;"",IF($B$16=listy!$K$8,'RZĄDOWY PROGRAM'!$F$3*'RZĄDOWY PROGRAM'!$F$15,T106*$F$15),"")</f>
        <v>50</v>
      </c>
      <c r="Z107" s="11">
        <f t="shared" si="54"/>
        <v>70</v>
      </c>
      <c r="AB107" s="8">
        <f t="shared" si="55"/>
        <v>80</v>
      </c>
      <c r="AC107" s="8"/>
      <c r="AD107" s="33">
        <f>IF(AB107&lt;&gt;"",ROUND(IF($F$11="raty równe",-PMT(W107/12,$F$4-AB106+SUM($AC$28:AC107),AG106,2),AE107+AF107),2),"")</f>
        <v>3227.69</v>
      </c>
      <c r="AE107" s="11">
        <f>IF(AB107&lt;&gt;"",IF($F$11="raty malejące",AG106/($F$4-AB106+SUM($AC$28:AC106)),MIN(AD107-AF107,AG106)),"")</f>
        <v>984.61732784158585</v>
      </c>
      <c r="AF107" s="11">
        <f t="shared" si="35"/>
        <v>2243.0726721584142</v>
      </c>
      <c r="AG107" s="9">
        <f t="shared" si="64"/>
        <v>317181.71914852923</v>
      </c>
      <c r="AH107" s="11"/>
      <c r="AI107" s="33">
        <f>IF(AB107&lt;&gt;"",ROUND(IF($F$11="raty równe",-PMT(W107/12,($F$4-AB106+SUM($AC$27:AC106)),AG106,2),AG106/($F$4-AB106+SUM($AC$27:AC106))+AG106*W107/12),2),"")</f>
        <v>3227.69</v>
      </c>
      <c r="AJ107" s="33">
        <f t="shared" si="56"/>
        <v>233.48999999999978</v>
      </c>
      <c r="AK107" s="33">
        <f t="shared" si="57"/>
        <v>19197.25220274333</v>
      </c>
      <c r="AL107" s="33">
        <f>IF(AB107&lt;&gt;"",AK107-SUM($AJ$28:AJ107),"")</f>
        <v>2193.7322027433474</v>
      </c>
      <c r="AM107" s="11">
        <f t="shared" si="58"/>
        <v>20</v>
      </c>
      <c r="AN107" s="11">
        <f>IF(AB107&lt;&gt;"",IF($B$16=listy!$K$8,'RZĄDOWY PROGRAM'!$F$3*'RZĄDOWY PROGRAM'!$F$15,AG106*$F$15),"")</f>
        <v>50</v>
      </c>
      <c r="AO107" s="11">
        <f t="shared" si="59"/>
        <v>70</v>
      </c>
      <c r="AQ107" s="49">
        <f t="shared" si="47"/>
        <v>0.05</v>
      </c>
      <c r="AR107" s="18">
        <f t="shared" si="48"/>
        <v>4.0741237836483535E-3</v>
      </c>
      <c r="AS107" s="11">
        <f t="shared" si="60"/>
        <v>0</v>
      </c>
      <c r="AT107" s="11">
        <f t="shared" si="61"/>
        <v>35193.713085217612</v>
      </c>
      <c r="AU107" s="11">
        <f>IF(AB107&lt;&gt;"",AT107-SUM($AS$28:AS107),"")</f>
        <v>7504.3130852176073</v>
      </c>
    </row>
    <row r="108" spans="1:47" ht="14.5" x14ac:dyDescent="0.35">
      <c r="A108" s="76">
        <f t="shared" si="62"/>
        <v>47178</v>
      </c>
      <c r="B108" s="8">
        <f t="shared" si="36"/>
        <v>81</v>
      </c>
      <c r="C108" s="11">
        <f t="shared" si="37"/>
        <v>3461.17</v>
      </c>
      <c r="D108" s="11">
        <f t="shared" si="38"/>
        <v>1124.7551600414276</v>
      </c>
      <c r="E108" s="11">
        <f t="shared" si="39"/>
        <v>2336.4148399585724</v>
      </c>
      <c r="F108" s="9">
        <f t="shared" si="49"/>
        <v>330281.60511777026</v>
      </c>
      <c r="G108" s="10">
        <f t="shared" si="40"/>
        <v>6.7599999999999993E-2</v>
      </c>
      <c r="H108" s="10">
        <f t="shared" si="41"/>
        <v>1.7000000000000001E-2</v>
      </c>
      <c r="I108" s="49">
        <f t="shared" si="42"/>
        <v>8.4599999999999995E-2</v>
      </c>
      <c r="J108" s="11">
        <f t="shared" si="43"/>
        <v>20</v>
      </c>
      <c r="K108" s="11">
        <f>IF(B108&lt;&gt;"",IF($B$16=listy!$K$8,'RZĄDOWY PROGRAM'!$F$3*'RZĄDOWY PROGRAM'!$F$15,F107*$F$15),"")</f>
        <v>50</v>
      </c>
      <c r="L108" s="11">
        <f t="shared" si="50"/>
        <v>70</v>
      </c>
      <c r="N108" s="55">
        <f t="shared" si="63"/>
        <v>47178</v>
      </c>
      <c r="O108" s="8">
        <f t="shared" si="51"/>
        <v>81</v>
      </c>
      <c r="P108" s="8"/>
      <c r="Q108" s="33">
        <f>IF(O108&lt;&gt;"",ROUND(IF($F$11="raty równe",-PMT(W108/12,$F$4-O107+SUM($P$28:P108),T107,2),R108+S108),2),"")</f>
        <v>3461.17</v>
      </c>
      <c r="R108" s="11">
        <f>IF(O108&lt;&gt;"",IF($F$11="raty malejące",T107/($F$4-O107+SUM($P$28:P108)),IF(Q108-S108&gt;T107,T107,Q108-S108)),"")</f>
        <v>1063.2848174492865</v>
      </c>
      <c r="S108" s="11">
        <f t="shared" ref="S108:S171" si="65">IF(O108&lt;&gt;"",T107*W108/12,"")</f>
        <v>2397.8851825507136</v>
      </c>
      <c r="T108" s="9">
        <f t="shared" si="52"/>
        <v>339062.27299116261</v>
      </c>
      <c r="U108" s="10">
        <f t="shared" si="44"/>
        <v>6.7599999999999993E-2</v>
      </c>
      <c r="V108" s="10">
        <f t="shared" si="45"/>
        <v>1.7000000000000001E-2</v>
      </c>
      <c r="W108" s="49">
        <f t="shared" si="53"/>
        <v>8.4599999999999995E-2</v>
      </c>
      <c r="X108" s="11">
        <f t="shared" si="46"/>
        <v>20</v>
      </c>
      <c r="Y108" s="11">
        <f>IF(O108&lt;&gt;"",IF($B$16=listy!$K$8,'RZĄDOWY PROGRAM'!$F$3*'RZĄDOWY PROGRAM'!$F$15,T107*$F$15),"")</f>
        <v>50</v>
      </c>
      <c r="Z108" s="11">
        <f t="shared" si="54"/>
        <v>70</v>
      </c>
      <c r="AB108" s="8">
        <f t="shared" si="55"/>
        <v>81</v>
      </c>
      <c r="AC108" s="8"/>
      <c r="AD108" s="33">
        <f>IF(AB108&lt;&gt;"",ROUND(IF($F$11="raty równe",-PMT(W108/12,$F$4-AB107+SUM($AC$28:AC108),AG107,2),AE108+AF108),2),"")</f>
        <v>3227.7</v>
      </c>
      <c r="AE108" s="11">
        <f>IF(AB108&lt;&gt;"",IF($F$11="raty malejące",AG107/($F$4-AB107+SUM($AC$28:AC107)),MIN(AD108-AF108,AG107)),"")</f>
        <v>991.56888000286881</v>
      </c>
      <c r="AF108" s="11">
        <f t="shared" ref="AF108:AF171" si="66">IF(AB108&lt;&gt;"",AG107*W108/12,"")</f>
        <v>2236.131119997131</v>
      </c>
      <c r="AG108" s="9">
        <f t="shared" si="64"/>
        <v>316190.15026852634</v>
      </c>
      <c r="AH108" s="11"/>
      <c r="AI108" s="33">
        <f>IF(AB108&lt;&gt;"",ROUND(IF($F$11="raty równe",-PMT(W108/12,($F$4-AB107+SUM($AC$27:AC107)),AG107,2),AG107/($F$4-AB107+SUM($AC$27:AC107))+AG107*W108/12),2),"")</f>
        <v>3227.7</v>
      </c>
      <c r="AJ108" s="33">
        <f t="shared" si="56"/>
        <v>233.47000000000025</v>
      </c>
      <c r="AK108" s="33">
        <f t="shared" si="57"/>
        <v>19494.073907985043</v>
      </c>
      <c r="AL108" s="33">
        <f>IF(AB108&lt;&gt;"",AK108-SUM($AJ$28:AJ108),"")</f>
        <v>2257.0839079850593</v>
      </c>
      <c r="AM108" s="11">
        <f t="shared" si="58"/>
        <v>20</v>
      </c>
      <c r="AN108" s="11">
        <f>IF(AB108&lt;&gt;"",IF($B$16=listy!$K$8,'RZĄDOWY PROGRAM'!$F$3*'RZĄDOWY PROGRAM'!$F$15,AG107*$F$15),"")</f>
        <v>50</v>
      </c>
      <c r="AO108" s="11">
        <f t="shared" si="59"/>
        <v>70</v>
      </c>
      <c r="AQ108" s="49">
        <f t="shared" si="47"/>
        <v>0.05</v>
      </c>
      <c r="AR108" s="18">
        <f t="shared" si="48"/>
        <v>4.0741237836483535E-3</v>
      </c>
      <c r="AS108" s="11">
        <f t="shared" si="60"/>
        <v>0</v>
      </c>
      <c r="AT108" s="11">
        <f t="shared" si="61"/>
        <v>35309.853755465068</v>
      </c>
      <c r="AU108" s="11">
        <f>IF(AB108&lt;&gt;"",AT108-SUM($AS$28:AS108),"")</f>
        <v>7620.4537554650633</v>
      </c>
    </row>
    <row r="109" spans="1:47" ht="14.5" x14ac:dyDescent="0.35">
      <c r="A109" s="76">
        <f t="shared" si="62"/>
        <v>47209</v>
      </c>
      <c r="B109" s="8">
        <f t="shared" si="36"/>
        <v>82</v>
      </c>
      <c r="C109" s="11">
        <f t="shared" si="37"/>
        <v>3461.18</v>
      </c>
      <c r="D109" s="11">
        <f t="shared" si="38"/>
        <v>1132.6946839197199</v>
      </c>
      <c r="E109" s="11">
        <f t="shared" si="39"/>
        <v>2328.48531608028</v>
      </c>
      <c r="F109" s="9">
        <f t="shared" si="49"/>
        <v>329148.91043385054</v>
      </c>
      <c r="G109" s="10">
        <f t="shared" si="40"/>
        <v>6.7599999999999993E-2</v>
      </c>
      <c r="H109" s="10">
        <f t="shared" si="41"/>
        <v>1.7000000000000001E-2</v>
      </c>
      <c r="I109" s="49">
        <f t="shared" si="42"/>
        <v>8.4599999999999995E-2</v>
      </c>
      <c r="J109" s="11">
        <f t="shared" si="43"/>
        <v>20</v>
      </c>
      <c r="K109" s="11">
        <f>IF(B109&lt;&gt;"",IF($B$16=listy!$K$8,'RZĄDOWY PROGRAM'!$F$3*'RZĄDOWY PROGRAM'!$F$15,F108*$F$15),"")</f>
        <v>50</v>
      </c>
      <c r="L109" s="11">
        <f t="shared" si="50"/>
        <v>70</v>
      </c>
      <c r="N109" s="55">
        <f t="shared" si="63"/>
        <v>47209</v>
      </c>
      <c r="O109" s="8">
        <f t="shared" si="51"/>
        <v>82</v>
      </c>
      <c r="P109" s="8"/>
      <c r="Q109" s="33">
        <f>IF(O109&lt;&gt;"",ROUND(IF($F$11="raty równe",-PMT(W109/12,$F$4-O108+SUM($P$28:P109),T108,2),R109+S109),2),"")</f>
        <v>3461.18</v>
      </c>
      <c r="R109" s="11">
        <f>IF(O109&lt;&gt;"",IF($F$11="raty malejące",T108/($F$4-O108+SUM($P$28:P109)),IF(Q109-S109&gt;T108,T108,Q109-S109)),"")</f>
        <v>1070.7909754123039</v>
      </c>
      <c r="S109" s="11">
        <f t="shared" si="65"/>
        <v>2390.389024587696</v>
      </c>
      <c r="T109" s="9">
        <f t="shared" si="52"/>
        <v>337991.48201575031</v>
      </c>
      <c r="U109" s="10">
        <f t="shared" si="44"/>
        <v>6.7599999999999993E-2</v>
      </c>
      <c r="V109" s="10">
        <f t="shared" si="45"/>
        <v>1.7000000000000001E-2</v>
      </c>
      <c r="W109" s="49">
        <f t="shared" si="53"/>
        <v>8.4599999999999995E-2</v>
      </c>
      <c r="X109" s="11">
        <f t="shared" si="46"/>
        <v>20</v>
      </c>
      <c r="Y109" s="11">
        <f>IF(O109&lt;&gt;"",IF($B$16=listy!$K$8,'RZĄDOWY PROGRAM'!$F$3*'RZĄDOWY PROGRAM'!$F$15,T108*$F$15),"")</f>
        <v>50</v>
      </c>
      <c r="Z109" s="11">
        <f t="shared" si="54"/>
        <v>70</v>
      </c>
      <c r="AB109" s="8">
        <f t="shared" si="55"/>
        <v>82</v>
      </c>
      <c r="AC109" s="8"/>
      <c r="AD109" s="33">
        <f>IF(AB109&lt;&gt;"",ROUND(IF($F$11="raty równe",-PMT(W109/12,$F$4-AB108+SUM($AC$28:AC109),AG108,2),AE109+AF109),2),"")</f>
        <v>3227.69</v>
      </c>
      <c r="AE109" s="11">
        <f>IF(AB109&lt;&gt;"",IF($F$11="raty malejące",AG108/($F$4-AB108+SUM($AC$28:AC108)),MIN(AD109-AF109,AG108)),"")</f>
        <v>998.54944060688922</v>
      </c>
      <c r="AF109" s="11">
        <f t="shared" si="66"/>
        <v>2229.1405593931108</v>
      </c>
      <c r="AG109" s="9">
        <f t="shared" si="64"/>
        <v>315191.60082791944</v>
      </c>
      <c r="AH109" s="11"/>
      <c r="AI109" s="33">
        <f>IF(AB109&lt;&gt;"",ROUND(IF($F$11="raty równe",-PMT(W109/12,($F$4-AB108+SUM($AC$27:AC108)),AG108,2),AG108/($F$4-AB108+SUM($AC$27:AC108))+AG108*W109/12),2),"")</f>
        <v>3227.69</v>
      </c>
      <c r="AJ109" s="33">
        <f t="shared" si="56"/>
        <v>233.48999999999978</v>
      </c>
      <c r="AK109" s="33">
        <f t="shared" si="57"/>
        <v>19791.895136805506</v>
      </c>
      <c r="AL109" s="33">
        <f>IF(AB109&lt;&gt;"",AK109-SUM($AJ$28:AJ109),"")</f>
        <v>2321.4151368055245</v>
      </c>
      <c r="AM109" s="11">
        <f t="shared" si="58"/>
        <v>20</v>
      </c>
      <c r="AN109" s="11">
        <f>IF(AB109&lt;&gt;"",IF($B$16=listy!$K$8,'RZĄDOWY PROGRAM'!$F$3*'RZĄDOWY PROGRAM'!$F$15,AG108*$F$15),"")</f>
        <v>50</v>
      </c>
      <c r="AO109" s="11">
        <f t="shared" si="59"/>
        <v>70</v>
      </c>
      <c r="AQ109" s="49">
        <f t="shared" si="47"/>
        <v>0.05</v>
      </c>
      <c r="AR109" s="18">
        <f t="shared" si="48"/>
        <v>4.0741237836483535E-3</v>
      </c>
      <c r="AS109" s="11">
        <f t="shared" si="60"/>
        <v>0</v>
      </c>
      <c r="AT109" s="11">
        <f t="shared" si="61"/>
        <v>35426.37769460072</v>
      </c>
      <c r="AU109" s="11">
        <f>IF(AB109&lt;&gt;"",AT109-SUM($AS$28:AS109),"")</f>
        <v>7736.977694600715</v>
      </c>
    </row>
    <row r="110" spans="1:47" ht="14.5" x14ac:dyDescent="0.35">
      <c r="A110" s="76">
        <f t="shared" si="62"/>
        <v>47239</v>
      </c>
      <c r="B110" s="8">
        <f t="shared" si="36"/>
        <v>83</v>
      </c>
      <c r="C110" s="11">
        <f t="shared" si="37"/>
        <v>3461.17</v>
      </c>
      <c r="D110" s="11">
        <f t="shared" si="38"/>
        <v>1140.6701814413541</v>
      </c>
      <c r="E110" s="11">
        <f t="shared" si="39"/>
        <v>2320.499818558646</v>
      </c>
      <c r="F110" s="9">
        <f t="shared" si="49"/>
        <v>328008.24025240919</v>
      </c>
      <c r="G110" s="10">
        <f t="shared" si="40"/>
        <v>6.7599999999999993E-2</v>
      </c>
      <c r="H110" s="10">
        <f t="shared" si="41"/>
        <v>1.7000000000000001E-2</v>
      </c>
      <c r="I110" s="49">
        <f t="shared" si="42"/>
        <v>8.4599999999999995E-2</v>
      </c>
      <c r="J110" s="11">
        <f t="shared" si="43"/>
        <v>20</v>
      </c>
      <c r="K110" s="11">
        <f>IF(B110&lt;&gt;"",IF($B$16=listy!$K$8,'RZĄDOWY PROGRAM'!$F$3*'RZĄDOWY PROGRAM'!$F$15,F109*$F$15),"")</f>
        <v>50</v>
      </c>
      <c r="L110" s="11">
        <f t="shared" si="50"/>
        <v>70</v>
      </c>
      <c r="N110" s="55">
        <f t="shared" si="63"/>
        <v>47239</v>
      </c>
      <c r="O110" s="8">
        <f t="shared" si="51"/>
        <v>83</v>
      </c>
      <c r="P110" s="8"/>
      <c r="Q110" s="33">
        <f>IF(O110&lt;&gt;"",ROUND(IF($F$11="raty równe",-PMT(W110/12,$F$4-O109+SUM($P$28:P110),T109,2),R110+S110),2),"")</f>
        <v>3461.17</v>
      </c>
      <c r="R110" s="11">
        <f>IF(O110&lt;&gt;"",IF($F$11="raty malejące",T109/($F$4-O109+SUM($P$28:P110)),IF(Q110-S110&gt;T109,T109,Q110-S110)),"")</f>
        <v>1078.3300517889606</v>
      </c>
      <c r="S110" s="11">
        <f t="shared" si="65"/>
        <v>2382.8399482110394</v>
      </c>
      <c r="T110" s="9">
        <f t="shared" si="52"/>
        <v>336913.15196396137</v>
      </c>
      <c r="U110" s="10">
        <f t="shared" si="44"/>
        <v>6.7599999999999993E-2</v>
      </c>
      <c r="V110" s="10">
        <f t="shared" si="45"/>
        <v>1.7000000000000001E-2</v>
      </c>
      <c r="W110" s="49">
        <f t="shared" si="53"/>
        <v>8.4599999999999995E-2</v>
      </c>
      <c r="X110" s="11">
        <f t="shared" si="46"/>
        <v>20</v>
      </c>
      <c r="Y110" s="11">
        <f>IF(O110&lt;&gt;"",IF($B$16=listy!$K$8,'RZĄDOWY PROGRAM'!$F$3*'RZĄDOWY PROGRAM'!$F$15,T109*$F$15),"")</f>
        <v>50</v>
      </c>
      <c r="Z110" s="11">
        <f t="shared" si="54"/>
        <v>70</v>
      </c>
      <c r="AB110" s="8">
        <f t="shared" si="55"/>
        <v>83</v>
      </c>
      <c r="AC110" s="8"/>
      <c r="AD110" s="33">
        <f>IF(AB110&lt;&gt;"",ROUND(IF($F$11="raty równe",-PMT(W110/12,$F$4-AB109+SUM($AC$28:AC110),AG109,2),AE110+AF110),2),"")</f>
        <v>3227.7</v>
      </c>
      <c r="AE110" s="11">
        <f>IF(AB110&lt;&gt;"",IF($F$11="raty malejące",AG109/($F$4-AB109+SUM($AC$28:AC109)),MIN(AD110-AF110,AG109)),"")</f>
        <v>1005.5992141631682</v>
      </c>
      <c r="AF110" s="11">
        <f t="shared" si="66"/>
        <v>2222.1007858368316</v>
      </c>
      <c r="AG110" s="9">
        <f t="shared" si="64"/>
        <v>314186.00161375629</v>
      </c>
      <c r="AH110" s="11"/>
      <c r="AI110" s="33">
        <f>IF(AB110&lt;&gt;"",ROUND(IF($F$11="raty równe",-PMT(W110/12,($F$4-AB109+SUM($AC$27:AC109)),AG109,2),AG109/($F$4-AB109+SUM($AC$27:AC109))+AG109*W110/12),2),"")</f>
        <v>3227.7</v>
      </c>
      <c r="AJ110" s="33">
        <f t="shared" si="56"/>
        <v>233.47000000000025</v>
      </c>
      <c r="AK110" s="33">
        <f t="shared" si="57"/>
        <v>20090.679187672777</v>
      </c>
      <c r="AL110" s="33">
        <f>IF(AB110&lt;&gt;"",AK110-SUM($AJ$28:AJ110),"")</f>
        <v>2386.7291876727941</v>
      </c>
      <c r="AM110" s="11">
        <f t="shared" si="58"/>
        <v>20</v>
      </c>
      <c r="AN110" s="11">
        <f>IF(AB110&lt;&gt;"",IF($B$16=listy!$K$8,'RZĄDOWY PROGRAM'!$F$3*'RZĄDOWY PROGRAM'!$F$15,AG109*$F$15),"")</f>
        <v>50</v>
      </c>
      <c r="AO110" s="11">
        <f t="shared" si="59"/>
        <v>70</v>
      </c>
      <c r="AQ110" s="49">
        <f t="shared" si="47"/>
        <v>0.05</v>
      </c>
      <c r="AR110" s="18">
        <f t="shared" si="48"/>
        <v>4.0741237836483535E-3</v>
      </c>
      <c r="AS110" s="11">
        <f t="shared" si="60"/>
        <v>0</v>
      </c>
      <c r="AT110" s="11">
        <f t="shared" si="61"/>
        <v>35543.28616742733</v>
      </c>
      <c r="AU110" s="11">
        <f>IF(AB110&lt;&gt;"",AT110-SUM($AS$28:AS110),"")</f>
        <v>7853.8861674273248</v>
      </c>
    </row>
    <row r="111" spans="1:47" ht="14.5" x14ac:dyDescent="0.35">
      <c r="A111" s="76">
        <f t="shared" si="62"/>
        <v>47270</v>
      </c>
      <c r="B111" s="8">
        <f t="shared" si="36"/>
        <v>84</v>
      </c>
      <c r="C111" s="11">
        <f t="shared" si="37"/>
        <v>3461.18</v>
      </c>
      <c r="D111" s="11">
        <f t="shared" si="38"/>
        <v>1148.7219062205149</v>
      </c>
      <c r="E111" s="11">
        <f t="shared" si="39"/>
        <v>2312.4580937794849</v>
      </c>
      <c r="F111" s="9">
        <f t="shared" si="49"/>
        <v>326859.51834618865</v>
      </c>
      <c r="G111" s="10">
        <f t="shared" si="40"/>
        <v>6.7599999999999993E-2</v>
      </c>
      <c r="H111" s="10">
        <f t="shared" si="41"/>
        <v>1.7000000000000001E-2</v>
      </c>
      <c r="I111" s="49">
        <f t="shared" si="42"/>
        <v>8.4599999999999995E-2</v>
      </c>
      <c r="J111" s="11">
        <f t="shared" si="43"/>
        <v>20</v>
      </c>
      <c r="K111" s="11">
        <f>IF(B111&lt;&gt;"",IF($B$16=listy!$K$8,'RZĄDOWY PROGRAM'!$F$3*'RZĄDOWY PROGRAM'!$F$15,F110*$F$15),"")</f>
        <v>50</v>
      </c>
      <c r="L111" s="11">
        <f t="shared" si="50"/>
        <v>70</v>
      </c>
      <c r="N111" s="55">
        <f t="shared" si="63"/>
        <v>47270</v>
      </c>
      <c r="O111" s="8">
        <f t="shared" si="51"/>
        <v>84</v>
      </c>
      <c r="P111" s="8"/>
      <c r="Q111" s="33">
        <f>IF(O111&lt;&gt;"",ROUND(IF($F$11="raty równe",-PMT(W111/12,$F$4-O110+SUM($P$28:P111),T110,2),R111+S111),2),"")</f>
        <v>3461.18</v>
      </c>
      <c r="R111" s="11">
        <f>IF(O111&lt;&gt;"",IF($F$11="raty malejące",T110/($F$4-O110+SUM($P$28:P111)),IF(Q111-S111&gt;T110,T110,Q111-S111)),"")</f>
        <v>1085.9422786540722</v>
      </c>
      <c r="S111" s="11">
        <f t="shared" si="65"/>
        <v>2375.2377213459276</v>
      </c>
      <c r="T111" s="9">
        <f t="shared" si="52"/>
        <v>335827.20968530729</v>
      </c>
      <c r="U111" s="10">
        <f t="shared" si="44"/>
        <v>6.7599999999999993E-2</v>
      </c>
      <c r="V111" s="10">
        <f t="shared" si="45"/>
        <v>1.7000000000000001E-2</v>
      </c>
      <c r="W111" s="49">
        <f t="shared" si="53"/>
        <v>8.4599999999999995E-2</v>
      </c>
      <c r="X111" s="11">
        <f t="shared" si="46"/>
        <v>20</v>
      </c>
      <c r="Y111" s="11">
        <f>IF(O111&lt;&gt;"",IF($B$16=listy!$K$8,'RZĄDOWY PROGRAM'!$F$3*'RZĄDOWY PROGRAM'!$F$15,T110*$F$15),"")</f>
        <v>50</v>
      </c>
      <c r="Z111" s="11">
        <f t="shared" si="54"/>
        <v>70</v>
      </c>
      <c r="AB111" s="8">
        <f t="shared" si="55"/>
        <v>84</v>
      </c>
      <c r="AC111" s="8"/>
      <c r="AD111" s="33">
        <f>IF(AB111&lt;&gt;"",ROUND(IF($F$11="raty równe",-PMT(W111/12,$F$4-AB110+SUM($AC$28:AC111),AG110,2),AE111+AF111),2),"")</f>
        <v>3227.69</v>
      </c>
      <c r="AE111" s="11">
        <f>IF(AB111&lt;&gt;"",IF($F$11="raty malejące",AG110/($F$4-AB110+SUM($AC$28:AC110)),MIN(AD111-AF111,AG110)),"")</f>
        <v>1012.6786886230184</v>
      </c>
      <c r="AF111" s="11">
        <f t="shared" si="66"/>
        <v>2215.0113113769817</v>
      </c>
      <c r="AG111" s="9">
        <f t="shared" si="64"/>
        <v>313173.32292513328</v>
      </c>
      <c r="AH111" s="11"/>
      <c r="AI111" s="33">
        <f>IF(AB111&lt;&gt;"",ROUND(IF($F$11="raty równe",-PMT(W111/12,($F$4-AB110+SUM($AC$27:AC110)),AG110,2),AG110/($F$4-AB110+SUM($AC$27:AC110))+AG110*W111/12),2),"")</f>
        <v>3227.69</v>
      </c>
      <c r="AJ111" s="33">
        <f t="shared" si="56"/>
        <v>233.48999999999978</v>
      </c>
      <c r="AK111" s="33">
        <f t="shared" si="57"/>
        <v>20390.469237938378</v>
      </c>
      <c r="AL111" s="33">
        <f>IF(AB111&lt;&gt;"",AK111-SUM($AJ$28:AJ111),"")</f>
        <v>2453.0292379383973</v>
      </c>
      <c r="AM111" s="11">
        <f t="shared" si="58"/>
        <v>20</v>
      </c>
      <c r="AN111" s="11">
        <f>IF(AB111&lt;&gt;"",IF($B$16=listy!$K$8,'RZĄDOWY PROGRAM'!$F$3*'RZĄDOWY PROGRAM'!$F$15,AG110*$F$15),"")</f>
        <v>50</v>
      </c>
      <c r="AO111" s="11">
        <f t="shared" si="59"/>
        <v>70</v>
      </c>
      <c r="AQ111" s="49">
        <f t="shared" si="47"/>
        <v>0.05</v>
      </c>
      <c r="AR111" s="18">
        <f t="shared" si="48"/>
        <v>4.0741237836483535E-3</v>
      </c>
      <c r="AS111" s="11">
        <f t="shared" si="60"/>
        <v>0</v>
      </c>
      <c r="AT111" s="11">
        <f t="shared" si="61"/>
        <v>35660.580442921557</v>
      </c>
      <c r="AU111" s="11">
        <f>IF(AB111&lt;&gt;"",AT111-SUM($AS$28:AS111),"")</f>
        <v>7971.1804429215517</v>
      </c>
    </row>
    <row r="112" spans="1:47" ht="14.5" x14ac:dyDescent="0.35">
      <c r="A112" s="76">
        <f t="shared" si="62"/>
        <v>47300</v>
      </c>
      <c r="B112" s="8">
        <f t="shared" si="36"/>
        <v>85</v>
      </c>
      <c r="C112" s="11">
        <f t="shared" si="37"/>
        <v>3461.17</v>
      </c>
      <c r="D112" s="11">
        <f t="shared" si="38"/>
        <v>1156.81039565937</v>
      </c>
      <c r="E112" s="11">
        <f t="shared" si="39"/>
        <v>2304.3596043406301</v>
      </c>
      <c r="F112" s="9">
        <f t="shared" si="49"/>
        <v>325702.70795052929</v>
      </c>
      <c r="G112" s="10">
        <f t="shared" si="40"/>
        <v>6.7599999999999993E-2</v>
      </c>
      <c r="H112" s="10">
        <f t="shared" si="41"/>
        <v>1.7000000000000001E-2</v>
      </c>
      <c r="I112" s="49">
        <f t="shared" si="42"/>
        <v>8.4599999999999995E-2</v>
      </c>
      <c r="J112" s="11">
        <f t="shared" si="43"/>
        <v>20</v>
      </c>
      <c r="K112" s="11">
        <f>IF(B112&lt;&gt;"",IF($B$16=listy!$K$8,'RZĄDOWY PROGRAM'!$F$3*'RZĄDOWY PROGRAM'!$F$15,F111*$F$15),"")</f>
        <v>50</v>
      </c>
      <c r="L112" s="11">
        <f t="shared" si="50"/>
        <v>70</v>
      </c>
      <c r="N112" s="55">
        <f t="shared" si="63"/>
        <v>47300</v>
      </c>
      <c r="O112" s="8">
        <f t="shared" si="51"/>
        <v>85</v>
      </c>
      <c r="P112" s="8"/>
      <c r="Q112" s="33">
        <f>IF(O112&lt;&gt;"",ROUND(IF($F$11="raty równe",-PMT(W112/12,$F$4-O111+SUM($P$28:P112),T111,2),R112+S112),2),"")</f>
        <v>3461.17</v>
      </c>
      <c r="R112" s="11">
        <f>IF(O112&lt;&gt;"",IF($F$11="raty malejące",T111/($F$4-O111+SUM($P$28:P112)),IF(Q112-S112&gt;T111,T111,Q112-S112)),"")</f>
        <v>1093.5881717185839</v>
      </c>
      <c r="S112" s="11">
        <f t="shared" si="65"/>
        <v>2367.5818282814162</v>
      </c>
      <c r="T112" s="9">
        <f t="shared" si="52"/>
        <v>334733.6215135887</v>
      </c>
      <c r="U112" s="10">
        <f t="shared" si="44"/>
        <v>6.7599999999999993E-2</v>
      </c>
      <c r="V112" s="10">
        <f t="shared" si="45"/>
        <v>1.7000000000000001E-2</v>
      </c>
      <c r="W112" s="49">
        <f t="shared" si="53"/>
        <v>8.4599999999999995E-2</v>
      </c>
      <c r="X112" s="11">
        <f t="shared" si="46"/>
        <v>20</v>
      </c>
      <c r="Y112" s="11">
        <f>IF(O112&lt;&gt;"",IF($B$16=listy!$K$8,'RZĄDOWY PROGRAM'!$F$3*'RZĄDOWY PROGRAM'!$F$15,T111*$F$15),"")</f>
        <v>50</v>
      </c>
      <c r="Z112" s="11">
        <f t="shared" si="54"/>
        <v>70</v>
      </c>
      <c r="AB112" s="8">
        <f t="shared" si="55"/>
        <v>85</v>
      </c>
      <c r="AC112" s="8"/>
      <c r="AD112" s="33">
        <f>IF(AB112&lt;&gt;"",ROUND(IF($F$11="raty równe",-PMT(W112/12,$F$4-AB111+SUM($AC$28:AC112),AG111,2),AE112+AF112),2),"")</f>
        <v>3227.7</v>
      </c>
      <c r="AE112" s="11">
        <f>IF(AB112&lt;&gt;"",IF($F$11="raty malejące",AG111/($F$4-AB111+SUM($AC$28:AC111)),MIN(AD112-AF112,AG111)),"")</f>
        <v>1019.8280733778106</v>
      </c>
      <c r="AF112" s="11">
        <f t="shared" si="66"/>
        <v>2207.8719266221892</v>
      </c>
      <c r="AG112" s="9">
        <f t="shared" si="64"/>
        <v>312153.49485175544</v>
      </c>
      <c r="AH112" s="11"/>
      <c r="AI112" s="33">
        <f>IF(AB112&lt;&gt;"",ROUND(IF($F$11="raty równe",-PMT(W112/12,($F$4-AB111+SUM($AC$27:AC111)),AG111,2),AG111/($F$4-AB111+SUM($AC$27:AC111))+AG111*W112/12),2),"")</f>
        <v>3227.7</v>
      </c>
      <c r="AJ112" s="33">
        <f t="shared" si="56"/>
        <v>233.47000000000025</v>
      </c>
      <c r="AK112" s="33">
        <f t="shared" si="57"/>
        <v>20691.228607440826</v>
      </c>
      <c r="AL112" s="33">
        <f>IF(AB112&lt;&gt;"",AK112-SUM($AJ$28:AJ112),"")</f>
        <v>2520.3186074408441</v>
      </c>
      <c r="AM112" s="11">
        <f t="shared" si="58"/>
        <v>20</v>
      </c>
      <c r="AN112" s="11">
        <f>IF(AB112&lt;&gt;"",IF($B$16=listy!$K$8,'RZĄDOWY PROGRAM'!$F$3*'RZĄDOWY PROGRAM'!$F$15,AG111*$F$15),"")</f>
        <v>50</v>
      </c>
      <c r="AO112" s="11">
        <f t="shared" si="59"/>
        <v>70</v>
      </c>
      <c r="AQ112" s="49">
        <f t="shared" si="47"/>
        <v>0.05</v>
      </c>
      <c r="AR112" s="18">
        <f t="shared" si="48"/>
        <v>4.0741237836483535E-3</v>
      </c>
      <c r="AS112" s="11">
        <f t="shared" si="60"/>
        <v>0</v>
      </c>
      <c r="AT112" s="11">
        <f t="shared" si="61"/>
        <v>35778.261794247737</v>
      </c>
      <c r="AU112" s="11">
        <f>IF(AB112&lt;&gt;"",AT112-SUM($AS$28:AS112),"")</f>
        <v>8088.8617942477322</v>
      </c>
    </row>
    <row r="113" spans="1:47" ht="14.5" x14ac:dyDescent="0.35">
      <c r="A113" s="76">
        <f t="shared" si="62"/>
        <v>47331</v>
      </c>
      <c r="B113" s="8">
        <f t="shared" si="36"/>
        <v>86</v>
      </c>
      <c r="C113" s="11">
        <f t="shared" si="37"/>
        <v>3461.18</v>
      </c>
      <c r="D113" s="11">
        <f t="shared" si="38"/>
        <v>1164.9759089487684</v>
      </c>
      <c r="E113" s="11">
        <f t="shared" si="39"/>
        <v>2296.2040910512314</v>
      </c>
      <c r="F113" s="9">
        <f t="shared" si="49"/>
        <v>324537.73204158054</v>
      </c>
      <c r="G113" s="10">
        <f t="shared" si="40"/>
        <v>6.7599999999999993E-2</v>
      </c>
      <c r="H113" s="10">
        <f t="shared" si="41"/>
        <v>1.7000000000000001E-2</v>
      </c>
      <c r="I113" s="49">
        <f t="shared" si="42"/>
        <v>8.4599999999999995E-2</v>
      </c>
      <c r="J113" s="11">
        <f t="shared" si="43"/>
        <v>20</v>
      </c>
      <c r="K113" s="11">
        <f>IF(B113&lt;&gt;"",IF($B$16=listy!$K$8,'RZĄDOWY PROGRAM'!$F$3*'RZĄDOWY PROGRAM'!$F$15,F112*$F$15),"")</f>
        <v>50</v>
      </c>
      <c r="L113" s="11">
        <f t="shared" si="50"/>
        <v>70</v>
      </c>
      <c r="N113" s="55">
        <f t="shared" si="63"/>
        <v>47331</v>
      </c>
      <c r="O113" s="8">
        <f t="shared" si="51"/>
        <v>86</v>
      </c>
      <c r="P113" s="8"/>
      <c r="Q113" s="33">
        <f>IF(O113&lt;&gt;"",ROUND(IF($F$11="raty równe",-PMT(W113/12,$F$4-O112+SUM($P$28:P113),T112,2),R113+S113),2),"")</f>
        <v>3461.18</v>
      </c>
      <c r="R113" s="11">
        <f>IF(O113&lt;&gt;"",IF($F$11="raty malejące",T112/($F$4-O112+SUM($P$28:P113)),IF(Q113-S113&gt;T112,T112,Q113-S113)),"")</f>
        <v>1101.3079683291999</v>
      </c>
      <c r="S113" s="11">
        <f t="shared" si="65"/>
        <v>2359.8720316708</v>
      </c>
      <c r="T113" s="9">
        <f t="shared" si="52"/>
        <v>333632.31354525953</v>
      </c>
      <c r="U113" s="10">
        <f t="shared" si="44"/>
        <v>6.7599999999999993E-2</v>
      </c>
      <c r="V113" s="10">
        <f t="shared" si="45"/>
        <v>1.7000000000000001E-2</v>
      </c>
      <c r="W113" s="49">
        <f t="shared" si="53"/>
        <v>8.4599999999999995E-2</v>
      </c>
      <c r="X113" s="11">
        <f t="shared" si="46"/>
        <v>20</v>
      </c>
      <c r="Y113" s="11">
        <f>IF(O113&lt;&gt;"",IF($B$16=listy!$K$8,'RZĄDOWY PROGRAM'!$F$3*'RZĄDOWY PROGRAM'!$F$15,T112*$F$15),"")</f>
        <v>50</v>
      </c>
      <c r="Z113" s="11">
        <f t="shared" si="54"/>
        <v>70</v>
      </c>
      <c r="AB113" s="8">
        <f t="shared" si="55"/>
        <v>86</v>
      </c>
      <c r="AC113" s="8"/>
      <c r="AD113" s="33">
        <f>IF(AB113&lt;&gt;"",ROUND(IF($F$11="raty równe",-PMT(W113/12,$F$4-AB112+SUM($AC$28:AC113),AG112,2),AE113+AF113),2),"")</f>
        <v>3227.69</v>
      </c>
      <c r="AE113" s="11">
        <f>IF(AB113&lt;&gt;"",IF($F$11="raty malejące",AG112/($F$4-AB112+SUM($AC$28:AC112)),MIN(AD113-AF113,AG112)),"")</f>
        <v>1027.0078612951243</v>
      </c>
      <c r="AF113" s="11">
        <f t="shared" si="66"/>
        <v>2200.6821387048758</v>
      </c>
      <c r="AG113" s="9">
        <f t="shared" si="64"/>
        <v>311126.48699046031</v>
      </c>
      <c r="AH113" s="11"/>
      <c r="AI113" s="33">
        <f>IF(AB113&lt;&gt;"",ROUND(IF($F$11="raty równe",-PMT(W113/12,($F$4-AB112+SUM($AC$27:AC112)),AG112,2),AG112/($F$4-AB112+SUM($AC$27:AC112))+AG112*W113/12),2),"")</f>
        <v>3227.69</v>
      </c>
      <c r="AJ113" s="33">
        <f t="shared" si="56"/>
        <v>233.48999999999978</v>
      </c>
      <c r="AK113" s="33">
        <f t="shared" si="57"/>
        <v>20993.000494972635</v>
      </c>
      <c r="AL113" s="33">
        <f>IF(AB113&lt;&gt;"",AK113-SUM($AJ$28:AJ113),"")</f>
        <v>2588.6004949726557</v>
      </c>
      <c r="AM113" s="11">
        <f t="shared" si="58"/>
        <v>20</v>
      </c>
      <c r="AN113" s="11">
        <f>IF(AB113&lt;&gt;"",IF($B$16=listy!$K$8,'RZĄDOWY PROGRAM'!$F$3*'RZĄDOWY PROGRAM'!$F$15,AG112*$F$15),"")</f>
        <v>50</v>
      </c>
      <c r="AO113" s="11">
        <f t="shared" si="59"/>
        <v>70</v>
      </c>
      <c r="AQ113" s="49">
        <f t="shared" si="47"/>
        <v>0.05</v>
      </c>
      <c r="AR113" s="18">
        <f t="shared" si="48"/>
        <v>4.0741237836483535E-3</v>
      </c>
      <c r="AS113" s="11">
        <f t="shared" si="60"/>
        <v>0</v>
      </c>
      <c r="AT113" s="11">
        <f t="shared" si="61"/>
        <v>35896.331498771709</v>
      </c>
      <c r="AU113" s="11">
        <f>IF(AB113&lt;&gt;"",AT113-SUM($AS$28:AS113),"")</f>
        <v>8206.9314987717044</v>
      </c>
    </row>
    <row r="114" spans="1:47" ht="14.5" x14ac:dyDescent="0.35">
      <c r="A114" s="76">
        <f t="shared" si="62"/>
        <v>47362</v>
      </c>
      <c r="B114" s="8">
        <f t="shared" si="36"/>
        <v>87</v>
      </c>
      <c r="C114" s="11">
        <f t="shared" si="37"/>
        <v>3461.17</v>
      </c>
      <c r="D114" s="11">
        <f t="shared" si="38"/>
        <v>1173.1789891068574</v>
      </c>
      <c r="E114" s="11">
        <f t="shared" si="39"/>
        <v>2287.9910108931426</v>
      </c>
      <c r="F114" s="9">
        <f t="shared" si="49"/>
        <v>323364.5530524737</v>
      </c>
      <c r="G114" s="10">
        <f t="shared" si="40"/>
        <v>6.7599999999999993E-2</v>
      </c>
      <c r="H114" s="10">
        <f t="shared" si="41"/>
        <v>1.7000000000000001E-2</v>
      </c>
      <c r="I114" s="49">
        <f t="shared" si="42"/>
        <v>8.4599999999999995E-2</v>
      </c>
      <c r="J114" s="11">
        <f t="shared" si="43"/>
        <v>20</v>
      </c>
      <c r="K114" s="11">
        <f>IF(B114&lt;&gt;"",IF($B$16=listy!$K$8,'RZĄDOWY PROGRAM'!$F$3*'RZĄDOWY PROGRAM'!$F$15,F113*$F$15),"")</f>
        <v>50</v>
      </c>
      <c r="L114" s="11">
        <f t="shared" si="50"/>
        <v>70</v>
      </c>
      <c r="N114" s="55">
        <f t="shared" si="63"/>
        <v>47362</v>
      </c>
      <c r="O114" s="8">
        <f t="shared" si="51"/>
        <v>87</v>
      </c>
      <c r="P114" s="8"/>
      <c r="Q114" s="33">
        <f>IF(O114&lt;&gt;"",ROUND(IF($F$11="raty równe",-PMT(W114/12,$F$4-O113+SUM($P$28:P114),T113,2),R114+S114),2),"")</f>
        <v>3461.17</v>
      </c>
      <c r="R114" s="11">
        <f>IF(O114&lt;&gt;"",IF($F$11="raty malejące",T113/($F$4-O113+SUM($P$28:P114)),IF(Q114-S114&gt;T113,T113,Q114-S114)),"")</f>
        <v>1109.0621895059207</v>
      </c>
      <c r="S114" s="11">
        <f t="shared" si="65"/>
        <v>2352.1078104940793</v>
      </c>
      <c r="T114" s="9">
        <f t="shared" si="52"/>
        <v>332523.25135575363</v>
      </c>
      <c r="U114" s="10">
        <f t="shared" si="44"/>
        <v>6.7599999999999993E-2</v>
      </c>
      <c r="V114" s="10">
        <f t="shared" si="45"/>
        <v>1.7000000000000001E-2</v>
      </c>
      <c r="W114" s="49">
        <f t="shared" si="53"/>
        <v>8.4599999999999995E-2</v>
      </c>
      <c r="X114" s="11">
        <f t="shared" si="46"/>
        <v>20</v>
      </c>
      <c r="Y114" s="11">
        <f>IF(O114&lt;&gt;"",IF($B$16=listy!$K$8,'RZĄDOWY PROGRAM'!$F$3*'RZĄDOWY PROGRAM'!$F$15,T113*$F$15),"")</f>
        <v>50</v>
      </c>
      <c r="Z114" s="11">
        <f t="shared" si="54"/>
        <v>70</v>
      </c>
      <c r="AB114" s="8">
        <f t="shared" si="55"/>
        <v>87</v>
      </c>
      <c r="AC114" s="8"/>
      <c r="AD114" s="33">
        <f>IF(AB114&lt;&gt;"",ROUND(IF($F$11="raty równe",-PMT(W114/12,$F$4-AB113+SUM($AC$28:AC114),AG113,2),AE114+AF114),2),"")</f>
        <v>3227.7</v>
      </c>
      <c r="AE114" s="11">
        <f>IF(AB114&lt;&gt;"",IF($F$11="raty malejące",AG113/($F$4-AB113+SUM($AC$28:AC113)),MIN(AD114-AF114,AG113)),"")</f>
        <v>1034.2582667172546</v>
      </c>
      <c r="AF114" s="11">
        <f t="shared" si="66"/>
        <v>2193.4417332827452</v>
      </c>
      <c r="AG114" s="9">
        <f t="shared" si="64"/>
        <v>310092.22872374306</v>
      </c>
      <c r="AH114" s="11"/>
      <c r="AI114" s="33">
        <f>IF(AB114&lt;&gt;"",ROUND(IF($F$11="raty równe",-PMT(W114/12,($F$4-AB113+SUM($AC$27:AC113)),AG113,2),AG113/($F$4-AB113+SUM($AC$27:AC113))+AG113*W114/12),2),"")</f>
        <v>3227.7</v>
      </c>
      <c r="AJ114" s="33">
        <f t="shared" si="56"/>
        <v>233.47000000000025</v>
      </c>
      <c r="AK114" s="33">
        <f t="shared" si="57"/>
        <v>21295.74824188407</v>
      </c>
      <c r="AL114" s="33">
        <f>IF(AB114&lt;&gt;"",AK114-SUM($AJ$28:AJ114),"")</f>
        <v>2657.8782418840892</v>
      </c>
      <c r="AM114" s="11">
        <f t="shared" si="58"/>
        <v>20</v>
      </c>
      <c r="AN114" s="11">
        <f>IF(AB114&lt;&gt;"",IF($B$16=listy!$K$8,'RZĄDOWY PROGRAM'!$F$3*'RZĄDOWY PROGRAM'!$F$15,AG113*$F$15),"")</f>
        <v>50</v>
      </c>
      <c r="AO114" s="11">
        <f t="shared" si="59"/>
        <v>70</v>
      </c>
      <c r="AQ114" s="49">
        <f t="shared" si="47"/>
        <v>0.05</v>
      </c>
      <c r="AR114" s="18">
        <f t="shared" si="48"/>
        <v>4.0741237836483535E-3</v>
      </c>
      <c r="AS114" s="11">
        <f t="shared" si="60"/>
        <v>0</v>
      </c>
      <c r="AT114" s="11">
        <f t="shared" si="61"/>
        <v>36014.790838074652</v>
      </c>
      <c r="AU114" s="11">
        <f>IF(AB114&lt;&gt;"",AT114-SUM($AS$28:AS114),"")</f>
        <v>8325.390838074647</v>
      </c>
    </row>
    <row r="115" spans="1:47" ht="14.5" x14ac:dyDescent="0.35">
      <c r="A115" s="76">
        <f t="shared" si="62"/>
        <v>47392</v>
      </c>
      <c r="B115" s="8">
        <f t="shared" si="36"/>
        <v>88</v>
      </c>
      <c r="C115" s="11">
        <f t="shared" si="37"/>
        <v>3461.18</v>
      </c>
      <c r="D115" s="11">
        <f t="shared" si="38"/>
        <v>1181.4599009800604</v>
      </c>
      <c r="E115" s="11">
        <f t="shared" si="39"/>
        <v>2279.7200990199394</v>
      </c>
      <c r="F115" s="9">
        <f t="shared" si="49"/>
        <v>322183.09315149364</v>
      </c>
      <c r="G115" s="10">
        <f t="shared" si="40"/>
        <v>6.7599999999999993E-2</v>
      </c>
      <c r="H115" s="10">
        <f t="shared" si="41"/>
        <v>1.7000000000000001E-2</v>
      </c>
      <c r="I115" s="49">
        <f t="shared" si="42"/>
        <v>8.4599999999999995E-2</v>
      </c>
      <c r="J115" s="11">
        <f t="shared" si="43"/>
        <v>20</v>
      </c>
      <c r="K115" s="11">
        <f>IF(B115&lt;&gt;"",IF($B$16=listy!$K$8,'RZĄDOWY PROGRAM'!$F$3*'RZĄDOWY PROGRAM'!$F$15,F114*$F$15),"")</f>
        <v>50</v>
      </c>
      <c r="L115" s="11">
        <f t="shared" si="50"/>
        <v>70</v>
      </c>
      <c r="N115" s="55">
        <f t="shared" si="63"/>
        <v>47392</v>
      </c>
      <c r="O115" s="8">
        <f t="shared" si="51"/>
        <v>88</v>
      </c>
      <c r="P115" s="8"/>
      <c r="Q115" s="33">
        <f>IF(O115&lt;&gt;"",ROUND(IF($F$11="raty równe",-PMT(W115/12,$F$4-O114+SUM($P$28:P115),T114,2),R115+S115),2),"")</f>
        <v>3461.18</v>
      </c>
      <c r="R115" s="11">
        <f>IF(O115&lt;&gt;"",IF($F$11="raty malejące",T114/($F$4-O114+SUM($P$28:P115)),IF(Q115-S115&gt;T114,T114,Q115-S115)),"")</f>
        <v>1116.8910779419366</v>
      </c>
      <c r="S115" s="11">
        <f t="shared" si="65"/>
        <v>2344.2889220580632</v>
      </c>
      <c r="T115" s="9">
        <f t="shared" si="52"/>
        <v>331406.36027781171</v>
      </c>
      <c r="U115" s="10">
        <f t="shared" si="44"/>
        <v>6.7599999999999993E-2</v>
      </c>
      <c r="V115" s="10">
        <f t="shared" si="45"/>
        <v>1.7000000000000001E-2</v>
      </c>
      <c r="W115" s="49">
        <f t="shared" si="53"/>
        <v>8.4599999999999995E-2</v>
      </c>
      <c r="X115" s="11">
        <f t="shared" si="46"/>
        <v>20</v>
      </c>
      <c r="Y115" s="11">
        <f>IF(O115&lt;&gt;"",IF($B$16=listy!$K$8,'RZĄDOWY PROGRAM'!$F$3*'RZĄDOWY PROGRAM'!$F$15,T114*$F$15),"")</f>
        <v>50</v>
      </c>
      <c r="Z115" s="11">
        <f t="shared" si="54"/>
        <v>70</v>
      </c>
      <c r="AB115" s="8">
        <f t="shared" si="55"/>
        <v>88</v>
      </c>
      <c r="AC115" s="8"/>
      <c r="AD115" s="33">
        <f>IF(AB115&lt;&gt;"",ROUND(IF($F$11="raty równe",-PMT(W115/12,$F$4-AB114+SUM($AC$28:AC115),AG114,2),AE115+AF115),2),"")</f>
        <v>3227.69</v>
      </c>
      <c r="AE115" s="11">
        <f>IF(AB115&lt;&gt;"",IF($F$11="raty malejące",AG114/($F$4-AB114+SUM($AC$28:AC114)),MIN(AD115-AF115,AG114)),"")</f>
        <v>1041.5397874976115</v>
      </c>
      <c r="AF115" s="11">
        <f t="shared" si="66"/>
        <v>2186.1502125023885</v>
      </c>
      <c r="AG115" s="9">
        <f t="shared" si="64"/>
        <v>309050.68893624545</v>
      </c>
      <c r="AH115" s="11"/>
      <c r="AI115" s="33">
        <f>IF(AB115&lt;&gt;"",ROUND(IF($F$11="raty równe",-PMT(W115/12,($F$4-AB114+SUM($AC$27:AC114)),AG114,2),AG114/($F$4-AB114+SUM($AC$27:AC114))+AG114*W115/12),2),"")</f>
        <v>3227.69</v>
      </c>
      <c r="AJ115" s="33">
        <f t="shared" si="56"/>
        <v>233.48999999999978</v>
      </c>
      <c r="AK115" s="33">
        <f t="shared" si="57"/>
        <v>21599.515068550376</v>
      </c>
      <c r="AL115" s="33">
        <f>IF(AB115&lt;&gt;"",AK115-SUM($AJ$28:AJ115),"")</f>
        <v>2728.1550685503971</v>
      </c>
      <c r="AM115" s="11">
        <f t="shared" si="58"/>
        <v>20</v>
      </c>
      <c r="AN115" s="11">
        <f>IF(AB115&lt;&gt;"",IF($B$16=listy!$K$8,'RZĄDOWY PROGRAM'!$F$3*'RZĄDOWY PROGRAM'!$F$15,AG114*$F$15),"")</f>
        <v>50</v>
      </c>
      <c r="AO115" s="11">
        <f t="shared" si="59"/>
        <v>70</v>
      </c>
      <c r="AQ115" s="49">
        <f t="shared" si="47"/>
        <v>0.05</v>
      </c>
      <c r="AR115" s="18">
        <f t="shared" si="48"/>
        <v>4.0741237836483535E-3</v>
      </c>
      <c r="AS115" s="11">
        <f t="shared" si="60"/>
        <v>0</v>
      </c>
      <c r="AT115" s="11">
        <f t="shared" si="61"/>
        <v>36133.641097967033</v>
      </c>
      <c r="AU115" s="11">
        <f>IF(AB115&lt;&gt;"",AT115-SUM($AS$28:AS115),"")</f>
        <v>8444.2410979670276</v>
      </c>
    </row>
    <row r="116" spans="1:47" ht="14.5" x14ac:dyDescent="0.35">
      <c r="A116" s="76">
        <f t="shared" si="62"/>
        <v>47423</v>
      </c>
      <c r="B116" s="8">
        <f t="shared" si="36"/>
        <v>89</v>
      </c>
      <c r="C116" s="11">
        <f t="shared" si="37"/>
        <v>3461.17</v>
      </c>
      <c r="D116" s="11">
        <f t="shared" si="38"/>
        <v>1189.77919328197</v>
      </c>
      <c r="E116" s="11">
        <f t="shared" si="39"/>
        <v>2271.39080671803</v>
      </c>
      <c r="F116" s="9">
        <f t="shared" si="49"/>
        <v>320993.31395821169</v>
      </c>
      <c r="G116" s="10">
        <f t="shared" si="40"/>
        <v>6.7599999999999993E-2</v>
      </c>
      <c r="H116" s="10">
        <f t="shared" si="41"/>
        <v>1.7000000000000001E-2</v>
      </c>
      <c r="I116" s="49">
        <f t="shared" si="42"/>
        <v>8.4599999999999995E-2</v>
      </c>
      <c r="J116" s="11">
        <f t="shared" si="43"/>
        <v>20</v>
      </c>
      <c r="K116" s="11">
        <f>IF(B116&lt;&gt;"",IF($B$16=listy!$K$8,'RZĄDOWY PROGRAM'!$F$3*'RZĄDOWY PROGRAM'!$F$15,F115*$F$15),"")</f>
        <v>50</v>
      </c>
      <c r="L116" s="11">
        <f t="shared" si="50"/>
        <v>70</v>
      </c>
      <c r="N116" s="55">
        <f t="shared" si="63"/>
        <v>47423</v>
      </c>
      <c r="O116" s="8">
        <f t="shared" si="51"/>
        <v>89</v>
      </c>
      <c r="P116" s="8"/>
      <c r="Q116" s="33">
        <f>IF(O116&lt;&gt;"",ROUND(IF($F$11="raty równe",-PMT(W116/12,$F$4-O115+SUM($P$28:P116),T115,2),R116+S116),2),"")</f>
        <v>3461.17</v>
      </c>
      <c r="R116" s="11">
        <f>IF(O116&lt;&gt;"",IF($F$11="raty malejące",T115/($F$4-O115+SUM($P$28:P116)),IF(Q116-S116&gt;T115,T115,Q116-S116)),"")</f>
        <v>1124.7551600414276</v>
      </c>
      <c r="S116" s="11">
        <f t="shared" si="65"/>
        <v>2336.4148399585724</v>
      </c>
      <c r="T116" s="9">
        <f t="shared" si="52"/>
        <v>330281.60511777026</v>
      </c>
      <c r="U116" s="10">
        <f t="shared" si="44"/>
        <v>6.7599999999999993E-2</v>
      </c>
      <c r="V116" s="10">
        <f t="shared" si="45"/>
        <v>1.7000000000000001E-2</v>
      </c>
      <c r="W116" s="49">
        <f t="shared" si="53"/>
        <v>8.4599999999999995E-2</v>
      </c>
      <c r="X116" s="11">
        <f t="shared" si="46"/>
        <v>20</v>
      </c>
      <c r="Y116" s="11">
        <f>IF(O116&lt;&gt;"",IF($B$16=listy!$K$8,'RZĄDOWY PROGRAM'!$F$3*'RZĄDOWY PROGRAM'!$F$15,T115*$F$15),"")</f>
        <v>50</v>
      </c>
      <c r="Z116" s="11">
        <f t="shared" si="54"/>
        <v>70</v>
      </c>
      <c r="AB116" s="8">
        <f t="shared" si="55"/>
        <v>89</v>
      </c>
      <c r="AC116" s="8"/>
      <c r="AD116" s="33">
        <f>IF(AB116&lt;&gt;"",ROUND(IF($F$11="raty równe",-PMT(W116/12,$F$4-AB115+SUM($AC$28:AC116),AG115,2),AE116+AF116),2),"")</f>
        <v>3227.7</v>
      </c>
      <c r="AE116" s="11">
        <f>IF(AB116&lt;&gt;"",IF($F$11="raty malejące",AG115/($F$4-AB115+SUM($AC$28:AC115)),MIN(AD116-AF116,AG115)),"")</f>
        <v>1048.8926429994694</v>
      </c>
      <c r="AF116" s="11">
        <f t="shared" si="66"/>
        <v>2178.8073570005304</v>
      </c>
      <c r="AG116" s="9">
        <f t="shared" si="64"/>
        <v>308001.79629324598</v>
      </c>
      <c r="AH116" s="11"/>
      <c r="AI116" s="33">
        <f>IF(AB116&lt;&gt;"",ROUND(IF($F$11="raty równe",-PMT(W116/12,($F$4-AB115+SUM($AC$27:AC115)),AG115,2),AG115/($F$4-AB115+SUM($AC$27:AC115))+AG115*W116/12),2),"")</f>
        <v>3227.7</v>
      </c>
      <c r="AJ116" s="33">
        <f t="shared" si="56"/>
        <v>233.47000000000025</v>
      </c>
      <c r="AK116" s="33">
        <f t="shared" si="57"/>
        <v>21904.264337975779</v>
      </c>
      <c r="AL116" s="33">
        <f>IF(AB116&lt;&gt;"",AK116-SUM($AJ$28:AJ116),"")</f>
        <v>2799.4343379757993</v>
      </c>
      <c r="AM116" s="11">
        <f t="shared" si="58"/>
        <v>20</v>
      </c>
      <c r="AN116" s="11">
        <f>IF(AB116&lt;&gt;"",IF($B$16=listy!$K$8,'RZĄDOWY PROGRAM'!$F$3*'RZĄDOWY PROGRAM'!$F$15,AG115*$F$15),"")</f>
        <v>50</v>
      </c>
      <c r="AO116" s="11">
        <f t="shared" si="59"/>
        <v>70</v>
      </c>
      <c r="AQ116" s="49">
        <f t="shared" si="47"/>
        <v>0.05</v>
      </c>
      <c r="AR116" s="18">
        <f t="shared" si="48"/>
        <v>4.0741237836483535E-3</v>
      </c>
      <c r="AS116" s="11">
        <f t="shared" si="60"/>
        <v>0</v>
      </c>
      <c r="AT116" s="11">
        <f t="shared" si="61"/>
        <v>36252.883568502533</v>
      </c>
      <c r="AU116" s="11">
        <f>IF(AB116&lt;&gt;"",AT116-SUM($AS$28:AS116),"")</f>
        <v>8563.4835685025282</v>
      </c>
    </row>
    <row r="117" spans="1:47" ht="14.5" x14ac:dyDescent="0.35">
      <c r="A117" s="76">
        <f t="shared" si="62"/>
        <v>47453</v>
      </c>
      <c r="B117" s="8">
        <f t="shared" si="36"/>
        <v>90</v>
      </c>
      <c r="C117" s="11">
        <f t="shared" si="37"/>
        <v>3461.18</v>
      </c>
      <c r="D117" s="11">
        <f t="shared" si="38"/>
        <v>1198.1771365946079</v>
      </c>
      <c r="E117" s="11">
        <f t="shared" si="39"/>
        <v>2263.002863405392</v>
      </c>
      <c r="F117" s="9">
        <f t="shared" si="49"/>
        <v>319795.13682161708</v>
      </c>
      <c r="G117" s="10">
        <f t="shared" si="40"/>
        <v>6.7599999999999993E-2</v>
      </c>
      <c r="H117" s="10">
        <f t="shared" si="41"/>
        <v>1.7000000000000001E-2</v>
      </c>
      <c r="I117" s="49">
        <f t="shared" si="42"/>
        <v>8.4599999999999995E-2</v>
      </c>
      <c r="J117" s="11">
        <f t="shared" si="43"/>
        <v>20</v>
      </c>
      <c r="K117" s="11">
        <f>IF(B117&lt;&gt;"",IF($B$16=listy!$K$8,'RZĄDOWY PROGRAM'!$F$3*'RZĄDOWY PROGRAM'!$F$15,F116*$F$15),"")</f>
        <v>50</v>
      </c>
      <c r="L117" s="11">
        <f t="shared" si="50"/>
        <v>70</v>
      </c>
      <c r="N117" s="55">
        <f t="shared" si="63"/>
        <v>47453</v>
      </c>
      <c r="O117" s="8">
        <f t="shared" si="51"/>
        <v>90</v>
      </c>
      <c r="P117" s="8"/>
      <c r="Q117" s="33">
        <f>IF(O117&lt;&gt;"",ROUND(IF($F$11="raty równe",-PMT(W117/12,$F$4-O116+SUM($P$28:P117),T116,2),R117+S117),2),"")</f>
        <v>3461.18</v>
      </c>
      <c r="R117" s="11">
        <f>IF(O117&lt;&gt;"",IF($F$11="raty malejące",T116/($F$4-O116+SUM($P$28:P117)),IF(Q117-S117&gt;T116,T116,Q117-S117)),"")</f>
        <v>1132.6946839197199</v>
      </c>
      <c r="S117" s="11">
        <f t="shared" si="65"/>
        <v>2328.48531608028</v>
      </c>
      <c r="T117" s="9">
        <f t="shared" si="52"/>
        <v>329148.91043385054</v>
      </c>
      <c r="U117" s="10">
        <f t="shared" si="44"/>
        <v>6.7599999999999993E-2</v>
      </c>
      <c r="V117" s="10">
        <f t="shared" si="45"/>
        <v>1.7000000000000001E-2</v>
      </c>
      <c r="W117" s="49">
        <f t="shared" si="53"/>
        <v>8.4599999999999995E-2</v>
      </c>
      <c r="X117" s="11">
        <f t="shared" si="46"/>
        <v>20</v>
      </c>
      <c r="Y117" s="11">
        <f>IF(O117&lt;&gt;"",IF($B$16=listy!$K$8,'RZĄDOWY PROGRAM'!$F$3*'RZĄDOWY PROGRAM'!$F$15,T116*$F$15),"")</f>
        <v>50</v>
      </c>
      <c r="Z117" s="11">
        <f t="shared" si="54"/>
        <v>70</v>
      </c>
      <c r="AB117" s="8">
        <f t="shared" si="55"/>
        <v>90</v>
      </c>
      <c r="AC117" s="8"/>
      <c r="AD117" s="33">
        <f>IF(AB117&lt;&gt;"",ROUND(IF($F$11="raty równe",-PMT(W117/12,$F$4-AB116+SUM($AC$28:AC117),AG116,2),AE117+AF117),2),"")</f>
        <v>3227.69</v>
      </c>
      <c r="AE117" s="11">
        <f>IF(AB117&lt;&gt;"",IF($F$11="raty malejące",AG116/($F$4-AB116+SUM($AC$28:AC116)),MIN(AD117-AF117,AG116)),"")</f>
        <v>1056.2773361326163</v>
      </c>
      <c r="AF117" s="11">
        <f t="shared" si="66"/>
        <v>2171.4126638673838</v>
      </c>
      <c r="AG117" s="9">
        <f t="shared" si="64"/>
        <v>306945.51895711338</v>
      </c>
      <c r="AH117" s="11"/>
      <c r="AI117" s="33">
        <f>IF(AB117&lt;&gt;"",ROUND(IF($F$11="raty równe",-PMT(W117/12,($F$4-AB116+SUM($AC$27:AC116)),AG116,2),AG116/($F$4-AB116+SUM($AC$27:AC116))+AG116*W117/12),2),"")</f>
        <v>3227.69</v>
      </c>
      <c r="AJ117" s="33">
        <f t="shared" si="56"/>
        <v>233.48999999999978</v>
      </c>
      <c r="AK117" s="33">
        <f t="shared" si="57"/>
        <v>22210.039292260939</v>
      </c>
      <c r="AL117" s="33">
        <f>IF(AB117&lt;&gt;"",AK117-SUM($AJ$28:AJ117),"")</f>
        <v>2871.7192922609611</v>
      </c>
      <c r="AM117" s="11">
        <f t="shared" si="58"/>
        <v>20</v>
      </c>
      <c r="AN117" s="11">
        <f>IF(AB117&lt;&gt;"",IF($B$16=listy!$K$8,'RZĄDOWY PROGRAM'!$F$3*'RZĄDOWY PROGRAM'!$F$15,AG116*$F$15),"")</f>
        <v>50</v>
      </c>
      <c r="AO117" s="11">
        <f t="shared" si="59"/>
        <v>70</v>
      </c>
      <c r="AQ117" s="49">
        <f t="shared" si="47"/>
        <v>0.05</v>
      </c>
      <c r="AR117" s="18">
        <f t="shared" si="48"/>
        <v>4.0741237836483535E-3</v>
      </c>
      <c r="AS117" s="11">
        <f t="shared" si="60"/>
        <v>0</v>
      </c>
      <c r="AT117" s="11">
        <f t="shared" si="61"/>
        <v>36372.519543992072</v>
      </c>
      <c r="AU117" s="11">
        <f>IF(AB117&lt;&gt;"",AT117-SUM($AS$28:AS117),"")</f>
        <v>8683.1195439920666</v>
      </c>
    </row>
    <row r="118" spans="1:47" ht="14.5" x14ac:dyDescent="0.35">
      <c r="A118" s="76">
        <f t="shared" si="62"/>
        <v>47484</v>
      </c>
      <c r="B118" s="8">
        <f t="shared" si="36"/>
        <v>91</v>
      </c>
      <c r="C118" s="11">
        <f t="shared" si="37"/>
        <v>3461.17</v>
      </c>
      <c r="D118" s="11">
        <f t="shared" si="38"/>
        <v>1206.6142854075997</v>
      </c>
      <c r="E118" s="11">
        <f t="shared" si="39"/>
        <v>2254.5557145924004</v>
      </c>
      <c r="F118" s="9">
        <f t="shared" si="49"/>
        <v>318588.52253620949</v>
      </c>
      <c r="G118" s="10">
        <f t="shared" si="40"/>
        <v>6.7599999999999993E-2</v>
      </c>
      <c r="H118" s="10">
        <f t="shared" si="41"/>
        <v>1.7000000000000001E-2</v>
      </c>
      <c r="I118" s="49">
        <f t="shared" si="42"/>
        <v>8.4599999999999995E-2</v>
      </c>
      <c r="J118" s="11">
        <f t="shared" si="43"/>
        <v>20</v>
      </c>
      <c r="K118" s="11">
        <f>IF(B118&lt;&gt;"",IF($B$16=listy!$K$8,'RZĄDOWY PROGRAM'!$F$3*'RZĄDOWY PROGRAM'!$F$15,F117*$F$15),"")</f>
        <v>50</v>
      </c>
      <c r="L118" s="11">
        <f t="shared" si="50"/>
        <v>70</v>
      </c>
      <c r="N118" s="55">
        <f t="shared" si="63"/>
        <v>47484</v>
      </c>
      <c r="O118" s="8">
        <f t="shared" si="51"/>
        <v>91</v>
      </c>
      <c r="P118" s="8"/>
      <c r="Q118" s="33">
        <f>IF(O118&lt;&gt;"",ROUND(IF($F$11="raty równe",-PMT(W118/12,$F$4-O117+SUM($P$28:P118),T117,2),R118+S118),2),"")</f>
        <v>3461.17</v>
      </c>
      <c r="R118" s="11">
        <f>IF(O118&lt;&gt;"",IF($F$11="raty malejące",T117/($F$4-O117+SUM($P$28:P118)),IF(Q118-S118&gt;T117,T117,Q118-S118)),"")</f>
        <v>1140.6701814413541</v>
      </c>
      <c r="S118" s="11">
        <f t="shared" si="65"/>
        <v>2320.499818558646</v>
      </c>
      <c r="T118" s="9">
        <f t="shared" si="52"/>
        <v>328008.24025240919</v>
      </c>
      <c r="U118" s="10">
        <f t="shared" si="44"/>
        <v>6.7599999999999993E-2</v>
      </c>
      <c r="V118" s="10">
        <f t="shared" si="45"/>
        <v>1.7000000000000001E-2</v>
      </c>
      <c r="W118" s="49">
        <f t="shared" si="53"/>
        <v>8.4599999999999995E-2</v>
      </c>
      <c r="X118" s="11">
        <f t="shared" si="46"/>
        <v>20</v>
      </c>
      <c r="Y118" s="11">
        <f>IF(O118&lt;&gt;"",IF($B$16=listy!$K$8,'RZĄDOWY PROGRAM'!$F$3*'RZĄDOWY PROGRAM'!$F$15,T117*$F$15),"")</f>
        <v>50</v>
      </c>
      <c r="Z118" s="11">
        <f t="shared" si="54"/>
        <v>70</v>
      </c>
      <c r="AB118" s="8">
        <f t="shared" si="55"/>
        <v>91</v>
      </c>
      <c r="AC118" s="8"/>
      <c r="AD118" s="33">
        <f>IF(AB118&lt;&gt;"",ROUND(IF($F$11="raty równe",-PMT(W118/12,$F$4-AB117+SUM($AC$28:AC118),AG117,2),AE118+AF118),2),"")</f>
        <v>3227.7</v>
      </c>
      <c r="AE118" s="11">
        <f>IF(AB118&lt;&gt;"",IF($F$11="raty malejące",AG117/($F$4-AB117+SUM($AC$28:AC117)),MIN(AD118-AF118,AG117)),"")</f>
        <v>1063.7340913523508</v>
      </c>
      <c r="AF118" s="11">
        <f t="shared" si="66"/>
        <v>2163.965908647649</v>
      </c>
      <c r="AG118" s="9">
        <f t="shared" si="64"/>
        <v>305881.78486576106</v>
      </c>
      <c r="AH118" s="11"/>
      <c r="AI118" s="33">
        <f>IF(AB118&lt;&gt;"",ROUND(IF($F$11="raty równe",-PMT(W118/12,($F$4-AB117+SUM($AC$27:AC117)),AG117,2),AG117/($F$4-AB117+SUM($AC$27:AC117))+AG117*W118/12),2),"")</f>
        <v>3227.7</v>
      </c>
      <c r="AJ118" s="33">
        <f t="shared" si="56"/>
        <v>233.47000000000025</v>
      </c>
      <c r="AK118" s="33">
        <f t="shared" si="57"/>
        <v>22516.803316207195</v>
      </c>
      <c r="AL118" s="33">
        <f>IF(AB118&lt;&gt;"",AK118-SUM($AJ$28:AJ118),"")</f>
        <v>2945.0133162072161</v>
      </c>
      <c r="AM118" s="11">
        <f t="shared" si="58"/>
        <v>20</v>
      </c>
      <c r="AN118" s="11">
        <f>IF(AB118&lt;&gt;"",IF($B$16=listy!$K$8,'RZĄDOWY PROGRAM'!$F$3*'RZĄDOWY PROGRAM'!$F$15,AG117*$F$15),"")</f>
        <v>50</v>
      </c>
      <c r="AO118" s="11">
        <f t="shared" si="59"/>
        <v>70</v>
      </c>
      <c r="AQ118" s="49">
        <f t="shared" si="47"/>
        <v>0.05</v>
      </c>
      <c r="AR118" s="18">
        <f t="shared" si="48"/>
        <v>4.0741237836483535E-3</v>
      </c>
      <c r="AS118" s="11">
        <f t="shared" si="60"/>
        <v>0</v>
      </c>
      <c r="AT118" s="11">
        <f t="shared" si="61"/>
        <v>36492.550323017836</v>
      </c>
      <c r="AU118" s="11">
        <f>IF(AB118&lt;&gt;"",AT118-SUM($AS$28:AS118),"")</f>
        <v>8803.1503230178314</v>
      </c>
    </row>
    <row r="119" spans="1:47" ht="14.5" x14ac:dyDescent="0.35">
      <c r="A119" s="76">
        <f t="shared" si="62"/>
        <v>47515</v>
      </c>
      <c r="B119" s="8">
        <f t="shared" si="36"/>
        <v>92</v>
      </c>
      <c r="C119" s="11">
        <f t="shared" si="37"/>
        <v>3461.18</v>
      </c>
      <c r="D119" s="11">
        <f t="shared" si="38"/>
        <v>1215.1309161197232</v>
      </c>
      <c r="E119" s="11">
        <f t="shared" si="39"/>
        <v>2246.0490838802766</v>
      </c>
      <c r="F119" s="9">
        <f t="shared" si="49"/>
        <v>317373.39162008977</v>
      </c>
      <c r="G119" s="10">
        <f t="shared" si="40"/>
        <v>6.7599999999999993E-2</v>
      </c>
      <c r="H119" s="10">
        <f t="shared" si="41"/>
        <v>1.7000000000000001E-2</v>
      </c>
      <c r="I119" s="49">
        <f t="shared" si="42"/>
        <v>8.4599999999999995E-2</v>
      </c>
      <c r="J119" s="11">
        <f t="shared" si="43"/>
        <v>20</v>
      </c>
      <c r="K119" s="11">
        <f>IF(B119&lt;&gt;"",IF($B$16=listy!$K$8,'RZĄDOWY PROGRAM'!$F$3*'RZĄDOWY PROGRAM'!$F$15,F118*$F$15),"")</f>
        <v>50</v>
      </c>
      <c r="L119" s="11">
        <f t="shared" si="50"/>
        <v>70</v>
      </c>
      <c r="N119" s="55">
        <f t="shared" si="63"/>
        <v>47515</v>
      </c>
      <c r="O119" s="8">
        <f t="shared" si="51"/>
        <v>92</v>
      </c>
      <c r="P119" s="8"/>
      <c r="Q119" s="33">
        <f>IF(O119&lt;&gt;"",ROUND(IF($F$11="raty równe",-PMT(W119/12,$F$4-O118+SUM($P$28:P119),T118,2),R119+S119),2),"")</f>
        <v>3461.18</v>
      </c>
      <c r="R119" s="11">
        <f>IF(O119&lt;&gt;"",IF($F$11="raty malejące",T118/($F$4-O118+SUM($P$28:P119)),IF(Q119-S119&gt;T118,T118,Q119-S119)),"")</f>
        <v>1148.7219062205149</v>
      </c>
      <c r="S119" s="11">
        <f t="shared" si="65"/>
        <v>2312.4580937794849</v>
      </c>
      <c r="T119" s="9">
        <f t="shared" si="52"/>
        <v>326859.51834618865</v>
      </c>
      <c r="U119" s="10">
        <f t="shared" si="44"/>
        <v>6.7599999999999993E-2</v>
      </c>
      <c r="V119" s="10">
        <f t="shared" si="45"/>
        <v>1.7000000000000001E-2</v>
      </c>
      <c r="W119" s="49">
        <f t="shared" si="53"/>
        <v>8.4599999999999995E-2</v>
      </c>
      <c r="X119" s="11">
        <f t="shared" si="46"/>
        <v>20</v>
      </c>
      <c r="Y119" s="11">
        <f>IF(O119&lt;&gt;"",IF($B$16=listy!$K$8,'RZĄDOWY PROGRAM'!$F$3*'RZĄDOWY PROGRAM'!$F$15,T118*$F$15),"")</f>
        <v>50</v>
      </c>
      <c r="Z119" s="11">
        <f t="shared" si="54"/>
        <v>70</v>
      </c>
      <c r="AB119" s="8">
        <f t="shared" si="55"/>
        <v>92</v>
      </c>
      <c r="AC119" s="8"/>
      <c r="AD119" s="33">
        <f>IF(AB119&lt;&gt;"",ROUND(IF($F$11="raty równe",-PMT(W119/12,$F$4-AB118+SUM($AC$28:AC119),AG118,2),AE119+AF119),2),"")</f>
        <v>3227.69</v>
      </c>
      <c r="AE119" s="11">
        <f>IF(AB119&lt;&gt;"",IF($F$11="raty malejące",AG118/($F$4-AB118+SUM($AC$28:AC118)),MIN(AD119-AF119,AG118)),"")</f>
        <v>1071.2234166963844</v>
      </c>
      <c r="AF119" s="11">
        <f t="shared" si="66"/>
        <v>2156.4665833036156</v>
      </c>
      <c r="AG119" s="9">
        <f t="shared" si="64"/>
        <v>304810.5614490647</v>
      </c>
      <c r="AH119" s="11"/>
      <c r="AI119" s="33">
        <f>IF(AB119&lt;&gt;"",ROUND(IF($F$11="raty równe",-PMT(W119/12,($F$4-AB118+SUM($AC$27:AC118)),AG118,2),AG118/($F$4-AB118+SUM($AC$27:AC118))+AG118*W119/12),2),"")</f>
        <v>3227.69</v>
      </c>
      <c r="AJ119" s="33">
        <f t="shared" si="56"/>
        <v>233.48999999999978</v>
      </c>
      <c r="AK119" s="33">
        <f t="shared" si="57"/>
        <v>22824.599673784251</v>
      </c>
      <c r="AL119" s="33">
        <f>IF(AB119&lt;&gt;"",AK119-SUM($AJ$28:AJ119),"")</f>
        <v>3019.3196737842736</v>
      </c>
      <c r="AM119" s="11">
        <f t="shared" si="58"/>
        <v>20</v>
      </c>
      <c r="AN119" s="11">
        <f>IF(AB119&lt;&gt;"",IF($B$16=listy!$K$8,'RZĄDOWY PROGRAM'!$F$3*'RZĄDOWY PROGRAM'!$F$15,AG118*$F$15),"")</f>
        <v>50</v>
      </c>
      <c r="AO119" s="11">
        <f t="shared" si="59"/>
        <v>70</v>
      </c>
      <c r="AQ119" s="49">
        <f t="shared" si="47"/>
        <v>0.05</v>
      </c>
      <c r="AR119" s="18">
        <f t="shared" si="48"/>
        <v>4.0741237836483535E-3</v>
      </c>
      <c r="AS119" s="11">
        <f t="shared" si="60"/>
        <v>0</v>
      </c>
      <c r="AT119" s="11">
        <f t="shared" si="61"/>
        <v>36612.977208447403</v>
      </c>
      <c r="AU119" s="11">
        <f>IF(AB119&lt;&gt;"",AT119-SUM($AS$28:AS119),"")</f>
        <v>8923.5772084473974</v>
      </c>
    </row>
    <row r="120" spans="1:47" ht="14.5" x14ac:dyDescent="0.35">
      <c r="A120" s="76">
        <f t="shared" si="62"/>
        <v>47543</v>
      </c>
      <c r="B120" s="8">
        <f t="shared" si="36"/>
        <v>93</v>
      </c>
      <c r="C120" s="11">
        <f t="shared" si="37"/>
        <v>3461.17</v>
      </c>
      <c r="D120" s="11">
        <f t="shared" si="38"/>
        <v>1223.6875890783672</v>
      </c>
      <c r="E120" s="11">
        <f t="shared" si="39"/>
        <v>2237.4824109216329</v>
      </c>
      <c r="F120" s="9">
        <f t="shared" si="49"/>
        <v>316149.70403101138</v>
      </c>
      <c r="G120" s="10">
        <f t="shared" si="40"/>
        <v>6.7599999999999993E-2</v>
      </c>
      <c r="H120" s="10">
        <f t="shared" si="41"/>
        <v>1.7000000000000001E-2</v>
      </c>
      <c r="I120" s="49">
        <f t="shared" si="42"/>
        <v>8.4599999999999995E-2</v>
      </c>
      <c r="J120" s="11">
        <f t="shared" si="43"/>
        <v>20</v>
      </c>
      <c r="K120" s="11">
        <f>IF(B120&lt;&gt;"",IF($B$16=listy!$K$8,'RZĄDOWY PROGRAM'!$F$3*'RZĄDOWY PROGRAM'!$F$15,F119*$F$15),"")</f>
        <v>50</v>
      </c>
      <c r="L120" s="11">
        <f t="shared" si="50"/>
        <v>70</v>
      </c>
      <c r="N120" s="55">
        <f t="shared" si="63"/>
        <v>47543</v>
      </c>
      <c r="O120" s="8">
        <f t="shared" si="51"/>
        <v>93</v>
      </c>
      <c r="P120" s="8"/>
      <c r="Q120" s="33">
        <f>IF(O120&lt;&gt;"",ROUND(IF($F$11="raty równe",-PMT(W120/12,$F$4-O119+SUM($P$28:P120),T119,2),R120+S120),2),"")</f>
        <v>3461.17</v>
      </c>
      <c r="R120" s="11">
        <f>IF(O120&lt;&gt;"",IF($F$11="raty malejące",T119/($F$4-O119+SUM($P$28:P120)),IF(Q120-S120&gt;T119,T119,Q120-S120)),"")</f>
        <v>1156.81039565937</v>
      </c>
      <c r="S120" s="11">
        <f t="shared" si="65"/>
        <v>2304.3596043406301</v>
      </c>
      <c r="T120" s="9">
        <f t="shared" si="52"/>
        <v>325702.70795052929</v>
      </c>
      <c r="U120" s="10">
        <f t="shared" si="44"/>
        <v>6.7599999999999993E-2</v>
      </c>
      <c r="V120" s="10">
        <f t="shared" si="45"/>
        <v>1.7000000000000001E-2</v>
      </c>
      <c r="W120" s="49">
        <f t="shared" si="53"/>
        <v>8.4599999999999995E-2</v>
      </c>
      <c r="X120" s="11">
        <f t="shared" si="46"/>
        <v>20</v>
      </c>
      <c r="Y120" s="11">
        <f>IF(O120&lt;&gt;"",IF($B$16=listy!$K$8,'RZĄDOWY PROGRAM'!$F$3*'RZĄDOWY PROGRAM'!$F$15,T119*$F$15),"")</f>
        <v>50</v>
      </c>
      <c r="Z120" s="11">
        <f t="shared" si="54"/>
        <v>70</v>
      </c>
      <c r="AB120" s="8">
        <f t="shared" si="55"/>
        <v>93</v>
      </c>
      <c r="AC120" s="8"/>
      <c r="AD120" s="33">
        <f>IF(AB120&lt;&gt;"",ROUND(IF($F$11="raty równe",-PMT(W120/12,$F$4-AB119+SUM($AC$28:AC120),AG119,2),AE120+AF120),2),"")</f>
        <v>3227.7</v>
      </c>
      <c r="AE120" s="11">
        <f>IF(AB120&lt;&gt;"",IF($F$11="raty malejące",AG119/($F$4-AB119+SUM($AC$28:AC119)),MIN(AD120-AF120,AG119)),"")</f>
        <v>1078.7855417840938</v>
      </c>
      <c r="AF120" s="11">
        <f t="shared" si="66"/>
        <v>2148.9144582159061</v>
      </c>
      <c r="AG120" s="9">
        <f t="shared" si="64"/>
        <v>303731.77590728062</v>
      </c>
      <c r="AH120" s="11"/>
      <c r="AI120" s="33">
        <f>IF(AB120&lt;&gt;"",ROUND(IF($F$11="raty równe",-PMT(W120/12,($F$4-AB119+SUM($AC$27:AC119)),AG119,2),AG119/($F$4-AB119+SUM($AC$27:AC119))+AG119*W120/12),2),"")</f>
        <v>3227.7</v>
      </c>
      <c r="AJ120" s="33">
        <f t="shared" si="56"/>
        <v>233.47000000000025</v>
      </c>
      <c r="AK120" s="33">
        <f t="shared" si="57"/>
        <v>23133.391771734656</v>
      </c>
      <c r="AL120" s="33">
        <f>IF(AB120&lt;&gt;"",AK120-SUM($AJ$28:AJ120),"")</f>
        <v>3094.6417717346776</v>
      </c>
      <c r="AM120" s="11">
        <f t="shared" si="58"/>
        <v>20</v>
      </c>
      <c r="AN120" s="11">
        <f>IF(AB120&lt;&gt;"",IF($B$16=listy!$K$8,'RZĄDOWY PROGRAM'!$F$3*'RZĄDOWY PROGRAM'!$F$15,AG119*$F$15),"")</f>
        <v>50</v>
      </c>
      <c r="AO120" s="11">
        <f t="shared" si="59"/>
        <v>70</v>
      </c>
      <c r="AQ120" s="49">
        <f t="shared" si="47"/>
        <v>0.05</v>
      </c>
      <c r="AR120" s="18">
        <f t="shared" si="48"/>
        <v>4.0741237836483535E-3</v>
      </c>
      <c r="AS120" s="11">
        <f t="shared" si="60"/>
        <v>0</v>
      </c>
      <c r="AT120" s="11">
        <f t="shared" si="61"/>
        <v>36733.801507447839</v>
      </c>
      <c r="AU120" s="11">
        <f>IF(AB120&lt;&gt;"",AT120-SUM($AS$28:AS120),"")</f>
        <v>9044.4015074478339</v>
      </c>
    </row>
    <row r="121" spans="1:47" ht="14.5" x14ac:dyDescent="0.35">
      <c r="A121" s="76">
        <f t="shared" si="62"/>
        <v>47574</v>
      </c>
      <c r="B121" s="8">
        <f t="shared" si="36"/>
        <v>94</v>
      </c>
      <c r="C121" s="11">
        <f t="shared" si="37"/>
        <v>3461.18</v>
      </c>
      <c r="D121" s="11">
        <f t="shared" si="38"/>
        <v>1232.3245865813697</v>
      </c>
      <c r="E121" s="11">
        <f t="shared" si="39"/>
        <v>2228.8554134186302</v>
      </c>
      <c r="F121" s="9">
        <f t="shared" si="49"/>
        <v>314917.37944443</v>
      </c>
      <c r="G121" s="10">
        <f t="shared" si="40"/>
        <v>6.7599999999999993E-2</v>
      </c>
      <c r="H121" s="10">
        <f t="shared" si="41"/>
        <v>1.7000000000000001E-2</v>
      </c>
      <c r="I121" s="49">
        <f t="shared" si="42"/>
        <v>8.4599999999999995E-2</v>
      </c>
      <c r="J121" s="11">
        <f t="shared" si="43"/>
        <v>20</v>
      </c>
      <c r="K121" s="11">
        <f>IF(B121&lt;&gt;"",IF($B$16=listy!$K$8,'RZĄDOWY PROGRAM'!$F$3*'RZĄDOWY PROGRAM'!$F$15,F120*$F$15),"")</f>
        <v>50</v>
      </c>
      <c r="L121" s="11">
        <f t="shared" si="50"/>
        <v>70</v>
      </c>
      <c r="N121" s="55">
        <f t="shared" si="63"/>
        <v>47574</v>
      </c>
      <c r="O121" s="8">
        <f t="shared" si="51"/>
        <v>94</v>
      </c>
      <c r="P121" s="8"/>
      <c r="Q121" s="33">
        <f>IF(O121&lt;&gt;"",ROUND(IF($F$11="raty równe",-PMT(W121/12,$F$4-O120+SUM($P$28:P121),T120,2),R121+S121),2),"")</f>
        <v>3461.18</v>
      </c>
      <c r="R121" s="11">
        <f>IF(O121&lt;&gt;"",IF($F$11="raty malejące",T120/($F$4-O120+SUM($P$28:P121)),IF(Q121-S121&gt;T120,T120,Q121-S121)),"")</f>
        <v>1164.9759089487684</v>
      </c>
      <c r="S121" s="11">
        <f t="shared" si="65"/>
        <v>2296.2040910512314</v>
      </c>
      <c r="T121" s="9">
        <f t="shared" si="52"/>
        <v>324537.73204158054</v>
      </c>
      <c r="U121" s="10">
        <f t="shared" si="44"/>
        <v>6.7599999999999993E-2</v>
      </c>
      <c r="V121" s="10">
        <f t="shared" si="45"/>
        <v>1.7000000000000001E-2</v>
      </c>
      <c r="W121" s="49">
        <f t="shared" si="53"/>
        <v>8.4599999999999995E-2</v>
      </c>
      <c r="X121" s="11">
        <f t="shared" si="46"/>
        <v>20</v>
      </c>
      <c r="Y121" s="11">
        <f>IF(O121&lt;&gt;"",IF($B$16=listy!$K$8,'RZĄDOWY PROGRAM'!$F$3*'RZĄDOWY PROGRAM'!$F$15,T120*$F$15),"")</f>
        <v>50</v>
      </c>
      <c r="Z121" s="11">
        <f t="shared" si="54"/>
        <v>70</v>
      </c>
      <c r="AB121" s="8">
        <f t="shared" si="55"/>
        <v>94</v>
      </c>
      <c r="AC121" s="8"/>
      <c r="AD121" s="33">
        <f>IF(AB121&lt;&gt;"",ROUND(IF($F$11="raty równe",-PMT(W121/12,$F$4-AB120+SUM($AC$28:AC121),AG120,2),AE121+AF121),2),"")</f>
        <v>3227.69</v>
      </c>
      <c r="AE121" s="11">
        <f>IF(AB121&lt;&gt;"",IF($F$11="raty malejące",AG120/($F$4-AB120+SUM($AC$28:AC120)),MIN(AD121-AF121,AG120)),"")</f>
        <v>1086.3809798536718</v>
      </c>
      <c r="AF121" s="11">
        <f t="shared" si="66"/>
        <v>2141.3090201463283</v>
      </c>
      <c r="AG121" s="9">
        <f t="shared" si="64"/>
        <v>302645.39492742694</v>
      </c>
      <c r="AH121" s="11"/>
      <c r="AI121" s="33">
        <f>IF(AB121&lt;&gt;"",ROUND(IF($F$11="raty równe",-PMT(W121/12,($F$4-AB120+SUM($AC$27:AC120)),AG120,2),AG120/($F$4-AB120+SUM($AC$27:AC120))+AG120*W121/12),2),"")</f>
        <v>3227.69</v>
      </c>
      <c r="AJ121" s="33">
        <f t="shared" si="56"/>
        <v>233.48999999999978</v>
      </c>
      <c r="AK121" s="33">
        <f t="shared" si="57"/>
        <v>23443.222896041734</v>
      </c>
      <c r="AL121" s="33">
        <f>IF(AB121&lt;&gt;"",AK121-SUM($AJ$28:AJ121),"")</f>
        <v>3170.9828960417581</v>
      </c>
      <c r="AM121" s="11">
        <f t="shared" si="58"/>
        <v>20</v>
      </c>
      <c r="AN121" s="11">
        <f>IF(AB121&lt;&gt;"",IF($B$16=listy!$K$8,'RZĄDOWY PROGRAM'!$F$3*'RZĄDOWY PROGRAM'!$F$15,AG120*$F$15),"")</f>
        <v>50</v>
      </c>
      <c r="AO121" s="11">
        <f t="shared" si="59"/>
        <v>70</v>
      </c>
      <c r="AQ121" s="49">
        <f t="shared" si="47"/>
        <v>0.05</v>
      </c>
      <c r="AR121" s="18">
        <f t="shared" si="48"/>
        <v>4.0741237836483535E-3</v>
      </c>
      <c r="AS121" s="11">
        <f t="shared" si="60"/>
        <v>0</v>
      </c>
      <c r="AT121" s="11">
        <f t="shared" si="61"/>
        <v>36855.024531499941</v>
      </c>
      <c r="AU121" s="11">
        <f>IF(AB121&lt;&gt;"",AT121-SUM($AS$28:AS121),"")</f>
        <v>9165.624531499936</v>
      </c>
    </row>
    <row r="122" spans="1:47" ht="14.5" x14ac:dyDescent="0.35">
      <c r="A122" s="76">
        <f t="shared" si="62"/>
        <v>47604</v>
      </c>
      <c r="B122" s="8">
        <f t="shared" si="36"/>
        <v>95</v>
      </c>
      <c r="C122" s="11">
        <f t="shared" si="37"/>
        <v>3461.17</v>
      </c>
      <c r="D122" s="11">
        <f t="shared" si="38"/>
        <v>1241.0024749167687</v>
      </c>
      <c r="E122" s="11">
        <f t="shared" si="39"/>
        <v>2220.1675250832313</v>
      </c>
      <c r="F122" s="9">
        <f t="shared" si="49"/>
        <v>313676.37696951325</v>
      </c>
      <c r="G122" s="10">
        <f t="shared" si="40"/>
        <v>6.7599999999999993E-2</v>
      </c>
      <c r="H122" s="10">
        <f t="shared" si="41"/>
        <v>1.7000000000000001E-2</v>
      </c>
      <c r="I122" s="49">
        <f t="shared" si="42"/>
        <v>8.4599999999999995E-2</v>
      </c>
      <c r="J122" s="11">
        <f t="shared" si="43"/>
        <v>20</v>
      </c>
      <c r="K122" s="11">
        <f>IF(B122&lt;&gt;"",IF($B$16=listy!$K$8,'RZĄDOWY PROGRAM'!$F$3*'RZĄDOWY PROGRAM'!$F$15,F121*$F$15),"")</f>
        <v>50</v>
      </c>
      <c r="L122" s="11">
        <f t="shared" si="50"/>
        <v>70</v>
      </c>
      <c r="N122" s="55">
        <f t="shared" si="63"/>
        <v>47604</v>
      </c>
      <c r="O122" s="8">
        <f t="shared" si="51"/>
        <v>95</v>
      </c>
      <c r="P122" s="8"/>
      <c r="Q122" s="33">
        <f>IF(O122&lt;&gt;"",ROUND(IF($F$11="raty równe",-PMT(W122/12,$F$4-O121+SUM($P$28:P122),T121,2),R122+S122),2),"")</f>
        <v>3461.17</v>
      </c>
      <c r="R122" s="11">
        <f>IF(O122&lt;&gt;"",IF($F$11="raty malejące",T121/($F$4-O121+SUM($P$28:P122)),IF(Q122-S122&gt;T121,T121,Q122-S122)),"")</f>
        <v>1173.1789891068574</v>
      </c>
      <c r="S122" s="11">
        <f t="shared" si="65"/>
        <v>2287.9910108931426</v>
      </c>
      <c r="T122" s="9">
        <f t="shared" si="52"/>
        <v>323364.5530524737</v>
      </c>
      <c r="U122" s="10">
        <f t="shared" si="44"/>
        <v>6.7599999999999993E-2</v>
      </c>
      <c r="V122" s="10">
        <f t="shared" si="45"/>
        <v>1.7000000000000001E-2</v>
      </c>
      <c r="W122" s="49">
        <f t="shared" si="53"/>
        <v>8.4599999999999995E-2</v>
      </c>
      <c r="X122" s="11">
        <f t="shared" si="46"/>
        <v>20</v>
      </c>
      <c r="Y122" s="11">
        <f>IF(O122&lt;&gt;"",IF($B$16=listy!$K$8,'RZĄDOWY PROGRAM'!$F$3*'RZĄDOWY PROGRAM'!$F$15,T121*$F$15),"")</f>
        <v>50</v>
      </c>
      <c r="Z122" s="11">
        <f t="shared" si="54"/>
        <v>70</v>
      </c>
      <c r="AB122" s="8">
        <f t="shared" si="55"/>
        <v>95</v>
      </c>
      <c r="AC122" s="8"/>
      <c r="AD122" s="33">
        <f>IF(AB122&lt;&gt;"",ROUND(IF($F$11="raty równe",-PMT(W122/12,$F$4-AB121+SUM($AC$28:AC122),AG121,2),AE122+AF122),2),"")</f>
        <v>3227.7</v>
      </c>
      <c r="AE122" s="11">
        <f>IF(AB122&lt;&gt;"",IF($F$11="raty malejące",AG121/($F$4-AB121+SUM($AC$28:AC121)),MIN(AD122-AF122,AG121)),"")</f>
        <v>1094.0499657616401</v>
      </c>
      <c r="AF122" s="11">
        <f t="shared" si="66"/>
        <v>2133.6500342383597</v>
      </c>
      <c r="AG122" s="9">
        <f t="shared" si="64"/>
        <v>301551.34496166528</v>
      </c>
      <c r="AH122" s="11"/>
      <c r="AI122" s="33">
        <f>IF(AB122&lt;&gt;"",ROUND(IF($F$11="raty równe",-PMT(W122/12,($F$4-AB121+SUM($AC$27:AC121)),AG121,2),AG121/($F$4-AB121+SUM($AC$27:AC121))+AG121*W122/12),2),"")</f>
        <v>3227.7</v>
      </c>
      <c r="AJ122" s="33">
        <f t="shared" si="56"/>
        <v>233.47000000000025</v>
      </c>
      <c r="AK122" s="33">
        <f t="shared" si="57"/>
        <v>23754.056475534304</v>
      </c>
      <c r="AL122" s="33">
        <f>IF(AB122&lt;&gt;"",AK122-SUM($AJ$28:AJ122),"")</f>
        <v>3248.3464755343266</v>
      </c>
      <c r="AM122" s="11">
        <f t="shared" si="58"/>
        <v>20</v>
      </c>
      <c r="AN122" s="11">
        <f>IF(AB122&lt;&gt;"",IF($B$16=listy!$K$8,'RZĄDOWY PROGRAM'!$F$3*'RZĄDOWY PROGRAM'!$F$15,AG121*$F$15),"")</f>
        <v>50</v>
      </c>
      <c r="AO122" s="11">
        <f t="shared" si="59"/>
        <v>70</v>
      </c>
      <c r="AQ122" s="49">
        <f t="shared" si="47"/>
        <v>0.05</v>
      </c>
      <c r="AR122" s="18">
        <f t="shared" si="48"/>
        <v>4.0741237836483535E-3</v>
      </c>
      <c r="AS122" s="11">
        <f t="shared" si="60"/>
        <v>0</v>
      </c>
      <c r="AT122" s="11">
        <f t="shared" si="61"/>
        <v>36976.647596412433</v>
      </c>
      <c r="AU122" s="11">
        <f>IF(AB122&lt;&gt;"",AT122-SUM($AS$28:AS122),"")</f>
        <v>9287.2475964124278</v>
      </c>
    </row>
    <row r="123" spans="1:47" ht="14.5" x14ac:dyDescent="0.35">
      <c r="A123" s="76">
        <f t="shared" si="62"/>
        <v>47635</v>
      </c>
      <c r="B123" s="8">
        <f t="shared" si="36"/>
        <v>96</v>
      </c>
      <c r="C123" s="11">
        <f t="shared" si="37"/>
        <v>3461.18</v>
      </c>
      <c r="D123" s="11">
        <f t="shared" si="38"/>
        <v>1249.7615423649313</v>
      </c>
      <c r="E123" s="11">
        <f t="shared" si="39"/>
        <v>2211.4184576350685</v>
      </c>
      <c r="F123" s="9">
        <f t="shared" si="49"/>
        <v>312426.6154271483</v>
      </c>
      <c r="G123" s="10">
        <f t="shared" si="40"/>
        <v>6.7599999999999993E-2</v>
      </c>
      <c r="H123" s="10">
        <f t="shared" si="41"/>
        <v>1.7000000000000001E-2</v>
      </c>
      <c r="I123" s="49">
        <f t="shared" si="42"/>
        <v>8.4599999999999995E-2</v>
      </c>
      <c r="J123" s="11">
        <f t="shared" si="43"/>
        <v>20</v>
      </c>
      <c r="K123" s="11">
        <f>IF(B123&lt;&gt;"",IF($B$16=listy!$K$8,'RZĄDOWY PROGRAM'!$F$3*'RZĄDOWY PROGRAM'!$F$15,F122*$F$15),"")</f>
        <v>50</v>
      </c>
      <c r="L123" s="11">
        <f t="shared" si="50"/>
        <v>70</v>
      </c>
      <c r="N123" s="55">
        <f t="shared" si="63"/>
        <v>47635</v>
      </c>
      <c r="O123" s="8">
        <f t="shared" si="51"/>
        <v>96</v>
      </c>
      <c r="P123" s="8"/>
      <c r="Q123" s="33">
        <f>IF(O123&lt;&gt;"",ROUND(IF($F$11="raty równe",-PMT(W123/12,$F$4-O122+SUM($P$28:P123),T122,2),R123+S123),2),"")</f>
        <v>3461.18</v>
      </c>
      <c r="R123" s="11">
        <f>IF(O123&lt;&gt;"",IF($F$11="raty malejące",T122/($F$4-O122+SUM($P$28:P123)),IF(Q123-S123&gt;T122,T122,Q123-S123)),"")</f>
        <v>1181.4599009800604</v>
      </c>
      <c r="S123" s="11">
        <f t="shared" si="65"/>
        <v>2279.7200990199394</v>
      </c>
      <c r="T123" s="9">
        <f t="shared" si="52"/>
        <v>322183.09315149364</v>
      </c>
      <c r="U123" s="10">
        <f t="shared" si="44"/>
        <v>6.7599999999999993E-2</v>
      </c>
      <c r="V123" s="10">
        <f t="shared" si="45"/>
        <v>1.7000000000000001E-2</v>
      </c>
      <c r="W123" s="49">
        <f t="shared" si="53"/>
        <v>8.4599999999999995E-2</v>
      </c>
      <c r="X123" s="11">
        <f t="shared" si="46"/>
        <v>20</v>
      </c>
      <c r="Y123" s="11">
        <f>IF(O123&lt;&gt;"",IF($B$16=listy!$K$8,'RZĄDOWY PROGRAM'!$F$3*'RZĄDOWY PROGRAM'!$F$15,T122*$F$15),"")</f>
        <v>50</v>
      </c>
      <c r="Z123" s="11">
        <f t="shared" si="54"/>
        <v>70</v>
      </c>
      <c r="AB123" s="8">
        <f t="shared" si="55"/>
        <v>96</v>
      </c>
      <c r="AC123" s="8"/>
      <c r="AD123" s="33">
        <f>IF(AB123&lt;&gt;"",ROUND(IF($F$11="raty równe",-PMT(W123/12,$F$4-AB122+SUM($AC$28:AC123),AG122,2),AE123+AF123),2),"")</f>
        <v>3227.69</v>
      </c>
      <c r="AE123" s="11">
        <f>IF(AB123&lt;&gt;"",IF($F$11="raty malejące",AG122/($F$4-AB122+SUM($AC$28:AC122)),MIN(AD123-AF123,AG122)),"")</f>
        <v>1101.7530180202602</v>
      </c>
      <c r="AF123" s="11">
        <f t="shared" si="66"/>
        <v>2125.9369819797398</v>
      </c>
      <c r="AG123" s="9">
        <f t="shared" si="64"/>
        <v>300449.59194364503</v>
      </c>
      <c r="AH123" s="11"/>
      <c r="AI123" s="33">
        <f>IF(AB123&lt;&gt;"",ROUND(IF($F$11="raty równe",-PMT(W123/12,($F$4-AB122+SUM($AC$27:AC122)),AG122,2),AG122/($F$4-AB122+SUM($AC$27:AC122))+AG122*W123/12),2),"")</f>
        <v>3227.69</v>
      </c>
      <c r="AJ123" s="33">
        <f t="shared" si="56"/>
        <v>233.48999999999978</v>
      </c>
      <c r="AK123" s="33">
        <f t="shared" si="57"/>
        <v>24065.935818354832</v>
      </c>
      <c r="AL123" s="33">
        <f>IF(AB123&lt;&gt;"",AK123-SUM($AJ$28:AJ123),"")</f>
        <v>3326.7358183548567</v>
      </c>
      <c r="AM123" s="11">
        <f t="shared" si="58"/>
        <v>20</v>
      </c>
      <c r="AN123" s="11">
        <f>IF(AB123&lt;&gt;"",IF($B$16=listy!$K$8,'RZĄDOWY PROGRAM'!$F$3*'RZĄDOWY PROGRAM'!$F$15,AG122*$F$15),"")</f>
        <v>50</v>
      </c>
      <c r="AO123" s="11">
        <f t="shared" si="59"/>
        <v>70</v>
      </c>
      <c r="AQ123" s="49">
        <f t="shared" si="47"/>
        <v>0.05</v>
      </c>
      <c r="AR123" s="18">
        <f t="shared" si="48"/>
        <v>4.0741237836483535E-3</v>
      </c>
      <c r="AS123" s="11">
        <f t="shared" si="60"/>
        <v>0</v>
      </c>
      <c r="AT123" s="11">
        <f t="shared" si="61"/>
        <v>37098.672022336257</v>
      </c>
      <c r="AU123" s="11">
        <f>IF(AB123&lt;&gt;"",AT123-SUM($AS$28:AS123),"")</f>
        <v>9409.2720223362521</v>
      </c>
    </row>
    <row r="124" spans="1:47" ht="14.5" x14ac:dyDescent="0.35">
      <c r="A124" s="76">
        <f t="shared" si="62"/>
        <v>47665</v>
      </c>
      <c r="B124" s="8">
        <f t="shared" si="36"/>
        <v>97</v>
      </c>
      <c r="C124" s="11">
        <f t="shared" si="37"/>
        <v>3461.17</v>
      </c>
      <c r="D124" s="11">
        <f t="shared" si="38"/>
        <v>1258.5623612386048</v>
      </c>
      <c r="E124" s="11">
        <f t="shared" si="39"/>
        <v>2202.6076387613953</v>
      </c>
      <c r="F124" s="9">
        <f t="shared" si="49"/>
        <v>311168.05306590971</v>
      </c>
      <c r="G124" s="10">
        <f t="shared" si="40"/>
        <v>6.7599999999999993E-2</v>
      </c>
      <c r="H124" s="10">
        <f t="shared" si="41"/>
        <v>1.7000000000000001E-2</v>
      </c>
      <c r="I124" s="49">
        <f t="shared" si="42"/>
        <v>8.4599999999999995E-2</v>
      </c>
      <c r="J124" s="11">
        <f t="shared" si="43"/>
        <v>20</v>
      </c>
      <c r="K124" s="11">
        <f>IF(B124&lt;&gt;"",IF($B$16=listy!$K$8,'RZĄDOWY PROGRAM'!$F$3*'RZĄDOWY PROGRAM'!$F$15,F123*$F$15),"")</f>
        <v>50</v>
      </c>
      <c r="L124" s="11">
        <f t="shared" si="50"/>
        <v>70</v>
      </c>
      <c r="N124" s="55">
        <f t="shared" si="63"/>
        <v>47665</v>
      </c>
      <c r="O124" s="8">
        <f t="shared" si="51"/>
        <v>97</v>
      </c>
      <c r="P124" s="8"/>
      <c r="Q124" s="33">
        <f>IF(O124&lt;&gt;"",ROUND(IF($F$11="raty równe",-PMT(W124/12,$F$4-O123+SUM($P$28:P124),T123,2),R124+S124),2),"")</f>
        <v>3461.17</v>
      </c>
      <c r="R124" s="11">
        <f>IF(O124&lt;&gt;"",IF($F$11="raty malejące",T123/($F$4-O123+SUM($P$28:P124)),IF(Q124-S124&gt;T123,T123,Q124-S124)),"")</f>
        <v>1189.77919328197</v>
      </c>
      <c r="S124" s="11">
        <f t="shared" si="65"/>
        <v>2271.39080671803</v>
      </c>
      <c r="T124" s="9">
        <f t="shared" si="52"/>
        <v>320993.31395821169</v>
      </c>
      <c r="U124" s="10">
        <f t="shared" si="44"/>
        <v>6.7599999999999993E-2</v>
      </c>
      <c r="V124" s="10">
        <f t="shared" si="45"/>
        <v>1.7000000000000001E-2</v>
      </c>
      <c r="W124" s="49">
        <f t="shared" si="53"/>
        <v>8.4599999999999995E-2</v>
      </c>
      <c r="X124" s="11">
        <f t="shared" si="46"/>
        <v>20</v>
      </c>
      <c r="Y124" s="11">
        <f>IF(O124&lt;&gt;"",IF($B$16=listy!$K$8,'RZĄDOWY PROGRAM'!$F$3*'RZĄDOWY PROGRAM'!$F$15,T123*$F$15),"")</f>
        <v>50</v>
      </c>
      <c r="Z124" s="11">
        <f t="shared" si="54"/>
        <v>70</v>
      </c>
      <c r="AB124" s="8">
        <f t="shared" si="55"/>
        <v>97</v>
      </c>
      <c r="AC124" s="8"/>
      <c r="AD124" s="33">
        <f>IF(AB124&lt;&gt;"",ROUND(IF($F$11="raty równe",-PMT(W124/12,$F$4-AB123+SUM($AC$28:AC124),AG123,2),AE124+AF124),2),"")</f>
        <v>3227.7</v>
      </c>
      <c r="AE124" s="11">
        <f>IF(AB124&lt;&gt;"",IF($F$11="raty malejące",AG123/($F$4-AB123+SUM($AC$28:AC123)),MIN(AD124-AF124,AG123)),"")</f>
        <v>1109.5303767973023</v>
      </c>
      <c r="AF124" s="11">
        <f t="shared" si="66"/>
        <v>2118.1696232026975</v>
      </c>
      <c r="AG124" s="9">
        <f t="shared" si="64"/>
        <v>299340.06156684773</v>
      </c>
      <c r="AH124" s="11"/>
      <c r="AI124" s="33">
        <f>IF(AB124&lt;&gt;"",ROUND(IF($F$11="raty równe",-PMT(W124/12,($F$4-AB123+SUM($AC$27:AC123)),AG123,2),AG123/($F$4-AB123+SUM($AC$27:AC123))+AG123*W124/12),2),"")</f>
        <v>3227.7</v>
      </c>
      <c r="AJ124" s="33">
        <f t="shared" si="56"/>
        <v>233.47000000000025</v>
      </c>
      <c r="AK124" s="33">
        <f t="shared" si="57"/>
        <v>24378.824375564418</v>
      </c>
      <c r="AL124" s="33">
        <f>IF(AB124&lt;&gt;"",AK124-SUM($AJ$28:AJ124),"")</f>
        <v>3406.1543755644416</v>
      </c>
      <c r="AM124" s="11">
        <f t="shared" si="58"/>
        <v>20</v>
      </c>
      <c r="AN124" s="11">
        <f>IF(AB124&lt;&gt;"",IF($B$16=listy!$K$8,'RZĄDOWY PROGRAM'!$F$3*'RZĄDOWY PROGRAM'!$F$15,AG123*$F$15),"")</f>
        <v>50</v>
      </c>
      <c r="AO124" s="11">
        <f t="shared" si="59"/>
        <v>70</v>
      </c>
      <c r="AQ124" s="49">
        <f t="shared" si="47"/>
        <v>0.05</v>
      </c>
      <c r="AR124" s="18">
        <f t="shared" si="48"/>
        <v>4.0741237836483535E-3</v>
      </c>
      <c r="AS124" s="11">
        <f t="shared" si="60"/>
        <v>0</v>
      </c>
      <c r="AT124" s="11">
        <f t="shared" si="61"/>
        <v>37221.099133778916</v>
      </c>
      <c r="AU124" s="11">
        <f>IF(AB124&lt;&gt;"",AT124-SUM($AS$28:AS124),"")</f>
        <v>9531.6991337789113</v>
      </c>
    </row>
    <row r="125" spans="1:47" ht="14.5" x14ac:dyDescent="0.35">
      <c r="A125" s="76">
        <f t="shared" si="62"/>
        <v>47696</v>
      </c>
      <c r="B125" s="8">
        <f t="shared" si="36"/>
        <v>98</v>
      </c>
      <c r="C125" s="11">
        <f t="shared" si="37"/>
        <v>3461.18</v>
      </c>
      <c r="D125" s="11">
        <f t="shared" si="38"/>
        <v>1267.4452258853366</v>
      </c>
      <c r="E125" s="11">
        <f t="shared" si="39"/>
        <v>2193.7347741146632</v>
      </c>
      <c r="F125" s="9">
        <f t="shared" si="49"/>
        <v>309900.6078400244</v>
      </c>
      <c r="G125" s="10">
        <f t="shared" si="40"/>
        <v>6.7599999999999993E-2</v>
      </c>
      <c r="H125" s="10">
        <f t="shared" si="41"/>
        <v>1.7000000000000001E-2</v>
      </c>
      <c r="I125" s="49">
        <f t="shared" si="42"/>
        <v>8.4599999999999995E-2</v>
      </c>
      <c r="J125" s="11">
        <f t="shared" si="43"/>
        <v>20</v>
      </c>
      <c r="K125" s="11">
        <f>IF(B125&lt;&gt;"",IF($B$16=listy!$K$8,'RZĄDOWY PROGRAM'!$F$3*'RZĄDOWY PROGRAM'!$F$15,F124*$F$15),"")</f>
        <v>50</v>
      </c>
      <c r="L125" s="11">
        <f t="shared" si="50"/>
        <v>70</v>
      </c>
      <c r="N125" s="55">
        <f t="shared" si="63"/>
        <v>47696</v>
      </c>
      <c r="O125" s="8">
        <f t="shared" si="51"/>
        <v>98</v>
      </c>
      <c r="P125" s="8"/>
      <c r="Q125" s="33">
        <f>IF(O125&lt;&gt;"",ROUND(IF($F$11="raty równe",-PMT(W125/12,$F$4-O124+SUM($P$28:P125),T124,2),R125+S125),2),"")</f>
        <v>3461.18</v>
      </c>
      <c r="R125" s="11">
        <f>IF(O125&lt;&gt;"",IF($F$11="raty malejące",T124/($F$4-O124+SUM($P$28:P125)),IF(Q125-S125&gt;T124,T124,Q125-S125)),"")</f>
        <v>1198.1771365946079</v>
      </c>
      <c r="S125" s="11">
        <f t="shared" si="65"/>
        <v>2263.002863405392</v>
      </c>
      <c r="T125" s="9">
        <f t="shared" si="52"/>
        <v>319795.13682161708</v>
      </c>
      <c r="U125" s="10">
        <f t="shared" si="44"/>
        <v>6.7599999999999993E-2</v>
      </c>
      <c r="V125" s="10">
        <f t="shared" si="45"/>
        <v>1.7000000000000001E-2</v>
      </c>
      <c r="W125" s="49">
        <f t="shared" si="53"/>
        <v>8.4599999999999995E-2</v>
      </c>
      <c r="X125" s="11">
        <f t="shared" si="46"/>
        <v>20</v>
      </c>
      <c r="Y125" s="11">
        <f>IF(O125&lt;&gt;"",IF($B$16=listy!$K$8,'RZĄDOWY PROGRAM'!$F$3*'RZĄDOWY PROGRAM'!$F$15,T124*$F$15),"")</f>
        <v>50</v>
      </c>
      <c r="Z125" s="11">
        <f t="shared" si="54"/>
        <v>70</v>
      </c>
      <c r="AB125" s="8">
        <f t="shared" si="55"/>
        <v>98</v>
      </c>
      <c r="AC125" s="8"/>
      <c r="AD125" s="33">
        <f>IF(AB125&lt;&gt;"",ROUND(IF($F$11="raty równe",-PMT(W125/12,$F$4-AB124+SUM($AC$28:AC125),AG124,2),AE125+AF125),2),"")</f>
        <v>3227.69</v>
      </c>
      <c r="AE125" s="11">
        <f>IF(AB125&lt;&gt;"",IF($F$11="raty malejące",AG124/($F$4-AB124+SUM($AC$28:AC124)),MIN(AD125-AF125,AG124)),"")</f>
        <v>1117.3425659537238</v>
      </c>
      <c r="AF125" s="11">
        <f t="shared" si="66"/>
        <v>2110.3474340462762</v>
      </c>
      <c r="AG125" s="9">
        <f t="shared" si="64"/>
        <v>298222.71900089399</v>
      </c>
      <c r="AH125" s="11"/>
      <c r="AI125" s="33">
        <f>IF(AB125&lt;&gt;"",ROUND(IF($F$11="raty równe",-PMT(W125/12,($F$4-AB124+SUM($AC$27:AC124)),AG124,2),AG124/($F$4-AB124+SUM($AC$27:AC124))+AG124*W125/12),2),"")</f>
        <v>3227.69</v>
      </c>
      <c r="AJ125" s="33">
        <f t="shared" si="56"/>
        <v>233.48999999999978</v>
      </c>
      <c r="AK125" s="33">
        <f t="shared" si="57"/>
        <v>24692.765477611174</v>
      </c>
      <c r="AL125" s="33">
        <f>IF(AB125&lt;&gt;"",AK125-SUM($AJ$28:AJ125),"")</f>
        <v>3486.6054776111996</v>
      </c>
      <c r="AM125" s="11">
        <f t="shared" si="58"/>
        <v>20</v>
      </c>
      <c r="AN125" s="11">
        <f>IF(AB125&lt;&gt;"",IF($B$16=listy!$K$8,'RZĄDOWY PROGRAM'!$F$3*'RZĄDOWY PROGRAM'!$F$15,AG124*$F$15),"")</f>
        <v>50</v>
      </c>
      <c r="AO125" s="11">
        <f t="shared" si="59"/>
        <v>70</v>
      </c>
      <c r="AQ125" s="49">
        <f t="shared" si="47"/>
        <v>0.05</v>
      </c>
      <c r="AR125" s="18">
        <f t="shared" si="48"/>
        <v>4.0741237836483535E-3</v>
      </c>
      <c r="AS125" s="11">
        <f t="shared" si="60"/>
        <v>0</v>
      </c>
      <c r="AT125" s="11">
        <f t="shared" si="61"/>
        <v>37343.930259618828</v>
      </c>
      <c r="AU125" s="11">
        <f>IF(AB125&lt;&gt;"",AT125-SUM($AS$28:AS125),"")</f>
        <v>9654.530259618823</v>
      </c>
    </row>
    <row r="126" spans="1:47" ht="14.5" x14ac:dyDescent="0.35">
      <c r="A126" s="76">
        <f t="shared" si="62"/>
        <v>47727</v>
      </c>
      <c r="B126" s="8">
        <f t="shared" si="36"/>
        <v>99</v>
      </c>
      <c r="C126" s="11">
        <f t="shared" si="37"/>
        <v>3461.17</v>
      </c>
      <c r="D126" s="11">
        <f t="shared" si="38"/>
        <v>1276.3707147278283</v>
      </c>
      <c r="E126" s="11">
        <f t="shared" si="39"/>
        <v>2184.7992852721718</v>
      </c>
      <c r="F126" s="9">
        <f t="shared" si="49"/>
        <v>308624.23712529655</v>
      </c>
      <c r="G126" s="10">
        <f t="shared" si="40"/>
        <v>6.7599999999999993E-2</v>
      </c>
      <c r="H126" s="10">
        <f t="shared" si="41"/>
        <v>1.7000000000000001E-2</v>
      </c>
      <c r="I126" s="49">
        <f t="shared" si="42"/>
        <v>8.4599999999999995E-2</v>
      </c>
      <c r="J126" s="11">
        <f t="shared" si="43"/>
        <v>20</v>
      </c>
      <c r="K126" s="11">
        <f>IF(B126&lt;&gt;"",IF($B$16=listy!$K$8,'RZĄDOWY PROGRAM'!$F$3*'RZĄDOWY PROGRAM'!$F$15,F125*$F$15),"")</f>
        <v>50</v>
      </c>
      <c r="L126" s="11">
        <f t="shared" si="50"/>
        <v>70</v>
      </c>
      <c r="N126" s="55">
        <f t="shared" si="63"/>
        <v>47727</v>
      </c>
      <c r="O126" s="8">
        <f t="shared" si="51"/>
        <v>99</v>
      </c>
      <c r="P126" s="8"/>
      <c r="Q126" s="33">
        <f>IF(O126&lt;&gt;"",ROUND(IF($F$11="raty równe",-PMT(W126/12,$F$4-O125+SUM($P$28:P126),T125,2),R126+S126),2),"")</f>
        <v>3461.17</v>
      </c>
      <c r="R126" s="11">
        <f>IF(O126&lt;&gt;"",IF($F$11="raty malejące",T125/($F$4-O125+SUM($P$28:P126)),IF(Q126-S126&gt;T125,T125,Q126-S126)),"")</f>
        <v>1206.6142854075997</v>
      </c>
      <c r="S126" s="11">
        <f t="shared" si="65"/>
        <v>2254.5557145924004</v>
      </c>
      <c r="T126" s="9">
        <f t="shared" si="52"/>
        <v>318588.52253620949</v>
      </c>
      <c r="U126" s="10">
        <f t="shared" si="44"/>
        <v>6.7599999999999993E-2</v>
      </c>
      <c r="V126" s="10">
        <f t="shared" si="45"/>
        <v>1.7000000000000001E-2</v>
      </c>
      <c r="W126" s="49">
        <f t="shared" si="53"/>
        <v>8.4599999999999995E-2</v>
      </c>
      <c r="X126" s="11">
        <f t="shared" si="46"/>
        <v>20</v>
      </c>
      <c r="Y126" s="11">
        <f>IF(O126&lt;&gt;"",IF($B$16=listy!$K$8,'RZĄDOWY PROGRAM'!$F$3*'RZĄDOWY PROGRAM'!$F$15,T125*$F$15),"")</f>
        <v>50</v>
      </c>
      <c r="Z126" s="11">
        <f t="shared" si="54"/>
        <v>70</v>
      </c>
      <c r="AB126" s="8">
        <f t="shared" si="55"/>
        <v>99</v>
      </c>
      <c r="AC126" s="8"/>
      <c r="AD126" s="33">
        <f>IF(AB126&lt;&gt;"",ROUND(IF($F$11="raty równe",-PMT(W126/12,$F$4-AB125+SUM($AC$28:AC126),AG125,2),AE126+AF126),2),"")</f>
        <v>3227.7</v>
      </c>
      <c r="AE126" s="11">
        <f>IF(AB126&lt;&gt;"",IF($F$11="raty malejące",AG125/($F$4-AB125+SUM($AC$28:AC125)),MIN(AD126-AF126,AG125)),"")</f>
        <v>1125.2298310436972</v>
      </c>
      <c r="AF126" s="11">
        <f t="shared" si="66"/>
        <v>2102.4701689563026</v>
      </c>
      <c r="AG126" s="9">
        <f t="shared" si="64"/>
        <v>297097.48916985031</v>
      </c>
      <c r="AH126" s="11"/>
      <c r="AI126" s="33">
        <f>IF(AB126&lt;&gt;"",ROUND(IF($F$11="raty równe",-PMT(W126/12,($F$4-AB125+SUM($AC$27:AC125)),AG125,2),AG125/($F$4-AB125+SUM($AC$27:AC125))+AG125*W126/12),2),"")</f>
        <v>3227.7</v>
      </c>
      <c r="AJ126" s="33">
        <f t="shared" si="56"/>
        <v>233.47000000000025</v>
      </c>
      <c r="AK126" s="33">
        <f t="shared" si="57"/>
        <v>25007.722597935448</v>
      </c>
      <c r="AL126" s="33">
        <f>IF(AB126&lt;&gt;"",AK126-SUM($AJ$28:AJ126),"")</f>
        <v>3568.0925979354724</v>
      </c>
      <c r="AM126" s="11">
        <f t="shared" si="58"/>
        <v>20</v>
      </c>
      <c r="AN126" s="11">
        <f>IF(AB126&lt;&gt;"",IF($B$16=listy!$K$8,'RZĄDOWY PROGRAM'!$F$3*'RZĄDOWY PROGRAM'!$F$15,AG125*$F$15),"")</f>
        <v>50</v>
      </c>
      <c r="AO126" s="11">
        <f t="shared" si="59"/>
        <v>70</v>
      </c>
      <c r="AQ126" s="49">
        <f t="shared" si="47"/>
        <v>0.05</v>
      </c>
      <c r="AR126" s="18">
        <f t="shared" si="48"/>
        <v>4.0741237836483535E-3</v>
      </c>
      <c r="AS126" s="11">
        <f t="shared" si="60"/>
        <v>0</v>
      </c>
      <c r="AT126" s="11">
        <f t="shared" si="61"/>
        <v>37467.166733119782</v>
      </c>
      <c r="AU126" s="11">
        <f>IF(AB126&lt;&gt;"",AT126-SUM($AS$28:AS126),"")</f>
        <v>9777.7667331197772</v>
      </c>
    </row>
    <row r="127" spans="1:47" ht="14.5" x14ac:dyDescent="0.35">
      <c r="A127" s="76">
        <f t="shared" si="62"/>
        <v>47757</v>
      </c>
      <c r="B127" s="8">
        <f t="shared" si="36"/>
        <v>100</v>
      </c>
      <c r="C127" s="11">
        <f t="shared" si="37"/>
        <v>3461.18</v>
      </c>
      <c r="D127" s="11">
        <f t="shared" si="38"/>
        <v>1285.3791282666593</v>
      </c>
      <c r="E127" s="11">
        <f t="shared" si="39"/>
        <v>2175.8008717333405</v>
      </c>
      <c r="F127" s="9">
        <f t="shared" si="49"/>
        <v>307338.8579970299</v>
      </c>
      <c r="G127" s="10">
        <f t="shared" si="40"/>
        <v>6.7599999999999993E-2</v>
      </c>
      <c r="H127" s="10">
        <f t="shared" si="41"/>
        <v>1.7000000000000001E-2</v>
      </c>
      <c r="I127" s="49">
        <f t="shared" si="42"/>
        <v>8.4599999999999995E-2</v>
      </c>
      <c r="J127" s="11">
        <f t="shared" si="43"/>
        <v>20</v>
      </c>
      <c r="K127" s="11">
        <f>IF(B127&lt;&gt;"",IF($B$16=listy!$K$8,'RZĄDOWY PROGRAM'!$F$3*'RZĄDOWY PROGRAM'!$F$15,F126*$F$15),"")</f>
        <v>50</v>
      </c>
      <c r="L127" s="11">
        <f t="shared" si="50"/>
        <v>70</v>
      </c>
      <c r="N127" s="55">
        <f t="shared" si="63"/>
        <v>47757</v>
      </c>
      <c r="O127" s="8">
        <f t="shared" si="51"/>
        <v>100</v>
      </c>
      <c r="P127" s="8"/>
      <c r="Q127" s="33">
        <f>IF(O127&lt;&gt;"",ROUND(IF($F$11="raty równe",-PMT(W127/12,$F$4-O126+SUM($P$28:P127),T126,2),R127+S127),2),"")</f>
        <v>3461.18</v>
      </c>
      <c r="R127" s="11">
        <f>IF(O127&lt;&gt;"",IF($F$11="raty malejące",T126/($F$4-O126+SUM($P$28:P127)),IF(Q127-S127&gt;T126,T126,Q127-S127)),"")</f>
        <v>1215.1309161197232</v>
      </c>
      <c r="S127" s="11">
        <f t="shared" si="65"/>
        <v>2246.0490838802766</v>
      </c>
      <c r="T127" s="9">
        <f t="shared" si="52"/>
        <v>317373.39162008977</v>
      </c>
      <c r="U127" s="10">
        <f t="shared" si="44"/>
        <v>6.7599999999999993E-2</v>
      </c>
      <c r="V127" s="10">
        <f t="shared" si="45"/>
        <v>1.7000000000000001E-2</v>
      </c>
      <c r="W127" s="49">
        <f t="shared" si="53"/>
        <v>8.4599999999999995E-2</v>
      </c>
      <c r="X127" s="11">
        <f t="shared" si="46"/>
        <v>20</v>
      </c>
      <c r="Y127" s="11">
        <f>IF(O127&lt;&gt;"",IF($B$16=listy!$K$8,'RZĄDOWY PROGRAM'!$F$3*'RZĄDOWY PROGRAM'!$F$15,T126*$F$15),"")</f>
        <v>50</v>
      </c>
      <c r="Z127" s="11">
        <f t="shared" si="54"/>
        <v>70</v>
      </c>
      <c r="AB127" s="8">
        <f t="shared" si="55"/>
        <v>100</v>
      </c>
      <c r="AC127" s="8"/>
      <c r="AD127" s="33">
        <f>IF(AB127&lt;&gt;"",ROUND(IF($F$11="raty równe",-PMT(W127/12,$F$4-AB126+SUM($AC$28:AC127),AG126,2),AE127+AF127),2),"")</f>
        <v>3227.69</v>
      </c>
      <c r="AE127" s="11">
        <f>IF(AB127&lt;&gt;"",IF($F$11="raty malejące",AG126/($F$4-AB126+SUM($AC$28:AC126)),MIN(AD127-AF127,AG126)),"")</f>
        <v>1133.1527013525556</v>
      </c>
      <c r="AF127" s="11">
        <f t="shared" si="66"/>
        <v>2094.5372986474445</v>
      </c>
      <c r="AG127" s="9">
        <f t="shared" si="64"/>
        <v>295964.33646849776</v>
      </c>
      <c r="AH127" s="11"/>
      <c r="AI127" s="33">
        <f>IF(AB127&lt;&gt;"",ROUND(IF($F$11="raty równe",-PMT(W127/12,($F$4-AB126+SUM($AC$27:AC126)),AG126,2),AG126/($F$4-AB126+SUM($AC$27:AC126))+AG126*W127/12),2),"")</f>
        <v>3227.69</v>
      </c>
      <c r="AJ127" s="33">
        <f t="shared" si="56"/>
        <v>233.48999999999978</v>
      </c>
      <c r="AK127" s="33">
        <f t="shared" si="57"/>
        <v>25323.739089438459</v>
      </c>
      <c r="AL127" s="33">
        <f>IF(AB127&lt;&gt;"",AK127-SUM($AJ$28:AJ127),"")</f>
        <v>3650.6190894384854</v>
      </c>
      <c r="AM127" s="11">
        <f t="shared" si="58"/>
        <v>20</v>
      </c>
      <c r="AN127" s="11">
        <f>IF(AB127&lt;&gt;"",IF($B$16=listy!$K$8,'RZĄDOWY PROGRAM'!$F$3*'RZĄDOWY PROGRAM'!$F$15,AG126*$F$15),"")</f>
        <v>50</v>
      </c>
      <c r="AO127" s="11">
        <f t="shared" si="59"/>
        <v>70</v>
      </c>
      <c r="AQ127" s="49">
        <f t="shared" si="47"/>
        <v>0.05</v>
      </c>
      <c r="AR127" s="18">
        <f t="shared" si="48"/>
        <v>4.0741237836483535E-3</v>
      </c>
      <c r="AS127" s="11">
        <f t="shared" si="60"/>
        <v>0</v>
      </c>
      <c r="AT127" s="11">
        <f t="shared" si="61"/>
        <v>37590.80989194537</v>
      </c>
      <c r="AU127" s="11">
        <f>IF(AB127&lt;&gt;"",AT127-SUM($AS$28:AS127),"")</f>
        <v>9901.4098919453645</v>
      </c>
    </row>
    <row r="128" spans="1:47" ht="14.5" x14ac:dyDescent="0.35">
      <c r="A128" s="76">
        <f t="shared" si="62"/>
        <v>47788</v>
      </c>
      <c r="B128" s="8">
        <f t="shared" si="36"/>
        <v>101</v>
      </c>
      <c r="C128" s="11">
        <f t="shared" si="37"/>
        <v>3461.17</v>
      </c>
      <c r="D128" s="11">
        <f t="shared" si="38"/>
        <v>1294.4310511209392</v>
      </c>
      <c r="E128" s="11">
        <f t="shared" si="39"/>
        <v>2166.7389488790609</v>
      </c>
      <c r="F128" s="9">
        <f t="shared" si="49"/>
        <v>306044.42694590898</v>
      </c>
      <c r="G128" s="10">
        <f t="shared" si="40"/>
        <v>6.7599999999999993E-2</v>
      </c>
      <c r="H128" s="10">
        <f t="shared" si="41"/>
        <v>1.7000000000000001E-2</v>
      </c>
      <c r="I128" s="49">
        <f t="shared" si="42"/>
        <v>8.4599999999999995E-2</v>
      </c>
      <c r="J128" s="11">
        <f t="shared" si="43"/>
        <v>20</v>
      </c>
      <c r="K128" s="11">
        <f>IF(B128&lt;&gt;"",IF($B$16=listy!$K$8,'RZĄDOWY PROGRAM'!$F$3*'RZĄDOWY PROGRAM'!$F$15,F127*$F$15),"")</f>
        <v>50</v>
      </c>
      <c r="L128" s="11">
        <f t="shared" si="50"/>
        <v>70</v>
      </c>
      <c r="N128" s="55">
        <f t="shared" si="63"/>
        <v>47788</v>
      </c>
      <c r="O128" s="8">
        <f t="shared" si="51"/>
        <v>101</v>
      </c>
      <c r="P128" s="8"/>
      <c r="Q128" s="33">
        <f>IF(O128&lt;&gt;"",ROUND(IF($F$11="raty równe",-PMT(W128/12,$F$4-O127+SUM($P$28:P128),T127,2),R128+S128),2),"")</f>
        <v>3461.17</v>
      </c>
      <c r="R128" s="11">
        <f>IF(O128&lt;&gt;"",IF($F$11="raty malejące",T127/($F$4-O127+SUM($P$28:P128)),IF(Q128-S128&gt;T127,T127,Q128-S128)),"")</f>
        <v>1223.6875890783672</v>
      </c>
      <c r="S128" s="11">
        <f t="shared" si="65"/>
        <v>2237.4824109216329</v>
      </c>
      <c r="T128" s="9">
        <f t="shared" si="52"/>
        <v>316149.70403101138</v>
      </c>
      <c r="U128" s="10">
        <f t="shared" si="44"/>
        <v>6.7599999999999993E-2</v>
      </c>
      <c r="V128" s="10">
        <f t="shared" si="45"/>
        <v>1.7000000000000001E-2</v>
      </c>
      <c r="W128" s="49">
        <f t="shared" si="53"/>
        <v>8.4599999999999995E-2</v>
      </c>
      <c r="X128" s="11">
        <f t="shared" si="46"/>
        <v>20</v>
      </c>
      <c r="Y128" s="11">
        <f>IF(O128&lt;&gt;"",IF($B$16=listy!$K$8,'RZĄDOWY PROGRAM'!$F$3*'RZĄDOWY PROGRAM'!$F$15,T127*$F$15),"")</f>
        <v>50</v>
      </c>
      <c r="Z128" s="11">
        <f t="shared" si="54"/>
        <v>70</v>
      </c>
      <c r="AB128" s="8">
        <f t="shared" si="55"/>
        <v>101</v>
      </c>
      <c r="AC128" s="8"/>
      <c r="AD128" s="33">
        <f>IF(AB128&lt;&gt;"",ROUND(IF($F$11="raty równe",-PMT(W128/12,$F$4-AB127+SUM($AC$28:AC128),AG127,2),AE128+AF128),2),"")</f>
        <v>3227.7</v>
      </c>
      <c r="AE128" s="11">
        <f>IF(AB128&lt;&gt;"",IF($F$11="raty malejące",AG127/($F$4-AB127+SUM($AC$28:AC127)),MIN(AD128-AF128,AG127)),"")</f>
        <v>1141.1514278970908</v>
      </c>
      <c r="AF128" s="11">
        <f t="shared" si="66"/>
        <v>2086.548572102909</v>
      </c>
      <c r="AG128" s="9">
        <f t="shared" si="64"/>
        <v>294823.18504060066</v>
      </c>
      <c r="AH128" s="11"/>
      <c r="AI128" s="33">
        <f>IF(AB128&lt;&gt;"",ROUND(IF($F$11="raty równe",-PMT(W128/12,($F$4-AB127+SUM($AC$27:AC127)),AG127,2),AG127/($F$4-AB127+SUM($AC$27:AC127))+AG127*W128/12),2),"")</f>
        <v>3227.7</v>
      </c>
      <c r="AJ128" s="33">
        <f t="shared" si="56"/>
        <v>233.47000000000025</v>
      </c>
      <c r="AK128" s="33">
        <f t="shared" si="57"/>
        <v>25640.77844808776</v>
      </c>
      <c r="AL128" s="33">
        <f>IF(AB128&lt;&gt;"",AK128-SUM($AJ$28:AJ128),"")</f>
        <v>3734.1884480877852</v>
      </c>
      <c r="AM128" s="11">
        <f t="shared" si="58"/>
        <v>20</v>
      </c>
      <c r="AN128" s="11">
        <f>IF(AB128&lt;&gt;"",IF($B$16=listy!$K$8,'RZĄDOWY PROGRAM'!$F$3*'RZĄDOWY PROGRAM'!$F$15,AG127*$F$15),"")</f>
        <v>50</v>
      </c>
      <c r="AO128" s="11">
        <f t="shared" si="59"/>
        <v>70</v>
      </c>
      <c r="AQ128" s="49">
        <f t="shared" si="47"/>
        <v>0.05</v>
      </c>
      <c r="AR128" s="18">
        <f t="shared" si="48"/>
        <v>4.0741237836483535E-3</v>
      </c>
      <c r="AS128" s="11">
        <f t="shared" si="60"/>
        <v>0</v>
      </c>
      <c r="AT128" s="11">
        <f t="shared" si="61"/>
        <v>37714.861078173548</v>
      </c>
      <c r="AU128" s="11">
        <f>IF(AB128&lt;&gt;"",AT128-SUM($AS$28:AS128),"")</f>
        <v>10025.461078173543</v>
      </c>
    </row>
    <row r="129" spans="1:47" ht="14.5" x14ac:dyDescent="0.35">
      <c r="A129" s="76">
        <f t="shared" si="62"/>
        <v>47818</v>
      </c>
      <c r="B129" s="8">
        <f t="shared" si="36"/>
        <v>102</v>
      </c>
      <c r="C129" s="11">
        <f t="shared" si="37"/>
        <v>3461.18</v>
      </c>
      <c r="D129" s="11">
        <f t="shared" si="38"/>
        <v>1303.5667900313415</v>
      </c>
      <c r="E129" s="11">
        <f t="shared" si="39"/>
        <v>2157.6132099686583</v>
      </c>
      <c r="F129" s="9">
        <f t="shared" si="49"/>
        <v>304740.86015587766</v>
      </c>
      <c r="G129" s="10">
        <f t="shared" si="40"/>
        <v>6.7599999999999993E-2</v>
      </c>
      <c r="H129" s="10">
        <f t="shared" si="41"/>
        <v>1.7000000000000001E-2</v>
      </c>
      <c r="I129" s="49">
        <f t="shared" si="42"/>
        <v>8.4599999999999995E-2</v>
      </c>
      <c r="J129" s="11">
        <f t="shared" si="43"/>
        <v>20</v>
      </c>
      <c r="K129" s="11">
        <f>IF(B129&lt;&gt;"",IF($B$16=listy!$K$8,'RZĄDOWY PROGRAM'!$F$3*'RZĄDOWY PROGRAM'!$F$15,F128*$F$15),"")</f>
        <v>50</v>
      </c>
      <c r="L129" s="11">
        <f t="shared" si="50"/>
        <v>70</v>
      </c>
      <c r="N129" s="55">
        <f t="shared" si="63"/>
        <v>47818</v>
      </c>
      <c r="O129" s="8">
        <f t="shared" si="51"/>
        <v>102</v>
      </c>
      <c r="P129" s="8"/>
      <c r="Q129" s="33">
        <f>IF(O129&lt;&gt;"",ROUND(IF($F$11="raty równe",-PMT(W129/12,$F$4-O128+SUM($P$28:P129),T128,2),R129+S129),2),"")</f>
        <v>3461.18</v>
      </c>
      <c r="R129" s="11">
        <f>IF(O129&lt;&gt;"",IF($F$11="raty malejące",T128/($F$4-O128+SUM($P$28:P129)),IF(Q129-S129&gt;T128,T128,Q129-S129)),"")</f>
        <v>1232.3245865813697</v>
      </c>
      <c r="S129" s="11">
        <f t="shared" si="65"/>
        <v>2228.8554134186302</v>
      </c>
      <c r="T129" s="9">
        <f t="shared" si="52"/>
        <v>314917.37944443</v>
      </c>
      <c r="U129" s="10">
        <f t="shared" si="44"/>
        <v>6.7599999999999993E-2</v>
      </c>
      <c r="V129" s="10">
        <f t="shared" si="45"/>
        <v>1.7000000000000001E-2</v>
      </c>
      <c r="W129" s="49">
        <f t="shared" si="53"/>
        <v>8.4599999999999995E-2</v>
      </c>
      <c r="X129" s="11">
        <f t="shared" si="46"/>
        <v>20</v>
      </c>
      <c r="Y129" s="11">
        <f>IF(O129&lt;&gt;"",IF($B$16=listy!$K$8,'RZĄDOWY PROGRAM'!$F$3*'RZĄDOWY PROGRAM'!$F$15,T128*$F$15),"")</f>
        <v>50</v>
      </c>
      <c r="Z129" s="11">
        <f t="shared" si="54"/>
        <v>70</v>
      </c>
      <c r="AB129" s="8">
        <f t="shared" si="55"/>
        <v>102</v>
      </c>
      <c r="AC129" s="8"/>
      <c r="AD129" s="33">
        <f>IF(AB129&lt;&gt;"",ROUND(IF($F$11="raty równe",-PMT(W129/12,$F$4-AB128+SUM($AC$28:AC129),AG128,2),AE129+AF129),2),"")</f>
        <v>3227.69</v>
      </c>
      <c r="AE129" s="11">
        <f>IF(AB129&lt;&gt;"",IF($F$11="raty malejące",AG128/($F$4-AB128+SUM($AC$28:AC128)),MIN(AD129-AF129,AG128)),"")</f>
        <v>1149.1865454637655</v>
      </c>
      <c r="AF129" s="11">
        <f t="shared" si="66"/>
        <v>2078.5034545362346</v>
      </c>
      <c r="AG129" s="9">
        <f t="shared" si="64"/>
        <v>293673.99849513691</v>
      </c>
      <c r="AH129" s="11"/>
      <c r="AI129" s="33">
        <f>IF(AB129&lt;&gt;"",ROUND(IF($F$11="raty równe",-PMT(W129/12,($F$4-AB128+SUM($AC$27:AC128)),AG128,2),AG128/($F$4-AB128+SUM($AC$27:AC128))+AG128*W129/12),2),"")</f>
        <v>3227.69</v>
      </c>
      <c r="AJ129" s="33">
        <f t="shared" si="56"/>
        <v>233.48999999999978</v>
      </c>
      <c r="AK129" s="33">
        <f t="shared" si="57"/>
        <v>25958.884049386113</v>
      </c>
      <c r="AL129" s="33">
        <f>IF(AB129&lt;&gt;"",AK129-SUM($AJ$28:AJ129),"")</f>
        <v>3818.8040493861408</v>
      </c>
      <c r="AM129" s="11">
        <f t="shared" si="58"/>
        <v>20</v>
      </c>
      <c r="AN129" s="11">
        <f>IF(AB129&lt;&gt;"",IF($B$16=listy!$K$8,'RZĄDOWY PROGRAM'!$F$3*'RZĄDOWY PROGRAM'!$F$15,AG128*$F$15),"")</f>
        <v>50</v>
      </c>
      <c r="AO129" s="11">
        <f t="shared" si="59"/>
        <v>70</v>
      </c>
      <c r="AQ129" s="49">
        <f t="shared" si="47"/>
        <v>0.05</v>
      </c>
      <c r="AR129" s="18">
        <f t="shared" si="48"/>
        <v>4.0741237836483535E-3</v>
      </c>
      <c r="AS129" s="11">
        <f t="shared" si="60"/>
        <v>0</v>
      </c>
      <c r="AT129" s="11">
        <f t="shared" si="61"/>
        <v>37839.321638311165</v>
      </c>
      <c r="AU129" s="11">
        <f>IF(AB129&lt;&gt;"",AT129-SUM($AS$28:AS129),"")</f>
        <v>10149.92163831116</v>
      </c>
    </row>
    <row r="130" spans="1:47" ht="14.5" x14ac:dyDescent="0.35">
      <c r="A130" s="76">
        <f t="shared" si="62"/>
        <v>47849</v>
      </c>
      <c r="B130" s="8">
        <f t="shared" si="36"/>
        <v>103</v>
      </c>
      <c r="C130" s="11">
        <f t="shared" si="37"/>
        <v>3461.17</v>
      </c>
      <c r="D130" s="11">
        <f t="shared" si="38"/>
        <v>1312.7469359010624</v>
      </c>
      <c r="E130" s="11">
        <f t="shared" si="39"/>
        <v>2148.4230640989376</v>
      </c>
      <c r="F130" s="9">
        <f t="shared" si="49"/>
        <v>303428.1132199766</v>
      </c>
      <c r="G130" s="10">
        <f t="shared" si="40"/>
        <v>6.7599999999999993E-2</v>
      </c>
      <c r="H130" s="10">
        <f t="shared" si="41"/>
        <v>1.7000000000000001E-2</v>
      </c>
      <c r="I130" s="49">
        <f t="shared" si="42"/>
        <v>8.4599999999999995E-2</v>
      </c>
      <c r="J130" s="11">
        <f t="shared" si="43"/>
        <v>20</v>
      </c>
      <c r="K130" s="11">
        <f>IF(B130&lt;&gt;"",IF($B$16=listy!$K$8,'RZĄDOWY PROGRAM'!$F$3*'RZĄDOWY PROGRAM'!$F$15,F129*$F$15),"")</f>
        <v>50</v>
      </c>
      <c r="L130" s="11">
        <f t="shared" si="50"/>
        <v>70</v>
      </c>
      <c r="N130" s="55">
        <f t="shared" si="63"/>
        <v>47849</v>
      </c>
      <c r="O130" s="8">
        <f t="shared" si="51"/>
        <v>103</v>
      </c>
      <c r="P130" s="8"/>
      <c r="Q130" s="33">
        <f>IF(O130&lt;&gt;"",ROUND(IF($F$11="raty równe",-PMT(W130/12,$F$4-O129+SUM($P$28:P130),T129,2),R130+S130),2),"")</f>
        <v>3461.17</v>
      </c>
      <c r="R130" s="11">
        <f>IF(O130&lt;&gt;"",IF($F$11="raty malejące",T129/($F$4-O129+SUM($P$28:P130)),IF(Q130-S130&gt;T129,T129,Q130-S130)),"")</f>
        <v>1241.0024749167687</v>
      </c>
      <c r="S130" s="11">
        <f t="shared" si="65"/>
        <v>2220.1675250832313</v>
      </c>
      <c r="T130" s="9">
        <f t="shared" si="52"/>
        <v>313676.37696951325</v>
      </c>
      <c r="U130" s="10">
        <f t="shared" si="44"/>
        <v>6.7599999999999993E-2</v>
      </c>
      <c r="V130" s="10">
        <f t="shared" si="45"/>
        <v>1.7000000000000001E-2</v>
      </c>
      <c r="W130" s="49">
        <f t="shared" si="53"/>
        <v>8.4599999999999995E-2</v>
      </c>
      <c r="X130" s="11">
        <f t="shared" si="46"/>
        <v>20</v>
      </c>
      <c r="Y130" s="11">
        <f>IF(O130&lt;&gt;"",IF($B$16=listy!$K$8,'RZĄDOWY PROGRAM'!$F$3*'RZĄDOWY PROGRAM'!$F$15,T129*$F$15),"")</f>
        <v>50</v>
      </c>
      <c r="Z130" s="11">
        <f t="shared" si="54"/>
        <v>70</v>
      </c>
      <c r="AB130" s="8">
        <f t="shared" si="55"/>
        <v>103</v>
      </c>
      <c r="AC130" s="8"/>
      <c r="AD130" s="33">
        <f>IF(AB130&lt;&gt;"",ROUND(IF($F$11="raty równe",-PMT(W130/12,$F$4-AB129+SUM($AC$28:AC130),AG129,2),AE130+AF130),2),"")</f>
        <v>3227.7</v>
      </c>
      <c r="AE130" s="11">
        <f>IF(AB130&lt;&gt;"",IF($F$11="raty malejące",AG129/($F$4-AB129+SUM($AC$28:AC129)),MIN(AD130-AF130,AG129)),"")</f>
        <v>1157.2983106092847</v>
      </c>
      <c r="AF130" s="11">
        <f t="shared" si="66"/>
        <v>2070.4016893907151</v>
      </c>
      <c r="AG130" s="9">
        <f t="shared" si="64"/>
        <v>292516.70018452761</v>
      </c>
      <c r="AH130" s="11"/>
      <c r="AI130" s="33">
        <f>IF(AB130&lt;&gt;"",ROUND(IF($F$11="raty równe",-PMT(W130/12,($F$4-AB129+SUM($AC$27:AC129)),AG129,2),AG129/($F$4-AB129+SUM($AC$27:AC129))+AG129*W130/12),2),"")</f>
        <v>3227.7</v>
      </c>
      <c r="AJ130" s="33">
        <f t="shared" si="56"/>
        <v>233.47000000000025</v>
      </c>
      <c r="AK130" s="33">
        <f t="shared" si="57"/>
        <v>26278.019411977199</v>
      </c>
      <c r="AL130" s="33">
        <f>IF(AB130&lt;&gt;"",AK130-SUM($AJ$28:AJ130),"")</f>
        <v>3904.4694119772248</v>
      </c>
      <c r="AM130" s="11">
        <f t="shared" si="58"/>
        <v>20</v>
      </c>
      <c r="AN130" s="11">
        <f>IF(AB130&lt;&gt;"",IF($B$16=listy!$K$8,'RZĄDOWY PROGRAM'!$F$3*'RZĄDOWY PROGRAM'!$F$15,AG129*$F$15),"")</f>
        <v>50</v>
      </c>
      <c r="AO130" s="11">
        <f t="shared" si="59"/>
        <v>70</v>
      </c>
      <c r="AQ130" s="49">
        <f t="shared" si="47"/>
        <v>0.05</v>
      </c>
      <c r="AR130" s="18">
        <f t="shared" si="48"/>
        <v>4.0741237836483535E-3</v>
      </c>
      <c r="AS130" s="11">
        <f t="shared" si="60"/>
        <v>0</v>
      </c>
      <c r="AT130" s="11">
        <f t="shared" si="61"/>
        <v>37964.192923308612</v>
      </c>
      <c r="AU130" s="11">
        <f>IF(AB130&lt;&gt;"",AT130-SUM($AS$28:AS130),"")</f>
        <v>10274.792923308607</v>
      </c>
    </row>
    <row r="131" spans="1:47" ht="14.5" x14ac:dyDescent="0.35">
      <c r="A131" s="76">
        <f t="shared" si="62"/>
        <v>47880</v>
      </c>
      <c r="B131" s="8">
        <f t="shared" si="36"/>
        <v>104</v>
      </c>
      <c r="C131" s="11">
        <f t="shared" si="37"/>
        <v>3461.18</v>
      </c>
      <c r="D131" s="11">
        <f t="shared" si="38"/>
        <v>1322.0118017991649</v>
      </c>
      <c r="E131" s="11">
        <f t="shared" si="39"/>
        <v>2139.1681982008349</v>
      </c>
      <c r="F131" s="9">
        <f t="shared" si="49"/>
        <v>302106.10141817742</v>
      </c>
      <c r="G131" s="10">
        <f t="shared" si="40"/>
        <v>6.7599999999999993E-2</v>
      </c>
      <c r="H131" s="10">
        <f t="shared" si="41"/>
        <v>1.7000000000000001E-2</v>
      </c>
      <c r="I131" s="49">
        <f t="shared" si="42"/>
        <v>8.4599999999999995E-2</v>
      </c>
      <c r="J131" s="11">
        <f t="shared" si="43"/>
        <v>20</v>
      </c>
      <c r="K131" s="11">
        <f>IF(B131&lt;&gt;"",IF($B$16=listy!$K$8,'RZĄDOWY PROGRAM'!$F$3*'RZĄDOWY PROGRAM'!$F$15,F130*$F$15),"")</f>
        <v>50</v>
      </c>
      <c r="L131" s="11">
        <f t="shared" si="50"/>
        <v>70</v>
      </c>
      <c r="N131" s="55">
        <f t="shared" si="63"/>
        <v>47880</v>
      </c>
      <c r="O131" s="8">
        <f t="shared" si="51"/>
        <v>104</v>
      </c>
      <c r="P131" s="8"/>
      <c r="Q131" s="33">
        <f>IF(O131&lt;&gt;"",ROUND(IF($F$11="raty równe",-PMT(W131/12,$F$4-O130+SUM($P$28:P131),T130,2),R131+S131),2),"")</f>
        <v>3461.18</v>
      </c>
      <c r="R131" s="11">
        <f>IF(O131&lt;&gt;"",IF($F$11="raty malejące",T130/($F$4-O130+SUM($P$28:P131)),IF(Q131-S131&gt;T130,T130,Q131-S131)),"")</f>
        <v>1249.7615423649313</v>
      </c>
      <c r="S131" s="11">
        <f t="shared" si="65"/>
        <v>2211.4184576350685</v>
      </c>
      <c r="T131" s="9">
        <f t="shared" si="52"/>
        <v>312426.6154271483</v>
      </c>
      <c r="U131" s="10">
        <f t="shared" si="44"/>
        <v>6.7599999999999993E-2</v>
      </c>
      <c r="V131" s="10">
        <f t="shared" si="45"/>
        <v>1.7000000000000001E-2</v>
      </c>
      <c r="W131" s="49">
        <f t="shared" si="53"/>
        <v>8.4599999999999995E-2</v>
      </c>
      <c r="X131" s="11">
        <f t="shared" si="46"/>
        <v>20</v>
      </c>
      <c r="Y131" s="11">
        <f>IF(O131&lt;&gt;"",IF($B$16=listy!$K$8,'RZĄDOWY PROGRAM'!$F$3*'RZĄDOWY PROGRAM'!$F$15,T130*$F$15),"")</f>
        <v>50</v>
      </c>
      <c r="Z131" s="11">
        <f t="shared" si="54"/>
        <v>70</v>
      </c>
      <c r="AB131" s="8">
        <f t="shared" si="55"/>
        <v>104</v>
      </c>
      <c r="AC131" s="8"/>
      <c r="AD131" s="33">
        <f>IF(AB131&lt;&gt;"",ROUND(IF($F$11="raty równe",-PMT(W131/12,$F$4-AB130+SUM($AC$28:AC131),AG130,2),AE131+AF131),2),"")</f>
        <v>3227.69</v>
      </c>
      <c r="AE131" s="11">
        <f>IF(AB131&lt;&gt;"",IF($F$11="raty malejące",AG130/($F$4-AB130+SUM($AC$28:AC130)),MIN(AD131-AF131,AG130)),"")</f>
        <v>1165.4472636990804</v>
      </c>
      <c r="AF131" s="11">
        <f t="shared" si="66"/>
        <v>2062.2427363009197</v>
      </c>
      <c r="AG131" s="9">
        <f t="shared" si="64"/>
        <v>291351.25292082853</v>
      </c>
      <c r="AH131" s="11"/>
      <c r="AI131" s="33">
        <f>IF(AB131&lt;&gt;"",ROUND(IF($F$11="raty równe",-PMT(W131/12,($F$4-AB130+SUM($AC$27:AC130)),AG130,2),AG130/($F$4-AB130+SUM($AC$27:AC130))+AG130*W131/12),2),"")</f>
        <v>3227.69</v>
      </c>
      <c r="AJ131" s="33">
        <f t="shared" si="56"/>
        <v>233.48999999999978</v>
      </c>
      <c r="AK131" s="33">
        <f t="shared" si="57"/>
        <v>26598.227934114744</v>
      </c>
      <c r="AL131" s="33">
        <f>IF(AB131&lt;&gt;"",AK131-SUM($AJ$28:AJ131),"")</f>
        <v>3991.1879341147724</v>
      </c>
      <c r="AM131" s="11">
        <f t="shared" si="58"/>
        <v>20</v>
      </c>
      <c r="AN131" s="11">
        <f>IF(AB131&lt;&gt;"",IF($B$16=listy!$K$8,'RZĄDOWY PROGRAM'!$F$3*'RZĄDOWY PROGRAM'!$F$15,AG130*$F$15),"")</f>
        <v>50</v>
      </c>
      <c r="AO131" s="11">
        <f t="shared" si="59"/>
        <v>70</v>
      </c>
      <c r="AQ131" s="49">
        <f t="shared" si="47"/>
        <v>0.05</v>
      </c>
      <c r="AR131" s="18">
        <f t="shared" si="48"/>
        <v>4.0741237836483535E-3</v>
      </c>
      <c r="AS131" s="11">
        <f t="shared" si="60"/>
        <v>0</v>
      </c>
      <c r="AT131" s="11">
        <f t="shared" si="61"/>
        <v>38089.476288574464</v>
      </c>
      <c r="AU131" s="11">
        <f>IF(AB131&lt;&gt;"",AT131-SUM($AS$28:AS131),"")</f>
        <v>10400.076288574459</v>
      </c>
    </row>
    <row r="132" spans="1:47" ht="14.5" x14ac:dyDescent="0.35">
      <c r="A132" s="76">
        <f t="shared" si="62"/>
        <v>47908</v>
      </c>
      <c r="B132" s="8">
        <f t="shared" si="36"/>
        <v>105</v>
      </c>
      <c r="C132" s="11">
        <f t="shared" si="37"/>
        <v>3461.17</v>
      </c>
      <c r="D132" s="11">
        <f t="shared" si="38"/>
        <v>1331.3219850018495</v>
      </c>
      <c r="E132" s="11">
        <f t="shared" si="39"/>
        <v>2129.8480149981506</v>
      </c>
      <c r="F132" s="9">
        <f t="shared" si="49"/>
        <v>300774.77943317557</v>
      </c>
      <c r="G132" s="10">
        <f t="shared" si="40"/>
        <v>6.7599999999999993E-2</v>
      </c>
      <c r="H132" s="10">
        <f t="shared" si="41"/>
        <v>1.7000000000000001E-2</v>
      </c>
      <c r="I132" s="49">
        <f t="shared" si="42"/>
        <v>8.4599999999999995E-2</v>
      </c>
      <c r="J132" s="11">
        <f t="shared" si="43"/>
        <v>20</v>
      </c>
      <c r="K132" s="11">
        <f>IF(B132&lt;&gt;"",IF($B$16=listy!$K$8,'RZĄDOWY PROGRAM'!$F$3*'RZĄDOWY PROGRAM'!$F$15,F131*$F$15),"")</f>
        <v>50</v>
      </c>
      <c r="L132" s="11">
        <f t="shared" si="50"/>
        <v>70</v>
      </c>
      <c r="N132" s="55">
        <f t="shared" si="63"/>
        <v>47908</v>
      </c>
      <c r="O132" s="8">
        <f t="shared" si="51"/>
        <v>105</v>
      </c>
      <c r="P132" s="8"/>
      <c r="Q132" s="33">
        <f>IF(O132&lt;&gt;"",ROUND(IF($F$11="raty równe",-PMT(W132/12,$F$4-O131+SUM($P$28:P132),T131,2),R132+S132),2),"")</f>
        <v>3461.17</v>
      </c>
      <c r="R132" s="11">
        <f>IF(O132&lt;&gt;"",IF($F$11="raty malejące",T131/($F$4-O131+SUM($P$28:P132)),IF(Q132-S132&gt;T131,T131,Q132-S132)),"")</f>
        <v>1258.5623612386048</v>
      </c>
      <c r="S132" s="11">
        <f t="shared" si="65"/>
        <v>2202.6076387613953</v>
      </c>
      <c r="T132" s="9">
        <f t="shared" si="52"/>
        <v>311168.05306590971</v>
      </c>
      <c r="U132" s="10">
        <f t="shared" si="44"/>
        <v>6.7599999999999993E-2</v>
      </c>
      <c r="V132" s="10">
        <f t="shared" si="45"/>
        <v>1.7000000000000001E-2</v>
      </c>
      <c r="W132" s="49">
        <f t="shared" si="53"/>
        <v>8.4599999999999995E-2</v>
      </c>
      <c r="X132" s="11">
        <f t="shared" si="46"/>
        <v>20</v>
      </c>
      <c r="Y132" s="11">
        <f>IF(O132&lt;&gt;"",IF($B$16=listy!$K$8,'RZĄDOWY PROGRAM'!$F$3*'RZĄDOWY PROGRAM'!$F$15,T131*$F$15),"")</f>
        <v>50</v>
      </c>
      <c r="Z132" s="11">
        <f t="shared" si="54"/>
        <v>70</v>
      </c>
      <c r="AB132" s="8">
        <f t="shared" si="55"/>
        <v>105</v>
      </c>
      <c r="AC132" s="8"/>
      <c r="AD132" s="33">
        <f>IF(AB132&lt;&gt;"",ROUND(IF($F$11="raty równe",-PMT(W132/12,$F$4-AB131+SUM($AC$28:AC132),AG131,2),AE132+AF132),2),"")</f>
        <v>3227.7</v>
      </c>
      <c r="AE132" s="11">
        <f>IF(AB132&lt;&gt;"",IF($F$11="raty malejące",AG131/($F$4-AB131+SUM($AC$28:AC131)),MIN(AD132-AF132,AG131)),"")</f>
        <v>1173.6736669081588</v>
      </c>
      <c r="AF132" s="11">
        <f t="shared" si="66"/>
        <v>2054.026333091841</v>
      </c>
      <c r="AG132" s="9">
        <f t="shared" si="64"/>
        <v>290177.57925392035</v>
      </c>
      <c r="AH132" s="11"/>
      <c r="AI132" s="33">
        <f>IF(AB132&lt;&gt;"",ROUND(IF($F$11="raty równe",-PMT(W132/12,($F$4-AB131+SUM($AC$27:AC131)),AG131,2),AG131/($F$4-AB131+SUM($AC$27:AC131))+AG131*W132/12),2),"")</f>
        <v>3227.7</v>
      </c>
      <c r="AJ132" s="33">
        <f t="shared" si="56"/>
        <v>233.47000000000025</v>
      </c>
      <c r="AK132" s="33">
        <f t="shared" si="57"/>
        <v>26919.473157268461</v>
      </c>
      <c r="AL132" s="33">
        <f>IF(AB132&lt;&gt;"",AK132-SUM($AJ$28:AJ132),"")</f>
        <v>4078.9631572684884</v>
      </c>
      <c r="AM132" s="11">
        <f t="shared" si="58"/>
        <v>20</v>
      </c>
      <c r="AN132" s="11">
        <f>IF(AB132&lt;&gt;"",IF($B$16=listy!$K$8,'RZĄDOWY PROGRAM'!$F$3*'RZĄDOWY PROGRAM'!$F$15,AG131*$F$15),"")</f>
        <v>50</v>
      </c>
      <c r="AO132" s="11">
        <f t="shared" si="59"/>
        <v>70</v>
      </c>
      <c r="AQ132" s="49">
        <f t="shared" si="47"/>
        <v>0.05</v>
      </c>
      <c r="AR132" s="18">
        <f t="shared" si="48"/>
        <v>4.0741237836483535E-3</v>
      </c>
      <c r="AS132" s="11">
        <f t="shared" si="60"/>
        <v>0</v>
      </c>
      <c r="AT132" s="11">
        <f t="shared" si="61"/>
        <v>38215.173093990197</v>
      </c>
      <c r="AU132" s="11">
        <f>IF(AB132&lt;&gt;"",AT132-SUM($AS$28:AS132),"")</f>
        <v>10525.773093990192</v>
      </c>
    </row>
    <row r="133" spans="1:47" ht="14.5" x14ac:dyDescent="0.35">
      <c r="A133" s="76">
        <f t="shared" si="62"/>
        <v>47939</v>
      </c>
      <c r="B133" s="8">
        <f t="shared" si="36"/>
        <v>106</v>
      </c>
      <c r="C133" s="11">
        <f t="shared" si="37"/>
        <v>3461.18</v>
      </c>
      <c r="D133" s="11">
        <f t="shared" si="38"/>
        <v>1340.7178049961121</v>
      </c>
      <c r="E133" s="11">
        <f t="shared" si="39"/>
        <v>2120.4621950038877</v>
      </c>
      <c r="F133" s="9">
        <f t="shared" si="49"/>
        <v>299434.06162817945</v>
      </c>
      <c r="G133" s="10">
        <f t="shared" si="40"/>
        <v>6.7599999999999993E-2</v>
      </c>
      <c r="H133" s="10">
        <f t="shared" si="41"/>
        <v>1.7000000000000001E-2</v>
      </c>
      <c r="I133" s="49">
        <f t="shared" si="42"/>
        <v>8.4599999999999995E-2</v>
      </c>
      <c r="J133" s="11">
        <f t="shared" si="43"/>
        <v>20</v>
      </c>
      <c r="K133" s="11">
        <f>IF(B133&lt;&gt;"",IF($B$16=listy!$K$8,'RZĄDOWY PROGRAM'!$F$3*'RZĄDOWY PROGRAM'!$F$15,F132*$F$15),"")</f>
        <v>50</v>
      </c>
      <c r="L133" s="11">
        <f t="shared" si="50"/>
        <v>70</v>
      </c>
      <c r="N133" s="55">
        <f t="shared" si="63"/>
        <v>47939</v>
      </c>
      <c r="O133" s="8">
        <f t="shared" si="51"/>
        <v>106</v>
      </c>
      <c r="P133" s="8"/>
      <c r="Q133" s="33">
        <f>IF(O133&lt;&gt;"",ROUND(IF($F$11="raty równe",-PMT(W133/12,$F$4-O132+SUM($P$28:P133),T132,2),R133+S133),2),"")</f>
        <v>3461.18</v>
      </c>
      <c r="R133" s="11">
        <f>IF(O133&lt;&gt;"",IF($F$11="raty malejące",T132/($F$4-O132+SUM($P$28:P133)),IF(Q133-S133&gt;T132,T132,Q133-S133)),"")</f>
        <v>1267.4452258853366</v>
      </c>
      <c r="S133" s="11">
        <f t="shared" si="65"/>
        <v>2193.7347741146632</v>
      </c>
      <c r="T133" s="9">
        <f t="shared" si="52"/>
        <v>309900.6078400244</v>
      </c>
      <c r="U133" s="10">
        <f t="shared" si="44"/>
        <v>6.7599999999999993E-2</v>
      </c>
      <c r="V133" s="10">
        <f t="shared" si="45"/>
        <v>1.7000000000000001E-2</v>
      </c>
      <c r="W133" s="49">
        <f t="shared" si="53"/>
        <v>8.4599999999999995E-2</v>
      </c>
      <c r="X133" s="11">
        <f t="shared" si="46"/>
        <v>20</v>
      </c>
      <c r="Y133" s="11">
        <f>IF(O133&lt;&gt;"",IF($B$16=listy!$K$8,'RZĄDOWY PROGRAM'!$F$3*'RZĄDOWY PROGRAM'!$F$15,T132*$F$15),"")</f>
        <v>50</v>
      </c>
      <c r="Z133" s="11">
        <f t="shared" si="54"/>
        <v>70</v>
      </c>
      <c r="AB133" s="8">
        <f t="shared" si="55"/>
        <v>106</v>
      </c>
      <c r="AC133" s="8"/>
      <c r="AD133" s="33">
        <f>IF(AB133&lt;&gt;"",ROUND(IF($F$11="raty równe",-PMT(W133/12,$F$4-AB132+SUM($AC$28:AC133),AG132,2),AE133+AF133),2),"")</f>
        <v>3227.69</v>
      </c>
      <c r="AE133" s="11">
        <f>IF(AB133&lt;&gt;"",IF($F$11="raty malejące",AG132/($F$4-AB132+SUM($AC$28:AC132)),MIN(AD133-AF133,AG132)),"")</f>
        <v>1181.9380662598617</v>
      </c>
      <c r="AF133" s="11">
        <f t="shared" si="66"/>
        <v>2045.7519337401384</v>
      </c>
      <c r="AG133" s="9">
        <f t="shared" si="64"/>
        <v>288995.64118766051</v>
      </c>
      <c r="AH133" s="11"/>
      <c r="AI133" s="33">
        <f>IF(AB133&lt;&gt;"",ROUND(IF($F$11="raty równe",-PMT(W133/12,($F$4-AB132+SUM($AC$27:AC132)),AG132,2),AG132/($F$4-AB132+SUM($AC$27:AC132))+AG132*W133/12),2),"")</f>
        <v>3227.69</v>
      </c>
      <c r="AJ133" s="33">
        <f t="shared" si="56"/>
        <v>233.48999999999978</v>
      </c>
      <c r="AK133" s="33">
        <f t="shared" si="57"/>
        <v>27241.798502593439</v>
      </c>
      <c r="AL133" s="33">
        <f>IF(AB133&lt;&gt;"",AK133-SUM($AJ$28:AJ133),"")</f>
        <v>4167.7985025934686</v>
      </c>
      <c r="AM133" s="11">
        <f t="shared" si="58"/>
        <v>20</v>
      </c>
      <c r="AN133" s="11">
        <f>IF(AB133&lt;&gt;"",IF($B$16=listy!$K$8,'RZĄDOWY PROGRAM'!$F$3*'RZĄDOWY PROGRAM'!$F$15,AG132*$F$15),"")</f>
        <v>50</v>
      </c>
      <c r="AO133" s="11">
        <f t="shared" si="59"/>
        <v>70</v>
      </c>
      <c r="AQ133" s="49">
        <f t="shared" si="47"/>
        <v>0.05</v>
      </c>
      <c r="AR133" s="18">
        <f t="shared" si="48"/>
        <v>4.0741237836483535E-3</v>
      </c>
      <c r="AS133" s="11">
        <f t="shared" si="60"/>
        <v>0</v>
      </c>
      <c r="AT133" s="11">
        <f t="shared" si="61"/>
        <v>38341.284703924954</v>
      </c>
      <c r="AU133" s="11">
        <f>IF(AB133&lt;&gt;"",AT133-SUM($AS$28:AS133),"")</f>
        <v>10651.884703924949</v>
      </c>
    </row>
    <row r="134" spans="1:47" ht="14.5" x14ac:dyDescent="0.35">
      <c r="A134" s="76">
        <f t="shared" si="62"/>
        <v>47969</v>
      </c>
      <c r="B134" s="8">
        <f t="shared" si="36"/>
        <v>107</v>
      </c>
      <c r="C134" s="11">
        <f t="shared" si="37"/>
        <v>3461.17</v>
      </c>
      <c r="D134" s="11">
        <f t="shared" si="38"/>
        <v>1350.1598655213352</v>
      </c>
      <c r="E134" s="11">
        <f t="shared" si="39"/>
        <v>2111.0101344786649</v>
      </c>
      <c r="F134" s="9">
        <f t="shared" si="49"/>
        <v>298083.90176265809</v>
      </c>
      <c r="G134" s="10">
        <f t="shared" si="40"/>
        <v>6.7599999999999993E-2</v>
      </c>
      <c r="H134" s="10">
        <f t="shared" si="41"/>
        <v>1.7000000000000001E-2</v>
      </c>
      <c r="I134" s="49">
        <f t="shared" si="42"/>
        <v>8.4599999999999995E-2</v>
      </c>
      <c r="J134" s="11">
        <f t="shared" si="43"/>
        <v>20</v>
      </c>
      <c r="K134" s="11">
        <f>IF(B134&lt;&gt;"",IF($B$16=listy!$K$8,'RZĄDOWY PROGRAM'!$F$3*'RZĄDOWY PROGRAM'!$F$15,F133*$F$15),"")</f>
        <v>50</v>
      </c>
      <c r="L134" s="11">
        <f t="shared" si="50"/>
        <v>70</v>
      </c>
      <c r="N134" s="55">
        <f t="shared" si="63"/>
        <v>47969</v>
      </c>
      <c r="O134" s="8">
        <f t="shared" si="51"/>
        <v>107</v>
      </c>
      <c r="P134" s="8"/>
      <c r="Q134" s="33">
        <f>IF(O134&lt;&gt;"",ROUND(IF($F$11="raty równe",-PMT(W134/12,$F$4-O133+SUM($P$28:P134),T133,2),R134+S134),2),"")</f>
        <v>3461.17</v>
      </c>
      <c r="R134" s="11">
        <f>IF(O134&lt;&gt;"",IF($F$11="raty malejące",T133/($F$4-O133+SUM($P$28:P134)),IF(Q134-S134&gt;T133,T133,Q134-S134)),"")</f>
        <v>1276.3707147278283</v>
      </c>
      <c r="S134" s="11">
        <f t="shared" si="65"/>
        <v>2184.7992852721718</v>
      </c>
      <c r="T134" s="9">
        <f t="shared" si="52"/>
        <v>308624.23712529655</v>
      </c>
      <c r="U134" s="10">
        <f t="shared" si="44"/>
        <v>6.7599999999999993E-2</v>
      </c>
      <c r="V134" s="10">
        <f t="shared" si="45"/>
        <v>1.7000000000000001E-2</v>
      </c>
      <c r="W134" s="49">
        <f t="shared" si="53"/>
        <v>8.4599999999999995E-2</v>
      </c>
      <c r="X134" s="11">
        <f t="shared" si="46"/>
        <v>20</v>
      </c>
      <c r="Y134" s="11">
        <f>IF(O134&lt;&gt;"",IF($B$16=listy!$K$8,'RZĄDOWY PROGRAM'!$F$3*'RZĄDOWY PROGRAM'!$F$15,T133*$F$15),"")</f>
        <v>50</v>
      </c>
      <c r="Z134" s="11">
        <f t="shared" si="54"/>
        <v>70</v>
      </c>
      <c r="AB134" s="8">
        <f t="shared" si="55"/>
        <v>107</v>
      </c>
      <c r="AC134" s="8"/>
      <c r="AD134" s="33">
        <f>IF(AB134&lt;&gt;"",ROUND(IF($F$11="raty równe",-PMT(W134/12,$F$4-AB133+SUM($AC$28:AC134),AG133,2),AE134+AF134),2),"")</f>
        <v>3227.7</v>
      </c>
      <c r="AE134" s="11">
        <f>IF(AB134&lt;&gt;"",IF($F$11="raty malejące",AG133/($F$4-AB133+SUM($AC$28:AC133)),MIN(AD134-AF134,AG133)),"")</f>
        <v>1190.2807296269932</v>
      </c>
      <c r="AF134" s="11">
        <f t="shared" si="66"/>
        <v>2037.4192703730066</v>
      </c>
      <c r="AG134" s="9">
        <f t="shared" si="64"/>
        <v>287805.36045803351</v>
      </c>
      <c r="AH134" s="11"/>
      <c r="AI134" s="33">
        <f>IF(AB134&lt;&gt;"",ROUND(IF($F$11="raty równe",-PMT(W134/12,($F$4-AB133+SUM($AC$27:AC133)),AG133,2),AG133/($F$4-AB133+SUM($AC$27:AC133))+AG133*W134/12),2),"")</f>
        <v>3227.7</v>
      </c>
      <c r="AJ134" s="33">
        <f t="shared" si="56"/>
        <v>233.47000000000025</v>
      </c>
      <c r="AK134" s="33">
        <f t="shared" si="57"/>
        <v>27565.167534536347</v>
      </c>
      <c r="AL134" s="33">
        <f>IF(AB134&lt;&gt;"",AK134-SUM($AJ$28:AJ134),"")</f>
        <v>4257.6975345363753</v>
      </c>
      <c r="AM134" s="11">
        <f t="shared" si="58"/>
        <v>20</v>
      </c>
      <c r="AN134" s="11">
        <f>IF(AB134&lt;&gt;"",IF($B$16=listy!$K$8,'RZĄDOWY PROGRAM'!$F$3*'RZĄDOWY PROGRAM'!$F$15,AG133*$F$15),"")</f>
        <v>50</v>
      </c>
      <c r="AO134" s="11">
        <f t="shared" si="59"/>
        <v>70</v>
      </c>
      <c r="AQ134" s="49">
        <f t="shared" si="47"/>
        <v>0.05</v>
      </c>
      <c r="AR134" s="18">
        <f t="shared" si="48"/>
        <v>4.0741237836483535E-3</v>
      </c>
      <c r="AS134" s="11">
        <f t="shared" si="60"/>
        <v>0</v>
      </c>
      <c r="AT134" s="11">
        <f t="shared" si="61"/>
        <v>38467.812487250347</v>
      </c>
      <c r="AU134" s="11">
        <f>IF(AB134&lt;&gt;"",AT134-SUM($AS$28:AS134),"")</f>
        <v>10778.412487250342</v>
      </c>
    </row>
    <row r="135" spans="1:47" ht="14.5" x14ac:dyDescent="0.35">
      <c r="A135" s="76">
        <f t="shared" si="62"/>
        <v>48000</v>
      </c>
      <c r="B135" s="8">
        <f t="shared" si="36"/>
        <v>108</v>
      </c>
      <c r="C135" s="11">
        <f t="shared" si="37"/>
        <v>3461.18</v>
      </c>
      <c r="D135" s="11">
        <f t="shared" si="38"/>
        <v>1359.6884925732602</v>
      </c>
      <c r="E135" s="11">
        <f t="shared" si="39"/>
        <v>2101.4915074267396</v>
      </c>
      <c r="F135" s="9">
        <f t="shared" si="49"/>
        <v>296724.21327008482</v>
      </c>
      <c r="G135" s="10">
        <f t="shared" si="40"/>
        <v>6.7599999999999993E-2</v>
      </c>
      <c r="H135" s="10">
        <f t="shared" si="41"/>
        <v>1.7000000000000001E-2</v>
      </c>
      <c r="I135" s="49">
        <f t="shared" si="42"/>
        <v>8.4599999999999995E-2</v>
      </c>
      <c r="J135" s="11">
        <f t="shared" si="43"/>
        <v>20</v>
      </c>
      <c r="K135" s="11">
        <f>IF(B135&lt;&gt;"",IF($B$16=listy!$K$8,'RZĄDOWY PROGRAM'!$F$3*'RZĄDOWY PROGRAM'!$F$15,F134*$F$15),"")</f>
        <v>50</v>
      </c>
      <c r="L135" s="11">
        <f t="shared" si="50"/>
        <v>70</v>
      </c>
      <c r="N135" s="55">
        <f t="shared" si="63"/>
        <v>48000</v>
      </c>
      <c r="O135" s="8">
        <f t="shared" si="51"/>
        <v>108</v>
      </c>
      <c r="P135" s="8"/>
      <c r="Q135" s="33">
        <f>IF(O135&lt;&gt;"",ROUND(IF($F$11="raty równe",-PMT(W135/12,$F$4-O134+SUM($P$28:P135),T134,2),R135+S135),2),"")</f>
        <v>3461.18</v>
      </c>
      <c r="R135" s="11">
        <f>IF(O135&lt;&gt;"",IF($F$11="raty malejące",T134/($F$4-O134+SUM($P$28:P135)),IF(Q135-S135&gt;T134,T134,Q135-S135)),"")</f>
        <v>1285.3791282666593</v>
      </c>
      <c r="S135" s="11">
        <f t="shared" si="65"/>
        <v>2175.8008717333405</v>
      </c>
      <c r="T135" s="9">
        <f t="shared" si="52"/>
        <v>307338.8579970299</v>
      </c>
      <c r="U135" s="10">
        <f t="shared" si="44"/>
        <v>6.7599999999999993E-2</v>
      </c>
      <c r="V135" s="10">
        <f t="shared" si="45"/>
        <v>1.7000000000000001E-2</v>
      </c>
      <c r="W135" s="49">
        <f t="shared" si="53"/>
        <v>8.4599999999999995E-2</v>
      </c>
      <c r="X135" s="11">
        <f t="shared" si="46"/>
        <v>20</v>
      </c>
      <c r="Y135" s="11">
        <f>IF(O135&lt;&gt;"",IF($B$16=listy!$K$8,'RZĄDOWY PROGRAM'!$F$3*'RZĄDOWY PROGRAM'!$F$15,T134*$F$15),"")</f>
        <v>50</v>
      </c>
      <c r="Z135" s="11">
        <f t="shared" si="54"/>
        <v>70</v>
      </c>
      <c r="AB135" s="8">
        <f t="shared" si="55"/>
        <v>108</v>
      </c>
      <c r="AC135" s="8"/>
      <c r="AD135" s="33">
        <f>IF(AB135&lt;&gt;"",ROUND(IF($F$11="raty równe",-PMT(W135/12,$F$4-AB134+SUM($AC$28:AC135),AG134,2),AE135+AF135),2),"")</f>
        <v>3227.69</v>
      </c>
      <c r="AE135" s="11">
        <f>IF(AB135&lt;&gt;"",IF($F$11="raty malejące",AG134/($F$4-AB134+SUM($AC$28:AC134)),MIN(AD135-AF135,AG134)),"")</f>
        <v>1198.662208770864</v>
      </c>
      <c r="AF135" s="11">
        <f t="shared" si="66"/>
        <v>2029.027791229136</v>
      </c>
      <c r="AG135" s="9">
        <f t="shared" si="64"/>
        <v>286606.69824926264</v>
      </c>
      <c r="AH135" s="11"/>
      <c r="AI135" s="33">
        <f>IF(AB135&lt;&gt;"",ROUND(IF($F$11="raty równe",-PMT(W135/12,($F$4-AB134+SUM($AC$27:AC134)),AG134,2),AG134/($F$4-AB134+SUM($AC$27:AC134))+AG134*W135/12),2),"")</f>
        <v>3227.69</v>
      </c>
      <c r="AJ135" s="33">
        <f t="shared" si="56"/>
        <v>233.48999999999978</v>
      </c>
      <c r="AK135" s="33">
        <f t="shared" si="57"/>
        <v>27889.62369730504</v>
      </c>
      <c r="AL135" s="33">
        <f>IF(AB135&lt;&gt;"",AK135-SUM($AJ$28:AJ135),"")</f>
        <v>4348.6636973050699</v>
      </c>
      <c r="AM135" s="11">
        <f t="shared" si="58"/>
        <v>20</v>
      </c>
      <c r="AN135" s="11">
        <f>IF(AB135&lt;&gt;"",IF($B$16=listy!$K$8,'RZĄDOWY PROGRAM'!$F$3*'RZĄDOWY PROGRAM'!$F$15,AG134*$F$15),"")</f>
        <v>50</v>
      </c>
      <c r="AO135" s="11">
        <f t="shared" si="59"/>
        <v>70</v>
      </c>
      <c r="AQ135" s="49">
        <f t="shared" si="47"/>
        <v>0.05</v>
      </c>
      <c r="AR135" s="18">
        <f t="shared" si="48"/>
        <v>4.0741237836483535E-3</v>
      </c>
      <c r="AS135" s="11">
        <f t="shared" si="60"/>
        <v>0</v>
      </c>
      <c r="AT135" s="11">
        <f t="shared" si="61"/>
        <v>38594.757817355327</v>
      </c>
      <c r="AU135" s="11">
        <f>IF(AB135&lt;&gt;"",AT135-SUM($AS$28:AS135),"")</f>
        <v>10905.357817355321</v>
      </c>
    </row>
    <row r="136" spans="1:47" ht="14.5" x14ac:dyDescent="0.35">
      <c r="A136" s="76">
        <f t="shared" si="62"/>
        <v>48030</v>
      </c>
      <c r="B136" s="8">
        <f t="shared" si="36"/>
        <v>109</v>
      </c>
      <c r="C136" s="11">
        <f t="shared" si="37"/>
        <v>3461.17</v>
      </c>
      <c r="D136" s="11">
        <f t="shared" si="38"/>
        <v>1369.2642964459023</v>
      </c>
      <c r="E136" s="11">
        <f t="shared" si="39"/>
        <v>2091.9057035540977</v>
      </c>
      <c r="F136" s="9">
        <f t="shared" si="49"/>
        <v>295354.94897363894</v>
      </c>
      <c r="G136" s="10">
        <f t="shared" si="40"/>
        <v>6.7599999999999993E-2</v>
      </c>
      <c r="H136" s="10">
        <f t="shared" si="41"/>
        <v>1.7000000000000001E-2</v>
      </c>
      <c r="I136" s="49">
        <f t="shared" si="42"/>
        <v>8.4599999999999995E-2</v>
      </c>
      <c r="J136" s="11">
        <f t="shared" si="43"/>
        <v>20</v>
      </c>
      <c r="K136" s="11">
        <f>IF(B136&lt;&gt;"",IF($B$16=listy!$K$8,'RZĄDOWY PROGRAM'!$F$3*'RZĄDOWY PROGRAM'!$F$15,F135*$F$15),"")</f>
        <v>50</v>
      </c>
      <c r="L136" s="11">
        <f t="shared" si="50"/>
        <v>70</v>
      </c>
      <c r="N136" s="55">
        <f t="shared" si="63"/>
        <v>48030</v>
      </c>
      <c r="O136" s="8">
        <f t="shared" si="51"/>
        <v>109</v>
      </c>
      <c r="P136" s="8"/>
      <c r="Q136" s="33">
        <f>IF(O136&lt;&gt;"",ROUND(IF($F$11="raty równe",-PMT(W136/12,$F$4-O135+SUM($P$28:P136),T135,2),R136+S136),2),"")</f>
        <v>3461.17</v>
      </c>
      <c r="R136" s="11">
        <f>IF(O136&lt;&gt;"",IF($F$11="raty malejące",T135/($F$4-O135+SUM($P$28:P136)),IF(Q136-S136&gt;T135,T135,Q136-S136)),"")</f>
        <v>1294.4310511209392</v>
      </c>
      <c r="S136" s="11">
        <f t="shared" si="65"/>
        <v>2166.7389488790609</v>
      </c>
      <c r="T136" s="9">
        <f t="shared" si="52"/>
        <v>306044.42694590898</v>
      </c>
      <c r="U136" s="10">
        <f t="shared" si="44"/>
        <v>6.7599999999999993E-2</v>
      </c>
      <c r="V136" s="10">
        <f t="shared" si="45"/>
        <v>1.7000000000000001E-2</v>
      </c>
      <c r="W136" s="49">
        <f t="shared" si="53"/>
        <v>8.4599999999999995E-2</v>
      </c>
      <c r="X136" s="11">
        <f t="shared" si="46"/>
        <v>20</v>
      </c>
      <c r="Y136" s="11">
        <f>IF(O136&lt;&gt;"",IF($B$16=listy!$K$8,'RZĄDOWY PROGRAM'!$F$3*'RZĄDOWY PROGRAM'!$F$15,T135*$F$15),"")</f>
        <v>50</v>
      </c>
      <c r="Z136" s="11">
        <f t="shared" si="54"/>
        <v>70</v>
      </c>
      <c r="AB136" s="8">
        <f t="shared" si="55"/>
        <v>109</v>
      </c>
      <c r="AC136" s="8"/>
      <c r="AD136" s="33">
        <f>IF(AB136&lt;&gt;"",ROUND(IF($F$11="raty równe",-PMT(W136/12,$F$4-AB135+SUM($AC$28:AC136),AG135,2),AE136+AF136),2),"")</f>
        <v>3227.7</v>
      </c>
      <c r="AE136" s="11">
        <f>IF(AB136&lt;&gt;"",IF($F$11="raty malejące",AG135/($F$4-AB135+SUM($AC$28:AC135)),MIN(AD136-AF136,AG135)),"")</f>
        <v>1207.1227773426983</v>
      </c>
      <c r="AF136" s="11">
        <f t="shared" si="66"/>
        <v>2020.5772226573015</v>
      </c>
      <c r="AG136" s="9">
        <f t="shared" si="64"/>
        <v>285399.57547191996</v>
      </c>
      <c r="AH136" s="11"/>
      <c r="AI136" s="33">
        <f>IF(AB136&lt;&gt;"",ROUND(IF($F$11="raty równe",-PMT(W136/12,($F$4-AB135+SUM($AC$27:AC135)),AG135,2),AG135/($F$4-AB135+SUM($AC$27:AC135))+AG135*W136/12),2),"")</f>
        <v>3227.7</v>
      </c>
      <c r="AJ136" s="33">
        <f t="shared" si="56"/>
        <v>233.47000000000025</v>
      </c>
      <c r="AK136" s="33">
        <f t="shared" si="57"/>
        <v>28215.130578475018</v>
      </c>
      <c r="AL136" s="33">
        <f>IF(AB136&lt;&gt;"",AK136-SUM($AJ$28:AJ136),"")</f>
        <v>4440.7005784750472</v>
      </c>
      <c r="AM136" s="11">
        <f t="shared" si="58"/>
        <v>20</v>
      </c>
      <c r="AN136" s="11">
        <f>IF(AB136&lt;&gt;"",IF($B$16=listy!$K$8,'RZĄDOWY PROGRAM'!$F$3*'RZĄDOWY PROGRAM'!$F$15,AG135*$F$15),"")</f>
        <v>50</v>
      </c>
      <c r="AO136" s="11">
        <f t="shared" si="59"/>
        <v>70</v>
      </c>
      <c r="AQ136" s="49">
        <f t="shared" si="47"/>
        <v>0.05</v>
      </c>
      <c r="AR136" s="18">
        <f t="shared" si="48"/>
        <v>4.0741237836483535E-3</v>
      </c>
      <c r="AS136" s="11">
        <f t="shared" si="60"/>
        <v>0</v>
      </c>
      <c r="AT136" s="11">
        <f t="shared" si="61"/>
        <v>38722.122072161073</v>
      </c>
      <c r="AU136" s="11">
        <f>IF(AB136&lt;&gt;"",AT136-SUM($AS$28:AS136),"")</f>
        <v>11032.722072161068</v>
      </c>
    </row>
    <row r="137" spans="1:47" ht="14.5" x14ac:dyDescent="0.35">
      <c r="A137" s="76">
        <f t="shared" si="62"/>
        <v>48061</v>
      </c>
      <c r="B137" s="8">
        <f t="shared" si="36"/>
        <v>110</v>
      </c>
      <c r="C137" s="11">
        <f t="shared" si="37"/>
        <v>3461.18</v>
      </c>
      <c r="D137" s="11">
        <f t="shared" si="38"/>
        <v>1378.9276097358452</v>
      </c>
      <c r="E137" s="11">
        <f t="shared" si="39"/>
        <v>2082.2523902641547</v>
      </c>
      <c r="F137" s="9">
        <f t="shared" si="49"/>
        <v>293976.02136390307</v>
      </c>
      <c r="G137" s="10">
        <f t="shared" si="40"/>
        <v>6.7599999999999993E-2</v>
      </c>
      <c r="H137" s="10">
        <f t="shared" si="41"/>
        <v>1.7000000000000001E-2</v>
      </c>
      <c r="I137" s="49">
        <f t="shared" si="42"/>
        <v>8.4599999999999995E-2</v>
      </c>
      <c r="J137" s="11">
        <f t="shared" si="43"/>
        <v>20</v>
      </c>
      <c r="K137" s="11">
        <f>IF(B137&lt;&gt;"",IF($B$16=listy!$K$8,'RZĄDOWY PROGRAM'!$F$3*'RZĄDOWY PROGRAM'!$F$15,F136*$F$15),"")</f>
        <v>50</v>
      </c>
      <c r="L137" s="11">
        <f t="shared" si="50"/>
        <v>70</v>
      </c>
      <c r="N137" s="55">
        <f t="shared" si="63"/>
        <v>48061</v>
      </c>
      <c r="O137" s="8">
        <f t="shared" si="51"/>
        <v>110</v>
      </c>
      <c r="P137" s="8"/>
      <c r="Q137" s="33">
        <f>IF(O137&lt;&gt;"",ROUND(IF($F$11="raty równe",-PMT(W137/12,$F$4-O136+SUM($P$28:P137),T136,2),R137+S137),2),"")</f>
        <v>3461.18</v>
      </c>
      <c r="R137" s="11">
        <f>IF(O137&lt;&gt;"",IF($F$11="raty malejące",T136/($F$4-O136+SUM($P$28:P137)),IF(Q137-S137&gt;T136,T136,Q137-S137)),"")</f>
        <v>1303.5667900313415</v>
      </c>
      <c r="S137" s="11">
        <f t="shared" si="65"/>
        <v>2157.6132099686583</v>
      </c>
      <c r="T137" s="9">
        <f t="shared" si="52"/>
        <v>304740.86015587766</v>
      </c>
      <c r="U137" s="10">
        <f t="shared" si="44"/>
        <v>6.7599999999999993E-2</v>
      </c>
      <c r="V137" s="10">
        <f t="shared" si="45"/>
        <v>1.7000000000000001E-2</v>
      </c>
      <c r="W137" s="49">
        <f t="shared" si="53"/>
        <v>8.4599999999999995E-2</v>
      </c>
      <c r="X137" s="11">
        <f t="shared" si="46"/>
        <v>20</v>
      </c>
      <c r="Y137" s="11">
        <f>IF(O137&lt;&gt;"",IF($B$16=listy!$K$8,'RZĄDOWY PROGRAM'!$F$3*'RZĄDOWY PROGRAM'!$F$15,T136*$F$15),"")</f>
        <v>50</v>
      </c>
      <c r="Z137" s="11">
        <f t="shared" si="54"/>
        <v>70</v>
      </c>
      <c r="AB137" s="8">
        <f t="shared" si="55"/>
        <v>110</v>
      </c>
      <c r="AC137" s="8"/>
      <c r="AD137" s="33">
        <f>IF(AB137&lt;&gt;"",ROUND(IF($F$11="raty równe",-PMT(W137/12,$F$4-AB136+SUM($AC$28:AC137),AG136,2),AE137+AF137),2),"")</f>
        <v>3227.69</v>
      </c>
      <c r="AE137" s="11">
        <f>IF(AB137&lt;&gt;"",IF($F$11="raty malejące",AG136/($F$4-AB136+SUM($AC$28:AC136)),MIN(AD137-AF137,AG136)),"")</f>
        <v>1215.6229929229644</v>
      </c>
      <c r="AF137" s="11">
        <f t="shared" si="66"/>
        <v>2012.0670070770357</v>
      </c>
      <c r="AG137" s="9">
        <f t="shared" si="64"/>
        <v>284183.952478997</v>
      </c>
      <c r="AH137" s="11"/>
      <c r="AI137" s="33">
        <f>IF(AB137&lt;&gt;"",ROUND(IF($F$11="raty równe",-PMT(W137/12,($F$4-AB136+SUM($AC$27:AC136)),AG136,2),AG136/($F$4-AB136+SUM($AC$27:AC136))+AG136*W137/12),2),"")</f>
        <v>3227.69</v>
      </c>
      <c r="AJ137" s="33">
        <f t="shared" si="56"/>
        <v>233.48999999999978</v>
      </c>
      <c r="AK137" s="33">
        <f t="shared" si="57"/>
        <v>28541.731645459309</v>
      </c>
      <c r="AL137" s="33">
        <f>IF(AB137&lt;&gt;"",AK137-SUM($AJ$28:AJ137),"")</f>
        <v>4533.8116454593401</v>
      </c>
      <c r="AM137" s="11">
        <f t="shared" si="58"/>
        <v>20</v>
      </c>
      <c r="AN137" s="11">
        <f>IF(AB137&lt;&gt;"",IF($B$16=listy!$K$8,'RZĄDOWY PROGRAM'!$F$3*'RZĄDOWY PROGRAM'!$F$15,AG136*$F$15),"")</f>
        <v>50</v>
      </c>
      <c r="AO137" s="11">
        <f t="shared" si="59"/>
        <v>70</v>
      </c>
      <c r="AQ137" s="49">
        <f t="shared" si="47"/>
        <v>0.05</v>
      </c>
      <c r="AR137" s="18">
        <f t="shared" si="48"/>
        <v>4.0741237836483535E-3</v>
      </c>
      <c r="AS137" s="11">
        <f t="shared" si="60"/>
        <v>0</v>
      </c>
      <c r="AT137" s="11">
        <f t="shared" si="61"/>
        <v>38849.906634135972</v>
      </c>
      <c r="AU137" s="11">
        <f>IF(AB137&lt;&gt;"",AT137-SUM($AS$28:AS137),"")</f>
        <v>11160.506634135967</v>
      </c>
    </row>
    <row r="138" spans="1:47" ht="14.5" x14ac:dyDescent="0.35">
      <c r="A138" s="76">
        <f t="shared" si="62"/>
        <v>48092</v>
      </c>
      <c r="B138" s="8">
        <f t="shared" si="36"/>
        <v>111</v>
      </c>
      <c r="C138" s="11">
        <f t="shared" si="37"/>
        <v>3461.17</v>
      </c>
      <c r="D138" s="11">
        <f t="shared" si="38"/>
        <v>1388.6390493844833</v>
      </c>
      <c r="E138" s="11">
        <f t="shared" si="39"/>
        <v>2072.5309506155168</v>
      </c>
      <c r="F138" s="9">
        <f t="shared" si="49"/>
        <v>292587.38231451856</v>
      </c>
      <c r="G138" s="10">
        <f t="shared" si="40"/>
        <v>6.7599999999999993E-2</v>
      </c>
      <c r="H138" s="10">
        <f t="shared" si="41"/>
        <v>1.7000000000000001E-2</v>
      </c>
      <c r="I138" s="49">
        <f t="shared" si="42"/>
        <v>8.4599999999999995E-2</v>
      </c>
      <c r="J138" s="11">
        <f t="shared" si="43"/>
        <v>20</v>
      </c>
      <c r="K138" s="11">
        <f>IF(B138&lt;&gt;"",IF($B$16=listy!$K$8,'RZĄDOWY PROGRAM'!$F$3*'RZĄDOWY PROGRAM'!$F$15,F137*$F$15),"")</f>
        <v>50</v>
      </c>
      <c r="L138" s="11">
        <f t="shared" si="50"/>
        <v>70</v>
      </c>
      <c r="N138" s="55">
        <f t="shared" si="63"/>
        <v>48092</v>
      </c>
      <c r="O138" s="8">
        <f t="shared" si="51"/>
        <v>111</v>
      </c>
      <c r="P138" s="8"/>
      <c r="Q138" s="33">
        <f>IF(O138&lt;&gt;"",ROUND(IF($F$11="raty równe",-PMT(W138/12,$F$4-O137+SUM($P$28:P138),T137,2),R138+S138),2),"")</f>
        <v>3461.17</v>
      </c>
      <c r="R138" s="11">
        <f>IF(O138&lt;&gt;"",IF($F$11="raty malejące",T137/($F$4-O137+SUM($P$28:P138)),IF(Q138-S138&gt;T137,T137,Q138-S138)),"")</f>
        <v>1312.7469359010624</v>
      </c>
      <c r="S138" s="11">
        <f t="shared" si="65"/>
        <v>2148.4230640989376</v>
      </c>
      <c r="T138" s="9">
        <f t="shared" si="52"/>
        <v>303428.1132199766</v>
      </c>
      <c r="U138" s="10">
        <f t="shared" si="44"/>
        <v>6.7599999999999993E-2</v>
      </c>
      <c r="V138" s="10">
        <f t="shared" si="45"/>
        <v>1.7000000000000001E-2</v>
      </c>
      <c r="W138" s="49">
        <f t="shared" si="53"/>
        <v>8.4599999999999995E-2</v>
      </c>
      <c r="X138" s="11">
        <f t="shared" si="46"/>
        <v>20</v>
      </c>
      <c r="Y138" s="11">
        <f>IF(O138&lt;&gt;"",IF($B$16=listy!$K$8,'RZĄDOWY PROGRAM'!$F$3*'RZĄDOWY PROGRAM'!$F$15,T137*$F$15),"")</f>
        <v>50</v>
      </c>
      <c r="Z138" s="11">
        <f t="shared" si="54"/>
        <v>70</v>
      </c>
      <c r="AB138" s="8">
        <f t="shared" si="55"/>
        <v>111</v>
      </c>
      <c r="AC138" s="8"/>
      <c r="AD138" s="33">
        <f>IF(AB138&lt;&gt;"",ROUND(IF($F$11="raty równe",-PMT(W138/12,$F$4-AB137+SUM($AC$28:AC138),AG137,2),AE138+AF138),2),"")</f>
        <v>3227.7</v>
      </c>
      <c r="AE138" s="11">
        <f>IF(AB138&lt;&gt;"",IF($F$11="raty malejące",AG137/($F$4-AB137+SUM($AC$28:AC137)),MIN(AD138-AF138,AG137)),"")</f>
        <v>1224.2031350230711</v>
      </c>
      <c r="AF138" s="11">
        <f t="shared" si="66"/>
        <v>2003.4968649769287</v>
      </c>
      <c r="AG138" s="9">
        <f t="shared" si="64"/>
        <v>282959.74934397393</v>
      </c>
      <c r="AH138" s="11"/>
      <c r="AI138" s="33">
        <f>IF(AB138&lt;&gt;"",ROUND(IF($F$11="raty równe",-PMT(W138/12,($F$4-AB137+SUM($AC$27:AC137)),AG137,2),AG137/($F$4-AB137+SUM($AC$27:AC137))+AG137*W138/12),2),"")</f>
        <v>3227.7</v>
      </c>
      <c r="AJ138" s="33">
        <f t="shared" si="56"/>
        <v>233.47000000000025</v>
      </c>
      <c r="AK138" s="33">
        <f t="shared" si="57"/>
        <v>28869.390509115165</v>
      </c>
      <c r="AL138" s="33">
        <f>IF(AB138&lt;&gt;"",AK138-SUM($AJ$28:AJ138),"")</f>
        <v>4628.0005091151943</v>
      </c>
      <c r="AM138" s="11">
        <f t="shared" si="58"/>
        <v>20</v>
      </c>
      <c r="AN138" s="11">
        <f>IF(AB138&lt;&gt;"",IF($B$16=listy!$K$8,'RZĄDOWY PROGRAM'!$F$3*'RZĄDOWY PROGRAM'!$F$15,AG137*$F$15),"")</f>
        <v>50</v>
      </c>
      <c r="AO138" s="11">
        <f t="shared" si="59"/>
        <v>70</v>
      </c>
      <c r="AQ138" s="49">
        <f t="shared" si="47"/>
        <v>0.05</v>
      </c>
      <c r="AR138" s="18">
        <f t="shared" si="48"/>
        <v>4.0741237836483535E-3</v>
      </c>
      <c r="AS138" s="11">
        <f t="shared" si="60"/>
        <v>0</v>
      </c>
      <c r="AT138" s="11">
        <f t="shared" si="61"/>
        <v>38978.1128903106</v>
      </c>
      <c r="AU138" s="11">
        <f>IF(AB138&lt;&gt;"",AT138-SUM($AS$28:AS138),"")</f>
        <v>11288.712890310595</v>
      </c>
    </row>
    <row r="139" spans="1:47" ht="14.5" x14ac:dyDescent="0.35">
      <c r="A139" s="76">
        <f t="shared" si="62"/>
        <v>48122</v>
      </c>
      <c r="B139" s="8">
        <f t="shared" si="36"/>
        <v>112</v>
      </c>
      <c r="C139" s="11">
        <f t="shared" si="37"/>
        <v>3461.18</v>
      </c>
      <c r="D139" s="11">
        <f t="shared" si="38"/>
        <v>1398.4389546826442</v>
      </c>
      <c r="E139" s="11">
        <f t="shared" si="39"/>
        <v>2062.7410453173557</v>
      </c>
      <c r="F139" s="9">
        <f t="shared" si="49"/>
        <v>291188.94335983589</v>
      </c>
      <c r="G139" s="10">
        <f t="shared" si="40"/>
        <v>6.7599999999999993E-2</v>
      </c>
      <c r="H139" s="10">
        <f t="shared" si="41"/>
        <v>1.7000000000000001E-2</v>
      </c>
      <c r="I139" s="49">
        <f t="shared" si="42"/>
        <v>8.4599999999999995E-2</v>
      </c>
      <c r="J139" s="11">
        <f t="shared" si="43"/>
        <v>20</v>
      </c>
      <c r="K139" s="11">
        <f>IF(B139&lt;&gt;"",IF($B$16=listy!$K$8,'RZĄDOWY PROGRAM'!$F$3*'RZĄDOWY PROGRAM'!$F$15,F138*$F$15),"")</f>
        <v>50</v>
      </c>
      <c r="L139" s="11">
        <f t="shared" si="50"/>
        <v>70</v>
      </c>
      <c r="N139" s="55">
        <f t="shared" si="63"/>
        <v>48122</v>
      </c>
      <c r="O139" s="8">
        <f t="shared" si="51"/>
        <v>112</v>
      </c>
      <c r="P139" s="8"/>
      <c r="Q139" s="33">
        <f>IF(O139&lt;&gt;"",ROUND(IF($F$11="raty równe",-PMT(W139/12,$F$4-O138+SUM($P$28:P139),T138,2),R139+S139),2),"")</f>
        <v>3461.18</v>
      </c>
      <c r="R139" s="11">
        <f>IF(O139&lt;&gt;"",IF($F$11="raty malejące",T138/($F$4-O138+SUM($P$28:P139)),IF(Q139-S139&gt;T138,T138,Q139-S139)),"")</f>
        <v>1322.0118017991649</v>
      </c>
      <c r="S139" s="11">
        <f t="shared" si="65"/>
        <v>2139.1681982008349</v>
      </c>
      <c r="T139" s="9">
        <f t="shared" si="52"/>
        <v>302106.10141817742</v>
      </c>
      <c r="U139" s="10">
        <f t="shared" si="44"/>
        <v>6.7599999999999993E-2</v>
      </c>
      <c r="V139" s="10">
        <f t="shared" si="45"/>
        <v>1.7000000000000001E-2</v>
      </c>
      <c r="W139" s="49">
        <f t="shared" si="53"/>
        <v>8.4599999999999995E-2</v>
      </c>
      <c r="X139" s="11">
        <f t="shared" si="46"/>
        <v>20</v>
      </c>
      <c r="Y139" s="11">
        <f>IF(O139&lt;&gt;"",IF($B$16=listy!$K$8,'RZĄDOWY PROGRAM'!$F$3*'RZĄDOWY PROGRAM'!$F$15,T138*$F$15),"")</f>
        <v>50</v>
      </c>
      <c r="Z139" s="11">
        <f t="shared" si="54"/>
        <v>70</v>
      </c>
      <c r="AB139" s="8">
        <f t="shared" si="55"/>
        <v>112</v>
      </c>
      <c r="AC139" s="8"/>
      <c r="AD139" s="33">
        <f>IF(AB139&lt;&gt;"",ROUND(IF($F$11="raty równe",-PMT(W139/12,$F$4-AB138+SUM($AC$28:AC139),AG138,2),AE139+AF139),2),"")</f>
        <v>3227.69</v>
      </c>
      <c r="AE139" s="11">
        <f>IF(AB139&lt;&gt;"",IF($F$11="raty malejące",AG138/($F$4-AB138+SUM($AC$28:AC138)),MIN(AD139-AF139,AG138)),"")</f>
        <v>1232.823767124984</v>
      </c>
      <c r="AF139" s="11">
        <f t="shared" si="66"/>
        <v>1994.8662328750161</v>
      </c>
      <c r="AG139" s="9">
        <f t="shared" si="64"/>
        <v>281726.92557684897</v>
      </c>
      <c r="AH139" s="11"/>
      <c r="AI139" s="33">
        <f>IF(AB139&lt;&gt;"",ROUND(IF($F$11="raty równe",-PMT(W139/12,($F$4-AB138+SUM($AC$27:AC138)),AG138,2),AG138/($F$4-AB138+SUM($AC$27:AC138))+AG138*W139/12),2),"")</f>
        <v>3227.69</v>
      </c>
      <c r="AJ139" s="33">
        <f t="shared" si="56"/>
        <v>233.48999999999978</v>
      </c>
      <c r="AK139" s="33">
        <f t="shared" si="57"/>
        <v>29198.150660214182</v>
      </c>
      <c r="AL139" s="33">
        <f>IF(AB139&lt;&gt;"",AK139-SUM($AJ$28:AJ139),"")</f>
        <v>4723.2706602142134</v>
      </c>
      <c r="AM139" s="11">
        <f t="shared" si="58"/>
        <v>20</v>
      </c>
      <c r="AN139" s="11">
        <f>IF(AB139&lt;&gt;"",IF($B$16=listy!$K$8,'RZĄDOWY PROGRAM'!$F$3*'RZĄDOWY PROGRAM'!$F$15,AG138*$F$15),"")</f>
        <v>50</v>
      </c>
      <c r="AO139" s="11">
        <f t="shared" si="59"/>
        <v>70</v>
      </c>
      <c r="AQ139" s="49">
        <f t="shared" si="47"/>
        <v>0.05</v>
      </c>
      <c r="AR139" s="18">
        <f t="shared" si="48"/>
        <v>4.0741237836483535E-3</v>
      </c>
      <c r="AS139" s="11">
        <f t="shared" si="60"/>
        <v>0</v>
      </c>
      <c r="AT139" s="11">
        <f t="shared" si="61"/>
        <v>39106.742232292796</v>
      </c>
      <c r="AU139" s="11">
        <f>IF(AB139&lt;&gt;"",AT139-SUM($AS$28:AS139),"")</f>
        <v>11417.342232292791</v>
      </c>
    </row>
    <row r="140" spans="1:47" ht="14.5" x14ac:dyDescent="0.35">
      <c r="A140" s="76">
        <f t="shared" si="62"/>
        <v>48153</v>
      </c>
      <c r="B140" s="8">
        <f t="shared" si="36"/>
        <v>113</v>
      </c>
      <c r="C140" s="11">
        <f t="shared" si="37"/>
        <v>3461.17</v>
      </c>
      <c r="D140" s="11">
        <f t="shared" si="38"/>
        <v>1408.2879493131572</v>
      </c>
      <c r="E140" s="11">
        <f t="shared" si="39"/>
        <v>2052.8820506868428</v>
      </c>
      <c r="F140" s="9">
        <f t="shared" si="49"/>
        <v>289780.65541052271</v>
      </c>
      <c r="G140" s="10">
        <f t="shared" si="40"/>
        <v>6.7599999999999993E-2</v>
      </c>
      <c r="H140" s="10">
        <f t="shared" si="41"/>
        <v>1.7000000000000001E-2</v>
      </c>
      <c r="I140" s="49">
        <f t="shared" si="42"/>
        <v>8.4599999999999995E-2</v>
      </c>
      <c r="J140" s="11">
        <f t="shared" si="43"/>
        <v>20</v>
      </c>
      <c r="K140" s="11">
        <f>IF(B140&lt;&gt;"",IF($B$16=listy!$K$8,'RZĄDOWY PROGRAM'!$F$3*'RZĄDOWY PROGRAM'!$F$15,F139*$F$15),"")</f>
        <v>50</v>
      </c>
      <c r="L140" s="11">
        <f t="shared" si="50"/>
        <v>70</v>
      </c>
      <c r="N140" s="55">
        <f t="shared" si="63"/>
        <v>48153</v>
      </c>
      <c r="O140" s="8">
        <f t="shared" si="51"/>
        <v>113</v>
      </c>
      <c r="P140" s="8"/>
      <c r="Q140" s="33">
        <f>IF(O140&lt;&gt;"",ROUND(IF($F$11="raty równe",-PMT(W140/12,$F$4-O139+SUM($P$28:P140),T139,2),R140+S140),2),"")</f>
        <v>3461.17</v>
      </c>
      <c r="R140" s="11">
        <f>IF(O140&lt;&gt;"",IF($F$11="raty malejące",T139/($F$4-O139+SUM($P$28:P140)),IF(Q140-S140&gt;T139,T139,Q140-S140)),"")</f>
        <v>1331.3219850018495</v>
      </c>
      <c r="S140" s="11">
        <f t="shared" si="65"/>
        <v>2129.8480149981506</v>
      </c>
      <c r="T140" s="9">
        <f t="shared" si="52"/>
        <v>300774.77943317557</v>
      </c>
      <c r="U140" s="10">
        <f t="shared" si="44"/>
        <v>6.7599999999999993E-2</v>
      </c>
      <c r="V140" s="10">
        <f t="shared" si="45"/>
        <v>1.7000000000000001E-2</v>
      </c>
      <c r="W140" s="49">
        <f t="shared" si="53"/>
        <v>8.4599999999999995E-2</v>
      </c>
      <c r="X140" s="11">
        <f t="shared" si="46"/>
        <v>20</v>
      </c>
      <c r="Y140" s="11">
        <f>IF(O140&lt;&gt;"",IF($B$16=listy!$K$8,'RZĄDOWY PROGRAM'!$F$3*'RZĄDOWY PROGRAM'!$F$15,T139*$F$15),"")</f>
        <v>50</v>
      </c>
      <c r="Z140" s="11">
        <f t="shared" si="54"/>
        <v>70</v>
      </c>
      <c r="AB140" s="8">
        <f t="shared" si="55"/>
        <v>113</v>
      </c>
      <c r="AC140" s="8"/>
      <c r="AD140" s="33">
        <f>IF(AB140&lt;&gt;"",ROUND(IF($F$11="raty równe",-PMT(W140/12,$F$4-AB139+SUM($AC$28:AC140),AG139,2),AE140+AF140),2),"")</f>
        <v>3227.7</v>
      </c>
      <c r="AE140" s="11">
        <f>IF(AB140&lt;&gt;"",IF($F$11="raty malejące",AG139/($F$4-AB139+SUM($AC$28:AC139)),MIN(AD140-AF140,AG139)),"")</f>
        <v>1241.5251746832146</v>
      </c>
      <c r="AF140" s="11">
        <f t="shared" si="66"/>
        <v>1986.1748253167852</v>
      </c>
      <c r="AG140" s="9">
        <f t="shared" si="64"/>
        <v>280485.40040216577</v>
      </c>
      <c r="AH140" s="11"/>
      <c r="AI140" s="33">
        <f>IF(AB140&lt;&gt;"",ROUND(IF($F$11="raty równe",-PMT(W140/12,($F$4-AB139+SUM($AC$27:AC139)),AG139,2),AG139/($F$4-AB139+SUM($AC$27:AC139))+AG139*W140/12),2),"")</f>
        <v>3227.7</v>
      </c>
      <c r="AJ140" s="33">
        <f t="shared" si="56"/>
        <v>233.47000000000025</v>
      </c>
      <c r="AK140" s="33">
        <f t="shared" si="57"/>
        <v>29527.975733049276</v>
      </c>
      <c r="AL140" s="33">
        <f>IF(AB140&lt;&gt;"",AK140-SUM($AJ$28:AJ140),"")</f>
        <v>4819.6257330493063</v>
      </c>
      <c r="AM140" s="11">
        <f t="shared" si="58"/>
        <v>20</v>
      </c>
      <c r="AN140" s="11">
        <f>IF(AB140&lt;&gt;"",IF($B$16=listy!$K$8,'RZĄDOWY PROGRAM'!$F$3*'RZĄDOWY PROGRAM'!$F$15,AG139*$F$15),"")</f>
        <v>50</v>
      </c>
      <c r="AO140" s="11">
        <f t="shared" si="59"/>
        <v>70</v>
      </c>
      <c r="AQ140" s="49">
        <f t="shared" si="47"/>
        <v>0.05</v>
      </c>
      <c r="AR140" s="18">
        <f t="shared" si="48"/>
        <v>4.0741237836483535E-3</v>
      </c>
      <c r="AS140" s="11">
        <f t="shared" si="60"/>
        <v>0</v>
      </c>
      <c r="AT140" s="11">
        <f t="shared" si="61"/>
        <v>39235.796056282765</v>
      </c>
      <c r="AU140" s="11">
        <f>IF(AB140&lt;&gt;"",AT140-SUM($AS$28:AS140),"")</f>
        <v>11546.39605628276</v>
      </c>
    </row>
    <row r="141" spans="1:47" ht="14.5" x14ac:dyDescent="0.35">
      <c r="A141" s="76">
        <f t="shared" si="62"/>
        <v>48183</v>
      </c>
      <c r="B141" s="8">
        <f t="shared" si="36"/>
        <v>114</v>
      </c>
      <c r="C141" s="11">
        <f t="shared" si="37"/>
        <v>3461.18</v>
      </c>
      <c r="D141" s="11">
        <f t="shared" si="38"/>
        <v>1418.2263793558147</v>
      </c>
      <c r="E141" s="11">
        <f t="shared" si="39"/>
        <v>2042.9536206441851</v>
      </c>
      <c r="F141" s="9">
        <f t="shared" si="49"/>
        <v>288362.42903116689</v>
      </c>
      <c r="G141" s="10">
        <f t="shared" si="40"/>
        <v>6.7599999999999993E-2</v>
      </c>
      <c r="H141" s="10">
        <f t="shared" si="41"/>
        <v>1.7000000000000001E-2</v>
      </c>
      <c r="I141" s="49">
        <f t="shared" si="42"/>
        <v>8.4599999999999995E-2</v>
      </c>
      <c r="J141" s="11">
        <f t="shared" si="43"/>
        <v>20</v>
      </c>
      <c r="K141" s="11">
        <f>IF(B141&lt;&gt;"",IF($B$16=listy!$K$8,'RZĄDOWY PROGRAM'!$F$3*'RZĄDOWY PROGRAM'!$F$15,F140*$F$15),"")</f>
        <v>50</v>
      </c>
      <c r="L141" s="11">
        <f t="shared" si="50"/>
        <v>70</v>
      </c>
      <c r="N141" s="55">
        <f t="shared" si="63"/>
        <v>48183</v>
      </c>
      <c r="O141" s="8">
        <f t="shared" si="51"/>
        <v>114</v>
      </c>
      <c r="P141" s="8"/>
      <c r="Q141" s="33">
        <f>IF(O141&lt;&gt;"",ROUND(IF($F$11="raty równe",-PMT(W141/12,$F$4-O140+SUM($P$28:P141),T140,2),R141+S141),2),"")</f>
        <v>3461.18</v>
      </c>
      <c r="R141" s="11">
        <f>IF(O141&lt;&gt;"",IF($F$11="raty malejące",T140/($F$4-O140+SUM($P$28:P141)),IF(Q141-S141&gt;T140,T140,Q141-S141)),"")</f>
        <v>1340.7178049961121</v>
      </c>
      <c r="S141" s="11">
        <f t="shared" si="65"/>
        <v>2120.4621950038877</v>
      </c>
      <c r="T141" s="9">
        <f t="shared" si="52"/>
        <v>299434.06162817945</v>
      </c>
      <c r="U141" s="10">
        <f t="shared" si="44"/>
        <v>6.7599999999999993E-2</v>
      </c>
      <c r="V141" s="10">
        <f t="shared" si="45"/>
        <v>1.7000000000000001E-2</v>
      </c>
      <c r="W141" s="49">
        <f t="shared" si="53"/>
        <v>8.4599999999999995E-2</v>
      </c>
      <c r="X141" s="11">
        <f t="shared" si="46"/>
        <v>20</v>
      </c>
      <c r="Y141" s="11">
        <f>IF(O141&lt;&gt;"",IF($B$16=listy!$K$8,'RZĄDOWY PROGRAM'!$F$3*'RZĄDOWY PROGRAM'!$F$15,T140*$F$15),"")</f>
        <v>50</v>
      </c>
      <c r="Z141" s="11">
        <f t="shared" si="54"/>
        <v>70</v>
      </c>
      <c r="AB141" s="8">
        <f t="shared" si="55"/>
        <v>114</v>
      </c>
      <c r="AC141" s="8"/>
      <c r="AD141" s="33">
        <f>IF(AB141&lt;&gt;"",ROUND(IF($F$11="raty równe",-PMT(W141/12,$F$4-AB140+SUM($AC$28:AC141),AG140,2),AE141+AF141),2),"")</f>
        <v>3227.69</v>
      </c>
      <c r="AE141" s="11">
        <f>IF(AB141&lt;&gt;"",IF($F$11="raty malejące",AG140/($F$4-AB140+SUM($AC$28:AC140)),MIN(AD141-AF141,AG140)),"")</f>
        <v>1250.2679271647314</v>
      </c>
      <c r="AF141" s="11">
        <f t="shared" si="66"/>
        <v>1977.4220728352686</v>
      </c>
      <c r="AG141" s="9">
        <f t="shared" si="64"/>
        <v>279235.13247500104</v>
      </c>
      <c r="AH141" s="11"/>
      <c r="AI141" s="33">
        <f>IF(AB141&lt;&gt;"",ROUND(IF($F$11="raty równe",-PMT(W141/12,($F$4-AB140+SUM($AC$27:AC140)),AG140,2),AG140/($F$4-AB140+SUM($AC$27:AC140))+AG140*W141/12),2),"")</f>
        <v>3227.69</v>
      </c>
      <c r="AJ141" s="33">
        <f t="shared" si="56"/>
        <v>233.48999999999978</v>
      </c>
      <c r="AK141" s="33">
        <f t="shared" si="57"/>
        <v>29858.90924190505</v>
      </c>
      <c r="AL141" s="33">
        <f>IF(AB141&lt;&gt;"",AK141-SUM($AJ$28:AJ141),"")</f>
        <v>4917.0692419050829</v>
      </c>
      <c r="AM141" s="11">
        <f t="shared" si="58"/>
        <v>20</v>
      </c>
      <c r="AN141" s="11">
        <f>IF(AB141&lt;&gt;"",IF($B$16=listy!$K$8,'RZĄDOWY PROGRAM'!$F$3*'RZĄDOWY PROGRAM'!$F$15,AG140*$F$15),"")</f>
        <v>50</v>
      </c>
      <c r="AO141" s="11">
        <f t="shared" si="59"/>
        <v>70</v>
      </c>
      <c r="AQ141" s="49">
        <f t="shared" si="47"/>
        <v>0.05</v>
      </c>
      <c r="AR141" s="18">
        <f t="shared" si="48"/>
        <v>4.0741237836483535E-3</v>
      </c>
      <c r="AS141" s="11">
        <f t="shared" si="60"/>
        <v>0</v>
      </c>
      <c r="AT141" s="11">
        <f t="shared" si="61"/>
        <v>39365.275763088219</v>
      </c>
      <c r="AU141" s="11">
        <f>IF(AB141&lt;&gt;"",AT141-SUM($AS$28:AS141),"")</f>
        <v>11675.875763088214</v>
      </c>
    </row>
    <row r="142" spans="1:47" ht="14.5" x14ac:dyDescent="0.35">
      <c r="A142" s="76">
        <f t="shared" si="62"/>
        <v>48214</v>
      </c>
      <c r="B142" s="8">
        <f t="shared" si="36"/>
        <v>115</v>
      </c>
      <c r="C142" s="11">
        <f t="shared" si="37"/>
        <v>3461.17</v>
      </c>
      <c r="D142" s="11">
        <f t="shared" si="38"/>
        <v>1428.2148753302736</v>
      </c>
      <c r="E142" s="11">
        <f t="shared" si="39"/>
        <v>2032.9551246697265</v>
      </c>
      <c r="F142" s="9">
        <f t="shared" si="49"/>
        <v>286934.21415583661</v>
      </c>
      <c r="G142" s="10">
        <f t="shared" si="40"/>
        <v>6.7599999999999993E-2</v>
      </c>
      <c r="H142" s="10">
        <f t="shared" si="41"/>
        <v>1.7000000000000001E-2</v>
      </c>
      <c r="I142" s="49">
        <f t="shared" si="42"/>
        <v>8.4599999999999995E-2</v>
      </c>
      <c r="J142" s="11">
        <f t="shared" si="43"/>
        <v>20</v>
      </c>
      <c r="K142" s="11">
        <f>IF(B142&lt;&gt;"",IF($B$16=listy!$K$8,'RZĄDOWY PROGRAM'!$F$3*'RZĄDOWY PROGRAM'!$F$15,F141*$F$15),"")</f>
        <v>50</v>
      </c>
      <c r="L142" s="11">
        <f t="shared" si="50"/>
        <v>70</v>
      </c>
      <c r="N142" s="55">
        <f t="shared" si="63"/>
        <v>48214</v>
      </c>
      <c r="O142" s="8">
        <f t="shared" si="51"/>
        <v>115</v>
      </c>
      <c r="P142" s="8"/>
      <c r="Q142" s="33">
        <f>IF(O142&lt;&gt;"",ROUND(IF($F$11="raty równe",-PMT(W142/12,$F$4-O141+SUM($P$28:P142),T141,2),R142+S142),2),"")</f>
        <v>3461.17</v>
      </c>
      <c r="R142" s="11">
        <f>IF(O142&lt;&gt;"",IF($F$11="raty malejące",T141/($F$4-O141+SUM($P$28:P142)),IF(Q142-S142&gt;T141,T141,Q142-S142)),"")</f>
        <v>1350.1598655213352</v>
      </c>
      <c r="S142" s="11">
        <f t="shared" si="65"/>
        <v>2111.0101344786649</v>
      </c>
      <c r="T142" s="9">
        <f t="shared" si="52"/>
        <v>298083.90176265809</v>
      </c>
      <c r="U142" s="10">
        <f t="shared" si="44"/>
        <v>6.7599999999999993E-2</v>
      </c>
      <c r="V142" s="10">
        <f t="shared" si="45"/>
        <v>1.7000000000000001E-2</v>
      </c>
      <c r="W142" s="49">
        <f t="shared" si="53"/>
        <v>8.4599999999999995E-2</v>
      </c>
      <c r="X142" s="11">
        <f t="shared" si="46"/>
        <v>20</v>
      </c>
      <c r="Y142" s="11">
        <f>IF(O142&lt;&gt;"",IF($B$16=listy!$K$8,'RZĄDOWY PROGRAM'!$F$3*'RZĄDOWY PROGRAM'!$F$15,T141*$F$15),"")</f>
        <v>50</v>
      </c>
      <c r="Z142" s="11">
        <f t="shared" si="54"/>
        <v>70</v>
      </c>
      <c r="AB142" s="8">
        <f t="shared" si="55"/>
        <v>115</v>
      </c>
      <c r="AC142" s="8"/>
      <c r="AD142" s="33">
        <f>IF(AB142&lt;&gt;"",ROUND(IF($F$11="raty równe",-PMT(W142/12,$F$4-AB141+SUM($AC$28:AC142),AG141,2),AE142+AF142),2),"")</f>
        <v>3227.7</v>
      </c>
      <c r="AE142" s="11">
        <f>IF(AB142&lt;&gt;"",IF($F$11="raty malejące",AG141/($F$4-AB141+SUM($AC$28:AC141)),MIN(AD142-AF142,AG141)),"")</f>
        <v>1259.0923160512427</v>
      </c>
      <c r="AF142" s="11">
        <f t="shared" si="66"/>
        <v>1968.6076839487571</v>
      </c>
      <c r="AG142" s="9">
        <f t="shared" si="64"/>
        <v>277976.04015894979</v>
      </c>
      <c r="AH142" s="11"/>
      <c r="AI142" s="33">
        <f>IF(AB142&lt;&gt;"",ROUND(IF($F$11="raty równe",-PMT(W142/12,($F$4-AB141+SUM($AC$27:AC141)),AG141,2),AG141/($F$4-AB141+SUM($AC$27:AC141))+AG141*W142/12),2),"")</f>
        <v>3227.7</v>
      </c>
      <c r="AJ142" s="33">
        <f t="shared" si="56"/>
        <v>233.47000000000025</v>
      </c>
      <c r="AK142" s="33">
        <f t="shared" si="57"/>
        <v>30190.914844665007</v>
      </c>
      <c r="AL142" s="33">
        <f>IF(AB142&lt;&gt;"",AK142-SUM($AJ$28:AJ142),"")</f>
        <v>5015.6048446650384</v>
      </c>
      <c r="AM142" s="11">
        <f t="shared" si="58"/>
        <v>20</v>
      </c>
      <c r="AN142" s="11">
        <f>IF(AB142&lt;&gt;"",IF($B$16=listy!$K$8,'RZĄDOWY PROGRAM'!$F$3*'RZĄDOWY PROGRAM'!$F$15,AG141*$F$15),"")</f>
        <v>50</v>
      </c>
      <c r="AO142" s="11">
        <f t="shared" si="59"/>
        <v>70</v>
      </c>
      <c r="AQ142" s="49">
        <f t="shared" si="47"/>
        <v>0.05</v>
      </c>
      <c r="AR142" s="18">
        <f t="shared" si="48"/>
        <v>4.0741237836483535E-3</v>
      </c>
      <c r="AS142" s="11">
        <f t="shared" si="60"/>
        <v>0</v>
      </c>
      <c r="AT142" s="11">
        <f t="shared" si="61"/>
        <v>39495.182758139599</v>
      </c>
      <c r="AU142" s="11">
        <f>IF(AB142&lt;&gt;"",AT142-SUM($AS$28:AS142),"")</f>
        <v>11805.782758139594</v>
      </c>
    </row>
    <row r="143" spans="1:47" ht="14.5" x14ac:dyDescent="0.35">
      <c r="A143" s="76">
        <f t="shared" si="62"/>
        <v>48245</v>
      </c>
      <c r="B143" s="8">
        <f t="shared" si="36"/>
        <v>116</v>
      </c>
      <c r="C143" s="11">
        <f t="shared" si="37"/>
        <v>3461.18</v>
      </c>
      <c r="D143" s="11">
        <f t="shared" si="38"/>
        <v>1438.2937902013521</v>
      </c>
      <c r="E143" s="11">
        <f t="shared" si="39"/>
        <v>2022.8862097986478</v>
      </c>
      <c r="F143" s="9">
        <f t="shared" si="49"/>
        <v>285495.92036563525</v>
      </c>
      <c r="G143" s="10">
        <f t="shared" si="40"/>
        <v>6.7599999999999993E-2</v>
      </c>
      <c r="H143" s="10">
        <f t="shared" si="41"/>
        <v>1.7000000000000001E-2</v>
      </c>
      <c r="I143" s="49">
        <f t="shared" si="42"/>
        <v>8.4599999999999995E-2</v>
      </c>
      <c r="J143" s="11">
        <f t="shared" si="43"/>
        <v>20</v>
      </c>
      <c r="K143" s="11">
        <f>IF(B143&lt;&gt;"",IF($B$16=listy!$K$8,'RZĄDOWY PROGRAM'!$F$3*'RZĄDOWY PROGRAM'!$F$15,F142*$F$15),"")</f>
        <v>50</v>
      </c>
      <c r="L143" s="11">
        <f t="shared" si="50"/>
        <v>70</v>
      </c>
      <c r="N143" s="55">
        <f t="shared" si="63"/>
        <v>48245</v>
      </c>
      <c r="O143" s="8">
        <f t="shared" si="51"/>
        <v>116</v>
      </c>
      <c r="P143" s="8"/>
      <c r="Q143" s="33">
        <f>IF(O143&lt;&gt;"",ROUND(IF($F$11="raty równe",-PMT(W143/12,$F$4-O142+SUM($P$28:P143),T142,2),R143+S143),2),"")</f>
        <v>3461.18</v>
      </c>
      <c r="R143" s="11">
        <f>IF(O143&lt;&gt;"",IF($F$11="raty malejące",T142/($F$4-O142+SUM($P$28:P143)),IF(Q143-S143&gt;T142,T142,Q143-S143)),"")</f>
        <v>1359.6884925732602</v>
      </c>
      <c r="S143" s="11">
        <f t="shared" si="65"/>
        <v>2101.4915074267396</v>
      </c>
      <c r="T143" s="9">
        <f t="shared" si="52"/>
        <v>296724.21327008482</v>
      </c>
      <c r="U143" s="10">
        <f t="shared" si="44"/>
        <v>6.7599999999999993E-2</v>
      </c>
      <c r="V143" s="10">
        <f t="shared" si="45"/>
        <v>1.7000000000000001E-2</v>
      </c>
      <c r="W143" s="49">
        <f t="shared" si="53"/>
        <v>8.4599999999999995E-2</v>
      </c>
      <c r="X143" s="11">
        <f t="shared" si="46"/>
        <v>20</v>
      </c>
      <c r="Y143" s="11">
        <f>IF(O143&lt;&gt;"",IF($B$16=listy!$K$8,'RZĄDOWY PROGRAM'!$F$3*'RZĄDOWY PROGRAM'!$F$15,T142*$F$15),"")</f>
        <v>50</v>
      </c>
      <c r="Z143" s="11">
        <f t="shared" si="54"/>
        <v>70</v>
      </c>
      <c r="AB143" s="8">
        <f t="shared" si="55"/>
        <v>116</v>
      </c>
      <c r="AC143" s="8"/>
      <c r="AD143" s="33">
        <f>IF(AB143&lt;&gt;"",ROUND(IF($F$11="raty równe",-PMT(W143/12,$F$4-AB142+SUM($AC$28:AC143),AG142,2),AE143+AF143),2),"")</f>
        <v>3227.69</v>
      </c>
      <c r="AE143" s="11">
        <f>IF(AB143&lt;&gt;"",IF($F$11="raty malejące",AG142/($F$4-AB142+SUM($AC$28:AC142)),MIN(AD143-AF143,AG142)),"")</f>
        <v>1267.9589168794041</v>
      </c>
      <c r="AF143" s="11">
        <f t="shared" si="66"/>
        <v>1959.7310831205959</v>
      </c>
      <c r="AG143" s="9">
        <f t="shared" si="64"/>
        <v>276708.08124207042</v>
      </c>
      <c r="AH143" s="11"/>
      <c r="AI143" s="33">
        <f>IF(AB143&lt;&gt;"",ROUND(IF($F$11="raty równe",-PMT(W143/12,($F$4-AB142+SUM($AC$27:AC142)),AG142,2),AG142/($F$4-AB142+SUM($AC$27:AC142))+AG142*W143/12),2),"")</f>
        <v>3227.69</v>
      </c>
      <c r="AJ143" s="33">
        <f t="shared" si="56"/>
        <v>233.48999999999978</v>
      </c>
      <c r="AK143" s="33">
        <f t="shared" si="57"/>
        <v>30524.036079282196</v>
      </c>
      <c r="AL143" s="33">
        <f>IF(AB143&lt;&gt;"",AK143-SUM($AJ$28:AJ143),"")</f>
        <v>5115.2360792822292</v>
      </c>
      <c r="AM143" s="11">
        <f t="shared" si="58"/>
        <v>20</v>
      </c>
      <c r="AN143" s="11">
        <f>IF(AB143&lt;&gt;"",IF($B$16=listy!$K$8,'RZĄDOWY PROGRAM'!$F$3*'RZĄDOWY PROGRAM'!$F$15,AG142*$F$15),"")</f>
        <v>50</v>
      </c>
      <c r="AO143" s="11">
        <f t="shared" si="59"/>
        <v>70</v>
      </c>
      <c r="AQ143" s="49">
        <f t="shared" si="47"/>
        <v>0.05</v>
      </c>
      <c r="AR143" s="18">
        <f t="shared" si="48"/>
        <v>4.0741237836483535E-3</v>
      </c>
      <c r="AS143" s="11">
        <f t="shared" si="60"/>
        <v>0</v>
      </c>
      <c r="AT143" s="11">
        <f t="shared" si="61"/>
        <v>39625.518451505326</v>
      </c>
      <c r="AU143" s="11">
        <f>IF(AB143&lt;&gt;"",AT143-SUM($AS$28:AS143),"")</f>
        <v>11936.118451505321</v>
      </c>
    </row>
    <row r="144" spans="1:47" ht="14.5" x14ac:dyDescent="0.35">
      <c r="A144" s="76">
        <f t="shared" si="62"/>
        <v>48274</v>
      </c>
      <c r="B144" s="8">
        <f t="shared" si="36"/>
        <v>117</v>
      </c>
      <c r="C144" s="11">
        <f t="shared" si="37"/>
        <v>3461.17</v>
      </c>
      <c r="D144" s="11">
        <f t="shared" si="38"/>
        <v>1448.4237614222718</v>
      </c>
      <c r="E144" s="11">
        <f t="shared" si="39"/>
        <v>2012.7462385777283</v>
      </c>
      <c r="F144" s="9">
        <f t="shared" si="49"/>
        <v>284047.49660421297</v>
      </c>
      <c r="G144" s="10">
        <f t="shared" si="40"/>
        <v>6.7599999999999993E-2</v>
      </c>
      <c r="H144" s="10">
        <f t="shared" si="41"/>
        <v>1.7000000000000001E-2</v>
      </c>
      <c r="I144" s="49">
        <f t="shared" si="42"/>
        <v>8.4599999999999995E-2</v>
      </c>
      <c r="J144" s="11">
        <f t="shared" si="43"/>
        <v>20</v>
      </c>
      <c r="K144" s="11">
        <f>IF(B144&lt;&gt;"",IF($B$16=listy!$K$8,'RZĄDOWY PROGRAM'!$F$3*'RZĄDOWY PROGRAM'!$F$15,F143*$F$15),"")</f>
        <v>50</v>
      </c>
      <c r="L144" s="11">
        <f t="shared" si="50"/>
        <v>70</v>
      </c>
      <c r="N144" s="55">
        <f t="shared" si="63"/>
        <v>48274</v>
      </c>
      <c r="O144" s="8">
        <f t="shared" si="51"/>
        <v>117</v>
      </c>
      <c r="P144" s="8"/>
      <c r="Q144" s="33">
        <f>IF(O144&lt;&gt;"",ROUND(IF($F$11="raty równe",-PMT(W144/12,$F$4-O143+SUM($P$28:P144),T143,2),R144+S144),2),"")</f>
        <v>3461.17</v>
      </c>
      <c r="R144" s="11">
        <f>IF(O144&lt;&gt;"",IF($F$11="raty malejące",T143/($F$4-O143+SUM($P$28:P144)),IF(Q144-S144&gt;T143,T143,Q144-S144)),"")</f>
        <v>1369.2642964459023</v>
      </c>
      <c r="S144" s="11">
        <f t="shared" si="65"/>
        <v>2091.9057035540977</v>
      </c>
      <c r="T144" s="9">
        <f t="shared" si="52"/>
        <v>295354.94897363894</v>
      </c>
      <c r="U144" s="10">
        <f t="shared" si="44"/>
        <v>6.7599999999999993E-2</v>
      </c>
      <c r="V144" s="10">
        <f t="shared" si="45"/>
        <v>1.7000000000000001E-2</v>
      </c>
      <c r="W144" s="49">
        <f t="shared" si="53"/>
        <v>8.4599999999999995E-2</v>
      </c>
      <c r="X144" s="11">
        <f t="shared" si="46"/>
        <v>20</v>
      </c>
      <c r="Y144" s="11">
        <f>IF(O144&lt;&gt;"",IF($B$16=listy!$K$8,'RZĄDOWY PROGRAM'!$F$3*'RZĄDOWY PROGRAM'!$F$15,T143*$F$15),"")</f>
        <v>50</v>
      </c>
      <c r="Z144" s="11">
        <f t="shared" si="54"/>
        <v>70</v>
      </c>
      <c r="AB144" s="8">
        <f t="shared" si="55"/>
        <v>117</v>
      </c>
      <c r="AC144" s="8"/>
      <c r="AD144" s="33">
        <f>IF(AB144&lt;&gt;"",ROUND(IF($F$11="raty równe",-PMT(W144/12,$F$4-AB143+SUM($AC$28:AC144),AG143,2),AE144+AF144),2),"")</f>
        <v>3227.7</v>
      </c>
      <c r="AE144" s="11">
        <f>IF(AB144&lt;&gt;"",IF($F$11="raty malejące",AG143/($F$4-AB143+SUM($AC$28:AC143)),MIN(AD144-AF144,AG143)),"")</f>
        <v>1276.9080272434037</v>
      </c>
      <c r="AF144" s="11">
        <f t="shared" si="66"/>
        <v>1950.7919727565961</v>
      </c>
      <c r="AG144" s="9">
        <f t="shared" si="64"/>
        <v>275431.17321482702</v>
      </c>
      <c r="AH144" s="11"/>
      <c r="AI144" s="33">
        <f>IF(AB144&lt;&gt;"",ROUND(IF($F$11="raty równe",-PMT(W144/12,($F$4-AB143+SUM($AC$27:AC143)),AG143,2),AG143/($F$4-AB143+SUM($AC$27:AC143))+AG143*W144/12),2),"")</f>
        <v>3227.7</v>
      </c>
      <c r="AJ144" s="33">
        <f t="shared" si="56"/>
        <v>233.47000000000025</v>
      </c>
      <c r="AK144" s="33">
        <f t="shared" si="57"/>
        <v>30858.236627386668</v>
      </c>
      <c r="AL144" s="33">
        <f>IF(AB144&lt;&gt;"",AK144-SUM($AJ$28:AJ144),"")</f>
        <v>5215.9666273867006</v>
      </c>
      <c r="AM144" s="11">
        <f t="shared" si="58"/>
        <v>20</v>
      </c>
      <c r="AN144" s="11">
        <f>IF(AB144&lt;&gt;"",IF($B$16=listy!$K$8,'RZĄDOWY PROGRAM'!$F$3*'RZĄDOWY PROGRAM'!$F$15,AG143*$F$15),"")</f>
        <v>50</v>
      </c>
      <c r="AO144" s="11">
        <f t="shared" si="59"/>
        <v>70</v>
      </c>
      <c r="AQ144" s="49">
        <f t="shared" si="47"/>
        <v>0.05</v>
      </c>
      <c r="AR144" s="18">
        <f t="shared" si="48"/>
        <v>4.0741237836483535E-3</v>
      </c>
      <c r="AS144" s="11">
        <f t="shared" si="60"/>
        <v>0</v>
      </c>
      <c r="AT144" s="11">
        <f t="shared" si="61"/>
        <v>39756.284257907093</v>
      </c>
      <c r="AU144" s="11">
        <f>IF(AB144&lt;&gt;"",AT144-SUM($AS$28:AS144),"")</f>
        <v>12066.884257907088</v>
      </c>
    </row>
    <row r="145" spans="1:47" ht="14.5" x14ac:dyDescent="0.35">
      <c r="A145" s="76">
        <f t="shared" si="62"/>
        <v>48305</v>
      </c>
      <c r="B145" s="8">
        <f t="shared" si="36"/>
        <v>118</v>
      </c>
      <c r="C145" s="11">
        <f t="shared" si="37"/>
        <v>3461.18</v>
      </c>
      <c r="D145" s="11">
        <f t="shared" si="38"/>
        <v>1458.6451489402984</v>
      </c>
      <c r="E145" s="11">
        <f t="shared" si="39"/>
        <v>2002.5348510597014</v>
      </c>
      <c r="F145" s="9">
        <f t="shared" si="49"/>
        <v>282588.85145527264</v>
      </c>
      <c r="G145" s="10">
        <f t="shared" si="40"/>
        <v>6.7599999999999993E-2</v>
      </c>
      <c r="H145" s="10">
        <f t="shared" si="41"/>
        <v>1.7000000000000001E-2</v>
      </c>
      <c r="I145" s="49">
        <f t="shared" si="42"/>
        <v>8.4599999999999995E-2</v>
      </c>
      <c r="J145" s="11">
        <f t="shared" si="43"/>
        <v>20</v>
      </c>
      <c r="K145" s="11">
        <f>IF(B145&lt;&gt;"",IF($B$16=listy!$K$8,'RZĄDOWY PROGRAM'!$F$3*'RZĄDOWY PROGRAM'!$F$15,F144*$F$15),"")</f>
        <v>50</v>
      </c>
      <c r="L145" s="11">
        <f t="shared" si="50"/>
        <v>70</v>
      </c>
      <c r="N145" s="55">
        <f t="shared" si="63"/>
        <v>48305</v>
      </c>
      <c r="O145" s="8">
        <f t="shared" si="51"/>
        <v>118</v>
      </c>
      <c r="P145" s="8"/>
      <c r="Q145" s="33">
        <f>IF(O145&lt;&gt;"",ROUND(IF($F$11="raty równe",-PMT(W145/12,$F$4-O144+SUM($P$28:P145),T144,2),R145+S145),2),"")</f>
        <v>3461.18</v>
      </c>
      <c r="R145" s="11">
        <f>IF(O145&lt;&gt;"",IF($F$11="raty malejące",T144/($F$4-O144+SUM($P$28:P145)),IF(Q145-S145&gt;T144,T144,Q145-S145)),"")</f>
        <v>1378.9276097358452</v>
      </c>
      <c r="S145" s="11">
        <f t="shared" si="65"/>
        <v>2082.2523902641547</v>
      </c>
      <c r="T145" s="9">
        <f t="shared" si="52"/>
        <v>293976.02136390307</v>
      </c>
      <c r="U145" s="10">
        <f t="shared" si="44"/>
        <v>6.7599999999999993E-2</v>
      </c>
      <c r="V145" s="10">
        <f t="shared" si="45"/>
        <v>1.7000000000000001E-2</v>
      </c>
      <c r="W145" s="49">
        <f t="shared" si="53"/>
        <v>8.4599999999999995E-2</v>
      </c>
      <c r="X145" s="11">
        <f t="shared" si="46"/>
        <v>20</v>
      </c>
      <c r="Y145" s="11">
        <f>IF(O145&lt;&gt;"",IF($B$16=listy!$K$8,'RZĄDOWY PROGRAM'!$F$3*'RZĄDOWY PROGRAM'!$F$15,T144*$F$15),"")</f>
        <v>50</v>
      </c>
      <c r="Z145" s="11">
        <f t="shared" si="54"/>
        <v>70</v>
      </c>
      <c r="AB145" s="8">
        <f t="shared" si="55"/>
        <v>118</v>
      </c>
      <c r="AC145" s="8"/>
      <c r="AD145" s="33">
        <f>IF(AB145&lt;&gt;"",ROUND(IF($F$11="raty równe",-PMT(W145/12,$F$4-AB144+SUM($AC$28:AC145),AG144,2),AE145+AF145),2),"")</f>
        <v>3227.69</v>
      </c>
      <c r="AE145" s="11">
        <f>IF(AB145&lt;&gt;"",IF($F$11="raty malejące",AG144/($F$4-AB144+SUM($AC$28:AC144)),MIN(AD145-AF145,AG144)),"")</f>
        <v>1285.9002288354698</v>
      </c>
      <c r="AF145" s="11">
        <f t="shared" si="66"/>
        <v>1941.7897711645303</v>
      </c>
      <c r="AG145" s="9">
        <f t="shared" si="64"/>
        <v>274145.27298599156</v>
      </c>
      <c r="AH145" s="11"/>
      <c r="AI145" s="33">
        <f>IF(AB145&lt;&gt;"",ROUND(IF($F$11="raty równe",-PMT(W145/12,($F$4-AB144+SUM($AC$27:AC144)),AG144,2),AG144/($F$4-AB144+SUM($AC$27:AC144))+AG144*W145/12),2),"")</f>
        <v>3227.69</v>
      </c>
      <c r="AJ145" s="33">
        <f t="shared" si="56"/>
        <v>233.48999999999978</v>
      </c>
      <c r="AK145" s="33">
        <f t="shared" si="57"/>
        <v>31193.560050756387</v>
      </c>
      <c r="AL145" s="33">
        <f>IF(AB145&lt;&gt;"",AK145-SUM($AJ$28:AJ145),"")</f>
        <v>5317.8000507564211</v>
      </c>
      <c r="AM145" s="11">
        <f t="shared" si="58"/>
        <v>20</v>
      </c>
      <c r="AN145" s="11">
        <f>IF(AB145&lt;&gt;"",IF($B$16=listy!$K$8,'RZĄDOWY PROGRAM'!$F$3*'RZĄDOWY PROGRAM'!$F$15,AG144*$F$15),"")</f>
        <v>50</v>
      </c>
      <c r="AO145" s="11">
        <f t="shared" si="59"/>
        <v>70</v>
      </c>
      <c r="AQ145" s="49">
        <f t="shared" si="47"/>
        <v>0.05</v>
      </c>
      <c r="AR145" s="18">
        <f t="shared" si="48"/>
        <v>4.0741237836483535E-3</v>
      </c>
      <c r="AS145" s="11">
        <f t="shared" si="60"/>
        <v>0</v>
      </c>
      <c r="AT145" s="11">
        <f t="shared" si="61"/>
        <v>39887.481596735241</v>
      </c>
      <c r="AU145" s="11">
        <f>IF(AB145&lt;&gt;"",AT145-SUM($AS$28:AS145),"")</f>
        <v>12198.081596735236</v>
      </c>
    </row>
    <row r="146" spans="1:47" ht="14.5" x14ac:dyDescent="0.35">
      <c r="A146" s="76">
        <f t="shared" si="62"/>
        <v>48335</v>
      </c>
      <c r="B146" s="8">
        <f t="shared" si="36"/>
        <v>119</v>
      </c>
      <c r="C146" s="11">
        <f t="shared" si="37"/>
        <v>3461.17</v>
      </c>
      <c r="D146" s="11">
        <f t="shared" si="38"/>
        <v>1468.9185972403282</v>
      </c>
      <c r="E146" s="11">
        <f t="shared" si="39"/>
        <v>1992.2514027596719</v>
      </c>
      <c r="F146" s="9">
        <f t="shared" si="49"/>
        <v>281119.93285803229</v>
      </c>
      <c r="G146" s="10">
        <f t="shared" si="40"/>
        <v>6.7599999999999993E-2</v>
      </c>
      <c r="H146" s="10">
        <f t="shared" si="41"/>
        <v>1.7000000000000001E-2</v>
      </c>
      <c r="I146" s="49">
        <f t="shared" si="42"/>
        <v>8.4599999999999995E-2</v>
      </c>
      <c r="J146" s="11">
        <f t="shared" si="43"/>
        <v>20</v>
      </c>
      <c r="K146" s="11">
        <f>IF(B146&lt;&gt;"",IF($B$16=listy!$K$8,'RZĄDOWY PROGRAM'!$F$3*'RZĄDOWY PROGRAM'!$F$15,F145*$F$15),"")</f>
        <v>50</v>
      </c>
      <c r="L146" s="11">
        <f t="shared" si="50"/>
        <v>70</v>
      </c>
      <c r="N146" s="55">
        <f t="shared" si="63"/>
        <v>48335</v>
      </c>
      <c r="O146" s="8">
        <f t="shared" si="51"/>
        <v>119</v>
      </c>
      <c r="P146" s="8"/>
      <c r="Q146" s="33">
        <f>IF(O146&lt;&gt;"",ROUND(IF($F$11="raty równe",-PMT(W146/12,$F$4-O145+SUM($P$28:P146),T145,2),R146+S146),2),"")</f>
        <v>3461.17</v>
      </c>
      <c r="R146" s="11">
        <f>IF(O146&lt;&gt;"",IF($F$11="raty malejące",T145/($F$4-O145+SUM($P$28:P146)),IF(Q146-S146&gt;T145,T145,Q146-S146)),"")</f>
        <v>1388.6390493844833</v>
      </c>
      <c r="S146" s="11">
        <f t="shared" si="65"/>
        <v>2072.5309506155168</v>
      </c>
      <c r="T146" s="9">
        <f t="shared" si="52"/>
        <v>292587.38231451856</v>
      </c>
      <c r="U146" s="10">
        <f t="shared" si="44"/>
        <v>6.7599999999999993E-2</v>
      </c>
      <c r="V146" s="10">
        <f t="shared" si="45"/>
        <v>1.7000000000000001E-2</v>
      </c>
      <c r="W146" s="49">
        <f t="shared" si="53"/>
        <v>8.4599999999999995E-2</v>
      </c>
      <c r="X146" s="11">
        <f t="shared" si="46"/>
        <v>20</v>
      </c>
      <c r="Y146" s="11">
        <f>IF(O146&lt;&gt;"",IF($B$16=listy!$K$8,'RZĄDOWY PROGRAM'!$F$3*'RZĄDOWY PROGRAM'!$F$15,T145*$F$15),"")</f>
        <v>50</v>
      </c>
      <c r="Z146" s="11">
        <f t="shared" si="54"/>
        <v>70</v>
      </c>
      <c r="AB146" s="8">
        <f t="shared" si="55"/>
        <v>119</v>
      </c>
      <c r="AC146" s="8"/>
      <c r="AD146" s="33">
        <f>IF(AB146&lt;&gt;"",ROUND(IF($F$11="raty równe",-PMT(W146/12,$F$4-AB145+SUM($AC$28:AC146),AG145,2),AE146+AF146),2),"")</f>
        <v>3227.7</v>
      </c>
      <c r="AE146" s="11">
        <f>IF(AB146&lt;&gt;"",IF($F$11="raty malejące",AG145/($F$4-AB145+SUM($AC$28:AC145)),MIN(AD146-AF146,AG145)),"")</f>
        <v>1294.9758254487595</v>
      </c>
      <c r="AF146" s="11">
        <f t="shared" si="66"/>
        <v>1932.7241745512404</v>
      </c>
      <c r="AG146" s="9">
        <f t="shared" si="64"/>
        <v>272850.2971605428</v>
      </c>
      <c r="AH146" s="11"/>
      <c r="AI146" s="33">
        <f>IF(AB146&lt;&gt;"",ROUND(IF($F$11="raty równe",-PMT(W146/12,($F$4-AB145+SUM($AC$27:AC145)),AG145,2),AG145/($F$4-AB145+SUM($AC$27:AC145))+AG145*W146/12),2),"")</f>
        <v>3227.7</v>
      </c>
      <c r="AJ146" s="33">
        <f t="shared" si="56"/>
        <v>233.47000000000025</v>
      </c>
      <c r="AK146" s="33">
        <f t="shared" si="57"/>
        <v>31529.970054924943</v>
      </c>
      <c r="AL146" s="33">
        <f>IF(AB146&lt;&gt;"",AK146-SUM($AJ$28:AJ146),"")</f>
        <v>5420.740054924976</v>
      </c>
      <c r="AM146" s="11">
        <f t="shared" si="58"/>
        <v>20</v>
      </c>
      <c r="AN146" s="11">
        <f>IF(AB146&lt;&gt;"",IF($B$16=listy!$K$8,'RZĄDOWY PROGRAM'!$F$3*'RZĄDOWY PROGRAM'!$F$15,AG145*$F$15),"")</f>
        <v>50</v>
      </c>
      <c r="AO146" s="11">
        <f t="shared" si="59"/>
        <v>70</v>
      </c>
      <c r="AQ146" s="49">
        <f t="shared" si="47"/>
        <v>0.05</v>
      </c>
      <c r="AR146" s="18">
        <f t="shared" si="48"/>
        <v>4.0741237836483535E-3</v>
      </c>
      <c r="AS146" s="11">
        <f t="shared" si="60"/>
        <v>0</v>
      </c>
      <c r="AT146" s="11">
        <f t="shared" si="61"/>
        <v>40019.111892064146</v>
      </c>
      <c r="AU146" s="11">
        <f>IF(AB146&lt;&gt;"",AT146-SUM($AS$28:AS146),"")</f>
        <v>12329.711892064141</v>
      </c>
    </row>
    <row r="147" spans="1:47" ht="14.5" x14ac:dyDescent="0.35">
      <c r="A147" s="76">
        <f t="shared" si="62"/>
        <v>48366</v>
      </c>
      <c r="B147" s="8">
        <f t="shared" si="36"/>
        <v>120</v>
      </c>
      <c r="C147" s="11">
        <f t="shared" si="37"/>
        <v>3461.18</v>
      </c>
      <c r="D147" s="11">
        <f t="shared" si="38"/>
        <v>1479.2844733508723</v>
      </c>
      <c r="E147" s="11">
        <f t="shared" si="39"/>
        <v>1981.8955266491275</v>
      </c>
      <c r="F147" s="9">
        <f t="shared" si="49"/>
        <v>279640.64838468144</v>
      </c>
      <c r="G147" s="10">
        <f t="shared" si="40"/>
        <v>6.7599999999999993E-2</v>
      </c>
      <c r="H147" s="10">
        <f t="shared" si="41"/>
        <v>1.7000000000000001E-2</v>
      </c>
      <c r="I147" s="49">
        <f t="shared" si="42"/>
        <v>8.4599999999999995E-2</v>
      </c>
      <c r="J147" s="11">
        <f t="shared" si="43"/>
        <v>20</v>
      </c>
      <c r="K147" s="11">
        <f>IF(B147&lt;&gt;"",IF($B$16=listy!$K$8,'RZĄDOWY PROGRAM'!$F$3*'RZĄDOWY PROGRAM'!$F$15,F146*$F$15),"")</f>
        <v>50</v>
      </c>
      <c r="L147" s="11">
        <f t="shared" si="50"/>
        <v>70</v>
      </c>
      <c r="N147" s="55">
        <f t="shared" si="63"/>
        <v>48366</v>
      </c>
      <c r="O147" s="8">
        <f t="shared" si="51"/>
        <v>120</v>
      </c>
      <c r="P147" s="8"/>
      <c r="Q147" s="33">
        <f>IF(O147&lt;&gt;"",ROUND(IF($F$11="raty równe",-PMT(W147/12,$F$4-O146+SUM($P$28:P147),T146,2),R147+S147),2),"")</f>
        <v>3461.18</v>
      </c>
      <c r="R147" s="11">
        <f>IF(O147&lt;&gt;"",IF($F$11="raty malejące",T146/($F$4-O146+SUM($P$28:P147)),IF(Q147-S147&gt;T146,T146,Q147-S147)),"")</f>
        <v>1398.4389546826442</v>
      </c>
      <c r="S147" s="11">
        <f t="shared" si="65"/>
        <v>2062.7410453173557</v>
      </c>
      <c r="T147" s="9">
        <f t="shared" si="52"/>
        <v>291188.94335983589</v>
      </c>
      <c r="U147" s="10">
        <f t="shared" si="44"/>
        <v>6.7599999999999993E-2</v>
      </c>
      <c r="V147" s="10">
        <f t="shared" si="45"/>
        <v>1.7000000000000001E-2</v>
      </c>
      <c r="W147" s="49">
        <f t="shared" si="53"/>
        <v>8.4599999999999995E-2</v>
      </c>
      <c r="X147" s="11">
        <f t="shared" si="46"/>
        <v>20</v>
      </c>
      <c r="Y147" s="11">
        <f>IF(O147&lt;&gt;"",IF($B$16=listy!$K$8,'RZĄDOWY PROGRAM'!$F$3*'RZĄDOWY PROGRAM'!$F$15,T146*$F$15),"")</f>
        <v>50</v>
      </c>
      <c r="Z147" s="11">
        <f t="shared" si="54"/>
        <v>70</v>
      </c>
      <c r="AB147" s="8">
        <f t="shared" si="55"/>
        <v>120</v>
      </c>
      <c r="AC147" s="8"/>
      <c r="AD147" s="33">
        <f>IF(AB147&lt;&gt;"",ROUND(IF($F$11="raty równe",-PMT(W147/12,$F$4-AB146+SUM($AC$28:AC147),AG146,2),AE147+AF147),2),"")</f>
        <v>3227.69</v>
      </c>
      <c r="AE147" s="11">
        <f>IF(AB147&lt;&gt;"",IF($F$11="raty malejące",AG146/($F$4-AB146+SUM($AC$28:AC146)),MIN(AD147-AF147,AG146)),"")</f>
        <v>1304.0954050181733</v>
      </c>
      <c r="AF147" s="11">
        <f t="shared" si="66"/>
        <v>1923.5945949818267</v>
      </c>
      <c r="AG147" s="9">
        <f t="shared" si="64"/>
        <v>271546.20175552461</v>
      </c>
      <c r="AH147" s="11"/>
      <c r="AI147" s="33">
        <f>IF(AB147&lt;&gt;"",ROUND(IF($F$11="raty równe",-PMT(W147/12,($F$4-AB146+SUM($AC$27:AC146)),AG146,2),AG146/($F$4-AB146+SUM($AC$27:AC146))+AG146*W147/12),2),"")</f>
        <v>3227.69</v>
      </c>
      <c r="AJ147" s="33">
        <f t="shared" si="56"/>
        <v>233.48999999999978</v>
      </c>
      <c r="AK147" s="33">
        <f t="shared" si="57"/>
        <v>31867.510225652717</v>
      </c>
      <c r="AL147" s="33">
        <f>IF(AB147&lt;&gt;"",AK147-SUM($AJ$28:AJ147),"")</f>
        <v>5524.7902256527523</v>
      </c>
      <c r="AM147" s="11">
        <f t="shared" si="58"/>
        <v>20</v>
      </c>
      <c r="AN147" s="11">
        <f>IF(AB147&lt;&gt;"",IF($B$16=listy!$K$8,'RZĄDOWY PROGRAM'!$F$3*'RZĄDOWY PROGRAM'!$F$15,AG146*$F$15),"")</f>
        <v>50</v>
      </c>
      <c r="AO147" s="11">
        <f t="shared" si="59"/>
        <v>70</v>
      </c>
      <c r="AQ147" s="49">
        <f t="shared" si="47"/>
        <v>0.05</v>
      </c>
      <c r="AR147" s="18">
        <f t="shared" si="48"/>
        <v>4.0741237836483535E-3</v>
      </c>
      <c r="AS147" s="11">
        <f t="shared" si="60"/>
        <v>0</v>
      </c>
      <c r="AT147" s="11">
        <f t="shared" si="61"/>
        <v>40151.176572667697</v>
      </c>
      <c r="AU147" s="11">
        <f>IF(AB147&lt;&gt;"",AT147-SUM($AS$28:AS147),"")</f>
        <v>12461.776572667692</v>
      </c>
    </row>
    <row r="148" spans="1:47" ht="14.5" x14ac:dyDescent="0.35">
      <c r="A148" s="76">
        <f t="shared" si="62"/>
        <v>48396</v>
      </c>
      <c r="B148" s="8">
        <f t="shared" si="36"/>
        <v>121</v>
      </c>
      <c r="C148" s="11">
        <f t="shared" si="37"/>
        <v>3461.17</v>
      </c>
      <c r="D148" s="11">
        <f t="shared" si="38"/>
        <v>1489.7034288879961</v>
      </c>
      <c r="E148" s="11">
        <f t="shared" si="39"/>
        <v>1971.466571112004</v>
      </c>
      <c r="F148" s="9">
        <f t="shared" si="49"/>
        <v>278150.94495579344</v>
      </c>
      <c r="G148" s="10">
        <f t="shared" si="40"/>
        <v>6.7599999999999993E-2</v>
      </c>
      <c r="H148" s="10">
        <f t="shared" si="41"/>
        <v>1.7000000000000001E-2</v>
      </c>
      <c r="I148" s="49">
        <f t="shared" si="42"/>
        <v>8.4599999999999995E-2</v>
      </c>
      <c r="J148" s="11">
        <f t="shared" si="43"/>
        <v>20</v>
      </c>
      <c r="K148" s="11">
        <f>IF(B148&lt;&gt;"",IF($B$16=listy!$K$8,'RZĄDOWY PROGRAM'!$F$3*'RZĄDOWY PROGRAM'!$F$15,F147*$F$15),"")</f>
        <v>50</v>
      </c>
      <c r="L148" s="11">
        <f t="shared" si="50"/>
        <v>70</v>
      </c>
      <c r="N148" s="55">
        <f t="shared" si="63"/>
        <v>48396</v>
      </c>
      <c r="O148" s="8">
        <f t="shared" si="51"/>
        <v>121</v>
      </c>
      <c r="P148" s="8"/>
      <c r="Q148" s="33">
        <f>IF(O148&lt;&gt;"",ROUND(IF($F$11="raty równe",-PMT(W148/12,$F$4-O147+SUM($P$28:P148),T147,2),R148+S148),2),"")</f>
        <v>3461.17</v>
      </c>
      <c r="R148" s="11">
        <f>IF(O148&lt;&gt;"",IF($F$11="raty malejące",T147/($F$4-O147+SUM($P$28:P148)),IF(Q148-S148&gt;T147,T147,Q148-S148)),"")</f>
        <v>1408.2879493131572</v>
      </c>
      <c r="S148" s="11">
        <f t="shared" si="65"/>
        <v>2052.8820506868428</v>
      </c>
      <c r="T148" s="9">
        <f t="shared" si="52"/>
        <v>289780.65541052271</v>
      </c>
      <c r="U148" s="10">
        <f t="shared" si="44"/>
        <v>6.7599999999999993E-2</v>
      </c>
      <c r="V148" s="10">
        <f t="shared" si="45"/>
        <v>1.7000000000000001E-2</v>
      </c>
      <c r="W148" s="49">
        <f t="shared" si="53"/>
        <v>8.4599999999999995E-2</v>
      </c>
      <c r="X148" s="11">
        <f t="shared" si="46"/>
        <v>20</v>
      </c>
      <c r="Y148" s="11">
        <f>IF(O148&lt;&gt;"",IF($B$16=listy!$K$8,'RZĄDOWY PROGRAM'!$F$3*'RZĄDOWY PROGRAM'!$F$15,T147*$F$15),"")</f>
        <v>50</v>
      </c>
      <c r="Z148" s="11">
        <f t="shared" si="54"/>
        <v>70</v>
      </c>
      <c r="AB148" s="8">
        <f t="shared" si="55"/>
        <v>121</v>
      </c>
      <c r="AC148" s="8"/>
      <c r="AD148" s="33">
        <f>IF(AB148&lt;&gt;"",ROUND(IF($F$11="raty równe",-PMT(W148/12,$F$4-AB147+SUM($AC$28:AC148),AG147,2),AE148+AF148),2),"")</f>
        <v>3227.7</v>
      </c>
      <c r="AE148" s="11">
        <f>IF(AB148&lt;&gt;"",IF($F$11="raty malejące",AG147/($F$4-AB147+SUM($AC$28:AC147)),MIN(AD148-AF148,AG147)),"")</f>
        <v>1313.2992776235515</v>
      </c>
      <c r="AF148" s="11">
        <f t="shared" si="66"/>
        <v>1914.4007223764484</v>
      </c>
      <c r="AG148" s="9">
        <f t="shared" si="64"/>
        <v>270232.90247790108</v>
      </c>
      <c r="AH148" s="11"/>
      <c r="AI148" s="33">
        <f>IF(AB148&lt;&gt;"",ROUND(IF($F$11="raty równe",-PMT(W148/12,($F$4-AB147+SUM($AC$27:AC147)),AG147,2),AG147/($F$4-AB147+SUM($AC$27:AC147))+AG147*W148/12),2),"")</f>
        <v>3227.7</v>
      </c>
      <c r="AJ148" s="33">
        <f t="shared" si="56"/>
        <v>233.47000000000025</v>
      </c>
      <c r="AK148" s="33">
        <f t="shared" si="57"/>
        <v>32206.144292534867</v>
      </c>
      <c r="AL148" s="33">
        <f>IF(AB148&lt;&gt;"",AK148-SUM($AJ$28:AJ148),"")</f>
        <v>5629.9542925349015</v>
      </c>
      <c r="AM148" s="11">
        <f t="shared" si="58"/>
        <v>20</v>
      </c>
      <c r="AN148" s="11">
        <f>IF(AB148&lt;&gt;"",IF($B$16=listy!$K$8,'RZĄDOWY PROGRAM'!$F$3*'RZĄDOWY PROGRAM'!$F$15,AG147*$F$15),"")</f>
        <v>50</v>
      </c>
      <c r="AO148" s="11">
        <f t="shared" si="59"/>
        <v>70</v>
      </c>
      <c r="AQ148" s="49">
        <f t="shared" si="47"/>
        <v>0.05</v>
      </c>
      <c r="AR148" s="18">
        <f t="shared" si="48"/>
        <v>4.0741237836483535E-3</v>
      </c>
      <c r="AS148" s="11">
        <f t="shared" si="60"/>
        <v>0</v>
      </c>
      <c r="AT148" s="11">
        <f t="shared" si="61"/>
        <v>40283.677072034792</v>
      </c>
      <c r="AU148" s="11">
        <f>IF(AB148&lt;&gt;"",AT148-SUM($AS$28:AS148),"")</f>
        <v>12594.277072034787</v>
      </c>
    </row>
    <row r="149" spans="1:47" ht="14.5" x14ac:dyDescent="0.35">
      <c r="A149" s="76">
        <f t="shared" si="62"/>
        <v>48427</v>
      </c>
      <c r="B149" s="8">
        <f t="shared" si="36"/>
        <v>122</v>
      </c>
      <c r="C149" s="11">
        <f t="shared" si="37"/>
        <v>3461.18</v>
      </c>
      <c r="D149" s="11">
        <f t="shared" si="38"/>
        <v>1500.2158380616561</v>
      </c>
      <c r="E149" s="11">
        <f t="shared" si="39"/>
        <v>1960.9641619383438</v>
      </c>
      <c r="F149" s="9">
        <f t="shared" si="49"/>
        <v>276650.7291177318</v>
      </c>
      <c r="G149" s="10">
        <f t="shared" si="40"/>
        <v>6.7599999999999993E-2</v>
      </c>
      <c r="H149" s="10">
        <f t="shared" si="41"/>
        <v>1.7000000000000001E-2</v>
      </c>
      <c r="I149" s="49">
        <f t="shared" si="42"/>
        <v>8.4599999999999995E-2</v>
      </c>
      <c r="J149" s="11">
        <f t="shared" si="43"/>
        <v>20</v>
      </c>
      <c r="K149" s="11">
        <f>IF(B149&lt;&gt;"",IF($B$16=listy!$K$8,'RZĄDOWY PROGRAM'!$F$3*'RZĄDOWY PROGRAM'!$F$15,F148*$F$15),"")</f>
        <v>50</v>
      </c>
      <c r="L149" s="11">
        <f t="shared" si="50"/>
        <v>70</v>
      </c>
      <c r="N149" s="55">
        <f t="shared" si="63"/>
        <v>48427</v>
      </c>
      <c r="O149" s="8">
        <f t="shared" si="51"/>
        <v>122</v>
      </c>
      <c r="P149" s="8"/>
      <c r="Q149" s="33">
        <f>IF(O149&lt;&gt;"",ROUND(IF($F$11="raty równe",-PMT(W149/12,$F$4-O148+SUM($P$28:P149),T148,2),R149+S149),2),"")</f>
        <v>3461.18</v>
      </c>
      <c r="R149" s="11">
        <f>IF(O149&lt;&gt;"",IF($F$11="raty malejące",T148/($F$4-O148+SUM($P$28:P149)),IF(Q149-S149&gt;T148,T148,Q149-S149)),"")</f>
        <v>1418.2263793558147</v>
      </c>
      <c r="S149" s="11">
        <f t="shared" si="65"/>
        <v>2042.9536206441851</v>
      </c>
      <c r="T149" s="9">
        <f t="shared" si="52"/>
        <v>288362.42903116689</v>
      </c>
      <c r="U149" s="10">
        <f t="shared" si="44"/>
        <v>6.7599999999999993E-2</v>
      </c>
      <c r="V149" s="10">
        <f t="shared" si="45"/>
        <v>1.7000000000000001E-2</v>
      </c>
      <c r="W149" s="49">
        <f t="shared" si="53"/>
        <v>8.4599999999999995E-2</v>
      </c>
      <c r="X149" s="11">
        <f t="shared" si="46"/>
        <v>20</v>
      </c>
      <c r="Y149" s="11">
        <f>IF(O149&lt;&gt;"",IF($B$16=listy!$K$8,'RZĄDOWY PROGRAM'!$F$3*'RZĄDOWY PROGRAM'!$F$15,T148*$F$15),"")</f>
        <v>50</v>
      </c>
      <c r="Z149" s="11">
        <f t="shared" si="54"/>
        <v>70</v>
      </c>
      <c r="AB149" s="8">
        <f t="shared" si="55"/>
        <v>122</v>
      </c>
      <c r="AC149" s="8"/>
      <c r="AD149" s="33">
        <f>IF(AB149&lt;&gt;"",ROUND(IF($F$11="raty równe",-PMT(W149/12,$F$4-AB148+SUM($AC$28:AC149),AG148,2),AE149+AF149),2),"")</f>
        <v>3227.69</v>
      </c>
      <c r="AE149" s="11">
        <f>IF(AB149&lt;&gt;"",IF($F$11="raty malejące",AG148/($F$4-AB148+SUM($AC$28:AC148)),MIN(AD149-AF149,AG148)),"")</f>
        <v>1322.5480375307975</v>
      </c>
      <c r="AF149" s="11">
        <f t="shared" si="66"/>
        <v>1905.1419624692026</v>
      </c>
      <c r="AG149" s="9">
        <f t="shared" si="64"/>
        <v>268910.35444037028</v>
      </c>
      <c r="AH149" s="11"/>
      <c r="AI149" s="33">
        <f>IF(AB149&lt;&gt;"",ROUND(IF($F$11="raty równe",-PMT(W149/12,($F$4-AB148+SUM($AC$27:AC148)),AG148,2),AG148/($F$4-AB148+SUM($AC$27:AC148))+AG148*W149/12),2),"")</f>
        <v>3227.69</v>
      </c>
      <c r="AJ149" s="33">
        <f t="shared" si="56"/>
        <v>233.48999999999978</v>
      </c>
      <c r="AK149" s="33">
        <f t="shared" si="57"/>
        <v>32545.915865472743</v>
      </c>
      <c r="AL149" s="33">
        <f>IF(AB149&lt;&gt;"",AK149-SUM($AJ$28:AJ149),"")</f>
        <v>5736.2358654727796</v>
      </c>
      <c r="AM149" s="11">
        <f t="shared" si="58"/>
        <v>20</v>
      </c>
      <c r="AN149" s="11">
        <f>IF(AB149&lt;&gt;"",IF($B$16=listy!$K$8,'RZĄDOWY PROGRAM'!$F$3*'RZĄDOWY PROGRAM'!$F$15,AG148*$F$15),"")</f>
        <v>50</v>
      </c>
      <c r="AO149" s="11">
        <f t="shared" si="59"/>
        <v>70</v>
      </c>
      <c r="AQ149" s="49">
        <f t="shared" si="47"/>
        <v>0.05</v>
      </c>
      <c r="AR149" s="18">
        <f t="shared" si="48"/>
        <v>4.0741237836483535E-3</v>
      </c>
      <c r="AS149" s="11">
        <f t="shared" si="60"/>
        <v>0</v>
      </c>
      <c r="AT149" s="11">
        <f t="shared" si="61"/>
        <v>40416.614828384903</v>
      </c>
      <c r="AU149" s="11">
        <f>IF(AB149&lt;&gt;"",AT149-SUM($AS$28:AS149),"")</f>
        <v>12727.214828384898</v>
      </c>
    </row>
    <row r="150" spans="1:47" ht="14.5" x14ac:dyDescent="0.35">
      <c r="A150" s="76">
        <f t="shared" si="62"/>
        <v>48458</v>
      </c>
      <c r="B150" s="8">
        <f t="shared" si="36"/>
        <v>123</v>
      </c>
      <c r="C150" s="11">
        <f t="shared" si="37"/>
        <v>3461.17</v>
      </c>
      <c r="D150" s="11">
        <f t="shared" si="38"/>
        <v>1510.7823597199911</v>
      </c>
      <c r="E150" s="11">
        <f t="shared" si="39"/>
        <v>1950.387640280009</v>
      </c>
      <c r="F150" s="9">
        <f t="shared" si="49"/>
        <v>275139.94675801182</v>
      </c>
      <c r="G150" s="10">
        <f t="shared" si="40"/>
        <v>6.7599999999999993E-2</v>
      </c>
      <c r="H150" s="10">
        <f t="shared" si="41"/>
        <v>1.7000000000000001E-2</v>
      </c>
      <c r="I150" s="49">
        <f t="shared" si="42"/>
        <v>8.4599999999999995E-2</v>
      </c>
      <c r="J150" s="11">
        <f t="shared" si="43"/>
        <v>20</v>
      </c>
      <c r="K150" s="11">
        <f>IF(B150&lt;&gt;"",IF($B$16=listy!$K$8,'RZĄDOWY PROGRAM'!$F$3*'RZĄDOWY PROGRAM'!$F$15,F149*$F$15),"")</f>
        <v>50</v>
      </c>
      <c r="L150" s="11">
        <f t="shared" si="50"/>
        <v>70</v>
      </c>
      <c r="N150" s="55">
        <f t="shared" si="63"/>
        <v>48458</v>
      </c>
      <c r="O150" s="8">
        <f t="shared" si="51"/>
        <v>123</v>
      </c>
      <c r="P150" s="8"/>
      <c r="Q150" s="33">
        <f>IF(O150&lt;&gt;"",ROUND(IF($F$11="raty równe",-PMT(W150/12,$F$4-O149+SUM($P$28:P150),T149,2),R150+S150),2),"")</f>
        <v>3461.17</v>
      </c>
      <c r="R150" s="11">
        <f>IF(O150&lt;&gt;"",IF($F$11="raty malejące",T149/($F$4-O149+SUM($P$28:P150)),IF(Q150-S150&gt;T149,T149,Q150-S150)),"")</f>
        <v>1428.2148753302736</v>
      </c>
      <c r="S150" s="11">
        <f t="shared" si="65"/>
        <v>2032.9551246697265</v>
      </c>
      <c r="T150" s="9">
        <f t="shared" si="52"/>
        <v>286934.21415583661</v>
      </c>
      <c r="U150" s="10">
        <f t="shared" si="44"/>
        <v>6.7599999999999993E-2</v>
      </c>
      <c r="V150" s="10">
        <f t="shared" si="45"/>
        <v>1.7000000000000001E-2</v>
      </c>
      <c r="W150" s="49">
        <f t="shared" si="53"/>
        <v>8.4599999999999995E-2</v>
      </c>
      <c r="X150" s="11">
        <f t="shared" si="46"/>
        <v>20</v>
      </c>
      <c r="Y150" s="11">
        <f>IF(O150&lt;&gt;"",IF($B$16=listy!$K$8,'RZĄDOWY PROGRAM'!$F$3*'RZĄDOWY PROGRAM'!$F$15,T149*$F$15),"")</f>
        <v>50</v>
      </c>
      <c r="Z150" s="11">
        <f t="shared" si="54"/>
        <v>70</v>
      </c>
      <c r="AB150" s="8">
        <f t="shared" si="55"/>
        <v>123</v>
      </c>
      <c r="AC150" s="8"/>
      <c r="AD150" s="33">
        <f>IF(AB150&lt;&gt;"",ROUND(IF($F$11="raty równe",-PMT(W150/12,$F$4-AB149+SUM($AC$28:AC150),AG149,2),AE150+AF150),2),"")</f>
        <v>3227.7</v>
      </c>
      <c r="AE150" s="11">
        <f>IF(AB150&lt;&gt;"",IF($F$11="raty malejące",AG149/($F$4-AB149+SUM($AC$28:AC149)),MIN(AD150-AF150,AG149)),"")</f>
        <v>1331.8820011953894</v>
      </c>
      <c r="AF150" s="11">
        <f t="shared" si="66"/>
        <v>1895.8179988046104</v>
      </c>
      <c r="AG150" s="9">
        <f t="shared" si="64"/>
        <v>267578.47243917489</v>
      </c>
      <c r="AH150" s="11"/>
      <c r="AI150" s="33">
        <f>IF(AB150&lt;&gt;"",ROUND(IF($F$11="raty równe",-PMT(W150/12,($F$4-AB149+SUM($AC$27:AC149)),AG149,2),AG149/($F$4-AB149+SUM($AC$27:AC149))+AG149*W150/12),2),"")</f>
        <v>3227.7</v>
      </c>
      <c r="AJ150" s="33">
        <f t="shared" si="56"/>
        <v>233.47000000000025</v>
      </c>
      <c r="AK150" s="33">
        <f t="shared" si="57"/>
        <v>32886.788698282136</v>
      </c>
      <c r="AL150" s="33">
        <f>IF(AB150&lt;&gt;"",AK150-SUM($AJ$28:AJ150),"")</f>
        <v>5843.6386982821714</v>
      </c>
      <c r="AM150" s="11">
        <f t="shared" si="58"/>
        <v>20</v>
      </c>
      <c r="AN150" s="11">
        <f>IF(AB150&lt;&gt;"",IF($B$16=listy!$K$8,'RZĄDOWY PROGRAM'!$F$3*'RZĄDOWY PROGRAM'!$F$15,AG149*$F$15),"")</f>
        <v>50</v>
      </c>
      <c r="AO150" s="11">
        <f t="shared" si="59"/>
        <v>70</v>
      </c>
      <c r="AQ150" s="49">
        <f t="shared" si="47"/>
        <v>0.05</v>
      </c>
      <c r="AR150" s="18">
        <f t="shared" si="48"/>
        <v>4.0741237836483535E-3</v>
      </c>
      <c r="AS150" s="11">
        <f t="shared" si="60"/>
        <v>0</v>
      </c>
      <c r="AT150" s="11">
        <f t="shared" si="61"/>
        <v>40549.991284683674</v>
      </c>
      <c r="AU150" s="11">
        <f>IF(AB150&lt;&gt;"",AT150-SUM($AS$28:AS150),"")</f>
        <v>12860.591284683669</v>
      </c>
    </row>
    <row r="151" spans="1:47" ht="14.5" x14ac:dyDescent="0.35">
      <c r="A151" s="76">
        <f t="shared" si="62"/>
        <v>48488</v>
      </c>
      <c r="B151" s="8">
        <f t="shared" si="36"/>
        <v>124</v>
      </c>
      <c r="C151" s="11">
        <f t="shared" si="37"/>
        <v>3461.18</v>
      </c>
      <c r="D151" s="11">
        <f t="shared" si="38"/>
        <v>1521.4433753560165</v>
      </c>
      <c r="E151" s="11">
        <f t="shared" si="39"/>
        <v>1939.7366246439833</v>
      </c>
      <c r="F151" s="9">
        <f t="shared" si="49"/>
        <v>273618.50338265579</v>
      </c>
      <c r="G151" s="10">
        <f t="shared" si="40"/>
        <v>6.7599999999999993E-2</v>
      </c>
      <c r="H151" s="10">
        <f t="shared" si="41"/>
        <v>1.7000000000000001E-2</v>
      </c>
      <c r="I151" s="49">
        <f t="shared" si="42"/>
        <v>8.4599999999999995E-2</v>
      </c>
      <c r="J151" s="11">
        <f t="shared" si="43"/>
        <v>20</v>
      </c>
      <c r="K151" s="11">
        <f>IF(B151&lt;&gt;"",IF($B$16=listy!$K$8,'RZĄDOWY PROGRAM'!$F$3*'RZĄDOWY PROGRAM'!$F$15,F150*$F$15),"")</f>
        <v>50</v>
      </c>
      <c r="L151" s="11">
        <f t="shared" si="50"/>
        <v>70</v>
      </c>
      <c r="N151" s="55">
        <f t="shared" si="63"/>
        <v>48488</v>
      </c>
      <c r="O151" s="8">
        <f t="shared" si="51"/>
        <v>124</v>
      </c>
      <c r="P151" s="8"/>
      <c r="Q151" s="33">
        <f>IF(O151&lt;&gt;"",ROUND(IF($F$11="raty równe",-PMT(W151/12,$F$4-O150+SUM($P$28:P151),T150,2),R151+S151),2),"")</f>
        <v>3461.18</v>
      </c>
      <c r="R151" s="11">
        <f>IF(O151&lt;&gt;"",IF($F$11="raty malejące",T150/($F$4-O150+SUM($P$28:P151)),IF(Q151-S151&gt;T150,T150,Q151-S151)),"")</f>
        <v>1438.2937902013521</v>
      </c>
      <c r="S151" s="11">
        <f t="shared" si="65"/>
        <v>2022.8862097986478</v>
      </c>
      <c r="T151" s="9">
        <f t="shared" si="52"/>
        <v>285495.92036563525</v>
      </c>
      <c r="U151" s="10">
        <f t="shared" si="44"/>
        <v>6.7599999999999993E-2</v>
      </c>
      <c r="V151" s="10">
        <f t="shared" si="45"/>
        <v>1.7000000000000001E-2</v>
      </c>
      <c r="W151" s="49">
        <f t="shared" si="53"/>
        <v>8.4599999999999995E-2</v>
      </c>
      <c r="X151" s="11">
        <f t="shared" si="46"/>
        <v>20</v>
      </c>
      <c r="Y151" s="11">
        <f>IF(O151&lt;&gt;"",IF($B$16=listy!$K$8,'RZĄDOWY PROGRAM'!$F$3*'RZĄDOWY PROGRAM'!$F$15,T150*$F$15),"")</f>
        <v>50</v>
      </c>
      <c r="Z151" s="11">
        <f t="shared" si="54"/>
        <v>70</v>
      </c>
      <c r="AB151" s="8">
        <f t="shared" si="55"/>
        <v>124</v>
      </c>
      <c r="AC151" s="8"/>
      <c r="AD151" s="33">
        <f>IF(AB151&lt;&gt;"",ROUND(IF($F$11="raty równe",-PMT(W151/12,$F$4-AB150+SUM($AC$28:AC151),AG150,2),AE151+AF151),2),"")</f>
        <v>3227.69</v>
      </c>
      <c r="AE151" s="11">
        <f>IF(AB151&lt;&gt;"",IF($F$11="raty malejące",AG150/($F$4-AB150+SUM($AC$28:AC150)),MIN(AD151-AF151,AG150)),"")</f>
        <v>1341.2617693038171</v>
      </c>
      <c r="AF151" s="11">
        <f t="shared" si="66"/>
        <v>1886.4282306961829</v>
      </c>
      <c r="AG151" s="9">
        <f t="shared" si="64"/>
        <v>266237.21066987107</v>
      </c>
      <c r="AH151" s="11"/>
      <c r="AI151" s="33">
        <f>IF(AB151&lt;&gt;"",ROUND(IF($F$11="raty równe",-PMT(W151/12,($F$4-AB150+SUM($AC$27:AC150)),AG150,2),AG150/($F$4-AB150+SUM($AC$27:AC150))+AG150*W151/12),2),"")</f>
        <v>3227.69</v>
      </c>
      <c r="AJ151" s="33">
        <f t="shared" si="56"/>
        <v>233.48999999999978</v>
      </c>
      <c r="AK151" s="33">
        <f t="shared" si="57"/>
        <v>33228.806425164963</v>
      </c>
      <c r="AL151" s="33">
        <f>IF(AB151&lt;&gt;"",AK151-SUM($AJ$28:AJ151),"")</f>
        <v>5952.166425165</v>
      </c>
      <c r="AM151" s="11">
        <f t="shared" si="58"/>
        <v>20</v>
      </c>
      <c r="AN151" s="11">
        <f>IF(AB151&lt;&gt;"",IF($B$16=listy!$K$8,'RZĄDOWY PROGRAM'!$F$3*'RZĄDOWY PROGRAM'!$F$15,AG150*$F$15),"")</f>
        <v>50</v>
      </c>
      <c r="AO151" s="11">
        <f t="shared" si="59"/>
        <v>70</v>
      </c>
      <c r="AQ151" s="49">
        <f t="shared" si="47"/>
        <v>0.05</v>
      </c>
      <c r="AR151" s="18">
        <f t="shared" si="48"/>
        <v>4.0741237836483535E-3</v>
      </c>
      <c r="AS151" s="11">
        <f t="shared" si="60"/>
        <v>0</v>
      </c>
      <c r="AT151" s="11">
        <f t="shared" si="61"/>
        <v>40683.807888658601</v>
      </c>
      <c r="AU151" s="11">
        <f>IF(AB151&lt;&gt;"",AT151-SUM($AS$28:AS151),"")</f>
        <v>12994.407888658596</v>
      </c>
    </row>
    <row r="152" spans="1:47" ht="14.5" x14ac:dyDescent="0.35">
      <c r="A152" s="76">
        <f t="shared" si="62"/>
        <v>48519</v>
      </c>
      <c r="B152" s="8">
        <f t="shared" si="36"/>
        <v>125</v>
      </c>
      <c r="C152" s="11">
        <f t="shared" si="37"/>
        <v>3461.17</v>
      </c>
      <c r="D152" s="11">
        <f t="shared" si="38"/>
        <v>1532.1595511522767</v>
      </c>
      <c r="E152" s="11">
        <f t="shared" si="39"/>
        <v>1929.0104488477234</v>
      </c>
      <c r="F152" s="9">
        <f t="shared" si="49"/>
        <v>272086.34383150353</v>
      </c>
      <c r="G152" s="10">
        <f t="shared" si="40"/>
        <v>6.7599999999999993E-2</v>
      </c>
      <c r="H152" s="10">
        <f t="shared" si="41"/>
        <v>1.7000000000000001E-2</v>
      </c>
      <c r="I152" s="49">
        <f t="shared" si="42"/>
        <v>8.4599999999999995E-2</v>
      </c>
      <c r="J152" s="11">
        <f t="shared" si="43"/>
        <v>20</v>
      </c>
      <c r="K152" s="11">
        <f>IF(B152&lt;&gt;"",IF($B$16=listy!$K$8,'RZĄDOWY PROGRAM'!$F$3*'RZĄDOWY PROGRAM'!$F$15,F151*$F$15),"")</f>
        <v>50</v>
      </c>
      <c r="L152" s="11">
        <f t="shared" si="50"/>
        <v>70</v>
      </c>
      <c r="N152" s="55">
        <f t="shared" si="63"/>
        <v>48519</v>
      </c>
      <c r="O152" s="8">
        <f t="shared" si="51"/>
        <v>125</v>
      </c>
      <c r="P152" s="8"/>
      <c r="Q152" s="33">
        <f>IF(O152&lt;&gt;"",ROUND(IF($F$11="raty równe",-PMT(W152/12,$F$4-O151+SUM($P$28:P152),T151,2),R152+S152),2),"")</f>
        <v>3461.17</v>
      </c>
      <c r="R152" s="11">
        <f>IF(O152&lt;&gt;"",IF($F$11="raty malejące",T151/($F$4-O151+SUM($P$28:P152)),IF(Q152-S152&gt;T151,T151,Q152-S152)),"")</f>
        <v>1448.4237614222718</v>
      </c>
      <c r="S152" s="11">
        <f t="shared" si="65"/>
        <v>2012.7462385777283</v>
      </c>
      <c r="T152" s="9">
        <f t="shared" si="52"/>
        <v>284047.49660421297</v>
      </c>
      <c r="U152" s="10">
        <f t="shared" si="44"/>
        <v>6.7599999999999993E-2</v>
      </c>
      <c r="V152" s="10">
        <f t="shared" si="45"/>
        <v>1.7000000000000001E-2</v>
      </c>
      <c r="W152" s="49">
        <f t="shared" si="53"/>
        <v>8.4599999999999995E-2</v>
      </c>
      <c r="X152" s="11">
        <f t="shared" si="46"/>
        <v>20</v>
      </c>
      <c r="Y152" s="11">
        <f>IF(O152&lt;&gt;"",IF($B$16=listy!$K$8,'RZĄDOWY PROGRAM'!$F$3*'RZĄDOWY PROGRAM'!$F$15,T151*$F$15),"")</f>
        <v>50</v>
      </c>
      <c r="Z152" s="11">
        <f t="shared" si="54"/>
        <v>70</v>
      </c>
      <c r="AB152" s="8">
        <f t="shared" si="55"/>
        <v>125</v>
      </c>
      <c r="AC152" s="8"/>
      <c r="AD152" s="33">
        <f>IF(AB152&lt;&gt;"",ROUND(IF($F$11="raty równe",-PMT(W152/12,$F$4-AB151+SUM($AC$28:AC152),AG151,2),AE152+AF152),2),"")</f>
        <v>3227.7</v>
      </c>
      <c r="AE152" s="11">
        <f>IF(AB152&lt;&gt;"",IF($F$11="raty malejące",AG151/($F$4-AB151+SUM($AC$28:AC151)),MIN(AD152-AF152,AG151)),"")</f>
        <v>1350.7276647774088</v>
      </c>
      <c r="AF152" s="11">
        <f t="shared" si="66"/>
        <v>1876.972335222591</v>
      </c>
      <c r="AG152" s="9">
        <f t="shared" si="64"/>
        <v>264886.48300509364</v>
      </c>
      <c r="AH152" s="11"/>
      <c r="AI152" s="33">
        <f>IF(AB152&lt;&gt;"",ROUND(IF($F$11="raty równe",-PMT(W152/12,($F$4-AB151+SUM($AC$27:AC151)),AG151,2),AG151/($F$4-AB151+SUM($AC$27:AC151))+AG151*W152/12),2),"")</f>
        <v>3227.7</v>
      </c>
      <c r="AJ152" s="33">
        <f t="shared" si="56"/>
        <v>233.47000000000025</v>
      </c>
      <c r="AK152" s="33">
        <f t="shared" si="57"/>
        <v>33571.932824317766</v>
      </c>
      <c r="AL152" s="33">
        <f>IF(AB152&lt;&gt;"",AK152-SUM($AJ$28:AJ152),"")</f>
        <v>6061.8228243178019</v>
      </c>
      <c r="AM152" s="11">
        <f t="shared" si="58"/>
        <v>20</v>
      </c>
      <c r="AN152" s="11">
        <f>IF(AB152&lt;&gt;"",IF($B$16=listy!$K$8,'RZĄDOWY PROGRAM'!$F$3*'RZĄDOWY PROGRAM'!$F$15,AG151*$F$15),"")</f>
        <v>50</v>
      </c>
      <c r="AO152" s="11">
        <f t="shared" si="59"/>
        <v>70</v>
      </c>
      <c r="AQ152" s="49">
        <f t="shared" si="47"/>
        <v>0.05</v>
      </c>
      <c r="AR152" s="18">
        <f t="shared" si="48"/>
        <v>4.0741237836483535E-3</v>
      </c>
      <c r="AS152" s="11">
        <f t="shared" si="60"/>
        <v>0</v>
      </c>
      <c r="AT152" s="11">
        <f t="shared" si="61"/>
        <v>40818.066092814741</v>
      </c>
      <c r="AU152" s="11">
        <f>IF(AB152&lt;&gt;"",AT152-SUM($AS$28:AS152),"")</f>
        <v>13128.666092814736</v>
      </c>
    </row>
    <row r="153" spans="1:47" ht="14.5" x14ac:dyDescent="0.35">
      <c r="A153" s="76">
        <f t="shared" si="62"/>
        <v>48549</v>
      </c>
      <c r="B153" s="8">
        <f t="shared" si="36"/>
        <v>126</v>
      </c>
      <c r="C153" s="11">
        <f t="shared" si="37"/>
        <v>3461.18</v>
      </c>
      <c r="D153" s="11">
        <f t="shared" si="38"/>
        <v>1542.9712759879001</v>
      </c>
      <c r="E153" s="11">
        <f t="shared" si="39"/>
        <v>1918.2087240120998</v>
      </c>
      <c r="F153" s="9">
        <f t="shared" si="49"/>
        <v>270543.37255551561</v>
      </c>
      <c r="G153" s="10">
        <f t="shared" si="40"/>
        <v>6.7599999999999993E-2</v>
      </c>
      <c r="H153" s="10">
        <f t="shared" si="41"/>
        <v>1.7000000000000001E-2</v>
      </c>
      <c r="I153" s="49">
        <f t="shared" si="42"/>
        <v>8.4599999999999995E-2</v>
      </c>
      <c r="J153" s="11">
        <f t="shared" si="43"/>
        <v>20</v>
      </c>
      <c r="K153" s="11">
        <f>IF(B153&lt;&gt;"",IF($B$16=listy!$K$8,'RZĄDOWY PROGRAM'!$F$3*'RZĄDOWY PROGRAM'!$F$15,F152*$F$15),"")</f>
        <v>50</v>
      </c>
      <c r="L153" s="11">
        <f t="shared" si="50"/>
        <v>70</v>
      </c>
      <c r="N153" s="55">
        <f t="shared" si="63"/>
        <v>48549</v>
      </c>
      <c r="O153" s="8">
        <f t="shared" si="51"/>
        <v>126</v>
      </c>
      <c r="P153" s="8"/>
      <c r="Q153" s="33">
        <f>IF(O153&lt;&gt;"",ROUND(IF($F$11="raty równe",-PMT(W153/12,$F$4-O152+SUM($P$28:P153),T152,2),R153+S153),2),"")</f>
        <v>3461.18</v>
      </c>
      <c r="R153" s="11">
        <f>IF(O153&lt;&gt;"",IF($F$11="raty malejące",T152/($F$4-O152+SUM($P$28:P153)),IF(Q153-S153&gt;T152,T152,Q153-S153)),"")</f>
        <v>1458.6451489402984</v>
      </c>
      <c r="S153" s="11">
        <f t="shared" si="65"/>
        <v>2002.5348510597014</v>
      </c>
      <c r="T153" s="9">
        <f t="shared" si="52"/>
        <v>282588.85145527264</v>
      </c>
      <c r="U153" s="10">
        <f t="shared" si="44"/>
        <v>6.7599999999999993E-2</v>
      </c>
      <c r="V153" s="10">
        <f t="shared" si="45"/>
        <v>1.7000000000000001E-2</v>
      </c>
      <c r="W153" s="49">
        <f t="shared" si="53"/>
        <v>8.4599999999999995E-2</v>
      </c>
      <c r="X153" s="11">
        <f t="shared" si="46"/>
        <v>20</v>
      </c>
      <c r="Y153" s="11">
        <f>IF(O153&lt;&gt;"",IF($B$16=listy!$K$8,'RZĄDOWY PROGRAM'!$F$3*'RZĄDOWY PROGRAM'!$F$15,T152*$F$15),"")</f>
        <v>50</v>
      </c>
      <c r="Z153" s="11">
        <f t="shared" si="54"/>
        <v>70</v>
      </c>
      <c r="AB153" s="8">
        <f t="shared" si="55"/>
        <v>126</v>
      </c>
      <c r="AC153" s="8"/>
      <c r="AD153" s="33">
        <f>IF(AB153&lt;&gt;"",ROUND(IF($F$11="raty równe",-PMT(W153/12,$F$4-AB152+SUM($AC$28:AC153),AG152,2),AE153+AF153),2),"")</f>
        <v>3227.69</v>
      </c>
      <c r="AE153" s="11">
        <f>IF(AB153&lt;&gt;"",IF($F$11="raty malejące",AG152/($F$4-AB152+SUM($AC$28:AC152)),MIN(AD153-AF153,AG152)),"")</f>
        <v>1360.24029481409</v>
      </c>
      <c r="AF153" s="11">
        <f t="shared" si="66"/>
        <v>1867.44970518591</v>
      </c>
      <c r="AG153" s="9">
        <f t="shared" si="64"/>
        <v>263526.24271027953</v>
      </c>
      <c r="AH153" s="11"/>
      <c r="AI153" s="33">
        <f>IF(AB153&lt;&gt;"",ROUND(IF($F$11="raty równe",-PMT(W153/12,($F$4-AB152+SUM($AC$27:AC152)),AG152,2),AG152/($F$4-AB152+SUM($AC$27:AC152))+AG152*W153/12),2),"")</f>
        <v>3227.69</v>
      </c>
      <c r="AJ153" s="33">
        <f t="shared" si="56"/>
        <v>233.48999999999978</v>
      </c>
      <c r="AK153" s="33">
        <f t="shared" si="57"/>
        <v>33916.211554403671</v>
      </c>
      <c r="AL153" s="33">
        <f>IF(AB153&lt;&gt;"",AK153-SUM($AJ$28:AJ153),"")</f>
        <v>6172.6115544037093</v>
      </c>
      <c r="AM153" s="11">
        <f t="shared" si="58"/>
        <v>20</v>
      </c>
      <c r="AN153" s="11">
        <f>IF(AB153&lt;&gt;"",IF($B$16=listy!$K$8,'RZĄDOWY PROGRAM'!$F$3*'RZĄDOWY PROGRAM'!$F$15,AG152*$F$15),"")</f>
        <v>50</v>
      </c>
      <c r="AO153" s="11">
        <f t="shared" si="59"/>
        <v>70</v>
      </c>
      <c r="AQ153" s="49">
        <f t="shared" si="47"/>
        <v>0.05</v>
      </c>
      <c r="AR153" s="18">
        <f t="shared" si="48"/>
        <v>4.0741237836483535E-3</v>
      </c>
      <c r="AS153" s="11">
        <f t="shared" si="60"/>
        <v>0</v>
      </c>
      <c r="AT153" s="11">
        <f t="shared" si="61"/>
        <v>40952.767354450465</v>
      </c>
      <c r="AU153" s="11">
        <f>IF(AB153&lt;&gt;"",AT153-SUM($AS$28:AS153),"")</f>
        <v>13263.36735445046</v>
      </c>
    </row>
    <row r="154" spans="1:47" ht="14.5" x14ac:dyDescent="0.35">
      <c r="A154" s="76">
        <f t="shared" si="62"/>
        <v>48580</v>
      </c>
      <c r="B154" s="8">
        <f t="shared" si="36"/>
        <v>127</v>
      </c>
      <c r="C154" s="11">
        <f t="shared" si="37"/>
        <v>3461.17</v>
      </c>
      <c r="D154" s="11">
        <f t="shared" si="38"/>
        <v>1553.8392234836153</v>
      </c>
      <c r="E154" s="11">
        <f t="shared" si="39"/>
        <v>1907.3307765163847</v>
      </c>
      <c r="F154" s="9">
        <f t="shared" si="49"/>
        <v>268989.53333203198</v>
      </c>
      <c r="G154" s="10">
        <f t="shared" si="40"/>
        <v>6.7599999999999993E-2</v>
      </c>
      <c r="H154" s="10">
        <f t="shared" si="41"/>
        <v>1.7000000000000001E-2</v>
      </c>
      <c r="I154" s="49">
        <f t="shared" si="42"/>
        <v>8.4599999999999995E-2</v>
      </c>
      <c r="J154" s="11">
        <f t="shared" si="43"/>
        <v>20</v>
      </c>
      <c r="K154" s="11">
        <f>IF(B154&lt;&gt;"",IF($B$16=listy!$K$8,'RZĄDOWY PROGRAM'!$F$3*'RZĄDOWY PROGRAM'!$F$15,F153*$F$15),"")</f>
        <v>50</v>
      </c>
      <c r="L154" s="11">
        <f t="shared" si="50"/>
        <v>70</v>
      </c>
      <c r="N154" s="55">
        <f t="shared" si="63"/>
        <v>48580</v>
      </c>
      <c r="O154" s="8">
        <f t="shared" si="51"/>
        <v>127</v>
      </c>
      <c r="P154" s="8"/>
      <c r="Q154" s="33">
        <f>IF(O154&lt;&gt;"",ROUND(IF($F$11="raty równe",-PMT(W154/12,$F$4-O153+SUM($P$28:P154),T153,2),R154+S154),2),"")</f>
        <v>3461.17</v>
      </c>
      <c r="R154" s="11">
        <f>IF(O154&lt;&gt;"",IF($F$11="raty malejące",T153/($F$4-O153+SUM($P$28:P154)),IF(Q154-S154&gt;T153,T153,Q154-S154)),"")</f>
        <v>1468.9185972403282</v>
      </c>
      <c r="S154" s="11">
        <f t="shared" si="65"/>
        <v>1992.2514027596719</v>
      </c>
      <c r="T154" s="9">
        <f t="shared" si="52"/>
        <v>281119.93285803229</v>
      </c>
      <c r="U154" s="10">
        <f t="shared" si="44"/>
        <v>6.7599999999999993E-2</v>
      </c>
      <c r="V154" s="10">
        <f t="shared" si="45"/>
        <v>1.7000000000000001E-2</v>
      </c>
      <c r="W154" s="49">
        <f t="shared" si="53"/>
        <v>8.4599999999999995E-2</v>
      </c>
      <c r="X154" s="11">
        <f t="shared" si="46"/>
        <v>20</v>
      </c>
      <c r="Y154" s="11">
        <f>IF(O154&lt;&gt;"",IF($B$16=listy!$K$8,'RZĄDOWY PROGRAM'!$F$3*'RZĄDOWY PROGRAM'!$F$15,T153*$F$15),"")</f>
        <v>50</v>
      </c>
      <c r="Z154" s="11">
        <f t="shared" si="54"/>
        <v>70</v>
      </c>
      <c r="AB154" s="8">
        <f t="shared" si="55"/>
        <v>127</v>
      </c>
      <c r="AC154" s="8"/>
      <c r="AD154" s="33">
        <f>IF(AB154&lt;&gt;"",ROUND(IF($F$11="raty równe",-PMT(W154/12,$F$4-AB153+SUM($AC$28:AC154),AG153,2),AE154+AF154),2),"")</f>
        <v>3227.7</v>
      </c>
      <c r="AE154" s="11">
        <f>IF(AB154&lt;&gt;"",IF($F$11="raty malejące",AG153/($F$4-AB153+SUM($AC$28:AC153)),MIN(AD154-AF154,AG153)),"")</f>
        <v>1369.8399888925294</v>
      </c>
      <c r="AF154" s="11">
        <f t="shared" si="66"/>
        <v>1857.8600111074704</v>
      </c>
      <c r="AG154" s="9">
        <f t="shared" si="64"/>
        <v>262156.40272138698</v>
      </c>
      <c r="AH154" s="11"/>
      <c r="AI154" s="33">
        <f>IF(AB154&lt;&gt;"",ROUND(IF($F$11="raty równe",-PMT(W154/12,($F$4-AB153+SUM($AC$27:AC153)),AG153,2),AG153/($F$4-AB153+SUM($AC$27:AC153))+AG153*W154/12),2),"")</f>
        <v>3227.7</v>
      </c>
      <c r="AJ154" s="33">
        <f t="shared" si="56"/>
        <v>233.47000000000025</v>
      </c>
      <c r="AK154" s="33">
        <f t="shared" si="57"/>
        <v>34261.606418161158</v>
      </c>
      <c r="AL154" s="33">
        <f>IF(AB154&lt;&gt;"",AK154-SUM($AJ$28:AJ154),"")</f>
        <v>6284.5364181611949</v>
      </c>
      <c r="AM154" s="11">
        <f t="shared" si="58"/>
        <v>20</v>
      </c>
      <c r="AN154" s="11">
        <f>IF(AB154&lt;&gt;"",IF($B$16=listy!$K$8,'RZĄDOWY PROGRAM'!$F$3*'RZĄDOWY PROGRAM'!$F$15,AG153*$F$15),"")</f>
        <v>50</v>
      </c>
      <c r="AO154" s="11">
        <f t="shared" si="59"/>
        <v>70</v>
      </c>
      <c r="AQ154" s="49">
        <f t="shared" si="47"/>
        <v>0.05</v>
      </c>
      <c r="AR154" s="18">
        <f t="shared" si="48"/>
        <v>4.0741237836483535E-3</v>
      </c>
      <c r="AS154" s="11">
        <f t="shared" si="60"/>
        <v>0</v>
      </c>
      <c r="AT154" s="11">
        <f t="shared" si="61"/>
        <v>41087.913135673305</v>
      </c>
      <c r="AU154" s="11">
        <f>IF(AB154&lt;&gt;"",AT154-SUM($AS$28:AS154),"")</f>
        <v>13398.5131356733</v>
      </c>
    </row>
    <row r="155" spans="1:47" ht="14.5" x14ac:dyDescent="0.35">
      <c r="A155" s="76">
        <f t="shared" si="62"/>
        <v>48611</v>
      </c>
      <c r="B155" s="8">
        <f t="shared" si="36"/>
        <v>128</v>
      </c>
      <c r="C155" s="11">
        <f t="shared" si="37"/>
        <v>3461.18</v>
      </c>
      <c r="D155" s="11">
        <f t="shared" si="38"/>
        <v>1564.8037900091745</v>
      </c>
      <c r="E155" s="11">
        <f t="shared" si="39"/>
        <v>1896.3762099908254</v>
      </c>
      <c r="F155" s="9">
        <f t="shared" si="49"/>
        <v>267424.7295420228</v>
      </c>
      <c r="G155" s="10">
        <f t="shared" si="40"/>
        <v>6.7599999999999993E-2</v>
      </c>
      <c r="H155" s="10">
        <f t="shared" si="41"/>
        <v>1.7000000000000001E-2</v>
      </c>
      <c r="I155" s="49">
        <f t="shared" si="42"/>
        <v>8.4599999999999995E-2</v>
      </c>
      <c r="J155" s="11">
        <f t="shared" si="43"/>
        <v>20</v>
      </c>
      <c r="K155" s="11">
        <f>IF(B155&lt;&gt;"",IF($B$16=listy!$K$8,'RZĄDOWY PROGRAM'!$F$3*'RZĄDOWY PROGRAM'!$F$15,F154*$F$15),"")</f>
        <v>50</v>
      </c>
      <c r="L155" s="11">
        <f t="shared" si="50"/>
        <v>70</v>
      </c>
      <c r="N155" s="55">
        <f t="shared" si="63"/>
        <v>48611</v>
      </c>
      <c r="O155" s="8">
        <f t="shared" si="51"/>
        <v>128</v>
      </c>
      <c r="P155" s="8"/>
      <c r="Q155" s="33">
        <f>IF(O155&lt;&gt;"",ROUND(IF($F$11="raty równe",-PMT(W155/12,$F$4-O154+SUM($P$28:P155),T154,2),R155+S155),2),"")</f>
        <v>3461.18</v>
      </c>
      <c r="R155" s="11">
        <f>IF(O155&lt;&gt;"",IF($F$11="raty malejące",T154/($F$4-O154+SUM($P$28:P155)),IF(Q155-S155&gt;T154,T154,Q155-S155)),"")</f>
        <v>1479.2844733508723</v>
      </c>
      <c r="S155" s="11">
        <f t="shared" si="65"/>
        <v>1981.8955266491275</v>
      </c>
      <c r="T155" s="9">
        <f t="shared" si="52"/>
        <v>279640.64838468144</v>
      </c>
      <c r="U155" s="10">
        <f t="shared" si="44"/>
        <v>6.7599999999999993E-2</v>
      </c>
      <c r="V155" s="10">
        <f t="shared" si="45"/>
        <v>1.7000000000000001E-2</v>
      </c>
      <c r="W155" s="49">
        <f t="shared" si="53"/>
        <v>8.4599999999999995E-2</v>
      </c>
      <c r="X155" s="11">
        <f t="shared" si="46"/>
        <v>20</v>
      </c>
      <c r="Y155" s="11">
        <f>IF(O155&lt;&gt;"",IF($B$16=listy!$K$8,'RZĄDOWY PROGRAM'!$F$3*'RZĄDOWY PROGRAM'!$F$15,T154*$F$15),"")</f>
        <v>50</v>
      </c>
      <c r="Z155" s="11">
        <f t="shared" si="54"/>
        <v>70</v>
      </c>
      <c r="AB155" s="8">
        <f t="shared" si="55"/>
        <v>128</v>
      </c>
      <c r="AC155" s="8"/>
      <c r="AD155" s="33">
        <f>IF(AB155&lt;&gt;"",ROUND(IF($F$11="raty równe",-PMT(W155/12,$F$4-AB154+SUM($AC$28:AC155),AG154,2),AE155+AF155),2),"")</f>
        <v>3227.69</v>
      </c>
      <c r="AE155" s="11">
        <f>IF(AB155&lt;&gt;"",IF($F$11="raty malejące",AG154/($F$4-AB154+SUM($AC$28:AC154)),MIN(AD155-AF155,AG154)),"")</f>
        <v>1379.487360814222</v>
      </c>
      <c r="AF155" s="11">
        <f t="shared" si="66"/>
        <v>1848.202639185778</v>
      </c>
      <c r="AG155" s="9">
        <f t="shared" si="64"/>
        <v>260776.91536057278</v>
      </c>
      <c r="AH155" s="11"/>
      <c r="AI155" s="33">
        <f>IF(AB155&lt;&gt;"",ROUND(IF($F$11="raty równe",-PMT(W155/12,($F$4-AB154+SUM($AC$27:AC154)),AG154,2),AG154/($F$4-AB154+SUM($AC$27:AC154))+AG154*W155/12),2),"")</f>
        <v>3227.69</v>
      </c>
      <c r="AJ155" s="33">
        <f t="shared" si="56"/>
        <v>233.48999999999978</v>
      </c>
      <c r="AK155" s="33">
        <f t="shared" si="57"/>
        <v>34608.161098876284</v>
      </c>
      <c r="AL155" s="33">
        <f>IF(AB155&lt;&gt;"",AK155-SUM($AJ$28:AJ155),"")</f>
        <v>6397.6010988763228</v>
      </c>
      <c r="AM155" s="11">
        <f t="shared" si="58"/>
        <v>20</v>
      </c>
      <c r="AN155" s="11">
        <f>IF(AB155&lt;&gt;"",IF($B$16=listy!$K$8,'RZĄDOWY PROGRAM'!$F$3*'RZĄDOWY PROGRAM'!$F$15,AG154*$F$15),"")</f>
        <v>50</v>
      </c>
      <c r="AO155" s="11">
        <f t="shared" si="59"/>
        <v>70</v>
      </c>
      <c r="AQ155" s="49">
        <f t="shared" si="47"/>
        <v>0.05</v>
      </c>
      <c r="AR155" s="18">
        <f t="shared" si="48"/>
        <v>4.0741237836483535E-3</v>
      </c>
      <c r="AS155" s="11">
        <f t="shared" si="60"/>
        <v>0</v>
      </c>
      <c r="AT155" s="11">
        <f t="shared" si="61"/>
        <v>41223.504903415793</v>
      </c>
      <c r="AU155" s="11">
        <f>IF(AB155&lt;&gt;"",AT155-SUM($AS$28:AS155),"")</f>
        <v>13534.104903415788</v>
      </c>
    </row>
    <row r="156" spans="1:47" ht="14.5" x14ac:dyDescent="0.35">
      <c r="A156" s="76">
        <f t="shared" si="62"/>
        <v>48639</v>
      </c>
      <c r="B156" s="8">
        <f t="shared" ref="B156:B219" si="67">IFERROR(IF(B155+1&lt;=$F$4,B155+1,""),"")</f>
        <v>129</v>
      </c>
      <c r="C156" s="11">
        <f t="shared" ref="C156:C219" si="68">IF(B156&lt;&gt;"",ROUND(IF($F$11="raty równe",-PMT(I156/12,$F$4-B155,F155,2),D156+E156),2),"")</f>
        <v>3461.17</v>
      </c>
      <c r="D156" s="11">
        <f t="shared" ref="D156:D219" si="69">IF(B156&lt;&gt;"",IF($F$11="raty malejące",F155/($F$4-B155),IF(C156-E156&gt;F155,F155,C156-E156)),"")</f>
        <v>1575.8256567287392</v>
      </c>
      <c r="E156" s="11">
        <f t="shared" ref="E156:E219" si="70">IF(B156&lt;&gt;"",F155*I156/12,"")</f>
        <v>1885.3443432712609</v>
      </c>
      <c r="F156" s="9">
        <f t="shared" si="49"/>
        <v>265848.90388529404</v>
      </c>
      <c r="G156" s="10">
        <f t="shared" ref="G156:G219" si="71">IF(B156&lt;&gt;"",$F$5,"")</f>
        <v>6.7599999999999993E-2</v>
      </c>
      <c r="H156" s="10">
        <f t="shared" ref="H156:H219" si="72">IF(B156&lt;&gt;"",$F$6,"")</f>
        <v>1.7000000000000001E-2</v>
      </c>
      <c r="I156" s="49">
        <f t="shared" ref="I156:I219" si="73">IF($B156&lt;&gt;"",IF(AND($F$8="TAK",$B156&lt;=$F$9),$F$10,G156+H156),"")</f>
        <v>8.4599999999999995E-2</v>
      </c>
      <c r="J156" s="11">
        <f t="shared" ref="J156:J219" si="74">IF(B156&lt;=$F$4,$F$14,"")</f>
        <v>20</v>
      </c>
      <c r="K156" s="11">
        <f>IF(B156&lt;&gt;"",IF($B$16=listy!$K$8,'RZĄDOWY PROGRAM'!$F$3*'RZĄDOWY PROGRAM'!$F$15,F155*$F$15),"")</f>
        <v>50</v>
      </c>
      <c r="L156" s="11">
        <f t="shared" si="50"/>
        <v>70</v>
      </c>
      <c r="N156" s="55">
        <f t="shared" si="63"/>
        <v>48639</v>
      </c>
      <c r="O156" s="8">
        <f t="shared" si="51"/>
        <v>129</v>
      </c>
      <c r="P156" s="8"/>
      <c r="Q156" s="33">
        <f>IF(O156&lt;&gt;"",ROUND(IF($F$11="raty równe",-PMT(W156/12,$F$4-O155+SUM($P$28:P156),T155,2),R156+S156),2),"")</f>
        <v>3461.17</v>
      </c>
      <c r="R156" s="11">
        <f>IF(O156&lt;&gt;"",IF($F$11="raty malejące",T155/($F$4-O155+SUM($P$28:P156)),IF(Q156-S156&gt;T155,T155,Q156-S156)),"")</f>
        <v>1489.7034288879961</v>
      </c>
      <c r="S156" s="11">
        <f t="shared" si="65"/>
        <v>1971.466571112004</v>
      </c>
      <c r="T156" s="9">
        <f t="shared" si="52"/>
        <v>278150.94495579344</v>
      </c>
      <c r="U156" s="10">
        <f t="shared" ref="U156:U219" si="75">IF(O156&lt;&gt;"",$F$5,"")</f>
        <v>6.7599999999999993E-2</v>
      </c>
      <c r="V156" s="10">
        <f t="shared" ref="V156:V219" si="76">IF(O156&lt;&gt;"",$F$6,"")</f>
        <v>1.7000000000000001E-2</v>
      </c>
      <c r="W156" s="49">
        <f t="shared" si="53"/>
        <v>8.4599999999999995E-2</v>
      </c>
      <c r="X156" s="11">
        <f t="shared" ref="X156:X219" si="77">IF(O156&lt;&gt;"",$F$14,"")</f>
        <v>20</v>
      </c>
      <c r="Y156" s="11">
        <f>IF(O156&lt;&gt;"",IF($B$16=listy!$K$8,'RZĄDOWY PROGRAM'!$F$3*'RZĄDOWY PROGRAM'!$F$15,T155*$F$15),"")</f>
        <v>50</v>
      </c>
      <c r="Z156" s="11">
        <f t="shared" si="54"/>
        <v>70</v>
      </c>
      <c r="AB156" s="8">
        <f t="shared" si="55"/>
        <v>129</v>
      </c>
      <c r="AC156" s="8"/>
      <c r="AD156" s="33">
        <f>IF(AB156&lt;&gt;"",ROUND(IF($F$11="raty równe",-PMT(W156/12,$F$4-AB155+SUM($AC$28:AC156),AG155,2),AE156+AF156),2),"")</f>
        <v>3227.7</v>
      </c>
      <c r="AE156" s="11">
        <f>IF(AB156&lt;&gt;"",IF($F$11="raty malejące",AG155/($F$4-AB155+SUM($AC$28:AC155)),MIN(AD156-AF156,AG155)),"")</f>
        <v>1389.222746707962</v>
      </c>
      <c r="AF156" s="11">
        <f t="shared" si="66"/>
        <v>1838.4772532920379</v>
      </c>
      <c r="AG156" s="9">
        <f t="shared" si="64"/>
        <v>259387.69261386481</v>
      </c>
      <c r="AH156" s="11"/>
      <c r="AI156" s="33">
        <f>IF(AB156&lt;&gt;"",ROUND(IF($F$11="raty równe",-PMT(W156/12,($F$4-AB155+SUM($AC$27:AC155)),AG155,2),AG155/($F$4-AB155+SUM($AC$27:AC155))+AG155*W156/12),2),"")</f>
        <v>3227.7</v>
      </c>
      <c r="AJ156" s="33">
        <f t="shared" si="56"/>
        <v>233.47000000000025</v>
      </c>
      <c r="AK156" s="33">
        <f t="shared" si="57"/>
        <v>34955.839423991711</v>
      </c>
      <c r="AL156" s="33">
        <f>IF(AB156&lt;&gt;"",AK156-SUM($AJ$28:AJ156),"")</f>
        <v>6511.8094239917482</v>
      </c>
      <c r="AM156" s="11">
        <f t="shared" si="58"/>
        <v>20</v>
      </c>
      <c r="AN156" s="11">
        <f>IF(AB156&lt;&gt;"",IF($B$16=listy!$K$8,'RZĄDOWY PROGRAM'!$F$3*'RZĄDOWY PROGRAM'!$F$15,AG155*$F$15),"")</f>
        <v>50</v>
      </c>
      <c r="AO156" s="11">
        <f t="shared" si="59"/>
        <v>70</v>
      </c>
      <c r="AQ156" s="49">
        <f t="shared" ref="AQ156:AQ219" si="78">IF(AB156&lt;&gt;"",$F$19,"")</f>
        <v>0.05</v>
      </c>
      <c r="AR156" s="18">
        <f t="shared" ref="AR156:AR219" si="79">IF(AB156&lt;&gt;"",(1+AQ156)^(1/12)-1,"")</f>
        <v>4.0741237836483535E-3</v>
      </c>
      <c r="AS156" s="11">
        <f t="shared" si="60"/>
        <v>0</v>
      </c>
      <c r="AT156" s="11">
        <f t="shared" si="61"/>
        <v>41359.544129451395</v>
      </c>
      <c r="AU156" s="11">
        <f>IF(AB156&lt;&gt;"",AT156-SUM($AS$28:AS156),"")</f>
        <v>13670.14412945139</v>
      </c>
    </row>
    <row r="157" spans="1:47" ht="14.5" x14ac:dyDescent="0.35">
      <c r="A157" s="76">
        <f t="shared" si="62"/>
        <v>48670</v>
      </c>
      <c r="B157" s="8">
        <f t="shared" si="67"/>
        <v>130</v>
      </c>
      <c r="C157" s="11">
        <f t="shared" si="68"/>
        <v>3461.18</v>
      </c>
      <c r="D157" s="11">
        <f t="shared" si="69"/>
        <v>1586.945227608677</v>
      </c>
      <c r="E157" s="11">
        <f t="shared" si="70"/>
        <v>1874.2347723913228</v>
      </c>
      <c r="F157" s="9">
        <f t="shared" ref="F157:F220" si="80">IF(B157&lt;&gt;"",F156-D157,"")</f>
        <v>264261.95865768538</v>
      </c>
      <c r="G157" s="10">
        <f t="shared" si="71"/>
        <v>6.7599999999999993E-2</v>
      </c>
      <c r="H157" s="10">
        <f t="shared" si="72"/>
        <v>1.7000000000000001E-2</v>
      </c>
      <c r="I157" s="49">
        <f t="shared" si="73"/>
        <v>8.4599999999999995E-2</v>
      </c>
      <c r="J157" s="11">
        <f t="shared" si="74"/>
        <v>20</v>
      </c>
      <c r="K157" s="11">
        <f>IF(B157&lt;&gt;"",IF($B$16=listy!$K$8,'RZĄDOWY PROGRAM'!$F$3*'RZĄDOWY PROGRAM'!$F$15,F156*$F$15),"")</f>
        <v>50</v>
      </c>
      <c r="L157" s="11">
        <f t="shared" ref="L157:L220" si="81">IF(B157&lt;&gt;"",J157+K157,"")</f>
        <v>70</v>
      </c>
      <c r="N157" s="55">
        <f t="shared" si="63"/>
        <v>48670</v>
      </c>
      <c r="O157" s="8">
        <f t="shared" ref="O157:O220" si="82">IFERROR(IF(O156+1&lt;=$F$4+8,O156+1,""),"")</f>
        <v>130</v>
      </c>
      <c r="P157" s="8"/>
      <c r="Q157" s="33">
        <f>IF(O157&lt;&gt;"",ROUND(IF($F$11="raty równe",-PMT(W157/12,$F$4-O156+SUM($P$28:P157),T156,2),R157+S157),2),"")</f>
        <v>3461.18</v>
      </c>
      <c r="R157" s="11">
        <f>IF(O157&lt;&gt;"",IF($F$11="raty malejące",T156/($F$4-O156+SUM($P$28:P157)),IF(Q157-S157&gt;T156,T156,Q157-S157)),"")</f>
        <v>1500.2158380616561</v>
      </c>
      <c r="S157" s="11">
        <f t="shared" si="65"/>
        <v>1960.9641619383438</v>
      </c>
      <c r="T157" s="9">
        <f t="shared" ref="T157:T220" si="83">IF(O157&lt;&gt;"",T156-R157,"")</f>
        <v>276650.7291177318</v>
      </c>
      <c r="U157" s="10">
        <f t="shared" si="75"/>
        <v>6.7599999999999993E-2</v>
      </c>
      <c r="V157" s="10">
        <f t="shared" si="76"/>
        <v>1.7000000000000001E-2</v>
      </c>
      <c r="W157" s="49">
        <f t="shared" ref="W157:W220" si="84">IF(O157&lt;&gt;"",IF(AND($F$8="TAK",$B157&lt;=$F$9),$F$10,U157+V157),"")</f>
        <v>8.4599999999999995E-2</v>
      </c>
      <c r="X157" s="11">
        <f t="shared" si="77"/>
        <v>20</v>
      </c>
      <c r="Y157" s="11">
        <f>IF(O157&lt;&gt;"",IF($B$16=listy!$K$8,'RZĄDOWY PROGRAM'!$F$3*'RZĄDOWY PROGRAM'!$F$15,T156*$F$15),"")</f>
        <v>50</v>
      </c>
      <c r="Z157" s="11">
        <f t="shared" ref="Z157:Z220" si="85">IF(O157&lt;&gt;"",X157+Y157,"")</f>
        <v>70</v>
      </c>
      <c r="AB157" s="8">
        <f t="shared" ref="AB157:AB220" si="86">IFERROR(IF(AG156&gt;0,AB156+1,""),"")</f>
        <v>130</v>
      </c>
      <c r="AC157" s="8"/>
      <c r="AD157" s="33">
        <f>IF(AB157&lt;&gt;"",ROUND(IF($F$11="raty równe",-PMT(W157/12,$F$4-AB156+SUM($AC$28:AC157),AG156,2),AE157+AF157),2),"")</f>
        <v>3227.69</v>
      </c>
      <c r="AE157" s="11">
        <f>IF(AB157&lt;&gt;"",IF($F$11="raty malejące",AG156/($F$4-AB156+SUM($AC$28:AC156)),MIN(AD157-AF157,AG156)),"")</f>
        <v>1399.0067670722533</v>
      </c>
      <c r="AF157" s="11">
        <f t="shared" si="66"/>
        <v>1828.6832329277468</v>
      </c>
      <c r="AG157" s="9">
        <f t="shared" si="64"/>
        <v>257988.68584679256</v>
      </c>
      <c r="AH157" s="11"/>
      <c r="AI157" s="33">
        <f>IF(AB157&lt;&gt;"",ROUND(IF($F$11="raty równe",-PMT(W157/12,($F$4-AB156+SUM($AC$27:AC156)),AG156,2),AG156/($F$4-AB156+SUM($AC$27:AC156))+AG156*W157/12),2),"")</f>
        <v>3227.69</v>
      </c>
      <c r="AJ157" s="33">
        <f t="shared" ref="AJ157:AJ220" si="87">IF(AB157&lt;&gt;"",IF(B157&lt;&gt;"",C157-AD157-AH157,-(AD157+AH157)),"")</f>
        <v>233.48999999999978</v>
      </c>
      <c r="AK157" s="33">
        <f t="shared" ref="AK157:AK220" si="88">IF(AB157&lt;&gt;"",IF($F$21="co miesiąc",AK156*(1+(1-$F$20)*AR157)+AJ157,(AK156*(1+AR157)+AJ157)),"")</f>
        <v>35304.685101579198</v>
      </c>
      <c r="AL157" s="33">
        <f>IF(AB157&lt;&gt;"",AK157-SUM($AJ$28:AJ157),"")</f>
        <v>6627.1651015792377</v>
      </c>
      <c r="AM157" s="11">
        <f t="shared" ref="AM157:AM220" si="89">IF(AB157&lt;&gt;"",$F$14,"")</f>
        <v>20</v>
      </c>
      <c r="AN157" s="11">
        <f>IF(AB157&lt;&gt;"",IF($B$16=listy!$K$8,'RZĄDOWY PROGRAM'!$F$3*'RZĄDOWY PROGRAM'!$F$15,AG156*$F$15),"")</f>
        <v>50</v>
      </c>
      <c r="AO157" s="11">
        <f t="shared" ref="AO157:AO220" si="90">IF(AD157&lt;&gt;"",AM157+AN157,"")</f>
        <v>70</v>
      </c>
      <c r="AQ157" s="49">
        <f t="shared" si="78"/>
        <v>0.05</v>
      </c>
      <c r="AR157" s="18">
        <f t="shared" si="79"/>
        <v>4.0741237836483535E-3</v>
      </c>
      <c r="AS157" s="11">
        <f t="shared" ref="AS157:AS220" si="91">IF(AB157&lt;&gt;"",IF(A157&lt;&gt;"",C157-Q157,0),"")</f>
        <v>0</v>
      </c>
      <c r="AT157" s="11">
        <f t="shared" ref="AT157:AT220" si="92">IF(AB157&lt;&gt;"",IF($F$21="co miesiąc",AT156*(1+(1-$F$20)*AR157)+AS157,(AT156*(1+AR157)+AS157)),"")</f>
        <v>41496.032290410505</v>
      </c>
      <c r="AU157" s="11">
        <f>IF(AB157&lt;&gt;"",AT157-SUM($AS$28:AS157),"")</f>
        <v>13806.6322904105</v>
      </c>
    </row>
    <row r="158" spans="1:47" ht="14.5" x14ac:dyDescent="0.35">
      <c r="A158" s="76">
        <f t="shared" ref="A158:A221" si="93">IF(B158&lt;&gt;"",EDATE(A157,1),"")</f>
        <v>48700</v>
      </c>
      <c r="B158" s="8">
        <f t="shared" si="67"/>
        <v>131</v>
      </c>
      <c r="C158" s="11">
        <f t="shared" si="68"/>
        <v>3461.17</v>
      </c>
      <c r="D158" s="11">
        <f t="shared" si="69"/>
        <v>1598.1231914633183</v>
      </c>
      <c r="E158" s="11">
        <f t="shared" si="70"/>
        <v>1863.0468085366817</v>
      </c>
      <c r="F158" s="9">
        <f t="shared" si="80"/>
        <v>262663.83546622208</v>
      </c>
      <c r="G158" s="10">
        <f t="shared" si="71"/>
        <v>6.7599999999999993E-2</v>
      </c>
      <c r="H158" s="10">
        <f t="shared" si="72"/>
        <v>1.7000000000000001E-2</v>
      </c>
      <c r="I158" s="49">
        <f t="shared" si="73"/>
        <v>8.4599999999999995E-2</v>
      </c>
      <c r="J158" s="11">
        <f t="shared" si="74"/>
        <v>20</v>
      </c>
      <c r="K158" s="11">
        <f>IF(B158&lt;&gt;"",IF($B$16=listy!$K$8,'RZĄDOWY PROGRAM'!$F$3*'RZĄDOWY PROGRAM'!$F$15,F157*$F$15),"")</f>
        <v>50</v>
      </c>
      <c r="L158" s="11">
        <f t="shared" si="81"/>
        <v>70</v>
      </c>
      <c r="N158" s="55">
        <f t="shared" ref="N158:N221" si="94">IF(O158&lt;&gt;"",EDATE(N157,1),"")</f>
        <v>48700</v>
      </c>
      <c r="O158" s="8">
        <f t="shared" si="82"/>
        <v>131</v>
      </c>
      <c r="P158" s="8"/>
      <c r="Q158" s="33">
        <f>IF(O158&lt;&gt;"",ROUND(IF($F$11="raty równe",-PMT(W158/12,$F$4-O157+SUM($P$28:P158),T157,2),R158+S158),2),"")</f>
        <v>3461.17</v>
      </c>
      <c r="R158" s="11">
        <f>IF(O158&lt;&gt;"",IF($F$11="raty malejące",T157/($F$4-O157+SUM($P$28:P158)),IF(Q158-S158&gt;T157,T157,Q158-S158)),"")</f>
        <v>1510.7823597199911</v>
      </c>
      <c r="S158" s="11">
        <f t="shared" si="65"/>
        <v>1950.387640280009</v>
      </c>
      <c r="T158" s="9">
        <f t="shared" si="83"/>
        <v>275139.94675801182</v>
      </c>
      <c r="U158" s="10">
        <f t="shared" si="75"/>
        <v>6.7599999999999993E-2</v>
      </c>
      <c r="V158" s="10">
        <f t="shared" si="76"/>
        <v>1.7000000000000001E-2</v>
      </c>
      <c r="W158" s="49">
        <f t="shared" si="84"/>
        <v>8.4599999999999995E-2</v>
      </c>
      <c r="X158" s="11">
        <f t="shared" si="77"/>
        <v>20</v>
      </c>
      <c r="Y158" s="11">
        <f>IF(O158&lt;&gt;"",IF($B$16=listy!$K$8,'RZĄDOWY PROGRAM'!$F$3*'RZĄDOWY PROGRAM'!$F$15,T157*$F$15),"")</f>
        <v>50</v>
      </c>
      <c r="Z158" s="11">
        <f t="shared" si="85"/>
        <v>70</v>
      </c>
      <c r="AB158" s="8">
        <f t="shared" si="86"/>
        <v>131</v>
      </c>
      <c r="AC158" s="8"/>
      <c r="AD158" s="33">
        <f>IF(AB158&lt;&gt;"",ROUND(IF($F$11="raty równe",-PMT(W158/12,$F$4-AB157+SUM($AC$28:AC158),AG157,2),AE158+AF158),2),"")</f>
        <v>3227.7</v>
      </c>
      <c r="AE158" s="11">
        <f>IF(AB158&lt;&gt;"",IF($F$11="raty malejące",AG157/($F$4-AB157+SUM($AC$28:AC157)),MIN(AD158-AF158,AG157)),"")</f>
        <v>1408.8797647801123</v>
      </c>
      <c r="AF158" s="11">
        <f t="shared" si="66"/>
        <v>1818.8202352198875</v>
      </c>
      <c r="AG158" s="9">
        <f t="shared" ref="AG158:AG221" si="95">IF(AB158&lt;&gt;"",IF(AH158&lt;&gt;"",AG157-AE158-AH158,AG157-AE158),"")</f>
        <v>256579.80608201245</v>
      </c>
      <c r="AH158" s="11"/>
      <c r="AI158" s="33">
        <f>IF(AB158&lt;&gt;"",ROUND(IF($F$11="raty równe",-PMT(W158/12,($F$4-AB157+SUM($AC$27:AC157)),AG157,2),AG157/($F$4-AB157+SUM($AC$27:AC157))+AG157*W158/12),2),"")</f>
        <v>3227.7</v>
      </c>
      <c r="AJ158" s="33">
        <f t="shared" si="87"/>
        <v>233.47000000000025</v>
      </c>
      <c r="AK158" s="33">
        <f t="shared" si="88"/>
        <v>35654.661983948914</v>
      </c>
      <c r="AL158" s="33">
        <f>IF(AB158&lt;&gt;"",AK158-SUM($AJ$28:AJ158),"")</f>
        <v>6743.6719839489524</v>
      </c>
      <c r="AM158" s="11">
        <f t="shared" si="89"/>
        <v>20</v>
      </c>
      <c r="AN158" s="11">
        <f>IF(AB158&lt;&gt;"",IF($B$16=listy!$K$8,'RZĄDOWY PROGRAM'!$F$3*'RZĄDOWY PROGRAM'!$F$15,AG157*$F$15),"")</f>
        <v>50</v>
      </c>
      <c r="AO158" s="11">
        <f t="shared" si="90"/>
        <v>70</v>
      </c>
      <c r="AQ158" s="49">
        <f t="shared" si="78"/>
        <v>0.05</v>
      </c>
      <c r="AR158" s="18">
        <f t="shared" si="79"/>
        <v>4.0741237836483535E-3</v>
      </c>
      <c r="AS158" s="11">
        <f t="shared" si="91"/>
        <v>0</v>
      </c>
      <c r="AT158" s="11">
        <f t="shared" si="92"/>
        <v>41632.970867796437</v>
      </c>
      <c r="AU158" s="11">
        <f>IF(AB158&lt;&gt;"",AT158-SUM($AS$28:AS158),"")</f>
        <v>13943.570867796432</v>
      </c>
    </row>
    <row r="159" spans="1:47" ht="14.5" x14ac:dyDescent="0.35">
      <c r="A159" s="76">
        <f t="shared" si="93"/>
        <v>48731</v>
      </c>
      <c r="B159" s="8">
        <f t="shared" si="67"/>
        <v>132</v>
      </c>
      <c r="C159" s="11">
        <f t="shared" si="68"/>
        <v>3461.18</v>
      </c>
      <c r="D159" s="11">
        <f t="shared" si="69"/>
        <v>1609.3999599631345</v>
      </c>
      <c r="E159" s="11">
        <f t="shared" si="70"/>
        <v>1851.7800400368653</v>
      </c>
      <c r="F159" s="9">
        <f t="shared" si="80"/>
        <v>261054.43550625895</v>
      </c>
      <c r="G159" s="10">
        <f t="shared" si="71"/>
        <v>6.7599999999999993E-2</v>
      </c>
      <c r="H159" s="10">
        <f t="shared" si="72"/>
        <v>1.7000000000000001E-2</v>
      </c>
      <c r="I159" s="49">
        <f t="shared" si="73"/>
        <v>8.4599999999999995E-2</v>
      </c>
      <c r="J159" s="11">
        <f t="shared" si="74"/>
        <v>20</v>
      </c>
      <c r="K159" s="11">
        <f>IF(B159&lt;&gt;"",IF($B$16=listy!$K$8,'RZĄDOWY PROGRAM'!$F$3*'RZĄDOWY PROGRAM'!$F$15,F158*$F$15),"")</f>
        <v>50</v>
      </c>
      <c r="L159" s="11">
        <f t="shared" si="81"/>
        <v>70</v>
      </c>
      <c r="N159" s="55">
        <f t="shared" si="94"/>
        <v>48731</v>
      </c>
      <c r="O159" s="8">
        <f t="shared" si="82"/>
        <v>132</v>
      </c>
      <c r="P159" s="8"/>
      <c r="Q159" s="33">
        <f>IF(O159&lt;&gt;"",ROUND(IF($F$11="raty równe",-PMT(W159/12,$F$4-O158+SUM($P$28:P159),T158,2),R159+S159),2),"")</f>
        <v>3461.18</v>
      </c>
      <c r="R159" s="11">
        <f>IF(O159&lt;&gt;"",IF($F$11="raty malejące",T158/($F$4-O158+SUM($P$28:P159)),IF(Q159-S159&gt;T158,T158,Q159-S159)),"")</f>
        <v>1521.4433753560165</v>
      </c>
      <c r="S159" s="11">
        <f t="shared" si="65"/>
        <v>1939.7366246439833</v>
      </c>
      <c r="T159" s="9">
        <f t="shared" si="83"/>
        <v>273618.50338265579</v>
      </c>
      <c r="U159" s="10">
        <f t="shared" si="75"/>
        <v>6.7599999999999993E-2</v>
      </c>
      <c r="V159" s="10">
        <f t="shared" si="76"/>
        <v>1.7000000000000001E-2</v>
      </c>
      <c r="W159" s="49">
        <f t="shared" si="84"/>
        <v>8.4599999999999995E-2</v>
      </c>
      <c r="X159" s="11">
        <f t="shared" si="77"/>
        <v>20</v>
      </c>
      <c r="Y159" s="11">
        <f>IF(O159&lt;&gt;"",IF($B$16=listy!$K$8,'RZĄDOWY PROGRAM'!$F$3*'RZĄDOWY PROGRAM'!$F$15,T158*$F$15),"")</f>
        <v>50</v>
      </c>
      <c r="Z159" s="11">
        <f t="shared" si="85"/>
        <v>70</v>
      </c>
      <c r="AB159" s="8">
        <f t="shared" si="86"/>
        <v>132</v>
      </c>
      <c r="AC159" s="8"/>
      <c r="AD159" s="33">
        <f>IF(AB159&lt;&gt;"",ROUND(IF($F$11="raty równe",-PMT(W159/12,$F$4-AB158+SUM($AC$28:AC159),AG158,2),AE159+AF159),2),"")</f>
        <v>3227.69</v>
      </c>
      <c r="AE159" s="11">
        <f>IF(AB159&lt;&gt;"",IF($F$11="raty malejące",AG158/($F$4-AB158+SUM($AC$28:AC158)),MIN(AD159-AF159,AG158)),"")</f>
        <v>1418.8023671218123</v>
      </c>
      <c r="AF159" s="11">
        <f t="shared" si="66"/>
        <v>1808.8876328781878</v>
      </c>
      <c r="AG159" s="9">
        <f t="shared" si="95"/>
        <v>255161.00371489063</v>
      </c>
      <c r="AH159" s="11"/>
      <c r="AI159" s="33">
        <f>IF(AB159&lt;&gt;"",ROUND(IF($F$11="raty równe",-PMT(W159/12,($F$4-AB158+SUM($AC$27:AC158)),AG158,2),AG158/($F$4-AB158+SUM($AC$27:AC158))+AG158*W159/12),2),"")</f>
        <v>3227.69</v>
      </c>
      <c r="AJ159" s="33">
        <f t="shared" si="87"/>
        <v>233.48999999999978</v>
      </c>
      <c r="AK159" s="33">
        <f t="shared" si="88"/>
        <v>36005.813804122175</v>
      </c>
      <c r="AL159" s="33">
        <f>IF(AB159&lt;&gt;"",AK159-SUM($AJ$28:AJ159),"")</f>
        <v>6861.333804122216</v>
      </c>
      <c r="AM159" s="11">
        <f t="shared" si="89"/>
        <v>20</v>
      </c>
      <c r="AN159" s="11">
        <f>IF(AB159&lt;&gt;"",IF($B$16=listy!$K$8,'RZĄDOWY PROGRAM'!$F$3*'RZĄDOWY PROGRAM'!$F$15,AG158*$F$15),"")</f>
        <v>50</v>
      </c>
      <c r="AO159" s="11">
        <f t="shared" si="90"/>
        <v>70</v>
      </c>
      <c r="AQ159" s="49">
        <f t="shared" si="78"/>
        <v>0.05</v>
      </c>
      <c r="AR159" s="18">
        <f t="shared" si="79"/>
        <v>4.0741237836483535E-3</v>
      </c>
      <c r="AS159" s="11">
        <f t="shared" si="91"/>
        <v>0</v>
      </c>
      <c r="AT159" s="11">
        <f t="shared" si="92"/>
        <v>41770.361348001541</v>
      </c>
      <c r="AU159" s="11">
        <f>IF(AB159&lt;&gt;"",AT159-SUM($AS$28:AS159),"")</f>
        <v>14080.961348001536</v>
      </c>
    </row>
    <row r="160" spans="1:47" ht="14.5" x14ac:dyDescent="0.35">
      <c r="A160" s="76">
        <f t="shared" si="93"/>
        <v>48761</v>
      </c>
      <c r="B160" s="8">
        <f t="shared" si="67"/>
        <v>133</v>
      </c>
      <c r="C160" s="11">
        <f t="shared" si="68"/>
        <v>3461.17</v>
      </c>
      <c r="D160" s="11">
        <f t="shared" si="69"/>
        <v>1620.7362296808744</v>
      </c>
      <c r="E160" s="11">
        <f t="shared" si="70"/>
        <v>1840.4337703191256</v>
      </c>
      <c r="F160" s="9">
        <f t="shared" si="80"/>
        <v>259433.69927657806</v>
      </c>
      <c r="G160" s="10">
        <f t="shared" si="71"/>
        <v>6.7599999999999993E-2</v>
      </c>
      <c r="H160" s="10">
        <f t="shared" si="72"/>
        <v>1.7000000000000001E-2</v>
      </c>
      <c r="I160" s="49">
        <f t="shared" si="73"/>
        <v>8.4599999999999995E-2</v>
      </c>
      <c r="J160" s="11">
        <f t="shared" si="74"/>
        <v>20</v>
      </c>
      <c r="K160" s="11">
        <f>IF(B160&lt;&gt;"",IF($B$16=listy!$K$8,'RZĄDOWY PROGRAM'!$F$3*'RZĄDOWY PROGRAM'!$F$15,F159*$F$15),"")</f>
        <v>50</v>
      </c>
      <c r="L160" s="11">
        <f t="shared" si="81"/>
        <v>70</v>
      </c>
      <c r="N160" s="55">
        <f t="shared" si="94"/>
        <v>48761</v>
      </c>
      <c r="O160" s="8">
        <f t="shared" si="82"/>
        <v>133</v>
      </c>
      <c r="P160" s="8"/>
      <c r="Q160" s="33">
        <f>IF(O160&lt;&gt;"",ROUND(IF($F$11="raty równe",-PMT(W160/12,$F$4-O159+SUM($P$28:P160),T159,2),R160+S160),2),"")</f>
        <v>3461.17</v>
      </c>
      <c r="R160" s="11">
        <f>IF(O160&lt;&gt;"",IF($F$11="raty malejące",T159/($F$4-O159+SUM($P$28:P160)),IF(Q160-S160&gt;T159,T159,Q160-S160)),"")</f>
        <v>1532.1595511522767</v>
      </c>
      <c r="S160" s="11">
        <f t="shared" si="65"/>
        <v>1929.0104488477234</v>
      </c>
      <c r="T160" s="9">
        <f t="shared" si="83"/>
        <v>272086.34383150353</v>
      </c>
      <c r="U160" s="10">
        <f t="shared" si="75"/>
        <v>6.7599999999999993E-2</v>
      </c>
      <c r="V160" s="10">
        <f t="shared" si="76"/>
        <v>1.7000000000000001E-2</v>
      </c>
      <c r="W160" s="49">
        <f t="shared" si="84"/>
        <v>8.4599999999999995E-2</v>
      </c>
      <c r="X160" s="11">
        <f t="shared" si="77"/>
        <v>20</v>
      </c>
      <c r="Y160" s="11">
        <f>IF(O160&lt;&gt;"",IF($B$16=listy!$K$8,'RZĄDOWY PROGRAM'!$F$3*'RZĄDOWY PROGRAM'!$F$15,T159*$F$15),"")</f>
        <v>50</v>
      </c>
      <c r="Z160" s="11">
        <f t="shared" si="85"/>
        <v>70</v>
      </c>
      <c r="AB160" s="8">
        <f t="shared" si="86"/>
        <v>133</v>
      </c>
      <c r="AC160" s="8"/>
      <c r="AD160" s="33">
        <f>IF(AB160&lt;&gt;"",ROUND(IF($F$11="raty równe",-PMT(W160/12,$F$4-AB159+SUM($AC$28:AC160),AG159,2),AE160+AF160),2),"")</f>
        <v>3227.7</v>
      </c>
      <c r="AE160" s="11">
        <f>IF(AB160&lt;&gt;"",IF($F$11="raty malejące",AG159/($F$4-AB159+SUM($AC$28:AC159)),MIN(AD160-AF160,AG159)),"")</f>
        <v>1428.8149238100211</v>
      </c>
      <c r="AF160" s="11">
        <f t="shared" si="66"/>
        <v>1798.8850761899787</v>
      </c>
      <c r="AG160" s="9">
        <f t="shared" si="95"/>
        <v>253732.18879108061</v>
      </c>
      <c r="AH160" s="11"/>
      <c r="AI160" s="33">
        <f>IF(AB160&lt;&gt;"",ROUND(IF($F$11="raty równe",-PMT(W160/12,($F$4-AB159+SUM($AC$27:AC159)),AG159,2),AG159/($F$4-AB159+SUM($AC$27:AC159))+AG159*W160/12),2),"")</f>
        <v>3227.7</v>
      </c>
      <c r="AJ160" s="33">
        <f t="shared" si="87"/>
        <v>233.47000000000025</v>
      </c>
      <c r="AK160" s="33">
        <f t="shared" si="88"/>
        <v>36358.104439441056</v>
      </c>
      <c r="AL160" s="33">
        <f>IF(AB160&lt;&gt;"",AK160-SUM($AJ$28:AJ160),"")</f>
        <v>6980.1544394410957</v>
      </c>
      <c r="AM160" s="11">
        <f t="shared" si="89"/>
        <v>20</v>
      </c>
      <c r="AN160" s="11">
        <f>IF(AB160&lt;&gt;"",IF($B$16=listy!$K$8,'RZĄDOWY PROGRAM'!$F$3*'RZĄDOWY PROGRAM'!$F$15,AG159*$F$15),"")</f>
        <v>50</v>
      </c>
      <c r="AO160" s="11">
        <f t="shared" si="90"/>
        <v>70</v>
      </c>
      <c r="AQ160" s="49">
        <f t="shared" si="78"/>
        <v>0.05</v>
      </c>
      <c r="AR160" s="18">
        <f t="shared" si="79"/>
        <v>4.0741237836483535E-3</v>
      </c>
      <c r="AS160" s="11">
        <f t="shared" si="91"/>
        <v>0</v>
      </c>
      <c r="AT160" s="11">
        <f t="shared" si="92"/>
        <v>41908.205222323319</v>
      </c>
      <c r="AU160" s="11">
        <f>IF(AB160&lt;&gt;"",AT160-SUM($AS$28:AS160),"")</f>
        <v>14218.805222323314</v>
      </c>
    </row>
    <row r="161" spans="1:47" ht="14.5" x14ac:dyDescent="0.35">
      <c r="A161" s="76">
        <f t="shared" si="93"/>
        <v>48792</v>
      </c>
      <c r="B161" s="8">
        <f t="shared" si="67"/>
        <v>134</v>
      </c>
      <c r="C161" s="11">
        <f t="shared" si="68"/>
        <v>3461.18</v>
      </c>
      <c r="D161" s="11">
        <f t="shared" si="69"/>
        <v>1632.1724201001248</v>
      </c>
      <c r="E161" s="11">
        <f t="shared" si="70"/>
        <v>1829.0075798998751</v>
      </c>
      <c r="F161" s="9">
        <f t="shared" si="80"/>
        <v>257801.52685647793</v>
      </c>
      <c r="G161" s="10">
        <f t="shared" si="71"/>
        <v>6.7599999999999993E-2</v>
      </c>
      <c r="H161" s="10">
        <f t="shared" si="72"/>
        <v>1.7000000000000001E-2</v>
      </c>
      <c r="I161" s="49">
        <f t="shared" si="73"/>
        <v>8.4599999999999995E-2</v>
      </c>
      <c r="J161" s="11">
        <f t="shared" si="74"/>
        <v>20</v>
      </c>
      <c r="K161" s="11">
        <f>IF(B161&lt;&gt;"",IF($B$16=listy!$K$8,'RZĄDOWY PROGRAM'!$F$3*'RZĄDOWY PROGRAM'!$F$15,F160*$F$15),"")</f>
        <v>50</v>
      </c>
      <c r="L161" s="11">
        <f t="shared" si="81"/>
        <v>70</v>
      </c>
      <c r="N161" s="55">
        <f t="shared" si="94"/>
        <v>48792</v>
      </c>
      <c r="O161" s="8">
        <f t="shared" si="82"/>
        <v>134</v>
      </c>
      <c r="P161" s="8"/>
      <c r="Q161" s="33">
        <f>IF(O161&lt;&gt;"",ROUND(IF($F$11="raty równe",-PMT(W161/12,$F$4-O160+SUM($P$28:P161),T160,2),R161+S161),2),"")</f>
        <v>3461.18</v>
      </c>
      <c r="R161" s="11">
        <f>IF(O161&lt;&gt;"",IF($F$11="raty malejące",T160/($F$4-O160+SUM($P$28:P161)),IF(Q161-S161&gt;T160,T160,Q161-S161)),"")</f>
        <v>1542.9712759879001</v>
      </c>
      <c r="S161" s="11">
        <f t="shared" si="65"/>
        <v>1918.2087240120998</v>
      </c>
      <c r="T161" s="9">
        <f t="shared" si="83"/>
        <v>270543.37255551561</v>
      </c>
      <c r="U161" s="10">
        <f t="shared" si="75"/>
        <v>6.7599999999999993E-2</v>
      </c>
      <c r="V161" s="10">
        <f t="shared" si="76"/>
        <v>1.7000000000000001E-2</v>
      </c>
      <c r="W161" s="49">
        <f t="shared" si="84"/>
        <v>8.4599999999999995E-2</v>
      </c>
      <c r="X161" s="11">
        <f t="shared" si="77"/>
        <v>20</v>
      </c>
      <c r="Y161" s="11">
        <f>IF(O161&lt;&gt;"",IF($B$16=listy!$K$8,'RZĄDOWY PROGRAM'!$F$3*'RZĄDOWY PROGRAM'!$F$15,T160*$F$15),"")</f>
        <v>50</v>
      </c>
      <c r="Z161" s="11">
        <f t="shared" si="85"/>
        <v>70</v>
      </c>
      <c r="AB161" s="8">
        <f t="shared" si="86"/>
        <v>134</v>
      </c>
      <c r="AC161" s="8"/>
      <c r="AD161" s="33">
        <f>IF(AB161&lt;&gt;"",ROUND(IF($F$11="raty równe",-PMT(W161/12,$F$4-AB160+SUM($AC$28:AC161),AG160,2),AE161+AF161),2),"")</f>
        <v>3227.69</v>
      </c>
      <c r="AE161" s="11">
        <f>IF(AB161&lt;&gt;"",IF($F$11="raty malejące",AG160/($F$4-AB160+SUM($AC$28:AC160)),MIN(AD161-AF161,AG160)),"")</f>
        <v>1438.8780690228818</v>
      </c>
      <c r="AF161" s="11">
        <f t="shared" si="66"/>
        <v>1788.8119309771182</v>
      </c>
      <c r="AG161" s="9">
        <f t="shared" si="95"/>
        <v>252293.31072205774</v>
      </c>
      <c r="AH161" s="11"/>
      <c r="AI161" s="33">
        <f>IF(AB161&lt;&gt;"",ROUND(IF($F$11="raty równe",-PMT(W161/12,($F$4-AB160+SUM($AC$27:AC160)),AG160,2),AG160/($F$4-AB160+SUM($AC$27:AC160))+AG160*W161/12),2),"")</f>
        <v>3227.69</v>
      </c>
      <c r="AJ161" s="33">
        <f t="shared" si="87"/>
        <v>233.48999999999978</v>
      </c>
      <c r="AK161" s="33">
        <f t="shared" si="88"/>
        <v>36711.577648041384</v>
      </c>
      <c r="AL161" s="33">
        <f>IF(AB161&lt;&gt;"",AK161-SUM($AJ$28:AJ161),"")</f>
        <v>7100.1376480414256</v>
      </c>
      <c r="AM161" s="11">
        <f t="shared" si="89"/>
        <v>20</v>
      </c>
      <c r="AN161" s="11">
        <f>IF(AB161&lt;&gt;"",IF($B$16=listy!$K$8,'RZĄDOWY PROGRAM'!$F$3*'RZĄDOWY PROGRAM'!$F$15,AG160*$F$15),"")</f>
        <v>50</v>
      </c>
      <c r="AO161" s="11">
        <f t="shared" si="90"/>
        <v>70</v>
      </c>
      <c r="AQ161" s="49">
        <f t="shared" si="78"/>
        <v>0.05</v>
      </c>
      <c r="AR161" s="18">
        <f t="shared" si="79"/>
        <v>4.0741237836483535E-3</v>
      </c>
      <c r="AS161" s="11">
        <f t="shared" si="91"/>
        <v>0</v>
      </c>
      <c r="AT161" s="11">
        <f t="shared" si="92"/>
        <v>42046.503986980606</v>
      </c>
      <c r="AU161" s="11">
        <f>IF(AB161&lt;&gt;"",AT161-SUM($AS$28:AS161),"")</f>
        <v>14357.103986980601</v>
      </c>
    </row>
    <row r="162" spans="1:47" ht="14.5" x14ac:dyDescent="0.35">
      <c r="A162" s="76">
        <f t="shared" si="93"/>
        <v>48823</v>
      </c>
      <c r="B162" s="8">
        <f t="shared" si="67"/>
        <v>135</v>
      </c>
      <c r="C162" s="11">
        <f t="shared" si="68"/>
        <v>3461.17</v>
      </c>
      <c r="D162" s="11">
        <f t="shared" si="69"/>
        <v>1643.6692356618307</v>
      </c>
      <c r="E162" s="11">
        <f t="shared" si="70"/>
        <v>1817.5007643381693</v>
      </c>
      <c r="F162" s="9">
        <f t="shared" si="80"/>
        <v>256157.8576208161</v>
      </c>
      <c r="G162" s="10">
        <f t="shared" si="71"/>
        <v>6.7599999999999993E-2</v>
      </c>
      <c r="H162" s="10">
        <f t="shared" si="72"/>
        <v>1.7000000000000001E-2</v>
      </c>
      <c r="I162" s="49">
        <f t="shared" si="73"/>
        <v>8.4599999999999995E-2</v>
      </c>
      <c r="J162" s="11">
        <f t="shared" si="74"/>
        <v>20</v>
      </c>
      <c r="K162" s="11">
        <f>IF(B162&lt;&gt;"",IF($B$16=listy!$K$8,'RZĄDOWY PROGRAM'!$F$3*'RZĄDOWY PROGRAM'!$F$15,F161*$F$15),"")</f>
        <v>50</v>
      </c>
      <c r="L162" s="11">
        <f t="shared" si="81"/>
        <v>70</v>
      </c>
      <c r="N162" s="55">
        <f t="shared" si="94"/>
        <v>48823</v>
      </c>
      <c r="O162" s="8">
        <f t="shared" si="82"/>
        <v>135</v>
      </c>
      <c r="P162" s="8"/>
      <c r="Q162" s="33">
        <f>IF(O162&lt;&gt;"",ROUND(IF($F$11="raty równe",-PMT(W162/12,$F$4-O161+SUM($P$28:P162),T161,2),R162+S162),2),"")</f>
        <v>3461.17</v>
      </c>
      <c r="R162" s="11">
        <f>IF(O162&lt;&gt;"",IF($F$11="raty malejące",T161/($F$4-O161+SUM($P$28:P162)),IF(Q162-S162&gt;T161,T161,Q162-S162)),"")</f>
        <v>1553.8392234836153</v>
      </c>
      <c r="S162" s="11">
        <f t="shared" si="65"/>
        <v>1907.3307765163847</v>
      </c>
      <c r="T162" s="9">
        <f t="shared" si="83"/>
        <v>268989.53333203198</v>
      </c>
      <c r="U162" s="10">
        <f t="shared" si="75"/>
        <v>6.7599999999999993E-2</v>
      </c>
      <c r="V162" s="10">
        <f t="shared" si="76"/>
        <v>1.7000000000000001E-2</v>
      </c>
      <c r="W162" s="49">
        <f t="shared" si="84"/>
        <v>8.4599999999999995E-2</v>
      </c>
      <c r="X162" s="11">
        <f t="shared" si="77"/>
        <v>20</v>
      </c>
      <c r="Y162" s="11">
        <f>IF(O162&lt;&gt;"",IF($B$16=listy!$K$8,'RZĄDOWY PROGRAM'!$F$3*'RZĄDOWY PROGRAM'!$F$15,T161*$F$15),"")</f>
        <v>50</v>
      </c>
      <c r="Z162" s="11">
        <f t="shared" si="85"/>
        <v>70</v>
      </c>
      <c r="AB162" s="8">
        <f t="shared" si="86"/>
        <v>135</v>
      </c>
      <c r="AC162" s="8"/>
      <c r="AD162" s="33">
        <f>IF(AB162&lt;&gt;"",ROUND(IF($F$11="raty równe",-PMT(W162/12,$F$4-AB161+SUM($AC$28:AC162),AG161,2),AE162+AF162),2),"")</f>
        <v>3227.7</v>
      </c>
      <c r="AE162" s="11">
        <f>IF(AB162&lt;&gt;"",IF($F$11="raty malejące",AG161/($F$4-AB161+SUM($AC$28:AC161)),MIN(AD162-AF162,AG161)),"")</f>
        <v>1449.032159409493</v>
      </c>
      <c r="AF162" s="11">
        <f t="shared" si="66"/>
        <v>1778.6678405905068</v>
      </c>
      <c r="AG162" s="9">
        <f t="shared" si="95"/>
        <v>250844.27856264825</v>
      </c>
      <c r="AH162" s="11"/>
      <c r="AI162" s="33">
        <f>IF(AB162&lt;&gt;"",ROUND(IF($F$11="raty równe",-PMT(W162/12,($F$4-AB161+SUM($AC$27:AC161)),AG161,2),AG161/($F$4-AB161+SUM($AC$27:AC161))+AG161*W162/12),2),"")</f>
        <v>3227.7</v>
      </c>
      <c r="AJ162" s="33">
        <f t="shared" si="87"/>
        <v>233.47000000000025</v>
      </c>
      <c r="AK162" s="33">
        <f t="shared" si="88"/>
        <v>37066.197332462609</v>
      </c>
      <c r="AL162" s="33">
        <f>IF(AB162&lt;&gt;"",AK162-SUM($AJ$28:AJ162),"")</f>
        <v>7221.2873324626489</v>
      </c>
      <c r="AM162" s="11">
        <f t="shared" si="89"/>
        <v>20</v>
      </c>
      <c r="AN162" s="11">
        <f>IF(AB162&lt;&gt;"",IF($B$16=listy!$K$8,'RZĄDOWY PROGRAM'!$F$3*'RZĄDOWY PROGRAM'!$F$15,AG161*$F$15),"")</f>
        <v>50</v>
      </c>
      <c r="AO162" s="11">
        <f t="shared" si="90"/>
        <v>70</v>
      </c>
      <c r="AQ162" s="49">
        <f t="shared" si="78"/>
        <v>0.05</v>
      </c>
      <c r="AR162" s="18">
        <f t="shared" si="79"/>
        <v>4.0741237836483535E-3</v>
      </c>
      <c r="AS162" s="11">
        <f t="shared" si="91"/>
        <v>0</v>
      </c>
      <c r="AT162" s="11">
        <f t="shared" si="92"/>
        <v>42185.259143129828</v>
      </c>
      <c r="AU162" s="11">
        <f>IF(AB162&lt;&gt;"",AT162-SUM($AS$28:AS162),"")</f>
        <v>14495.859143129823</v>
      </c>
    </row>
    <row r="163" spans="1:47" ht="14.5" x14ac:dyDescent="0.35">
      <c r="A163" s="76">
        <f t="shared" si="93"/>
        <v>48853</v>
      </c>
      <c r="B163" s="8">
        <f t="shared" si="67"/>
        <v>136</v>
      </c>
      <c r="C163" s="11">
        <f t="shared" si="68"/>
        <v>3461.18</v>
      </c>
      <c r="D163" s="11">
        <f t="shared" si="69"/>
        <v>1655.2671037732466</v>
      </c>
      <c r="E163" s="11">
        <f t="shared" si="70"/>
        <v>1805.9128962267532</v>
      </c>
      <c r="F163" s="9">
        <f t="shared" si="80"/>
        <v>254502.59051704285</v>
      </c>
      <c r="G163" s="10">
        <f t="shared" si="71"/>
        <v>6.7599999999999993E-2</v>
      </c>
      <c r="H163" s="10">
        <f t="shared" si="72"/>
        <v>1.7000000000000001E-2</v>
      </c>
      <c r="I163" s="49">
        <f t="shared" si="73"/>
        <v>8.4599999999999995E-2</v>
      </c>
      <c r="J163" s="11">
        <f t="shared" si="74"/>
        <v>20</v>
      </c>
      <c r="K163" s="11">
        <f>IF(B163&lt;&gt;"",IF($B$16=listy!$K$8,'RZĄDOWY PROGRAM'!$F$3*'RZĄDOWY PROGRAM'!$F$15,F162*$F$15),"")</f>
        <v>50</v>
      </c>
      <c r="L163" s="11">
        <f t="shared" si="81"/>
        <v>70</v>
      </c>
      <c r="N163" s="55">
        <f t="shared" si="94"/>
        <v>48853</v>
      </c>
      <c r="O163" s="8">
        <f t="shared" si="82"/>
        <v>136</v>
      </c>
      <c r="P163" s="8"/>
      <c r="Q163" s="33">
        <f>IF(O163&lt;&gt;"",ROUND(IF($F$11="raty równe",-PMT(W163/12,$F$4-O162+SUM($P$28:P163),T162,2),R163+S163),2),"")</f>
        <v>3461.18</v>
      </c>
      <c r="R163" s="11">
        <f>IF(O163&lt;&gt;"",IF($F$11="raty malejące",T162/($F$4-O162+SUM($P$28:P163)),IF(Q163-S163&gt;T162,T162,Q163-S163)),"")</f>
        <v>1564.8037900091745</v>
      </c>
      <c r="S163" s="11">
        <f t="shared" si="65"/>
        <v>1896.3762099908254</v>
      </c>
      <c r="T163" s="9">
        <f t="shared" si="83"/>
        <v>267424.7295420228</v>
      </c>
      <c r="U163" s="10">
        <f t="shared" si="75"/>
        <v>6.7599999999999993E-2</v>
      </c>
      <c r="V163" s="10">
        <f t="shared" si="76"/>
        <v>1.7000000000000001E-2</v>
      </c>
      <c r="W163" s="49">
        <f t="shared" si="84"/>
        <v>8.4599999999999995E-2</v>
      </c>
      <c r="X163" s="11">
        <f t="shared" si="77"/>
        <v>20</v>
      </c>
      <c r="Y163" s="11">
        <f>IF(O163&lt;&gt;"",IF($B$16=listy!$K$8,'RZĄDOWY PROGRAM'!$F$3*'RZĄDOWY PROGRAM'!$F$15,T162*$F$15),"")</f>
        <v>50</v>
      </c>
      <c r="Z163" s="11">
        <f t="shared" si="85"/>
        <v>70</v>
      </c>
      <c r="AB163" s="8">
        <f t="shared" si="86"/>
        <v>136</v>
      </c>
      <c r="AC163" s="8"/>
      <c r="AD163" s="33">
        <f>IF(AB163&lt;&gt;"",ROUND(IF($F$11="raty równe",-PMT(W163/12,$F$4-AB162+SUM($AC$28:AC163),AG162,2),AE163+AF163),2),"")</f>
        <v>3227.69</v>
      </c>
      <c r="AE163" s="11">
        <f>IF(AB163&lt;&gt;"",IF($F$11="raty malejące",AG162/($F$4-AB162+SUM($AC$28:AC162)),MIN(AD163-AF163,AG162)),"")</f>
        <v>1459.2378361333299</v>
      </c>
      <c r="AF163" s="11">
        <f t="shared" si="66"/>
        <v>1768.4521638666702</v>
      </c>
      <c r="AG163" s="9">
        <f t="shared" si="95"/>
        <v>249385.04072651491</v>
      </c>
      <c r="AH163" s="11"/>
      <c r="AI163" s="33">
        <f>IF(AB163&lt;&gt;"",ROUND(IF($F$11="raty równe",-PMT(W163/12,($F$4-AB162+SUM($AC$27:AC162)),AG162,2),AG162/($F$4-AB162+SUM($AC$27:AC162))+AG162*W163/12),2),"")</f>
        <v>3227.69</v>
      </c>
      <c r="AJ163" s="33">
        <f t="shared" si="87"/>
        <v>233.48999999999978</v>
      </c>
      <c r="AK163" s="33">
        <f t="shared" si="88"/>
        <v>37422.00727612109</v>
      </c>
      <c r="AL163" s="33">
        <f>IF(AB163&lt;&gt;"",AK163-SUM($AJ$28:AJ163),"")</f>
        <v>7343.6072761211326</v>
      </c>
      <c r="AM163" s="11">
        <f t="shared" si="89"/>
        <v>20</v>
      </c>
      <c r="AN163" s="11">
        <f>IF(AB163&lt;&gt;"",IF($B$16=listy!$K$8,'RZĄDOWY PROGRAM'!$F$3*'RZĄDOWY PROGRAM'!$F$15,AG162*$F$15),"")</f>
        <v>50</v>
      </c>
      <c r="AO163" s="11">
        <f t="shared" si="90"/>
        <v>70</v>
      </c>
      <c r="AQ163" s="49">
        <f t="shared" si="78"/>
        <v>0.05</v>
      </c>
      <c r="AR163" s="18">
        <f t="shared" si="79"/>
        <v>4.0741237836483535E-3</v>
      </c>
      <c r="AS163" s="11">
        <f t="shared" si="91"/>
        <v>0</v>
      </c>
      <c r="AT163" s="11">
        <f t="shared" si="92"/>
        <v>42324.472196881288</v>
      </c>
      <c r="AU163" s="11">
        <f>IF(AB163&lt;&gt;"",AT163-SUM($AS$28:AS163),"")</f>
        <v>14635.072196881283</v>
      </c>
    </row>
    <row r="164" spans="1:47" ht="14.5" x14ac:dyDescent="0.35">
      <c r="A164" s="76">
        <f t="shared" si="93"/>
        <v>48884</v>
      </c>
      <c r="B164" s="8">
        <f t="shared" si="67"/>
        <v>137</v>
      </c>
      <c r="C164" s="11">
        <f t="shared" si="68"/>
        <v>3461.17</v>
      </c>
      <c r="D164" s="11">
        <f t="shared" si="69"/>
        <v>1666.9267368548481</v>
      </c>
      <c r="E164" s="11">
        <f t="shared" si="70"/>
        <v>1794.243263145152</v>
      </c>
      <c r="F164" s="9">
        <f t="shared" si="80"/>
        <v>252835.66378018798</v>
      </c>
      <c r="G164" s="10">
        <f t="shared" si="71"/>
        <v>6.7599999999999993E-2</v>
      </c>
      <c r="H164" s="10">
        <f t="shared" si="72"/>
        <v>1.7000000000000001E-2</v>
      </c>
      <c r="I164" s="49">
        <f t="shared" si="73"/>
        <v>8.4599999999999995E-2</v>
      </c>
      <c r="J164" s="11">
        <f t="shared" si="74"/>
        <v>20</v>
      </c>
      <c r="K164" s="11">
        <f>IF(B164&lt;&gt;"",IF($B$16=listy!$K$8,'RZĄDOWY PROGRAM'!$F$3*'RZĄDOWY PROGRAM'!$F$15,F163*$F$15),"")</f>
        <v>50</v>
      </c>
      <c r="L164" s="11">
        <f t="shared" si="81"/>
        <v>70</v>
      </c>
      <c r="N164" s="55">
        <f t="shared" si="94"/>
        <v>48884</v>
      </c>
      <c r="O164" s="8">
        <f t="shared" si="82"/>
        <v>137</v>
      </c>
      <c r="P164" s="8"/>
      <c r="Q164" s="33">
        <f>IF(O164&lt;&gt;"",ROUND(IF($F$11="raty równe",-PMT(W164/12,$F$4-O163+SUM($P$28:P164),T163,2),R164+S164),2),"")</f>
        <v>3461.17</v>
      </c>
      <c r="R164" s="11">
        <f>IF(O164&lt;&gt;"",IF($F$11="raty malejące",T163/($F$4-O163+SUM($P$28:P164)),IF(Q164-S164&gt;T163,T163,Q164-S164)),"")</f>
        <v>1575.8256567287392</v>
      </c>
      <c r="S164" s="11">
        <f t="shared" si="65"/>
        <v>1885.3443432712609</v>
      </c>
      <c r="T164" s="9">
        <f t="shared" si="83"/>
        <v>265848.90388529404</v>
      </c>
      <c r="U164" s="10">
        <f t="shared" si="75"/>
        <v>6.7599999999999993E-2</v>
      </c>
      <c r="V164" s="10">
        <f t="shared" si="76"/>
        <v>1.7000000000000001E-2</v>
      </c>
      <c r="W164" s="49">
        <f t="shared" si="84"/>
        <v>8.4599999999999995E-2</v>
      </c>
      <c r="X164" s="11">
        <f t="shared" si="77"/>
        <v>20</v>
      </c>
      <c r="Y164" s="11">
        <f>IF(O164&lt;&gt;"",IF($B$16=listy!$K$8,'RZĄDOWY PROGRAM'!$F$3*'RZĄDOWY PROGRAM'!$F$15,T163*$F$15),"")</f>
        <v>50</v>
      </c>
      <c r="Z164" s="11">
        <f t="shared" si="85"/>
        <v>70</v>
      </c>
      <c r="AB164" s="8">
        <f t="shared" si="86"/>
        <v>137</v>
      </c>
      <c r="AC164" s="8"/>
      <c r="AD164" s="33">
        <f>IF(AB164&lt;&gt;"",ROUND(IF($F$11="raty równe",-PMT(W164/12,$F$4-AB163+SUM($AC$28:AC164),AG163,2),AE164+AF164),2),"")</f>
        <v>3227.7</v>
      </c>
      <c r="AE164" s="11">
        <f>IF(AB164&lt;&gt;"",IF($F$11="raty malejące",AG163/($F$4-AB163+SUM($AC$28:AC163)),MIN(AD164-AF164,AG163)),"")</f>
        <v>1469.5354628780697</v>
      </c>
      <c r="AF164" s="11">
        <f t="shared" si="66"/>
        <v>1758.1645371219302</v>
      </c>
      <c r="AG164" s="9">
        <f t="shared" si="95"/>
        <v>247915.50526363685</v>
      </c>
      <c r="AH164" s="11"/>
      <c r="AI164" s="33">
        <f>IF(AB164&lt;&gt;"",ROUND(IF($F$11="raty równe",-PMT(W164/12,($F$4-AB163+SUM($AC$27:AC163)),AG163,2),AG163/($F$4-AB163+SUM($AC$27:AC163))+AG163*W164/12),2),"")</f>
        <v>3227.7</v>
      </c>
      <c r="AJ164" s="33">
        <f t="shared" si="87"/>
        <v>233.47000000000025</v>
      </c>
      <c r="AK164" s="33">
        <f t="shared" si="88"/>
        <v>37778.971406920253</v>
      </c>
      <c r="AL164" s="33">
        <f>IF(AB164&lt;&gt;"",AK164-SUM($AJ$28:AJ164),"")</f>
        <v>7467.1014069202938</v>
      </c>
      <c r="AM164" s="11">
        <f t="shared" si="89"/>
        <v>20</v>
      </c>
      <c r="AN164" s="11">
        <f>IF(AB164&lt;&gt;"",IF($B$16=listy!$K$8,'RZĄDOWY PROGRAM'!$F$3*'RZĄDOWY PROGRAM'!$F$15,AG163*$F$15),"")</f>
        <v>50</v>
      </c>
      <c r="AO164" s="11">
        <f t="shared" si="90"/>
        <v>70</v>
      </c>
      <c r="AQ164" s="49">
        <f t="shared" si="78"/>
        <v>0.05</v>
      </c>
      <c r="AR164" s="18">
        <f t="shared" si="79"/>
        <v>4.0741237836483535E-3</v>
      </c>
      <c r="AS164" s="11">
        <f t="shared" si="91"/>
        <v>0</v>
      </c>
      <c r="AT164" s="11">
        <f t="shared" si="92"/>
        <v>42464.144659315505</v>
      </c>
      <c r="AU164" s="11">
        <f>IF(AB164&lt;&gt;"",AT164-SUM($AS$28:AS164),"")</f>
        <v>14774.7446593155</v>
      </c>
    </row>
    <row r="165" spans="1:47" ht="14.5" x14ac:dyDescent="0.35">
      <c r="A165" s="76">
        <f t="shared" si="93"/>
        <v>48914</v>
      </c>
      <c r="B165" s="8">
        <f t="shared" si="67"/>
        <v>138</v>
      </c>
      <c r="C165" s="11">
        <f t="shared" si="68"/>
        <v>3461.18</v>
      </c>
      <c r="D165" s="11">
        <f t="shared" si="69"/>
        <v>1678.6885703496748</v>
      </c>
      <c r="E165" s="11">
        <f t="shared" si="70"/>
        <v>1782.491429650325</v>
      </c>
      <c r="F165" s="9">
        <f t="shared" si="80"/>
        <v>251156.9752098383</v>
      </c>
      <c r="G165" s="10">
        <f t="shared" si="71"/>
        <v>6.7599999999999993E-2</v>
      </c>
      <c r="H165" s="10">
        <f t="shared" si="72"/>
        <v>1.7000000000000001E-2</v>
      </c>
      <c r="I165" s="49">
        <f t="shared" si="73"/>
        <v>8.4599999999999995E-2</v>
      </c>
      <c r="J165" s="11">
        <f t="shared" si="74"/>
        <v>20</v>
      </c>
      <c r="K165" s="11">
        <f>IF(B165&lt;&gt;"",IF($B$16=listy!$K$8,'RZĄDOWY PROGRAM'!$F$3*'RZĄDOWY PROGRAM'!$F$15,F164*$F$15),"")</f>
        <v>50</v>
      </c>
      <c r="L165" s="11">
        <f t="shared" si="81"/>
        <v>70</v>
      </c>
      <c r="N165" s="55">
        <f t="shared" si="94"/>
        <v>48914</v>
      </c>
      <c r="O165" s="8">
        <f t="shared" si="82"/>
        <v>138</v>
      </c>
      <c r="P165" s="8"/>
      <c r="Q165" s="33">
        <f>IF(O165&lt;&gt;"",ROUND(IF($F$11="raty równe",-PMT(W165/12,$F$4-O164+SUM($P$28:P165),T164,2),R165+S165),2),"")</f>
        <v>3461.18</v>
      </c>
      <c r="R165" s="11">
        <f>IF(O165&lt;&gt;"",IF($F$11="raty malejące",T164/($F$4-O164+SUM($P$28:P165)),IF(Q165-S165&gt;T164,T164,Q165-S165)),"")</f>
        <v>1586.945227608677</v>
      </c>
      <c r="S165" s="11">
        <f t="shared" si="65"/>
        <v>1874.2347723913228</v>
      </c>
      <c r="T165" s="9">
        <f t="shared" si="83"/>
        <v>264261.95865768538</v>
      </c>
      <c r="U165" s="10">
        <f t="shared" si="75"/>
        <v>6.7599999999999993E-2</v>
      </c>
      <c r="V165" s="10">
        <f t="shared" si="76"/>
        <v>1.7000000000000001E-2</v>
      </c>
      <c r="W165" s="49">
        <f t="shared" si="84"/>
        <v>8.4599999999999995E-2</v>
      </c>
      <c r="X165" s="11">
        <f t="shared" si="77"/>
        <v>20</v>
      </c>
      <c r="Y165" s="11">
        <f>IF(O165&lt;&gt;"",IF($B$16=listy!$K$8,'RZĄDOWY PROGRAM'!$F$3*'RZĄDOWY PROGRAM'!$F$15,T164*$F$15),"")</f>
        <v>50</v>
      </c>
      <c r="Z165" s="11">
        <f t="shared" si="85"/>
        <v>70</v>
      </c>
      <c r="AB165" s="8">
        <f t="shared" si="86"/>
        <v>138</v>
      </c>
      <c r="AC165" s="8"/>
      <c r="AD165" s="33">
        <f>IF(AB165&lt;&gt;"",ROUND(IF($F$11="raty równe",-PMT(W165/12,$F$4-AB164+SUM($AC$28:AC165),AG164,2),AE165+AF165),2),"")</f>
        <v>3227.69</v>
      </c>
      <c r="AE165" s="11">
        <f>IF(AB165&lt;&gt;"",IF($F$11="raty malejące",AG164/($F$4-AB164+SUM($AC$28:AC164)),MIN(AD165-AF165,AG164)),"")</f>
        <v>1479.8856878913605</v>
      </c>
      <c r="AF165" s="11">
        <f t="shared" si="66"/>
        <v>1747.8043121086396</v>
      </c>
      <c r="AG165" s="9">
        <f t="shared" si="95"/>
        <v>246435.61957574548</v>
      </c>
      <c r="AH165" s="11"/>
      <c r="AI165" s="33">
        <f>IF(AB165&lt;&gt;"",ROUND(IF($F$11="raty równe",-PMT(W165/12,($F$4-AB164+SUM($AC$27:AC164)),AG164,2),AG164/($F$4-AB164+SUM($AC$27:AC164))+AG164*W165/12),2),"")</f>
        <v>3227.69</v>
      </c>
      <c r="AJ165" s="33">
        <f t="shared" si="87"/>
        <v>233.48999999999978</v>
      </c>
      <c r="AK165" s="33">
        <f t="shared" si="88"/>
        <v>38137.133533724125</v>
      </c>
      <c r="AL165" s="33">
        <f>IF(AB165&lt;&gt;"",AK165-SUM($AJ$28:AJ165),"")</f>
        <v>7591.7735337241684</v>
      </c>
      <c r="AM165" s="11">
        <f t="shared" si="89"/>
        <v>20</v>
      </c>
      <c r="AN165" s="11">
        <f>IF(AB165&lt;&gt;"",IF($B$16=listy!$K$8,'RZĄDOWY PROGRAM'!$F$3*'RZĄDOWY PROGRAM'!$F$15,AG164*$F$15),"")</f>
        <v>50</v>
      </c>
      <c r="AO165" s="11">
        <f t="shared" si="90"/>
        <v>70</v>
      </c>
      <c r="AQ165" s="49">
        <f t="shared" si="78"/>
        <v>0.05</v>
      </c>
      <c r="AR165" s="18">
        <f t="shared" si="79"/>
        <v>4.0741237836483535E-3</v>
      </c>
      <c r="AS165" s="11">
        <f t="shared" si="91"/>
        <v>0</v>
      </c>
      <c r="AT165" s="11">
        <f t="shared" si="92"/>
        <v>42604.278046499632</v>
      </c>
      <c r="AU165" s="11">
        <f>IF(AB165&lt;&gt;"",AT165-SUM($AS$28:AS165),"")</f>
        <v>14914.878046499627</v>
      </c>
    </row>
    <row r="166" spans="1:47" ht="14.5" x14ac:dyDescent="0.35">
      <c r="A166" s="76">
        <f t="shared" si="93"/>
        <v>48945</v>
      </c>
      <c r="B166" s="8">
        <f t="shared" si="67"/>
        <v>139</v>
      </c>
      <c r="C166" s="11">
        <f t="shared" si="68"/>
        <v>3461.17</v>
      </c>
      <c r="D166" s="11">
        <f t="shared" si="69"/>
        <v>1690.5133247706401</v>
      </c>
      <c r="E166" s="11">
        <f t="shared" si="70"/>
        <v>1770.65667522936</v>
      </c>
      <c r="F166" s="9">
        <f t="shared" si="80"/>
        <v>249466.46188506766</v>
      </c>
      <c r="G166" s="10">
        <f t="shared" si="71"/>
        <v>6.7599999999999993E-2</v>
      </c>
      <c r="H166" s="10">
        <f t="shared" si="72"/>
        <v>1.7000000000000001E-2</v>
      </c>
      <c r="I166" s="49">
        <f t="shared" si="73"/>
        <v>8.4599999999999995E-2</v>
      </c>
      <c r="J166" s="11">
        <f t="shared" si="74"/>
        <v>20</v>
      </c>
      <c r="K166" s="11">
        <f>IF(B166&lt;&gt;"",IF($B$16=listy!$K$8,'RZĄDOWY PROGRAM'!$F$3*'RZĄDOWY PROGRAM'!$F$15,F165*$F$15),"")</f>
        <v>50</v>
      </c>
      <c r="L166" s="11">
        <f t="shared" si="81"/>
        <v>70</v>
      </c>
      <c r="N166" s="55">
        <f t="shared" si="94"/>
        <v>48945</v>
      </c>
      <c r="O166" s="8">
        <f t="shared" si="82"/>
        <v>139</v>
      </c>
      <c r="P166" s="8"/>
      <c r="Q166" s="33">
        <f>IF(O166&lt;&gt;"",ROUND(IF($F$11="raty równe",-PMT(W166/12,$F$4-O165+SUM($P$28:P166),T165,2),R166+S166),2),"")</f>
        <v>3461.17</v>
      </c>
      <c r="R166" s="11">
        <f>IF(O166&lt;&gt;"",IF($F$11="raty malejące",T165/($F$4-O165+SUM($P$28:P166)),IF(Q166-S166&gt;T165,T165,Q166-S166)),"")</f>
        <v>1598.1231914633183</v>
      </c>
      <c r="S166" s="11">
        <f t="shared" si="65"/>
        <v>1863.0468085366817</v>
      </c>
      <c r="T166" s="9">
        <f t="shared" si="83"/>
        <v>262663.83546622208</v>
      </c>
      <c r="U166" s="10">
        <f t="shared" si="75"/>
        <v>6.7599999999999993E-2</v>
      </c>
      <c r="V166" s="10">
        <f t="shared" si="76"/>
        <v>1.7000000000000001E-2</v>
      </c>
      <c r="W166" s="49">
        <f t="shared" si="84"/>
        <v>8.4599999999999995E-2</v>
      </c>
      <c r="X166" s="11">
        <f t="shared" si="77"/>
        <v>20</v>
      </c>
      <c r="Y166" s="11">
        <f>IF(O166&lt;&gt;"",IF($B$16=listy!$K$8,'RZĄDOWY PROGRAM'!$F$3*'RZĄDOWY PROGRAM'!$F$15,T165*$F$15),"")</f>
        <v>50</v>
      </c>
      <c r="Z166" s="11">
        <f t="shared" si="85"/>
        <v>70</v>
      </c>
      <c r="AB166" s="8">
        <f t="shared" si="86"/>
        <v>139</v>
      </c>
      <c r="AC166" s="8"/>
      <c r="AD166" s="33">
        <f>IF(AB166&lt;&gt;"",ROUND(IF($F$11="raty równe",-PMT(W166/12,$F$4-AB165+SUM($AC$28:AC166),AG165,2),AE166+AF166),2),"")</f>
        <v>3227.7</v>
      </c>
      <c r="AE166" s="11">
        <f>IF(AB166&lt;&gt;"",IF($F$11="raty malejące",AG165/($F$4-AB165+SUM($AC$28:AC165)),MIN(AD166-AF166,AG165)),"")</f>
        <v>1490.3288819909942</v>
      </c>
      <c r="AF166" s="11">
        <f t="shared" si="66"/>
        <v>1737.3711180090056</v>
      </c>
      <c r="AG166" s="9">
        <f t="shared" si="95"/>
        <v>244945.29069375448</v>
      </c>
      <c r="AH166" s="11"/>
      <c r="AI166" s="33">
        <f>IF(AB166&lt;&gt;"",ROUND(IF($F$11="raty równe",-PMT(W166/12,($F$4-AB165+SUM($AC$27:AC165)),AG165,2),AG165/($F$4-AB165+SUM($AC$27:AC165))+AG165*W166/12),2),"")</f>
        <v>3227.7</v>
      </c>
      <c r="AJ166" s="33">
        <f t="shared" si="87"/>
        <v>233.47000000000025</v>
      </c>
      <c r="AK166" s="33">
        <f t="shared" si="88"/>
        <v>38496.457609967758</v>
      </c>
      <c r="AL166" s="33">
        <f>IF(AB166&lt;&gt;"",AK166-SUM($AJ$28:AJ166),"")</f>
        <v>7717.6276099677998</v>
      </c>
      <c r="AM166" s="11">
        <f t="shared" si="89"/>
        <v>20</v>
      </c>
      <c r="AN166" s="11">
        <f>IF(AB166&lt;&gt;"",IF($B$16=listy!$K$8,'RZĄDOWY PROGRAM'!$F$3*'RZĄDOWY PROGRAM'!$F$15,AG165*$F$15),"")</f>
        <v>50</v>
      </c>
      <c r="AO166" s="11">
        <f t="shared" si="90"/>
        <v>70</v>
      </c>
      <c r="AQ166" s="49">
        <f t="shared" si="78"/>
        <v>0.05</v>
      </c>
      <c r="AR166" s="18">
        <f t="shared" si="79"/>
        <v>4.0741237836483535E-3</v>
      </c>
      <c r="AS166" s="11">
        <f t="shared" si="91"/>
        <v>0</v>
      </c>
      <c r="AT166" s="11">
        <f t="shared" si="92"/>
        <v>42744.873879503903</v>
      </c>
      <c r="AU166" s="11">
        <f>IF(AB166&lt;&gt;"",AT166-SUM($AS$28:AS166),"")</f>
        <v>15055.473879503897</v>
      </c>
    </row>
    <row r="167" spans="1:47" ht="14.5" x14ac:dyDescent="0.35">
      <c r="A167" s="76">
        <f t="shared" si="93"/>
        <v>48976</v>
      </c>
      <c r="B167" s="8">
        <f t="shared" si="67"/>
        <v>140</v>
      </c>
      <c r="C167" s="11">
        <f t="shared" si="68"/>
        <v>3461.18</v>
      </c>
      <c r="D167" s="11">
        <f t="shared" si="69"/>
        <v>1702.4414437102728</v>
      </c>
      <c r="E167" s="11">
        <f t="shared" si="70"/>
        <v>1758.7385562897271</v>
      </c>
      <c r="F167" s="9">
        <f t="shared" si="80"/>
        <v>247764.0204413574</v>
      </c>
      <c r="G167" s="10">
        <f t="shared" si="71"/>
        <v>6.7599999999999993E-2</v>
      </c>
      <c r="H167" s="10">
        <f t="shared" si="72"/>
        <v>1.7000000000000001E-2</v>
      </c>
      <c r="I167" s="49">
        <f t="shared" si="73"/>
        <v>8.4599999999999995E-2</v>
      </c>
      <c r="J167" s="11">
        <f t="shared" si="74"/>
        <v>20</v>
      </c>
      <c r="K167" s="11">
        <f>IF(B167&lt;&gt;"",IF($B$16=listy!$K$8,'RZĄDOWY PROGRAM'!$F$3*'RZĄDOWY PROGRAM'!$F$15,F166*$F$15),"")</f>
        <v>50</v>
      </c>
      <c r="L167" s="11">
        <f t="shared" si="81"/>
        <v>70</v>
      </c>
      <c r="N167" s="55">
        <f t="shared" si="94"/>
        <v>48976</v>
      </c>
      <c r="O167" s="8">
        <f t="shared" si="82"/>
        <v>140</v>
      </c>
      <c r="P167" s="8"/>
      <c r="Q167" s="33">
        <f>IF(O167&lt;&gt;"",ROUND(IF($F$11="raty równe",-PMT(W167/12,$F$4-O166+SUM($P$28:P167),T166,2),R167+S167),2),"")</f>
        <v>3461.18</v>
      </c>
      <c r="R167" s="11">
        <f>IF(O167&lt;&gt;"",IF($F$11="raty malejące",T166/($F$4-O166+SUM($P$28:P167)),IF(Q167-S167&gt;T166,T166,Q167-S167)),"")</f>
        <v>1609.3999599631345</v>
      </c>
      <c r="S167" s="11">
        <f t="shared" si="65"/>
        <v>1851.7800400368653</v>
      </c>
      <c r="T167" s="9">
        <f t="shared" si="83"/>
        <v>261054.43550625895</v>
      </c>
      <c r="U167" s="10">
        <f t="shared" si="75"/>
        <v>6.7599999999999993E-2</v>
      </c>
      <c r="V167" s="10">
        <f t="shared" si="76"/>
        <v>1.7000000000000001E-2</v>
      </c>
      <c r="W167" s="49">
        <f t="shared" si="84"/>
        <v>8.4599999999999995E-2</v>
      </c>
      <c r="X167" s="11">
        <f t="shared" si="77"/>
        <v>20</v>
      </c>
      <c r="Y167" s="11">
        <f>IF(O167&lt;&gt;"",IF($B$16=listy!$K$8,'RZĄDOWY PROGRAM'!$F$3*'RZĄDOWY PROGRAM'!$F$15,T166*$F$15),"")</f>
        <v>50</v>
      </c>
      <c r="Z167" s="11">
        <f t="shared" si="85"/>
        <v>70</v>
      </c>
      <c r="AB167" s="8">
        <f t="shared" si="86"/>
        <v>140</v>
      </c>
      <c r="AC167" s="8"/>
      <c r="AD167" s="33">
        <f>IF(AB167&lt;&gt;"",ROUND(IF($F$11="raty równe",-PMT(W167/12,$F$4-AB166+SUM($AC$28:AC167),AG166,2),AE167+AF167),2),"")</f>
        <v>3227.69</v>
      </c>
      <c r="AE167" s="11">
        <f>IF(AB167&lt;&gt;"",IF($F$11="raty malejące",AG166/($F$4-AB166+SUM($AC$28:AC166)),MIN(AD167-AF167,AG166)),"")</f>
        <v>1500.8257006090312</v>
      </c>
      <c r="AF167" s="11">
        <f t="shared" si="66"/>
        <v>1726.8642993909689</v>
      </c>
      <c r="AG167" s="9">
        <f t="shared" si="95"/>
        <v>243444.46499314543</v>
      </c>
      <c r="AH167" s="11"/>
      <c r="AI167" s="33">
        <f>IF(AB167&lt;&gt;"",ROUND(IF($F$11="raty równe",-PMT(W167/12,($F$4-AB166+SUM($AC$27:AC166)),AG166,2),AG166/($F$4-AB166+SUM($AC$27:AC166))+AG166*W167/12),2),"")</f>
        <v>3227.69</v>
      </c>
      <c r="AJ167" s="33">
        <f t="shared" si="87"/>
        <v>233.48999999999978</v>
      </c>
      <c r="AK167" s="33">
        <f t="shared" si="88"/>
        <v>38856.987470131091</v>
      </c>
      <c r="AL167" s="33">
        <f>IF(AB167&lt;&gt;"",AK167-SUM($AJ$28:AJ167),"")</f>
        <v>7844.6674701311349</v>
      </c>
      <c r="AM167" s="11">
        <f t="shared" si="89"/>
        <v>20</v>
      </c>
      <c r="AN167" s="11">
        <f>IF(AB167&lt;&gt;"",IF($B$16=listy!$K$8,'RZĄDOWY PROGRAM'!$F$3*'RZĄDOWY PROGRAM'!$F$15,AG166*$F$15),"")</f>
        <v>50</v>
      </c>
      <c r="AO167" s="11">
        <f t="shared" si="90"/>
        <v>70</v>
      </c>
      <c r="AQ167" s="49">
        <f t="shared" si="78"/>
        <v>0.05</v>
      </c>
      <c r="AR167" s="18">
        <f t="shared" si="79"/>
        <v>4.0741237836483535E-3</v>
      </c>
      <c r="AS167" s="11">
        <f t="shared" si="91"/>
        <v>0</v>
      </c>
      <c r="AT167" s="11">
        <f t="shared" si="92"/>
        <v>42885.933684418145</v>
      </c>
      <c r="AU167" s="11">
        <f>IF(AB167&lt;&gt;"",AT167-SUM($AS$28:AS167),"")</f>
        <v>15196.53368441814</v>
      </c>
    </row>
    <row r="168" spans="1:47" ht="14.5" x14ac:dyDescent="0.35">
      <c r="A168" s="76">
        <f t="shared" si="93"/>
        <v>49004</v>
      </c>
      <c r="B168" s="8">
        <f t="shared" si="67"/>
        <v>141</v>
      </c>
      <c r="C168" s="11">
        <f t="shared" si="68"/>
        <v>3461.17</v>
      </c>
      <c r="D168" s="11">
        <f t="shared" si="69"/>
        <v>1714.4336558884306</v>
      </c>
      <c r="E168" s="11">
        <f t="shared" si="70"/>
        <v>1746.7363441115695</v>
      </c>
      <c r="F168" s="9">
        <f t="shared" si="80"/>
        <v>246049.58678546897</v>
      </c>
      <c r="G168" s="10">
        <f t="shared" si="71"/>
        <v>6.7599999999999993E-2</v>
      </c>
      <c r="H168" s="10">
        <f t="shared" si="72"/>
        <v>1.7000000000000001E-2</v>
      </c>
      <c r="I168" s="49">
        <f t="shared" si="73"/>
        <v>8.4599999999999995E-2</v>
      </c>
      <c r="J168" s="11">
        <f t="shared" si="74"/>
        <v>20</v>
      </c>
      <c r="K168" s="11">
        <f>IF(B168&lt;&gt;"",IF($B$16=listy!$K$8,'RZĄDOWY PROGRAM'!$F$3*'RZĄDOWY PROGRAM'!$F$15,F167*$F$15),"")</f>
        <v>50</v>
      </c>
      <c r="L168" s="11">
        <f t="shared" si="81"/>
        <v>70</v>
      </c>
      <c r="N168" s="55">
        <f t="shared" si="94"/>
        <v>49004</v>
      </c>
      <c r="O168" s="8">
        <f t="shared" si="82"/>
        <v>141</v>
      </c>
      <c r="P168" s="8"/>
      <c r="Q168" s="33">
        <f>IF(O168&lt;&gt;"",ROUND(IF($F$11="raty równe",-PMT(W168/12,$F$4-O167+SUM($P$28:P168),T167,2),R168+S168),2),"")</f>
        <v>3461.17</v>
      </c>
      <c r="R168" s="11">
        <f>IF(O168&lt;&gt;"",IF($F$11="raty malejące",T167/($F$4-O167+SUM($P$28:P168)),IF(Q168-S168&gt;T167,T167,Q168-S168)),"")</f>
        <v>1620.7362296808744</v>
      </c>
      <c r="S168" s="11">
        <f t="shared" si="65"/>
        <v>1840.4337703191256</v>
      </c>
      <c r="T168" s="9">
        <f t="shared" si="83"/>
        <v>259433.69927657806</v>
      </c>
      <c r="U168" s="10">
        <f t="shared" si="75"/>
        <v>6.7599999999999993E-2</v>
      </c>
      <c r="V168" s="10">
        <f t="shared" si="76"/>
        <v>1.7000000000000001E-2</v>
      </c>
      <c r="W168" s="49">
        <f t="shared" si="84"/>
        <v>8.4599999999999995E-2</v>
      </c>
      <c r="X168" s="11">
        <f t="shared" si="77"/>
        <v>20</v>
      </c>
      <c r="Y168" s="11">
        <f>IF(O168&lt;&gt;"",IF($B$16=listy!$K$8,'RZĄDOWY PROGRAM'!$F$3*'RZĄDOWY PROGRAM'!$F$15,T167*$F$15),"")</f>
        <v>50</v>
      </c>
      <c r="Z168" s="11">
        <f t="shared" si="85"/>
        <v>70</v>
      </c>
      <c r="AB168" s="8">
        <f t="shared" si="86"/>
        <v>141</v>
      </c>
      <c r="AC168" s="8"/>
      <c r="AD168" s="33">
        <f>IF(AB168&lt;&gt;"",ROUND(IF($F$11="raty równe",-PMT(W168/12,$F$4-AB167+SUM($AC$28:AC168),AG167,2),AE168+AF168),2),"")</f>
        <v>3227.7</v>
      </c>
      <c r="AE168" s="11">
        <f>IF(AB168&lt;&gt;"",IF($F$11="raty malejące",AG167/($F$4-AB167+SUM($AC$28:AC167)),MIN(AD168-AF168,AG167)),"")</f>
        <v>1511.4165217983245</v>
      </c>
      <c r="AF168" s="11">
        <f t="shared" si="66"/>
        <v>1716.2834782016753</v>
      </c>
      <c r="AG168" s="9">
        <f t="shared" si="95"/>
        <v>241933.04847134711</v>
      </c>
      <c r="AH168" s="11"/>
      <c r="AI168" s="33">
        <f>IF(AB168&lt;&gt;"",ROUND(IF($F$11="raty równe",-PMT(W168/12,($F$4-AB167+SUM($AC$27:AC167)),AG167,2),AG167/($F$4-AB167+SUM($AC$27:AC167))+AG167*W168/12),2),"")</f>
        <v>3227.7</v>
      </c>
      <c r="AJ168" s="33">
        <f t="shared" si="87"/>
        <v>233.47000000000025</v>
      </c>
      <c r="AK168" s="33">
        <f t="shared" si="88"/>
        <v>39218.68709334961</v>
      </c>
      <c r="AL168" s="33">
        <f>IF(AB168&lt;&gt;"",AK168-SUM($AJ$28:AJ168),"")</f>
        <v>7972.897093349653</v>
      </c>
      <c r="AM168" s="11">
        <f t="shared" si="89"/>
        <v>20</v>
      </c>
      <c r="AN168" s="11">
        <f>IF(AB168&lt;&gt;"",IF($B$16=listy!$K$8,'RZĄDOWY PROGRAM'!$F$3*'RZĄDOWY PROGRAM'!$F$15,AG167*$F$15),"")</f>
        <v>50</v>
      </c>
      <c r="AO168" s="11">
        <f t="shared" si="90"/>
        <v>70</v>
      </c>
      <c r="AQ168" s="49">
        <f t="shared" si="78"/>
        <v>0.05</v>
      </c>
      <c r="AR168" s="18">
        <f t="shared" si="79"/>
        <v>4.0741237836483535E-3</v>
      </c>
      <c r="AS168" s="11">
        <f t="shared" si="91"/>
        <v>0</v>
      </c>
      <c r="AT168" s="11">
        <f t="shared" si="92"/>
        <v>43027.458992368345</v>
      </c>
      <c r="AU168" s="11">
        <f>IF(AB168&lt;&gt;"",AT168-SUM($AS$28:AS168),"")</f>
        <v>15338.05899236834</v>
      </c>
    </row>
    <row r="169" spans="1:47" ht="14.5" x14ac:dyDescent="0.35">
      <c r="A169" s="76">
        <f t="shared" si="93"/>
        <v>49035</v>
      </c>
      <c r="B169" s="8">
        <f t="shared" si="67"/>
        <v>142</v>
      </c>
      <c r="C169" s="11">
        <f t="shared" si="68"/>
        <v>3461.18</v>
      </c>
      <c r="D169" s="11">
        <f t="shared" si="69"/>
        <v>1726.5304131624437</v>
      </c>
      <c r="E169" s="11">
        <f t="shared" si="70"/>
        <v>1734.6495868375562</v>
      </c>
      <c r="F169" s="9">
        <f t="shared" si="80"/>
        <v>244323.05637230651</v>
      </c>
      <c r="G169" s="10">
        <f t="shared" si="71"/>
        <v>6.7599999999999993E-2</v>
      </c>
      <c r="H169" s="10">
        <f t="shared" si="72"/>
        <v>1.7000000000000001E-2</v>
      </c>
      <c r="I169" s="49">
        <f t="shared" si="73"/>
        <v>8.4599999999999995E-2</v>
      </c>
      <c r="J169" s="11">
        <f t="shared" si="74"/>
        <v>20</v>
      </c>
      <c r="K169" s="11">
        <f>IF(B169&lt;&gt;"",IF($B$16=listy!$K$8,'RZĄDOWY PROGRAM'!$F$3*'RZĄDOWY PROGRAM'!$F$15,F168*$F$15),"")</f>
        <v>50</v>
      </c>
      <c r="L169" s="11">
        <f t="shared" si="81"/>
        <v>70</v>
      </c>
      <c r="N169" s="55">
        <f t="shared" si="94"/>
        <v>49035</v>
      </c>
      <c r="O169" s="8">
        <f t="shared" si="82"/>
        <v>142</v>
      </c>
      <c r="P169" s="8"/>
      <c r="Q169" s="33">
        <f>IF(O169&lt;&gt;"",ROUND(IF($F$11="raty równe",-PMT(W169/12,$F$4-O168+SUM($P$28:P169),T168,2),R169+S169),2),"")</f>
        <v>3461.18</v>
      </c>
      <c r="R169" s="11">
        <f>IF(O169&lt;&gt;"",IF($F$11="raty malejące",T168/($F$4-O168+SUM($P$28:P169)),IF(Q169-S169&gt;T168,T168,Q169-S169)),"")</f>
        <v>1632.1724201001248</v>
      </c>
      <c r="S169" s="11">
        <f t="shared" si="65"/>
        <v>1829.0075798998751</v>
      </c>
      <c r="T169" s="9">
        <f t="shared" si="83"/>
        <v>257801.52685647793</v>
      </c>
      <c r="U169" s="10">
        <f t="shared" si="75"/>
        <v>6.7599999999999993E-2</v>
      </c>
      <c r="V169" s="10">
        <f t="shared" si="76"/>
        <v>1.7000000000000001E-2</v>
      </c>
      <c r="W169" s="49">
        <f t="shared" si="84"/>
        <v>8.4599999999999995E-2</v>
      </c>
      <c r="X169" s="11">
        <f t="shared" si="77"/>
        <v>20</v>
      </c>
      <c r="Y169" s="11">
        <f>IF(O169&lt;&gt;"",IF($B$16=listy!$K$8,'RZĄDOWY PROGRAM'!$F$3*'RZĄDOWY PROGRAM'!$F$15,T168*$F$15),"")</f>
        <v>50</v>
      </c>
      <c r="Z169" s="11">
        <f t="shared" si="85"/>
        <v>70</v>
      </c>
      <c r="AB169" s="8">
        <f t="shared" si="86"/>
        <v>142</v>
      </c>
      <c r="AC169" s="8"/>
      <c r="AD169" s="33">
        <f>IF(AB169&lt;&gt;"",ROUND(IF($F$11="raty równe",-PMT(W169/12,$F$4-AB168+SUM($AC$28:AC169),AG168,2),AE169+AF169),2),"")</f>
        <v>3227.69</v>
      </c>
      <c r="AE169" s="11">
        <f>IF(AB169&lt;&gt;"",IF($F$11="raty malejące",AG168/($F$4-AB168+SUM($AC$28:AC168)),MIN(AD169-AF169,AG168)),"")</f>
        <v>1522.0620082770031</v>
      </c>
      <c r="AF169" s="11">
        <f t="shared" si="66"/>
        <v>1705.627991722997</v>
      </c>
      <c r="AG169" s="9">
        <f t="shared" si="95"/>
        <v>240410.98646307012</v>
      </c>
      <c r="AH169" s="11"/>
      <c r="AI169" s="33">
        <f>IF(AB169&lt;&gt;"",ROUND(IF($F$11="raty równe",-PMT(W169/12,($F$4-AB168+SUM($AC$27:AC168)),AG168,2),AG168/($F$4-AB168+SUM($AC$27:AC168))+AG168*W169/12),2),"")</f>
        <v>3227.69</v>
      </c>
      <c r="AJ169" s="33">
        <f t="shared" si="87"/>
        <v>233.48999999999978</v>
      </c>
      <c r="AK169" s="33">
        <f t="shared" si="88"/>
        <v>39581.600339888493</v>
      </c>
      <c r="AL169" s="33">
        <f>IF(AB169&lt;&gt;"",AK169-SUM($AJ$28:AJ169),"")</f>
        <v>8102.320339888538</v>
      </c>
      <c r="AM169" s="11">
        <f t="shared" si="89"/>
        <v>20</v>
      </c>
      <c r="AN169" s="11">
        <f>IF(AB169&lt;&gt;"",IF($B$16=listy!$K$8,'RZĄDOWY PROGRAM'!$F$3*'RZĄDOWY PROGRAM'!$F$15,AG168*$F$15),"")</f>
        <v>50</v>
      </c>
      <c r="AO169" s="11">
        <f t="shared" si="90"/>
        <v>70</v>
      </c>
      <c r="AQ169" s="49">
        <f t="shared" si="78"/>
        <v>0.05</v>
      </c>
      <c r="AR169" s="18">
        <f t="shared" si="79"/>
        <v>4.0741237836483535E-3</v>
      </c>
      <c r="AS169" s="11">
        <f t="shared" si="91"/>
        <v>0</v>
      </c>
      <c r="AT169" s="11">
        <f t="shared" si="92"/>
        <v>43169.451339533261</v>
      </c>
      <c r="AU169" s="11">
        <f>IF(AB169&lt;&gt;"",AT169-SUM($AS$28:AS169),"")</f>
        <v>15480.051339533256</v>
      </c>
    </row>
    <row r="170" spans="1:47" ht="14.5" x14ac:dyDescent="0.35">
      <c r="A170" s="76">
        <f t="shared" si="93"/>
        <v>49065</v>
      </c>
      <c r="B170" s="8">
        <f t="shared" si="67"/>
        <v>143</v>
      </c>
      <c r="C170" s="11">
        <f t="shared" si="68"/>
        <v>3461.17</v>
      </c>
      <c r="D170" s="11">
        <f t="shared" si="69"/>
        <v>1738.6924525752393</v>
      </c>
      <c r="E170" s="11">
        <f t="shared" si="70"/>
        <v>1722.4775474247608</v>
      </c>
      <c r="F170" s="9">
        <f t="shared" si="80"/>
        <v>242584.36391973129</v>
      </c>
      <c r="G170" s="10">
        <f t="shared" si="71"/>
        <v>6.7599999999999993E-2</v>
      </c>
      <c r="H170" s="10">
        <f t="shared" si="72"/>
        <v>1.7000000000000001E-2</v>
      </c>
      <c r="I170" s="49">
        <f t="shared" si="73"/>
        <v>8.4599999999999995E-2</v>
      </c>
      <c r="J170" s="11">
        <f t="shared" si="74"/>
        <v>20</v>
      </c>
      <c r="K170" s="11">
        <f>IF(B170&lt;&gt;"",IF($B$16=listy!$K$8,'RZĄDOWY PROGRAM'!$F$3*'RZĄDOWY PROGRAM'!$F$15,F169*$F$15),"")</f>
        <v>50</v>
      </c>
      <c r="L170" s="11">
        <f t="shared" si="81"/>
        <v>70</v>
      </c>
      <c r="N170" s="55">
        <f t="shared" si="94"/>
        <v>49065</v>
      </c>
      <c r="O170" s="8">
        <f t="shared" si="82"/>
        <v>143</v>
      </c>
      <c r="P170" s="8"/>
      <c r="Q170" s="33">
        <f>IF(O170&lt;&gt;"",ROUND(IF($F$11="raty równe",-PMT(W170/12,$F$4-O169+SUM($P$28:P170),T169,2),R170+S170),2),"")</f>
        <v>3461.17</v>
      </c>
      <c r="R170" s="11">
        <f>IF(O170&lt;&gt;"",IF($F$11="raty malejące",T169/($F$4-O169+SUM($P$28:P170)),IF(Q170-S170&gt;T169,T169,Q170-S170)),"")</f>
        <v>1643.6692356618307</v>
      </c>
      <c r="S170" s="11">
        <f t="shared" si="65"/>
        <v>1817.5007643381693</v>
      </c>
      <c r="T170" s="9">
        <f t="shared" si="83"/>
        <v>256157.8576208161</v>
      </c>
      <c r="U170" s="10">
        <f t="shared" si="75"/>
        <v>6.7599999999999993E-2</v>
      </c>
      <c r="V170" s="10">
        <f t="shared" si="76"/>
        <v>1.7000000000000001E-2</v>
      </c>
      <c r="W170" s="49">
        <f t="shared" si="84"/>
        <v>8.4599999999999995E-2</v>
      </c>
      <c r="X170" s="11">
        <f t="shared" si="77"/>
        <v>20</v>
      </c>
      <c r="Y170" s="11">
        <f>IF(O170&lt;&gt;"",IF($B$16=listy!$K$8,'RZĄDOWY PROGRAM'!$F$3*'RZĄDOWY PROGRAM'!$F$15,T169*$F$15),"")</f>
        <v>50</v>
      </c>
      <c r="Z170" s="11">
        <f t="shared" si="85"/>
        <v>70</v>
      </c>
      <c r="AB170" s="8">
        <f t="shared" si="86"/>
        <v>143</v>
      </c>
      <c r="AC170" s="8"/>
      <c r="AD170" s="33">
        <f>IF(AB170&lt;&gt;"",ROUND(IF($F$11="raty równe",-PMT(W170/12,$F$4-AB169+SUM($AC$28:AC170),AG169,2),AE170+AF170),2),"")</f>
        <v>3227.7</v>
      </c>
      <c r="AE170" s="11">
        <f>IF(AB170&lt;&gt;"",IF($F$11="raty malejące",AG169/($F$4-AB169+SUM($AC$28:AC169)),MIN(AD170-AF170,AG169)),"")</f>
        <v>1532.8025454353556</v>
      </c>
      <c r="AF170" s="11">
        <f t="shared" si="66"/>
        <v>1694.8974545646442</v>
      </c>
      <c r="AG170" s="9">
        <f t="shared" si="95"/>
        <v>238878.18391763477</v>
      </c>
      <c r="AH170" s="11"/>
      <c r="AI170" s="33">
        <f>IF(AB170&lt;&gt;"",ROUND(IF($F$11="raty równe",-PMT(W170/12,($F$4-AB169+SUM($AC$27:AC169)),AG169,2),AG169/($F$4-AB169+SUM($AC$27:AC169))+AG169*W170/12),2),"")</f>
        <v>3227.7</v>
      </c>
      <c r="AJ170" s="33">
        <f t="shared" si="87"/>
        <v>233.47000000000025</v>
      </c>
      <c r="AK170" s="33">
        <f t="shared" si="88"/>
        <v>39945.691214753577</v>
      </c>
      <c r="AL170" s="33">
        <f>IF(AB170&lt;&gt;"",AK170-SUM($AJ$28:AJ170),"")</f>
        <v>8232.9412147536204</v>
      </c>
      <c r="AM170" s="11">
        <f t="shared" si="89"/>
        <v>20</v>
      </c>
      <c r="AN170" s="11">
        <f>IF(AB170&lt;&gt;"",IF($B$16=listy!$K$8,'RZĄDOWY PROGRAM'!$F$3*'RZĄDOWY PROGRAM'!$F$15,AG169*$F$15),"")</f>
        <v>50</v>
      </c>
      <c r="AO170" s="11">
        <f t="shared" si="90"/>
        <v>70</v>
      </c>
      <c r="AQ170" s="49">
        <f t="shared" si="78"/>
        <v>0.05</v>
      </c>
      <c r="AR170" s="18">
        <f t="shared" si="79"/>
        <v>4.0741237836483535E-3</v>
      </c>
      <c r="AS170" s="11">
        <f t="shared" si="91"/>
        <v>0</v>
      </c>
      <c r="AT170" s="11">
        <f t="shared" si="92"/>
        <v>43311.912267161111</v>
      </c>
      <c r="AU170" s="11">
        <f>IF(AB170&lt;&gt;"",AT170-SUM($AS$28:AS170),"")</f>
        <v>15622.512267161106</v>
      </c>
    </row>
    <row r="171" spans="1:47" ht="14.5" x14ac:dyDescent="0.35">
      <c r="A171" s="76">
        <f t="shared" si="93"/>
        <v>49096</v>
      </c>
      <c r="B171" s="8">
        <f t="shared" si="67"/>
        <v>144</v>
      </c>
      <c r="C171" s="11">
        <f t="shared" si="68"/>
        <v>3461.18</v>
      </c>
      <c r="D171" s="11">
        <f t="shared" si="69"/>
        <v>1750.9602343658942</v>
      </c>
      <c r="E171" s="11">
        <f t="shared" si="70"/>
        <v>1710.2197656341057</v>
      </c>
      <c r="F171" s="9">
        <f t="shared" si="80"/>
        <v>240833.4036853654</v>
      </c>
      <c r="G171" s="10">
        <f t="shared" si="71"/>
        <v>6.7599999999999993E-2</v>
      </c>
      <c r="H171" s="10">
        <f t="shared" si="72"/>
        <v>1.7000000000000001E-2</v>
      </c>
      <c r="I171" s="49">
        <f t="shared" si="73"/>
        <v>8.4599999999999995E-2</v>
      </c>
      <c r="J171" s="11">
        <f t="shared" si="74"/>
        <v>20</v>
      </c>
      <c r="K171" s="11">
        <f>IF(B171&lt;&gt;"",IF($B$16=listy!$K$8,'RZĄDOWY PROGRAM'!$F$3*'RZĄDOWY PROGRAM'!$F$15,F170*$F$15),"")</f>
        <v>50</v>
      </c>
      <c r="L171" s="11">
        <f t="shared" si="81"/>
        <v>70</v>
      </c>
      <c r="N171" s="55">
        <f t="shared" si="94"/>
        <v>49096</v>
      </c>
      <c r="O171" s="8">
        <f t="shared" si="82"/>
        <v>144</v>
      </c>
      <c r="P171" s="8"/>
      <c r="Q171" s="33">
        <f>IF(O171&lt;&gt;"",ROUND(IF($F$11="raty równe",-PMT(W171/12,$F$4-O170+SUM($P$28:P171),T170,2),R171+S171),2),"")</f>
        <v>3461.18</v>
      </c>
      <c r="R171" s="11">
        <f>IF(O171&lt;&gt;"",IF($F$11="raty malejące",T170/($F$4-O170+SUM($P$28:P171)),IF(Q171-S171&gt;T170,T170,Q171-S171)),"")</f>
        <v>1655.2671037732466</v>
      </c>
      <c r="S171" s="11">
        <f t="shared" si="65"/>
        <v>1805.9128962267532</v>
      </c>
      <c r="T171" s="9">
        <f t="shared" si="83"/>
        <v>254502.59051704285</v>
      </c>
      <c r="U171" s="10">
        <f t="shared" si="75"/>
        <v>6.7599999999999993E-2</v>
      </c>
      <c r="V171" s="10">
        <f t="shared" si="76"/>
        <v>1.7000000000000001E-2</v>
      </c>
      <c r="W171" s="49">
        <f t="shared" si="84"/>
        <v>8.4599999999999995E-2</v>
      </c>
      <c r="X171" s="11">
        <f t="shared" si="77"/>
        <v>20</v>
      </c>
      <c r="Y171" s="11">
        <f>IF(O171&lt;&gt;"",IF($B$16=listy!$K$8,'RZĄDOWY PROGRAM'!$F$3*'RZĄDOWY PROGRAM'!$F$15,T170*$F$15),"")</f>
        <v>50</v>
      </c>
      <c r="Z171" s="11">
        <f t="shared" si="85"/>
        <v>70</v>
      </c>
      <c r="AB171" s="8">
        <f t="shared" si="86"/>
        <v>144</v>
      </c>
      <c r="AC171" s="8"/>
      <c r="AD171" s="33">
        <f>IF(AB171&lt;&gt;"",ROUND(IF($F$11="raty równe",-PMT(W171/12,$F$4-AB170+SUM($AC$28:AC171),AG170,2),AE171+AF171),2),"")</f>
        <v>3227.69</v>
      </c>
      <c r="AE171" s="11">
        <f>IF(AB171&lt;&gt;"",IF($F$11="raty malejące",AG170/($F$4-AB170+SUM($AC$28:AC170)),MIN(AD171-AF171,AG170)),"")</f>
        <v>1543.598803380675</v>
      </c>
      <c r="AF171" s="11">
        <f t="shared" si="66"/>
        <v>1684.091196619325</v>
      </c>
      <c r="AG171" s="9">
        <f t="shared" si="95"/>
        <v>237334.58511425409</v>
      </c>
      <c r="AH171" s="11"/>
      <c r="AI171" s="33">
        <f>IF(AB171&lt;&gt;"",ROUND(IF($F$11="raty równe",-PMT(W171/12,($F$4-AB170+SUM($AC$27:AC170)),AG170,2),AG170/($F$4-AB170+SUM($AC$27:AC170))+AG170*W171/12),2),"")</f>
        <v>3227.69</v>
      </c>
      <c r="AJ171" s="33">
        <f t="shared" si="87"/>
        <v>233.48999999999978</v>
      </c>
      <c r="AK171" s="33">
        <f t="shared" si="88"/>
        <v>40311.003604165737</v>
      </c>
      <c r="AL171" s="33">
        <f>IF(AB171&lt;&gt;"",AK171-SUM($AJ$28:AJ171),"")</f>
        <v>8364.7636041657825</v>
      </c>
      <c r="AM171" s="11">
        <f t="shared" si="89"/>
        <v>20</v>
      </c>
      <c r="AN171" s="11">
        <f>IF(AB171&lt;&gt;"",IF($B$16=listy!$K$8,'RZĄDOWY PROGRAM'!$F$3*'RZĄDOWY PROGRAM'!$F$15,AG170*$F$15),"")</f>
        <v>50</v>
      </c>
      <c r="AO171" s="11">
        <f t="shared" si="90"/>
        <v>70</v>
      </c>
      <c r="AQ171" s="49">
        <f t="shared" si="78"/>
        <v>0.05</v>
      </c>
      <c r="AR171" s="18">
        <f t="shared" si="79"/>
        <v>4.0741237836483535E-3</v>
      </c>
      <c r="AS171" s="11">
        <f t="shared" si="91"/>
        <v>0</v>
      </c>
      <c r="AT171" s="11">
        <f t="shared" si="92"/>
        <v>43454.84332158629</v>
      </c>
      <c r="AU171" s="11">
        <f>IF(AB171&lt;&gt;"",AT171-SUM($AS$28:AS171),"")</f>
        <v>15765.443321586285</v>
      </c>
    </row>
    <row r="172" spans="1:47" ht="14.5" x14ac:dyDescent="0.35">
      <c r="A172" s="76">
        <f t="shared" si="93"/>
        <v>49126</v>
      </c>
      <c r="B172" s="8">
        <f t="shared" si="67"/>
        <v>145</v>
      </c>
      <c r="C172" s="11">
        <f t="shared" si="68"/>
        <v>3461.17</v>
      </c>
      <c r="D172" s="11">
        <f t="shared" si="69"/>
        <v>1763.2945040181742</v>
      </c>
      <c r="E172" s="11">
        <f t="shared" si="70"/>
        <v>1697.8754959818259</v>
      </c>
      <c r="F172" s="9">
        <f t="shared" si="80"/>
        <v>239070.10918134722</v>
      </c>
      <c r="G172" s="10">
        <f t="shared" si="71"/>
        <v>6.7599999999999993E-2</v>
      </c>
      <c r="H172" s="10">
        <f t="shared" si="72"/>
        <v>1.7000000000000001E-2</v>
      </c>
      <c r="I172" s="49">
        <f t="shared" si="73"/>
        <v>8.4599999999999995E-2</v>
      </c>
      <c r="J172" s="11">
        <f t="shared" si="74"/>
        <v>20</v>
      </c>
      <c r="K172" s="11">
        <f>IF(B172&lt;&gt;"",IF($B$16=listy!$K$8,'RZĄDOWY PROGRAM'!$F$3*'RZĄDOWY PROGRAM'!$F$15,F171*$F$15),"")</f>
        <v>50</v>
      </c>
      <c r="L172" s="11">
        <f t="shared" si="81"/>
        <v>70</v>
      </c>
      <c r="N172" s="55">
        <f t="shared" si="94"/>
        <v>49126</v>
      </c>
      <c r="O172" s="8">
        <f t="shared" si="82"/>
        <v>145</v>
      </c>
      <c r="P172" s="8"/>
      <c r="Q172" s="33">
        <f>IF(O172&lt;&gt;"",ROUND(IF($F$11="raty równe",-PMT(W172/12,$F$4-O171+SUM($P$28:P172),T171,2),R172+S172),2),"")</f>
        <v>3461.17</v>
      </c>
      <c r="R172" s="11">
        <f>IF(O172&lt;&gt;"",IF($F$11="raty malejące",T171/($F$4-O171+SUM($P$28:P172)),IF(Q172-S172&gt;T171,T171,Q172-S172)),"")</f>
        <v>1666.9267368548481</v>
      </c>
      <c r="S172" s="11">
        <f t="shared" ref="S172:S235" si="96">IF(O172&lt;&gt;"",T171*W172/12,"")</f>
        <v>1794.243263145152</v>
      </c>
      <c r="T172" s="9">
        <f t="shared" si="83"/>
        <v>252835.66378018798</v>
      </c>
      <c r="U172" s="10">
        <f t="shared" si="75"/>
        <v>6.7599999999999993E-2</v>
      </c>
      <c r="V172" s="10">
        <f t="shared" si="76"/>
        <v>1.7000000000000001E-2</v>
      </c>
      <c r="W172" s="49">
        <f t="shared" si="84"/>
        <v>8.4599999999999995E-2</v>
      </c>
      <c r="X172" s="11">
        <f t="shared" si="77"/>
        <v>20</v>
      </c>
      <c r="Y172" s="11">
        <f>IF(O172&lt;&gt;"",IF($B$16=listy!$K$8,'RZĄDOWY PROGRAM'!$F$3*'RZĄDOWY PROGRAM'!$F$15,T171*$F$15),"")</f>
        <v>50</v>
      </c>
      <c r="Z172" s="11">
        <f t="shared" si="85"/>
        <v>70</v>
      </c>
      <c r="AB172" s="8">
        <f t="shared" si="86"/>
        <v>145</v>
      </c>
      <c r="AC172" s="8"/>
      <c r="AD172" s="33">
        <f>IF(AB172&lt;&gt;"",ROUND(IF($F$11="raty równe",-PMT(W172/12,$F$4-AB171+SUM($AC$28:AC172),AG171,2),AE172+AF172),2),"")</f>
        <v>3227.7</v>
      </c>
      <c r="AE172" s="11">
        <f>IF(AB172&lt;&gt;"",IF($F$11="raty malejące",AG171/($F$4-AB171+SUM($AC$28:AC171)),MIN(AD172-AF172,AG171)),"")</f>
        <v>1554.4911749445084</v>
      </c>
      <c r="AF172" s="11">
        <f t="shared" ref="AF172:AF235" si="97">IF(AB172&lt;&gt;"",AG171*W172/12,"")</f>
        <v>1673.2088250554914</v>
      </c>
      <c r="AG172" s="9">
        <f t="shared" si="95"/>
        <v>235780.09393930959</v>
      </c>
      <c r="AH172" s="11"/>
      <c r="AI172" s="33">
        <f>IF(AB172&lt;&gt;"",ROUND(IF($F$11="raty równe",-PMT(W172/12,($F$4-AB171+SUM($AC$27:AC171)),AG171,2),AG171/($F$4-AB171+SUM($AC$27:AC171))+AG171*W172/12),2),"")</f>
        <v>3227.7</v>
      </c>
      <c r="AJ172" s="33">
        <f t="shared" si="87"/>
        <v>233.47000000000025</v>
      </c>
      <c r="AK172" s="33">
        <f t="shared" si="88"/>
        <v>40677.501539172175</v>
      </c>
      <c r="AL172" s="33">
        <f>IF(AB172&lt;&gt;"",AK172-SUM($AJ$28:AJ172),"")</f>
        <v>8497.7915391722199</v>
      </c>
      <c r="AM172" s="11">
        <f t="shared" si="89"/>
        <v>20</v>
      </c>
      <c r="AN172" s="11">
        <f>IF(AB172&lt;&gt;"",IF($B$16=listy!$K$8,'RZĄDOWY PROGRAM'!$F$3*'RZĄDOWY PROGRAM'!$F$15,AG171*$F$15),"")</f>
        <v>50</v>
      </c>
      <c r="AO172" s="11">
        <f t="shared" si="90"/>
        <v>70</v>
      </c>
      <c r="AQ172" s="49">
        <f t="shared" si="78"/>
        <v>0.05</v>
      </c>
      <c r="AR172" s="18">
        <f t="shared" si="79"/>
        <v>4.0741237836483535E-3</v>
      </c>
      <c r="AS172" s="11">
        <f t="shared" si="91"/>
        <v>0</v>
      </c>
      <c r="AT172" s="11">
        <f t="shared" si="92"/>
        <v>43598.246054246149</v>
      </c>
      <c r="AU172" s="11">
        <f>IF(AB172&lt;&gt;"",AT172-SUM($AS$28:AS172),"")</f>
        <v>15908.846054246143</v>
      </c>
    </row>
    <row r="173" spans="1:47" ht="14.5" x14ac:dyDescent="0.35">
      <c r="A173" s="76">
        <f t="shared" si="93"/>
        <v>49157</v>
      </c>
      <c r="B173" s="8">
        <f t="shared" si="67"/>
        <v>146</v>
      </c>
      <c r="C173" s="11">
        <f t="shared" si="68"/>
        <v>3461.18</v>
      </c>
      <c r="D173" s="11">
        <f t="shared" si="69"/>
        <v>1775.735730271502</v>
      </c>
      <c r="E173" s="11">
        <f t="shared" si="70"/>
        <v>1685.4442697284978</v>
      </c>
      <c r="F173" s="9">
        <f t="shared" si="80"/>
        <v>237294.37345107572</v>
      </c>
      <c r="G173" s="10">
        <f t="shared" si="71"/>
        <v>6.7599999999999993E-2</v>
      </c>
      <c r="H173" s="10">
        <f t="shared" si="72"/>
        <v>1.7000000000000001E-2</v>
      </c>
      <c r="I173" s="49">
        <f t="shared" si="73"/>
        <v>8.4599999999999995E-2</v>
      </c>
      <c r="J173" s="11">
        <f t="shared" si="74"/>
        <v>20</v>
      </c>
      <c r="K173" s="11">
        <f>IF(B173&lt;&gt;"",IF($B$16=listy!$K$8,'RZĄDOWY PROGRAM'!$F$3*'RZĄDOWY PROGRAM'!$F$15,F172*$F$15),"")</f>
        <v>50</v>
      </c>
      <c r="L173" s="11">
        <f t="shared" si="81"/>
        <v>70</v>
      </c>
      <c r="N173" s="55">
        <f t="shared" si="94"/>
        <v>49157</v>
      </c>
      <c r="O173" s="8">
        <f t="shared" si="82"/>
        <v>146</v>
      </c>
      <c r="P173" s="8"/>
      <c r="Q173" s="33">
        <f>IF(O173&lt;&gt;"",ROUND(IF($F$11="raty równe",-PMT(W173/12,$F$4-O172+SUM($P$28:P173),T172,2),R173+S173),2),"")</f>
        <v>3461.18</v>
      </c>
      <c r="R173" s="11">
        <f>IF(O173&lt;&gt;"",IF($F$11="raty malejące",T172/($F$4-O172+SUM($P$28:P173)),IF(Q173-S173&gt;T172,T172,Q173-S173)),"")</f>
        <v>1678.6885703496748</v>
      </c>
      <c r="S173" s="11">
        <f t="shared" si="96"/>
        <v>1782.491429650325</v>
      </c>
      <c r="T173" s="9">
        <f t="shared" si="83"/>
        <v>251156.9752098383</v>
      </c>
      <c r="U173" s="10">
        <f t="shared" si="75"/>
        <v>6.7599999999999993E-2</v>
      </c>
      <c r="V173" s="10">
        <f t="shared" si="76"/>
        <v>1.7000000000000001E-2</v>
      </c>
      <c r="W173" s="49">
        <f t="shared" si="84"/>
        <v>8.4599999999999995E-2</v>
      </c>
      <c r="X173" s="11">
        <f t="shared" si="77"/>
        <v>20</v>
      </c>
      <c r="Y173" s="11">
        <f>IF(O173&lt;&gt;"",IF($B$16=listy!$K$8,'RZĄDOWY PROGRAM'!$F$3*'RZĄDOWY PROGRAM'!$F$15,T172*$F$15),"")</f>
        <v>50</v>
      </c>
      <c r="Z173" s="11">
        <f t="shared" si="85"/>
        <v>70</v>
      </c>
      <c r="AB173" s="8">
        <f t="shared" si="86"/>
        <v>146</v>
      </c>
      <c r="AC173" s="8"/>
      <c r="AD173" s="33">
        <f>IF(AB173&lt;&gt;"",ROUND(IF($F$11="raty równe",-PMT(W173/12,$F$4-AB172+SUM($AC$28:AC173),AG172,2),AE173+AF173),2),"")</f>
        <v>3227.69</v>
      </c>
      <c r="AE173" s="11">
        <f>IF(AB173&lt;&gt;"",IF($F$11="raty malejące",AG172/($F$4-AB172+SUM($AC$28:AC172)),MIN(AD173-AF173,AG172)),"")</f>
        <v>1565.4403377278675</v>
      </c>
      <c r="AF173" s="11">
        <f t="shared" si="97"/>
        <v>1662.2496622721326</v>
      </c>
      <c r="AG173" s="9">
        <f t="shared" si="95"/>
        <v>234214.65360158173</v>
      </c>
      <c r="AH173" s="11"/>
      <c r="AI173" s="33">
        <f>IF(AB173&lt;&gt;"",ROUND(IF($F$11="raty równe",-PMT(W173/12,($F$4-AB172+SUM($AC$27:AC172)),AG172,2),AG172/($F$4-AB172+SUM($AC$27:AC172))+AG172*W173/12),2),"")</f>
        <v>3227.69</v>
      </c>
      <c r="AJ173" s="33">
        <f t="shared" si="87"/>
        <v>233.48999999999978</v>
      </c>
      <c r="AK173" s="33">
        <f t="shared" si="88"/>
        <v>41045.228932121085</v>
      </c>
      <c r="AL173" s="33">
        <f>IF(AB173&lt;&gt;"",AK173-SUM($AJ$28:AJ173),"")</f>
        <v>8632.0289321211312</v>
      </c>
      <c r="AM173" s="11">
        <f t="shared" si="89"/>
        <v>20</v>
      </c>
      <c r="AN173" s="11">
        <f>IF(AB173&lt;&gt;"",IF($B$16=listy!$K$8,'RZĄDOWY PROGRAM'!$F$3*'RZĄDOWY PROGRAM'!$F$15,AG172*$F$15),"")</f>
        <v>50</v>
      </c>
      <c r="AO173" s="11">
        <f t="shared" si="90"/>
        <v>70</v>
      </c>
      <c r="AQ173" s="49">
        <f t="shared" si="78"/>
        <v>0.05</v>
      </c>
      <c r="AR173" s="18">
        <f t="shared" si="79"/>
        <v>4.0741237836483535E-3</v>
      </c>
      <c r="AS173" s="11">
        <f t="shared" si="91"/>
        <v>0</v>
      </c>
      <c r="AT173" s="11">
        <f t="shared" si="92"/>
        <v>43742.122021697862</v>
      </c>
      <c r="AU173" s="11">
        <f>IF(AB173&lt;&gt;"",AT173-SUM($AS$28:AS173),"")</f>
        <v>16052.722021697857</v>
      </c>
    </row>
    <row r="174" spans="1:47" ht="14.5" x14ac:dyDescent="0.35">
      <c r="A174" s="76">
        <f t="shared" si="93"/>
        <v>49188</v>
      </c>
      <c r="B174" s="8">
        <f t="shared" si="67"/>
        <v>147</v>
      </c>
      <c r="C174" s="11">
        <f t="shared" si="68"/>
        <v>3461.17</v>
      </c>
      <c r="D174" s="11">
        <f t="shared" si="69"/>
        <v>1788.2446671699163</v>
      </c>
      <c r="E174" s="11">
        <f t="shared" si="70"/>
        <v>1672.9253328300838</v>
      </c>
      <c r="F174" s="9">
        <f t="shared" si="80"/>
        <v>235506.12878390579</v>
      </c>
      <c r="G174" s="10">
        <f t="shared" si="71"/>
        <v>6.7599999999999993E-2</v>
      </c>
      <c r="H174" s="10">
        <f t="shared" si="72"/>
        <v>1.7000000000000001E-2</v>
      </c>
      <c r="I174" s="49">
        <f t="shared" si="73"/>
        <v>8.4599999999999995E-2</v>
      </c>
      <c r="J174" s="11">
        <f t="shared" si="74"/>
        <v>20</v>
      </c>
      <c r="K174" s="11">
        <f>IF(B174&lt;&gt;"",IF($B$16=listy!$K$8,'RZĄDOWY PROGRAM'!$F$3*'RZĄDOWY PROGRAM'!$F$15,F173*$F$15),"")</f>
        <v>50</v>
      </c>
      <c r="L174" s="11">
        <f t="shared" si="81"/>
        <v>70</v>
      </c>
      <c r="N174" s="55">
        <f t="shared" si="94"/>
        <v>49188</v>
      </c>
      <c r="O174" s="8">
        <f t="shared" si="82"/>
        <v>147</v>
      </c>
      <c r="P174" s="8"/>
      <c r="Q174" s="33">
        <f>IF(O174&lt;&gt;"",ROUND(IF($F$11="raty równe",-PMT(W174/12,$F$4-O173+SUM($P$28:P174),T173,2),R174+S174),2),"")</f>
        <v>3461.17</v>
      </c>
      <c r="R174" s="11">
        <f>IF(O174&lt;&gt;"",IF($F$11="raty malejące",T173/($F$4-O173+SUM($P$28:P174)),IF(Q174-S174&gt;T173,T173,Q174-S174)),"")</f>
        <v>1690.5133247706401</v>
      </c>
      <c r="S174" s="11">
        <f t="shared" si="96"/>
        <v>1770.65667522936</v>
      </c>
      <c r="T174" s="9">
        <f t="shared" si="83"/>
        <v>249466.46188506766</v>
      </c>
      <c r="U174" s="10">
        <f t="shared" si="75"/>
        <v>6.7599999999999993E-2</v>
      </c>
      <c r="V174" s="10">
        <f t="shared" si="76"/>
        <v>1.7000000000000001E-2</v>
      </c>
      <c r="W174" s="49">
        <f t="shared" si="84"/>
        <v>8.4599999999999995E-2</v>
      </c>
      <c r="X174" s="11">
        <f t="shared" si="77"/>
        <v>20</v>
      </c>
      <c r="Y174" s="11">
        <f>IF(O174&lt;&gt;"",IF($B$16=listy!$K$8,'RZĄDOWY PROGRAM'!$F$3*'RZĄDOWY PROGRAM'!$F$15,T173*$F$15),"")</f>
        <v>50</v>
      </c>
      <c r="Z174" s="11">
        <f t="shared" si="85"/>
        <v>70</v>
      </c>
      <c r="AB174" s="8">
        <f t="shared" si="86"/>
        <v>147</v>
      </c>
      <c r="AC174" s="8"/>
      <c r="AD174" s="33">
        <f>IF(AB174&lt;&gt;"",ROUND(IF($F$11="raty równe",-PMT(W174/12,$F$4-AB173+SUM($AC$28:AC174),AG173,2),AE174+AF174),2),"")</f>
        <v>3227.7</v>
      </c>
      <c r="AE174" s="11">
        <f>IF(AB174&lt;&gt;"",IF($F$11="raty malejące",AG173/($F$4-AB173+SUM($AC$28:AC173)),MIN(AD174-AF174,AG173)),"")</f>
        <v>1576.4866921088487</v>
      </c>
      <c r="AF174" s="11">
        <f t="shared" si="97"/>
        <v>1651.2133078911511</v>
      </c>
      <c r="AG174" s="9">
        <f t="shared" si="95"/>
        <v>232638.16690947287</v>
      </c>
      <c r="AH174" s="11"/>
      <c r="AI174" s="33">
        <f>IF(AB174&lt;&gt;"",ROUND(IF($F$11="raty równe",-PMT(W174/12,($F$4-AB173+SUM($AC$27:AC173)),AG173,2),AG173/($F$4-AB173+SUM($AC$27:AC173))+AG173*W174/12),2),"")</f>
        <v>3227.7</v>
      </c>
      <c r="AJ174" s="33">
        <f t="shared" si="87"/>
        <v>233.47000000000025</v>
      </c>
      <c r="AK174" s="33">
        <f t="shared" si="88"/>
        <v>41414.149840273181</v>
      </c>
      <c r="AL174" s="33">
        <f>IF(AB174&lt;&gt;"",AK174-SUM($AJ$28:AJ174),"")</f>
        <v>8767.4798402732267</v>
      </c>
      <c r="AM174" s="11">
        <f t="shared" si="89"/>
        <v>20</v>
      </c>
      <c r="AN174" s="11">
        <f>IF(AB174&lt;&gt;"",IF($B$16=listy!$K$8,'RZĄDOWY PROGRAM'!$F$3*'RZĄDOWY PROGRAM'!$F$15,AG173*$F$15),"")</f>
        <v>50</v>
      </c>
      <c r="AO174" s="11">
        <f t="shared" si="90"/>
        <v>70</v>
      </c>
      <c r="AQ174" s="49">
        <f t="shared" si="78"/>
        <v>0.05</v>
      </c>
      <c r="AR174" s="18">
        <f t="shared" si="79"/>
        <v>4.0741237836483535E-3</v>
      </c>
      <c r="AS174" s="11">
        <f t="shared" si="91"/>
        <v>0</v>
      </c>
      <c r="AT174" s="11">
        <f t="shared" si="92"/>
        <v>43886.472785635298</v>
      </c>
      <c r="AU174" s="11">
        <f>IF(AB174&lt;&gt;"",AT174-SUM($AS$28:AS174),"")</f>
        <v>16197.072785635293</v>
      </c>
    </row>
    <row r="175" spans="1:47" ht="14.5" x14ac:dyDescent="0.35">
      <c r="A175" s="76">
        <f t="shared" si="93"/>
        <v>49218</v>
      </c>
      <c r="B175" s="8">
        <f t="shared" si="67"/>
        <v>148</v>
      </c>
      <c r="C175" s="11">
        <f t="shared" si="68"/>
        <v>3461.18</v>
      </c>
      <c r="D175" s="11">
        <f t="shared" si="69"/>
        <v>1800.8617920734639</v>
      </c>
      <c r="E175" s="11">
        <f t="shared" si="70"/>
        <v>1660.3182079265359</v>
      </c>
      <c r="F175" s="9">
        <f t="shared" si="80"/>
        <v>233705.26699183232</v>
      </c>
      <c r="G175" s="10">
        <f t="shared" si="71"/>
        <v>6.7599999999999993E-2</v>
      </c>
      <c r="H175" s="10">
        <f t="shared" si="72"/>
        <v>1.7000000000000001E-2</v>
      </c>
      <c r="I175" s="49">
        <f t="shared" si="73"/>
        <v>8.4599999999999995E-2</v>
      </c>
      <c r="J175" s="11">
        <f t="shared" si="74"/>
        <v>20</v>
      </c>
      <c r="K175" s="11">
        <f>IF(B175&lt;&gt;"",IF($B$16=listy!$K$8,'RZĄDOWY PROGRAM'!$F$3*'RZĄDOWY PROGRAM'!$F$15,F174*$F$15),"")</f>
        <v>50</v>
      </c>
      <c r="L175" s="11">
        <f t="shared" si="81"/>
        <v>70</v>
      </c>
      <c r="N175" s="55">
        <f t="shared" si="94"/>
        <v>49218</v>
      </c>
      <c r="O175" s="8">
        <f t="shared" si="82"/>
        <v>148</v>
      </c>
      <c r="P175" s="8"/>
      <c r="Q175" s="33">
        <f>IF(O175&lt;&gt;"",ROUND(IF($F$11="raty równe",-PMT(W175/12,$F$4-O174+SUM($P$28:P175),T174,2),R175+S175),2),"")</f>
        <v>3461.18</v>
      </c>
      <c r="R175" s="11">
        <f>IF(O175&lt;&gt;"",IF($F$11="raty malejące",T174/($F$4-O174+SUM($P$28:P175)),IF(Q175-S175&gt;T174,T174,Q175-S175)),"")</f>
        <v>1702.4414437102728</v>
      </c>
      <c r="S175" s="11">
        <f t="shared" si="96"/>
        <v>1758.7385562897271</v>
      </c>
      <c r="T175" s="9">
        <f t="shared" si="83"/>
        <v>247764.0204413574</v>
      </c>
      <c r="U175" s="10">
        <f t="shared" si="75"/>
        <v>6.7599999999999993E-2</v>
      </c>
      <c r="V175" s="10">
        <f t="shared" si="76"/>
        <v>1.7000000000000001E-2</v>
      </c>
      <c r="W175" s="49">
        <f t="shared" si="84"/>
        <v>8.4599999999999995E-2</v>
      </c>
      <c r="X175" s="11">
        <f t="shared" si="77"/>
        <v>20</v>
      </c>
      <c r="Y175" s="11">
        <f>IF(O175&lt;&gt;"",IF($B$16=listy!$K$8,'RZĄDOWY PROGRAM'!$F$3*'RZĄDOWY PROGRAM'!$F$15,T174*$F$15),"")</f>
        <v>50</v>
      </c>
      <c r="Z175" s="11">
        <f t="shared" si="85"/>
        <v>70</v>
      </c>
      <c r="AB175" s="8">
        <f t="shared" si="86"/>
        <v>148</v>
      </c>
      <c r="AC175" s="8"/>
      <c r="AD175" s="33">
        <f>IF(AB175&lt;&gt;"",ROUND(IF($F$11="raty równe",-PMT(W175/12,$F$4-AB174+SUM($AC$28:AC175),AG174,2),AE175+AF175),2),"")</f>
        <v>3227.69</v>
      </c>
      <c r="AE175" s="11">
        <f>IF(AB175&lt;&gt;"",IF($F$11="raty malejące",AG174/($F$4-AB174+SUM($AC$28:AC174)),MIN(AD175-AF175,AG174)),"")</f>
        <v>1587.5909232882163</v>
      </c>
      <c r="AF175" s="11">
        <f t="shared" si="97"/>
        <v>1640.0990767117837</v>
      </c>
      <c r="AG175" s="9">
        <f t="shared" si="95"/>
        <v>231050.57598618465</v>
      </c>
      <c r="AH175" s="11"/>
      <c r="AI175" s="33">
        <f>IF(AB175&lt;&gt;"",ROUND(IF($F$11="raty równe",-PMT(W175/12,($F$4-AB174+SUM($AC$27:AC174)),AG174,2),AG174/($F$4-AB174+SUM($AC$27:AC174))+AG174*W175/12),2),"")</f>
        <v>3227.69</v>
      </c>
      <c r="AJ175" s="33">
        <f t="shared" si="87"/>
        <v>233.48999999999978</v>
      </c>
      <c r="AK175" s="33">
        <f t="shared" si="88"/>
        <v>41784.308202276683</v>
      </c>
      <c r="AL175" s="33">
        <f>IF(AB175&lt;&gt;"",AK175-SUM($AJ$28:AJ175),"")</f>
        <v>8904.1482022767304</v>
      </c>
      <c r="AM175" s="11">
        <f t="shared" si="89"/>
        <v>20</v>
      </c>
      <c r="AN175" s="11">
        <f>IF(AB175&lt;&gt;"",IF($B$16=listy!$K$8,'RZĄDOWY PROGRAM'!$F$3*'RZĄDOWY PROGRAM'!$F$15,AG174*$F$15),"")</f>
        <v>50</v>
      </c>
      <c r="AO175" s="11">
        <f t="shared" si="90"/>
        <v>70</v>
      </c>
      <c r="AQ175" s="49">
        <f t="shared" si="78"/>
        <v>0.05</v>
      </c>
      <c r="AR175" s="18">
        <f t="shared" si="79"/>
        <v>4.0741237836483535E-3</v>
      </c>
      <c r="AS175" s="11">
        <f t="shared" si="91"/>
        <v>0</v>
      </c>
      <c r="AT175" s="11">
        <f t="shared" si="92"/>
        <v>44031.299912905975</v>
      </c>
      <c r="AU175" s="11">
        <f>IF(AB175&lt;&gt;"",AT175-SUM($AS$28:AS175),"")</f>
        <v>16341.89991290597</v>
      </c>
    </row>
    <row r="176" spans="1:47" ht="14.5" x14ac:dyDescent="0.35">
      <c r="A176" s="76">
        <f t="shared" si="93"/>
        <v>49249</v>
      </c>
      <c r="B176" s="8">
        <f t="shared" si="67"/>
        <v>149</v>
      </c>
      <c r="C176" s="11">
        <f t="shared" si="68"/>
        <v>3461.17</v>
      </c>
      <c r="D176" s="11">
        <f t="shared" si="69"/>
        <v>1813.5478677075823</v>
      </c>
      <c r="E176" s="11">
        <f t="shared" si="70"/>
        <v>1647.6221322924177</v>
      </c>
      <c r="F176" s="9">
        <f t="shared" si="80"/>
        <v>231891.71912412473</v>
      </c>
      <c r="G176" s="10">
        <f t="shared" si="71"/>
        <v>6.7599999999999993E-2</v>
      </c>
      <c r="H176" s="10">
        <f t="shared" si="72"/>
        <v>1.7000000000000001E-2</v>
      </c>
      <c r="I176" s="49">
        <f t="shared" si="73"/>
        <v>8.4599999999999995E-2</v>
      </c>
      <c r="J176" s="11">
        <f t="shared" si="74"/>
        <v>20</v>
      </c>
      <c r="K176" s="11">
        <f>IF(B176&lt;&gt;"",IF($B$16=listy!$K$8,'RZĄDOWY PROGRAM'!$F$3*'RZĄDOWY PROGRAM'!$F$15,F175*$F$15),"")</f>
        <v>50</v>
      </c>
      <c r="L176" s="11">
        <f t="shared" si="81"/>
        <v>70</v>
      </c>
      <c r="N176" s="55">
        <f t="shared" si="94"/>
        <v>49249</v>
      </c>
      <c r="O176" s="8">
        <f t="shared" si="82"/>
        <v>149</v>
      </c>
      <c r="P176" s="8"/>
      <c r="Q176" s="33">
        <f>IF(O176&lt;&gt;"",ROUND(IF($F$11="raty równe",-PMT(W176/12,$F$4-O175+SUM($P$28:P176),T175,2),R176+S176),2),"")</f>
        <v>3461.17</v>
      </c>
      <c r="R176" s="11">
        <f>IF(O176&lt;&gt;"",IF($F$11="raty malejące",T175/($F$4-O175+SUM($P$28:P176)),IF(Q176-S176&gt;T175,T175,Q176-S176)),"")</f>
        <v>1714.4336558884306</v>
      </c>
      <c r="S176" s="11">
        <f t="shared" si="96"/>
        <v>1746.7363441115695</v>
      </c>
      <c r="T176" s="9">
        <f t="shared" si="83"/>
        <v>246049.58678546897</v>
      </c>
      <c r="U176" s="10">
        <f t="shared" si="75"/>
        <v>6.7599999999999993E-2</v>
      </c>
      <c r="V176" s="10">
        <f t="shared" si="76"/>
        <v>1.7000000000000001E-2</v>
      </c>
      <c r="W176" s="49">
        <f t="shared" si="84"/>
        <v>8.4599999999999995E-2</v>
      </c>
      <c r="X176" s="11">
        <f t="shared" si="77"/>
        <v>20</v>
      </c>
      <c r="Y176" s="11">
        <f>IF(O176&lt;&gt;"",IF($B$16=listy!$K$8,'RZĄDOWY PROGRAM'!$F$3*'RZĄDOWY PROGRAM'!$F$15,T175*$F$15),"")</f>
        <v>50</v>
      </c>
      <c r="Z176" s="11">
        <f t="shared" si="85"/>
        <v>70</v>
      </c>
      <c r="AB176" s="8">
        <f t="shared" si="86"/>
        <v>149</v>
      </c>
      <c r="AC176" s="8"/>
      <c r="AD176" s="33">
        <f>IF(AB176&lt;&gt;"",ROUND(IF($F$11="raty równe",-PMT(W176/12,$F$4-AB175+SUM($AC$28:AC176),AG175,2),AE176+AF176),2),"")</f>
        <v>3227.7</v>
      </c>
      <c r="AE176" s="11">
        <f>IF(AB176&lt;&gt;"",IF($F$11="raty malejące",AG175/($F$4-AB175+SUM($AC$28:AC175)),MIN(AD176-AF176,AG175)),"")</f>
        <v>1598.7934392973982</v>
      </c>
      <c r="AF176" s="11">
        <f t="shared" si="97"/>
        <v>1628.9065607026016</v>
      </c>
      <c r="AG176" s="9">
        <f t="shared" si="95"/>
        <v>229451.78254688726</v>
      </c>
      <c r="AH176" s="11"/>
      <c r="AI176" s="33">
        <f>IF(AB176&lt;&gt;"",ROUND(IF($F$11="raty równe",-PMT(W176/12,($F$4-AB175+SUM($AC$27:AC175)),AG175,2),AG175/($F$4-AB175+SUM($AC$27:AC175))+AG175*W176/12),2),"")</f>
        <v>3227.7</v>
      </c>
      <c r="AJ176" s="33">
        <f t="shared" si="87"/>
        <v>233.47000000000025</v>
      </c>
      <c r="AK176" s="33">
        <f t="shared" si="88"/>
        <v>42155.668101779134</v>
      </c>
      <c r="AL176" s="33">
        <f>IF(AB176&lt;&gt;"",AK176-SUM($AJ$28:AJ176),"")</f>
        <v>9042.0381017791806</v>
      </c>
      <c r="AM176" s="11">
        <f t="shared" si="89"/>
        <v>20</v>
      </c>
      <c r="AN176" s="11">
        <f>IF(AB176&lt;&gt;"",IF($B$16=listy!$K$8,'RZĄDOWY PROGRAM'!$F$3*'RZĄDOWY PROGRAM'!$F$15,AG175*$F$15),"")</f>
        <v>50</v>
      </c>
      <c r="AO176" s="11">
        <f t="shared" si="90"/>
        <v>70</v>
      </c>
      <c r="AQ176" s="49">
        <f t="shared" si="78"/>
        <v>0.05</v>
      </c>
      <c r="AR176" s="18">
        <f t="shared" si="79"/>
        <v>4.0741237836483535E-3</v>
      </c>
      <c r="AS176" s="11">
        <f t="shared" si="91"/>
        <v>0</v>
      </c>
      <c r="AT176" s="11">
        <f t="shared" si="92"/>
        <v>44176.604975528076</v>
      </c>
      <c r="AU176" s="11">
        <f>IF(AB176&lt;&gt;"",AT176-SUM($AS$28:AS176),"")</f>
        <v>16487.204975528071</v>
      </c>
    </row>
    <row r="177" spans="1:47" ht="14.5" x14ac:dyDescent="0.35">
      <c r="A177" s="76">
        <f t="shared" si="93"/>
        <v>49279</v>
      </c>
      <c r="B177" s="8">
        <f t="shared" si="67"/>
        <v>150</v>
      </c>
      <c r="C177" s="11">
        <f t="shared" si="68"/>
        <v>3461.18</v>
      </c>
      <c r="D177" s="11">
        <f t="shared" si="69"/>
        <v>1826.3433801749204</v>
      </c>
      <c r="E177" s="11">
        <f t="shared" si="70"/>
        <v>1634.8366198250794</v>
      </c>
      <c r="F177" s="9">
        <f t="shared" si="80"/>
        <v>230065.37574394981</v>
      </c>
      <c r="G177" s="10">
        <f t="shared" si="71"/>
        <v>6.7599999999999993E-2</v>
      </c>
      <c r="H177" s="10">
        <f t="shared" si="72"/>
        <v>1.7000000000000001E-2</v>
      </c>
      <c r="I177" s="49">
        <f t="shared" si="73"/>
        <v>8.4599999999999995E-2</v>
      </c>
      <c r="J177" s="11">
        <f t="shared" si="74"/>
        <v>20</v>
      </c>
      <c r="K177" s="11">
        <f>IF(B177&lt;&gt;"",IF($B$16=listy!$K$8,'RZĄDOWY PROGRAM'!$F$3*'RZĄDOWY PROGRAM'!$F$15,F176*$F$15),"")</f>
        <v>50</v>
      </c>
      <c r="L177" s="11">
        <f t="shared" si="81"/>
        <v>70</v>
      </c>
      <c r="N177" s="55">
        <f t="shared" si="94"/>
        <v>49279</v>
      </c>
      <c r="O177" s="8">
        <f t="shared" si="82"/>
        <v>150</v>
      </c>
      <c r="P177" s="8"/>
      <c r="Q177" s="33">
        <f>IF(O177&lt;&gt;"",ROUND(IF($F$11="raty równe",-PMT(W177/12,$F$4-O176+SUM($P$28:P177),T176,2),R177+S177),2),"")</f>
        <v>3461.18</v>
      </c>
      <c r="R177" s="11">
        <f>IF(O177&lt;&gt;"",IF($F$11="raty malejące",T176/($F$4-O176+SUM($P$28:P177)),IF(Q177-S177&gt;T176,T176,Q177-S177)),"")</f>
        <v>1726.5304131624437</v>
      </c>
      <c r="S177" s="11">
        <f t="shared" si="96"/>
        <v>1734.6495868375562</v>
      </c>
      <c r="T177" s="9">
        <f t="shared" si="83"/>
        <v>244323.05637230651</v>
      </c>
      <c r="U177" s="10">
        <f t="shared" si="75"/>
        <v>6.7599999999999993E-2</v>
      </c>
      <c r="V177" s="10">
        <f t="shared" si="76"/>
        <v>1.7000000000000001E-2</v>
      </c>
      <c r="W177" s="49">
        <f t="shared" si="84"/>
        <v>8.4599999999999995E-2</v>
      </c>
      <c r="X177" s="11">
        <f t="shared" si="77"/>
        <v>20</v>
      </c>
      <c r="Y177" s="11">
        <f>IF(O177&lt;&gt;"",IF($B$16=listy!$K$8,'RZĄDOWY PROGRAM'!$F$3*'RZĄDOWY PROGRAM'!$F$15,T176*$F$15),"")</f>
        <v>50</v>
      </c>
      <c r="Z177" s="11">
        <f t="shared" si="85"/>
        <v>70</v>
      </c>
      <c r="AB177" s="8">
        <f t="shared" si="86"/>
        <v>150</v>
      </c>
      <c r="AC177" s="8"/>
      <c r="AD177" s="33">
        <f>IF(AB177&lt;&gt;"",ROUND(IF($F$11="raty równe",-PMT(W177/12,$F$4-AB176+SUM($AC$28:AC177),AG176,2),AE177+AF177),2),"")</f>
        <v>3227.69</v>
      </c>
      <c r="AE177" s="11">
        <f>IF(AB177&lt;&gt;"",IF($F$11="raty malejące",AG176/($F$4-AB176+SUM($AC$28:AC176)),MIN(AD177-AF177,AG176)),"")</f>
        <v>1610.0549330444451</v>
      </c>
      <c r="AF177" s="11">
        <f t="shared" si="97"/>
        <v>1617.635066955555</v>
      </c>
      <c r="AG177" s="9">
        <f t="shared" si="95"/>
        <v>227841.72761384281</v>
      </c>
      <c r="AH177" s="11"/>
      <c r="AI177" s="33">
        <f>IF(AB177&lt;&gt;"",ROUND(IF($F$11="raty równe",-PMT(W177/12,($F$4-AB176+SUM($AC$27:AC176)),AG176,2),AG176/($F$4-AB176+SUM($AC$27:AC176))+AG176*W177/12),2),"")</f>
        <v>3227.69</v>
      </c>
      <c r="AJ177" s="33">
        <f t="shared" si="87"/>
        <v>233.48999999999978</v>
      </c>
      <c r="AK177" s="33">
        <f t="shared" si="88"/>
        <v>42528.273503902659</v>
      </c>
      <c r="AL177" s="33">
        <f>IF(AB177&lt;&gt;"",AK177-SUM($AJ$28:AJ177),"")</f>
        <v>9181.1535039027076</v>
      </c>
      <c r="AM177" s="11">
        <f t="shared" si="89"/>
        <v>20</v>
      </c>
      <c r="AN177" s="11">
        <f>IF(AB177&lt;&gt;"",IF($B$16=listy!$K$8,'RZĄDOWY PROGRAM'!$F$3*'RZĄDOWY PROGRAM'!$F$15,AG176*$F$15),"")</f>
        <v>50</v>
      </c>
      <c r="AO177" s="11">
        <f t="shared" si="90"/>
        <v>70</v>
      </c>
      <c r="AQ177" s="49">
        <f t="shared" si="78"/>
        <v>0.05</v>
      </c>
      <c r="AR177" s="18">
        <f t="shared" si="79"/>
        <v>4.0741237836483535E-3</v>
      </c>
      <c r="AS177" s="11">
        <f t="shared" si="91"/>
        <v>0</v>
      </c>
      <c r="AT177" s="11">
        <f t="shared" si="92"/>
        <v>44322.389550707499</v>
      </c>
      <c r="AU177" s="11">
        <f>IF(AB177&lt;&gt;"",AT177-SUM($AS$28:AS177),"")</f>
        <v>16632.989550707494</v>
      </c>
    </row>
    <row r="178" spans="1:47" ht="14.5" x14ac:dyDescent="0.35">
      <c r="A178" s="76">
        <f t="shared" si="93"/>
        <v>49310</v>
      </c>
      <c r="B178" s="8">
        <f t="shared" si="67"/>
        <v>151</v>
      </c>
      <c r="C178" s="11">
        <f t="shared" si="68"/>
        <v>3461.17</v>
      </c>
      <c r="D178" s="11">
        <f t="shared" si="69"/>
        <v>1839.2091010051538</v>
      </c>
      <c r="E178" s="11">
        <f t="shared" si="70"/>
        <v>1621.9608989948463</v>
      </c>
      <c r="F178" s="9">
        <f t="shared" si="80"/>
        <v>228226.16664294465</v>
      </c>
      <c r="G178" s="10">
        <f t="shared" si="71"/>
        <v>6.7599999999999993E-2</v>
      </c>
      <c r="H178" s="10">
        <f t="shared" si="72"/>
        <v>1.7000000000000001E-2</v>
      </c>
      <c r="I178" s="49">
        <f t="shared" si="73"/>
        <v>8.4599999999999995E-2</v>
      </c>
      <c r="J178" s="11">
        <f t="shared" si="74"/>
        <v>20</v>
      </c>
      <c r="K178" s="11">
        <f>IF(B178&lt;&gt;"",IF($B$16=listy!$K$8,'RZĄDOWY PROGRAM'!$F$3*'RZĄDOWY PROGRAM'!$F$15,F177*$F$15),"")</f>
        <v>50</v>
      </c>
      <c r="L178" s="11">
        <f t="shared" si="81"/>
        <v>70</v>
      </c>
      <c r="N178" s="55">
        <f t="shared" si="94"/>
        <v>49310</v>
      </c>
      <c r="O178" s="8">
        <f t="shared" si="82"/>
        <v>151</v>
      </c>
      <c r="P178" s="8"/>
      <c r="Q178" s="33">
        <f>IF(O178&lt;&gt;"",ROUND(IF($F$11="raty równe",-PMT(W178/12,$F$4-O177+SUM($P$28:P178),T177,2),R178+S178),2),"")</f>
        <v>3461.17</v>
      </c>
      <c r="R178" s="11">
        <f>IF(O178&lt;&gt;"",IF($F$11="raty malejące",T177/($F$4-O177+SUM($P$28:P178)),IF(Q178-S178&gt;T177,T177,Q178-S178)),"")</f>
        <v>1738.6924525752393</v>
      </c>
      <c r="S178" s="11">
        <f t="shared" si="96"/>
        <v>1722.4775474247608</v>
      </c>
      <c r="T178" s="9">
        <f t="shared" si="83"/>
        <v>242584.36391973129</v>
      </c>
      <c r="U178" s="10">
        <f t="shared" si="75"/>
        <v>6.7599999999999993E-2</v>
      </c>
      <c r="V178" s="10">
        <f t="shared" si="76"/>
        <v>1.7000000000000001E-2</v>
      </c>
      <c r="W178" s="49">
        <f t="shared" si="84"/>
        <v>8.4599999999999995E-2</v>
      </c>
      <c r="X178" s="11">
        <f t="shared" si="77"/>
        <v>20</v>
      </c>
      <c r="Y178" s="11">
        <f>IF(O178&lt;&gt;"",IF($B$16=listy!$K$8,'RZĄDOWY PROGRAM'!$F$3*'RZĄDOWY PROGRAM'!$F$15,T177*$F$15),"")</f>
        <v>50</v>
      </c>
      <c r="Z178" s="11">
        <f t="shared" si="85"/>
        <v>70</v>
      </c>
      <c r="AB178" s="8">
        <f t="shared" si="86"/>
        <v>151</v>
      </c>
      <c r="AC178" s="8"/>
      <c r="AD178" s="33">
        <f>IF(AB178&lt;&gt;"",ROUND(IF($F$11="raty równe",-PMT(W178/12,$F$4-AB177+SUM($AC$28:AC178),AG177,2),AE178+AF178),2),"")</f>
        <v>3227.7</v>
      </c>
      <c r="AE178" s="11">
        <f>IF(AB178&lt;&gt;"",IF($F$11="raty malejące",AG177/($F$4-AB177+SUM($AC$28:AC177)),MIN(AD178-AF178,AG177)),"")</f>
        <v>1621.4158203224081</v>
      </c>
      <c r="AF178" s="11">
        <f t="shared" si="97"/>
        <v>1606.2841796775917</v>
      </c>
      <c r="AG178" s="9">
        <f t="shared" si="95"/>
        <v>226220.31179352041</v>
      </c>
      <c r="AH178" s="11"/>
      <c r="AI178" s="33">
        <f>IF(AB178&lt;&gt;"",ROUND(IF($F$11="raty równe",-PMT(W178/12,($F$4-AB177+SUM($AC$27:AC177)),AG177,2),AG177/($F$4-AB177+SUM($AC$27:AC177))+AG177*W178/12),2),"")</f>
        <v>3227.7</v>
      </c>
      <c r="AJ178" s="33">
        <f t="shared" si="87"/>
        <v>233.47000000000025</v>
      </c>
      <c r="AK178" s="33">
        <f t="shared" si="88"/>
        <v>42902.088518856057</v>
      </c>
      <c r="AL178" s="33">
        <f>IF(AB178&lt;&gt;"",AK178-SUM($AJ$28:AJ178),"")</f>
        <v>9321.4985188561041</v>
      </c>
      <c r="AM178" s="11">
        <f t="shared" si="89"/>
        <v>20</v>
      </c>
      <c r="AN178" s="11">
        <f>IF(AB178&lt;&gt;"",IF($B$16=listy!$K$8,'RZĄDOWY PROGRAM'!$F$3*'RZĄDOWY PROGRAM'!$F$15,AG177*$F$15),"")</f>
        <v>50</v>
      </c>
      <c r="AO178" s="11">
        <f t="shared" si="90"/>
        <v>70</v>
      </c>
      <c r="AQ178" s="49">
        <f t="shared" si="78"/>
        <v>0.05</v>
      </c>
      <c r="AR178" s="18">
        <f t="shared" si="79"/>
        <v>4.0741237836483535E-3</v>
      </c>
      <c r="AS178" s="11">
        <f t="shared" si="91"/>
        <v>0</v>
      </c>
      <c r="AT178" s="11">
        <f t="shared" si="92"/>
        <v>44468.655220854998</v>
      </c>
      <c r="AU178" s="11">
        <f>IF(AB178&lt;&gt;"",AT178-SUM($AS$28:AS178),"")</f>
        <v>16779.255220854993</v>
      </c>
    </row>
    <row r="179" spans="1:47" ht="14.5" x14ac:dyDescent="0.35">
      <c r="A179" s="76">
        <f t="shared" si="93"/>
        <v>49341</v>
      </c>
      <c r="B179" s="8">
        <f t="shared" si="67"/>
        <v>152</v>
      </c>
      <c r="C179" s="11">
        <f t="shared" si="68"/>
        <v>3461.18</v>
      </c>
      <c r="D179" s="11">
        <f t="shared" si="69"/>
        <v>1852.18552516724</v>
      </c>
      <c r="E179" s="11">
        <f t="shared" si="70"/>
        <v>1608.9944748327598</v>
      </c>
      <c r="F179" s="9">
        <f t="shared" si="80"/>
        <v>226373.98111777741</v>
      </c>
      <c r="G179" s="10">
        <f t="shared" si="71"/>
        <v>6.7599999999999993E-2</v>
      </c>
      <c r="H179" s="10">
        <f t="shared" si="72"/>
        <v>1.7000000000000001E-2</v>
      </c>
      <c r="I179" s="49">
        <f t="shared" si="73"/>
        <v>8.4599999999999995E-2</v>
      </c>
      <c r="J179" s="11">
        <f t="shared" si="74"/>
        <v>20</v>
      </c>
      <c r="K179" s="11">
        <f>IF(B179&lt;&gt;"",IF($B$16=listy!$K$8,'RZĄDOWY PROGRAM'!$F$3*'RZĄDOWY PROGRAM'!$F$15,F178*$F$15),"")</f>
        <v>50</v>
      </c>
      <c r="L179" s="11">
        <f t="shared" si="81"/>
        <v>70</v>
      </c>
      <c r="N179" s="55">
        <f t="shared" si="94"/>
        <v>49341</v>
      </c>
      <c r="O179" s="8">
        <f t="shared" si="82"/>
        <v>152</v>
      </c>
      <c r="P179" s="8"/>
      <c r="Q179" s="33">
        <f>IF(O179&lt;&gt;"",ROUND(IF($F$11="raty równe",-PMT(W179/12,$F$4-O178+SUM($P$28:P179),T178,2),R179+S179),2),"")</f>
        <v>3461.18</v>
      </c>
      <c r="R179" s="11">
        <f>IF(O179&lt;&gt;"",IF($F$11="raty malejące",T178/($F$4-O178+SUM($P$28:P179)),IF(Q179-S179&gt;T178,T178,Q179-S179)),"")</f>
        <v>1750.9602343658942</v>
      </c>
      <c r="S179" s="11">
        <f t="shared" si="96"/>
        <v>1710.2197656341057</v>
      </c>
      <c r="T179" s="9">
        <f t="shared" si="83"/>
        <v>240833.4036853654</v>
      </c>
      <c r="U179" s="10">
        <f t="shared" si="75"/>
        <v>6.7599999999999993E-2</v>
      </c>
      <c r="V179" s="10">
        <f t="shared" si="76"/>
        <v>1.7000000000000001E-2</v>
      </c>
      <c r="W179" s="49">
        <f t="shared" si="84"/>
        <v>8.4599999999999995E-2</v>
      </c>
      <c r="X179" s="11">
        <f t="shared" si="77"/>
        <v>20</v>
      </c>
      <c r="Y179" s="11">
        <f>IF(O179&lt;&gt;"",IF($B$16=listy!$K$8,'RZĄDOWY PROGRAM'!$F$3*'RZĄDOWY PROGRAM'!$F$15,T178*$F$15),"")</f>
        <v>50</v>
      </c>
      <c r="Z179" s="11">
        <f t="shared" si="85"/>
        <v>70</v>
      </c>
      <c r="AB179" s="8">
        <f t="shared" si="86"/>
        <v>152</v>
      </c>
      <c r="AC179" s="8"/>
      <c r="AD179" s="33">
        <f>IF(AB179&lt;&gt;"",ROUND(IF($F$11="raty równe",-PMT(W179/12,$F$4-AB178+SUM($AC$28:AC179),AG178,2),AE179+AF179),2),"")</f>
        <v>3227.69</v>
      </c>
      <c r="AE179" s="11">
        <f>IF(AB179&lt;&gt;"",IF($F$11="raty malejące",AG178/($F$4-AB178+SUM($AC$28:AC178)),MIN(AD179-AF179,AG178)),"")</f>
        <v>1632.8368018556814</v>
      </c>
      <c r="AF179" s="11">
        <f t="shared" si="97"/>
        <v>1594.8531981443186</v>
      </c>
      <c r="AG179" s="9">
        <f t="shared" si="95"/>
        <v>224587.47499166473</v>
      </c>
      <c r="AH179" s="11"/>
      <c r="AI179" s="33">
        <f>IF(AB179&lt;&gt;"",ROUND(IF($F$11="raty równe",-PMT(W179/12,($F$4-AB178+SUM($AC$27:AC178)),AG178,2),AG178/($F$4-AB178+SUM($AC$27:AC178))+AG178*W179/12),2),"")</f>
        <v>3227.69</v>
      </c>
      <c r="AJ179" s="33">
        <f t="shared" si="87"/>
        <v>233.48999999999978</v>
      </c>
      <c r="AK179" s="33">
        <f t="shared" si="88"/>
        <v>43277.157138410374</v>
      </c>
      <c r="AL179" s="33">
        <f>IF(AB179&lt;&gt;"",AK179-SUM($AJ$28:AJ179),"")</f>
        <v>9463.0771384104228</v>
      </c>
      <c r="AM179" s="11">
        <f t="shared" si="89"/>
        <v>20</v>
      </c>
      <c r="AN179" s="11">
        <f>IF(AB179&lt;&gt;"",IF($B$16=listy!$K$8,'RZĄDOWY PROGRAM'!$F$3*'RZĄDOWY PROGRAM'!$F$15,AG178*$F$15),"")</f>
        <v>50</v>
      </c>
      <c r="AO179" s="11">
        <f t="shared" si="90"/>
        <v>70</v>
      </c>
      <c r="AQ179" s="49">
        <f t="shared" si="78"/>
        <v>0.05</v>
      </c>
      <c r="AR179" s="18">
        <f t="shared" si="79"/>
        <v>4.0741237836483535E-3</v>
      </c>
      <c r="AS179" s="11">
        <f t="shared" si="91"/>
        <v>0</v>
      </c>
      <c r="AT179" s="11">
        <f t="shared" si="92"/>
        <v>44615.403573603333</v>
      </c>
      <c r="AU179" s="11">
        <f>IF(AB179&lt;&gt;"",AT179-SUM($AS$28:AS179),"")</f>
        <v>16926.003573603328</v>
      </c>
    </row>
    <row r="180" spans="1:47" ht="14.5" x14ac:dyDescent="0.35">
      <c r="A180" s="76">
        <f t="shared" si="93"/>
        <v>49369</v>
      </c>
      <c r="B180" s="8">
        <f t="shared" si="67"/>
        <v>153</v>
      </c>
      <c r="C180" s="11">
        <f t="shared" si="68"/>
        <v>3461.17</v>
      </c>
      <c r="D180" s="11">
        <f t="shared" si="69"/>
        <v>1865.2334331196696</v>
      </c>
      <c r="E180" s="11">
        <f t="shared" si="70"/>
        <v>1595.9365668803305</v>
      </c>
      <c r="F180" s="9">
        <f t="shared" si="80"/>
        <v>224508.74768465775</v>
      </c>
      <c r="G180" s="10">
        <f t="shared" si="71"/>
        <v>6.7599999999999993E-2</v>
      </c>
      <c r="H180" s="10">
        <f t="shared" si="72"/>
        <v>1.7000000000000001E-2</v>
      </c>
      <c r="I180" s="49">
        <f t="shared" si="73"/>
        <v>8.4599999999999995E-2</v>
      </c>
      <c r="J180" s="11">
        <f t="shared" si="74"/>
        <v>20</v>
      </c>
      <c r="K180" s="11">
        <f>IF(B180&lt;&gt;"",IF($B$16=listy!$K$8,'RZĄDOWY PROGRAM'!$F$3*'RZĄDOWY PROGRAM'!$F$15,F179*$F$15),"")</f>
        <v>50</v>
      </c>
      <c r="L180" s="11">
        <f t="shared" si="81"/>
        <v>70</v>
      </c>
      <c r="N180" s="55">
        <f t="shared" si="94"/>
        <v>49369</v>
      </c>
      <c r="O180" s="8">
        <f t="shared" si="82"/>
        <v>153</v>
      </c>
      <c r="P180" s="8"/>
      <c r="Q180" s="33">
        <f>IF(O180&lt;&gt;"",ROUND(IF($F$11="raty równe",-PMT(W180/12,$F$4-O179+SUM($P$28:P180),T179,2),R180+S180),2),"")</f>
        <v>3461.17</v>
      </c>
      <c r="R180" s="11">
        <f>IF(O180&lt;&gt;"",IF($F$11="raty malejące",T179/($F$4-O179+SUM($P$28:P180)),IF(Q180-S180&gt;T179,T179,Q180-S180)),"")</f>
        <v>1763.2945040181742</v>
      </c>
      <c r="S180" s="11">
        <f t="shared" si="96"/>
        <v>1697.8754959818259</v>
      </c>
      <c r="T180" s="9">
        <f t="shared" si="83"/>
        <v>239070.10918134722</v>
      </c>
      <c r="U180" s="10">
        <f t="shared" si="75"/>
        <v>6.7599999999999993E-2</v>
      </c>
      <c r="V180" s="10">
        <f t="shared" si="76"/>
        <v>1.7000000000000001E-2</v>
      </c>
      <c r="W180" s="49">
        <f t="shared" si="84"/>
        <v>8.4599999999999995E-2</v>
      </c>
      <c r="X180" s="11">
        <f t="shared" si="77"/>
        <v>20</v>
      </c>
      <c r="Y180" s="11">
        <f>IF(O180&lt;&gt;"",IF($B$16=listy!$K$8,'RZĄDOWY PROGRAM'!$F$3*'RZĄDOWY PROGRAM'!$F$15,T179*$F$15),"")</f>
        <v>50</v>
      </c>
      <c r="Z180" s="11">
        <f t="shared" si="85"/>
        <v>70</v>
      </c>
      <c r="AB180" s="8">
        <f t="shared" si="86"/>
        <v>153</v>
      </c>
      <c r="AC180" s="8"/>
      <c r="AD180" s="33">
        <f>IF(AB180&lt;&gt;"",ROUND(IF($F$11="raty równe",-PMT(W180/12,$F$4-AB179+SUM($AC$28:AC180),AG179,2),AE180+AF180),2),"")</f>
        <v>3227.7</v>
      </c>
      <c r="AE180" s="11">
        <f>IF(AB180&lt;&gt;"",IF($F$11="raty malejące",AG179/($F$4-AB179+SUM($AC$28:AC179)),MIN(AD180-AF180,AG179)),"")</f>
        <v>1644.3583013087637</v>
      </c>
      <c r="AF180" s="11">
        <f t="shared" si="97"/>
        <v>1583.3416986912362</v>
      </c>
      <c r="AG180" s="9">
        <f t="shared" si="95"/>
        <v>222943.11669035596</v>
      </c>
      <c r="AH180" s="11"/>
      <c r="AI180" s="33">
        <f>IF(AB180&lt;&gt;"",ROUND(IF($F$11="raty równe",-PMT(W180/12,($F$4-AB179+SUM($AC$27:AC179)),AG179,2),AG179/($F$4-AB179+SUM($AC$27:AC179))+AG179*W180/12),2),"")</f>
        <v>3227.7</v>
      </c>
      <c r="AJ180" s="33">
        <f t="shared" si="87"/>
        <v>233.47000000000025</v>
      </c>
      <c r="AK180" s="33">
        <f t="shared" si="88"/>
        <v>43653.443499511268</v>
      </c>
      <c r="AL180" s="33">
        <f>IF(AB180&lt;&gt;"",AK180-SUM($AJ$28:AJ180),"")</f>
        <v>9605.8934995113159</v>
      </c>
      <c r="AM180" s="11">
        <f t="shared" si="89"/>
        <v>20</v>
      </c>
      <c r="AN180" s="11">
        <f>IF(AB180&lt;&gt;"",IF($B$16=listy!$K$8,'RZĄDOWY PROGRAM'!$F$3*'RZĄDOWY PROGRAM'!$F$15,AG179*$F$15),"")</f>
        <v>50</v>
      </c>
      <c r="AO180" s="11">
        <f t="shared" si="90"/>
        <v>70</v>
      </c>
      <c r="AQ180" s="49">
        <f t="shared" si="78"/>
        <v>0.05</v>
      </c>
      <c r="AR180" s="18">
        <f t="shared" si="79"/>
        <v>4.0741237836483535E-3</v>
      </c>
      <c r="AS180" s="11">
        <f t="shared" si="91"/>
        <v>0</v>
      </c>
      <c r="AT180" s="11">
        <f t="shared" si="92"/>
        <v>44762.636201824527</v>
      </c>
      <c r="AU180" s="11">
        <f>IF(AB180&lt;&gt;"",AT180-SUM($AS$28:AS180),"")</f>
        <v>17073.236201824522</v>
      </c>
    </row>
    <row r="181" spans="1:47" ht="14.5" x14ac:dyDescent="0.35">
      <c r="A181" s="76">
        <f t="shared" si="93"/>
        <v>49400</v>
      </c>
      <c r="B181" s="8">
        <f t="shared" si="67"/>
        <v>154</v>
      </c>
      <c r="C181" s="11">
        <f t="shared" si="68"/>
        <v>3461.18</v>
      </c>
      <c r="D181" s="11">
        <f t="shared" si="69"/>
        <v>1878.3933288231626</v>
      </c>
      <c r="E181" s="11">
        <f t="shared" si="70"/>
        <v>1582.7866711768372</v>
      </c>
      <c r="F181" s="9">
        <f t="shared" si="80"/>
        <v>222630.3543558346</v>
      </c>
      <c r="G181" s="10">
        <f t="shared" si="71"/>
        <v>6.7599999999999993E-2</v>
      </c>
      <c r="H181" s="10">
        <f t="shared" si="72"/>
        <v>1.7000000000000001E-2</v>
      </c>
      <c r="I181" s="49">
        <f t="shared" si="73"/>
        <v>8.4599999999999995E-2</v>
      </c>
      <c r="J181" s="11">
        <f t="shared" si="74"/>
        <v>20</v>
      </c>
      <c r="K181" s="11">
        <f>IF(B181&lt;&gt;"",IF($B$16=listy!$K$8,'RZĄDOWY PROGRAM'!$F$3*'RZĄDOWY PROGRAM'!$F$15,F180*$F$15),"")</f>
        <v>50</v>
      </c>
      <c r="L181" s="11">
        <f t="shared" si="81"/>
        <v>70</v>
      </c>
      <c r="N181" s="55">
        <f t="shared" si="94"/>
        <v>49400</v>
      </c>
      <c r="O181" s="8">
        <f t="shared" si="82"/>
        <v>154</v>
      </c>
      <c r="P181" s="8"/>
      <c r="Q181" s="33">
        <f>IF(O181&lt;&gt;"",ROUND(IF($F$11="raty równe",-PMT(W181/12,$F$4-O180+SUM($P$28:P181),T180,2),R181+S181),2),"")</f>
        <v>3461.18</v>
      </c>
      <c r="R181" s="11">
        <f>IF(O181&lt;&gt;"",IF($F$11="raty malejące",T180/($F$4-O180+SUM($P$28:P181)),IF(Q181-S181&gt;T180,T180,Q181-S181)),"")</f>
        <v>1775.735730271502</v>
      </c>
      <c r="S181" s="11">
        <f t="shared" si="96"/>
        <v>1685.4442697284978</v>
      </c>
      <c r="T181" s="9">
        <f t="shared" si="83"/>
        <v>237294.37345107572</v>
      </c>
      <c r="U181" s="10">
        <f t="shared" si="75"/>
        <v>6.7599999999999993E-2</v>
      </c>
      <c r="V181" s="10">
        <f t="shared" si="76"/>
        <v>1.7000000000000001E-2</v>
      </c>
      <c r="W181" s="49">
        <f t="shared" si="84"/>
        <v>8.4599999999999995E-2</v>
      </c>
      <c r="X181" s="11">
        <f t="shared" si="77"/>
        <v>20</v>
      </c>
      <c r="Y181" s="11">
        <f>IF(O181&lt;&gt;"",IF($B$16=listy!$K$8,'RZĄDOWY PROGRAM'!$F$3*'RZĄDOWY PROGRAM'!$F$15,T180*$F$15),"")</f>
        <v>50</v>
      </c>
      <c r="Z181" s="11">
        <f t="shared" si="85"/>
        <v>70</v>
      </c>
      <c r="AB181" s="8">
        <f t="shared" si="86"/>
        <v>154</v>
      </c>
      <c r="AC181" s="8"/>
      <c r="AD181" s="33">
        <f>IF(AB181&lt;&gt;"",ROUND(IF($F$11="raty równe",-PMT(W181/12,$F$4-AB180+SUM($AC$28:AC181),AG180,2),AE181+AF181),2),"")</f>
        <v>3227.69</v>
      </c>
      <c r="AE181" s="11">
        <f>IF(AB181&lt;&gt;"",IF($F$11="raty malejące",AG180/($F$4-AB180+SUM($AC$28:AC180)),MIN(AD181-AF181,AG180)),"")</f>
        <v>1655.9410273329906</v>
      </c>
      <c r="AF181" s="11">
        <f t="shared" si="97"/>
        <v>1571.7489726670094</v>
      </c>
      <c r="AG181" s="9">
        <f t="shared" si="95"/>
        <v>221287.17566302296</v>
      </c>
      <c r="AH181" s="11"/>
      <c r="AI181" s="33">
        <f>IF(AB181&lt;&gt;"",ROUND(IF($F$11="raty równe",-PMT(W181/12,($F$4-AB180+SUM($AC$27:AC180)),AG180,2),AG180/($F$4-AB180+SUM($AC$27:AC180))+AG180*W181/12),2),"")</f>
        <v>3227.69</v>
      </c>
      <c r="AJ181" s="33">
        <f t="shared" si="87"/>
        <v>233.48999999999978</v>
      </c>
      <c r="AK181" s="33">
        <f t="shared" si="88"/>
        <v>44030.991620754867</v>
      </c>
      <c r="AL181" s="33">
        <f>IF(AB181&lt;&gt;"",AK181-SUM($AJ$28:AJ181),"")</f>
        <v>9749.9516207549168</v>
      </c>
      <c r="AM181" s="11">
        <f t="shared" si="89"/>
        <v>20</v>
      </c>
      <c r="AN181" s="11">
        <f>IF(AB181&lt;&gt;"",IF($B$16=listy!$K$8,'RZĄDOWY PROGRAM'!$F$3*'RZĄDOWY PROGRAM'!$F$15,AG180*$F$15),"")</f>
        <v>50</v>
      </c>
      <c r="AO181" s="11">
        <f t="shared" si="90"/>
        <v>70</v>
      </c>
      <c r="AQ181" s="49">
        <f t="shared" si="78"/>
        <v>0.05</v>
      </c>
      <c r="AR181" s="18">
        <f t="shared" si="79"/>
        <v>4.0741237836483535E-3</v>
      </c>
      <c r="AS181" s="11">
        <f t="shared" si="91"/>
        <v>0</v>
      </c>
      <c r="AT181" s="11">
        <f t="shared" si="92"/>
        <v>44910.354703647135</v>
      </c>
      <c r="AU181" s="11">
        <f>IF(AB181&lt;&gt;"",AT181-SUM($AS$28:AS181),"")</f>
        <v>17220.95470364713</v>
      </c>
    </row>
    <row r="182" spans="1:47" ht="14.5" x14ac:dyDescent="0.35">
      <c r="A182" s="76">
        <f t="shared" si="93"/>
        <v>49430</v>
      </c>
      <c r="B182" s="8">
        <f t="shared" si="67"/>
        <v>155</v>
      </c>
      <c r="C182" s="11">
        <f t="shared" si="68"/>
        <v>3461.17</v>
      </c>
      <c r="D182" s="11">
        <f t="shared" si="69"/>
        <v>1891.6260017913662</v>
      </c>
      <c r="E182" s="11">
        <f t="shared" si="70"/>
        <v>1569.5439982086339</v>
      </c>
      <c r="F182" s="9">
        <f t="shared" si="80"/>
        <v>220738.72835404324</v>
      </c>
      <c r="G182" s="10">
        <f t="shared" si="71"/>
        <v>6.7599999999999993E-2</v>
      </c>
      <c r="H182" s="10">
        <f t="shared" si="72"/>
        <v>1.7000000000000001E-2</v>
      </c>
      <c r="I182" s="49">
        <f t="shared" si="73"/>
        <v>8.4599999999999995E-2</v>
      </c>
      <c r="J182" s="11">
        <f t="shared" si="74"/>
        <v>20</v>
      </c>
      <c r="K182" s="11">
        <f>IF(B182&lt;&gt;"",IF($B$16=listy!$K$8,'RZĄDOWY PROGRAM'!$F$3*'RZĄDOWY PROGRAM'!$F$15,F181*$F$15),"")</f>
        <v>50</v>
      </c>
      <c r="L182" s="11">
        <f t="shared" si="81"/>
        <v>70</v>
      </c>
      <c r="N182" s="55">
        <f t="shared" si="94"/>
        <v>49430</v>
      </c>
      <c r="O182" s="8">
        <f t="shared" si="82"/>
        <v>155</v>
      </c>
      <c r="P182" s="8"/>
      <c r="Q182" s="33">
        <f>IF(O182&lt;&gt;"",ROUND(IF($F$11="raty równe",-PMT(W182/12,$F$4-O181+SUM($P$28:P182),T181,2),R182+S182),2),"")</f>
        <v>3461.17</v>
      </c>
      <c r="R182" s="11">
        <f>IF(O182&lt;&gt;"",IF($F$11="raty malejące",T181/($F$4-O181+SUM($P$28:P182)),IF(Q182-S182&gt;T181,T181,Q182-S182)),"")</f>
        <v>1788.2446671699163</v>
      </c>
      <c r="S182" s="11">
        <f t="shared" si="96"/>
        <v>1672.9253328300838</v>
      </c>
      <c r="T182" s="9">
        <f t="shared" si="83"/>
        <v>235506.12878390579</v>
      </c>
      <c r="U182" s="10">
        <f t="shared" si="75"/>
        <v>6.7599999999999993E-2</v>
      </c>
      <c r="V182" s="10">
        <f t="shared" si="76"/>
        <v>1.7000000000000001E-2</v>
      </c>
      <c r="W182" s="49">
        <f t="shared" si="84"/>
        <v>8.4599999999999995E-2</v>
      </c>
      <c r="X182" s="11">
        <f t="shared" si="77"/>
        <v>20</v>
      </c>
      <c r="Y182" s="11">
        <f>IF(O182&lt;&gt;"",IF($B$16=listy!$K$8,'RZĄDOWY PROGRAM'!$F$3*'RZĄDOWY PROGRAM'!$F$15,T181*$F$15),"")</f>
        <v>50</v>
      </c>
      <c r="Z182" s="11">
        <f t="shared" si="85"/>
        <v>70</v>
      </c>
      <c r="AB182" s="8">
        <f t="shared" si="86"/>
        <v>155</v>
      </c>
      <c r="AC182" s="8"/>
      <c r="AD182" s="33">
        <f>IF(AB182&lt;&gt;"",ROUND(IF($F$11="raty równe",-PMT(W182/12,$F$4-AB181+SUM($AC$28:AC182),AG181,2),AE182+AF182),2),"")</f>
        <v>3227.7</v>
      </c>
      <c r="AE182" s="11">
        <f>IF(AB182&lt;&gt;"",IF($F$11="raty malejące",AG181/($F$4-AB181+SUM($AC$28:AC181)),MIN(AD182-AF182,AG181)),"")</f>
        <v>1667.6254115756881</v>
      </c>
      <c r="AF182" s="11">
        <f t="shared" si="97"/>
        <v>1560.0745884243117</v>
      </c>
      <c r="AG182" s="9">
        <f t="shared" si="95"/>
        <v>219619.55025144728</v>
      </c>
      <c r="AH182" s="11"/>
      <c r="AI182" s="33">
        <f>IF(AB182&lt;&gt;"",ROUND(IF($F$11="raty równe",-PMT(W182/12,($F$4-AB181+SUM($AC$27:AC181)),AG181,2),AG181/($F$4-AB181+SUM($AC$27:AC181))+AG181*W182/12),2),"")</f>
        <v>3227.7</v>
      </c>
      <c r="AJ182" s="33">
        <f t="shared" si="87"/>
        <v>233.47000000000025</v>
      </c>
      <c r="AK182" s="33">
        <f t="shared" si="88"/>
        <v>44409.765666000458</v>
      </c>
      <c r="AL182" s="33">
        <f>IF(AB182&lt;&gt;"",AK182-SUM($AJ$28:AJ182),"")</f>
        <v>9895.2556660005066</v>
      </c>
      <c r="AM182" s="11">
        <f t="shared" si="89"/>
        <v>20</v>
      </c>
      <c r="AN182" s="11">
        <f>IF(AB182&lt;&gt;"",IF($B$16=listy!$K$8,'RZĄDOWY PROGRAM'!$F$3*'RZĄDOWY PROGRAM'!$F$15,AG181*$F$15),"")</f>
        <v>50</v>
      </c>
      <c r="AO182" s="11">
        <f t="shared" si="90"/>
        <v>70</v>
      </c>
      <c r="AQ182" s="49">
        <f t="shared" si="78"/>
        <v>0.05</v>
      </c>
      <c r="AR182" s="18">
        <f t="shared" si="79"/>
        <v>4.0741237836483535E-3</v>
      </c>
      <c r="AS182" s="11">
        <f t="shared" si="91"/>
        <v>0</v>
      </c>
      <c r="AT182" s="11">
        <f t="shared" si="92"/>
        <v>45058.56068247361</v>
      </c>
      <c r="AU182" s="11">
        <f>IF(AB182&lt;&gt;"",AT182-SUM($AS$28:AS182),"")</f>
        <v>17369.160682473605</v>
      </c>
    </row>
    <row r="183" spans="1:47" ht="14.5" x14ac:dyDescent="0.35">
      <c r="A183" s="76">
        <f t="shared" si="93"/>
        <v>49461</v>
      </c>
      <c r="B183" s="8">
        <f t="shared" si="67"/>
        <v>156</v>
      </c>
      <c r="C183" s="11">
        <f t="shared" si="68"/>
        <v>3461.18</v>
      </c>
      <c r="D183" s="11">
        <f t="shared" si="69"/>
        <v>1904.9719651039952</v>
      </c>
      <c r="E183" s="11">
        <f t="shared" si="70"/>
        <v>1556.2080348960046</v>
      </c>
      <c r="F183" s="9">
        <f t="shared" si="80"/>
        <v>218833.75638893925</v>
      </c>
      <c r="G183" s="10">
        <f t="shared" si="71"/>
        <v>6.7599999999999993E-2</v>
      </c>
      <c r="H183" s="10">
        <f t="shared" si="72"/>
        <v>1.7000000000000001E-2</v>
      </c>
      <c r="I183" s="49">
        <f t="shared" si="73"/>
        <v>8.4599999999999995E-2</v>
      </c>
      <c r="J183" s="11">
        <f t="shared" si="74"/>
        <v>20</v>
      </c>
      <c r="K183" s="11">
        <f>IF(B183&lt;&gt;"",IF($B$16=listy!$K$8,'RZĄDOWY PROGRAM'!$F$3*'RZĄDOWY PROGRAM'!$F$15,F182*$F$15),"")</f>
        <v>50</v>
      </c>
      <c r="L183" s="11">
        <f t="shared" si="81"/>
        <v>70</v>
      </c>
      <c r="N183" s="55">
        <f t="shared" si="94"/>
        <v>49461</v>
      </c>
      <c r="O183" s="8">
        <f t="shared" si="82"/>
        <v>156</v>
      </c>
      <c r="P183" s="8"/>
      <c r="Q183" s="33">
        <f>IF(O183&lt;&gt;"",ROUND(IF($F$11="raty równe",-PMT(W183/12,$F$4-O182+SUM($P$28:P183),T182,2),R183+S183),2),"")</f>
        <v>3461.18</v>
      </c>
      <c r="R183" s="11">
        <f>IF(O183&lt;&gt;"",IF($F$11="raty malejące",T182/($F$4-O182+SUM($P$28:P183)),IF(Q183-S183&gt;T182,T182,Q183-S183)),"")</f>
        <v>1800.8617920734639</v>
      </c>
      <c r="S183" s="11">
        <f t="shared" si="96"/>
        <v>1660.3182079265359</v>
      </c>
      <c r="T183" s="9">
        <f t="shared" si="83"/>
        <v>233705.26699183232</v>
      </c>
      <c r="U183" s="10">
        <f t="shared" si="75"/>
        <v>6.7599999999999993E-2</v>
      </c>
      <c r="V183" s="10">
        <f t="shared" si="76"/>
        <v>1.7000000000000001E-2</v>
      </c>
      <c r="W183" s="49">
        <f t="shared" si="84"/>
        <v>8.4599999999999995E-2</v>
      </c>
      <c r="X183" s="11">
        <f t="shared" si="77"/>
        <v>20</v>
      </c>
      <c r="Y183" s="11">
        <f>IF(O183&lt;&gt;"",IF($B$16=listy!$K$8,'RZĄDOWY PROGRAM'!$F$3*'RZĄDOWY PROGRAM'!$F$15,T182*$F$15),"")</f>
        <v>50</v>
      </c>
      <c r="Z183" s="11">
        <f t="shared" si="85"/>
        <v>70</v>
      </c>
      <c r="AB183" s="8">
        <f t="shared" si="86"/>
        <v>156</v>
      </c>
      <c r="AC183" s="8"/>
      <c r="AD183" s="33">
        <f>IF(AB183&lt;&gt;"",ROUND(IF($F$11="raty równe",-PMT(W183/12,$F$4-AB182+SUM($AC$28:AC183),AG182,2),AE183+AF183),2),"")</f>
        <v>3227.69</v>
      </c>
      <c r="AE183" s="11">
        <f>IF(AB183&lt;&gt;"",IF($F$11="raty malejące",AG182/($F$4-AB182+SUM($AC$28:AC182)),MIN(AD183-AF183,AG182)),"")</f>
        <v>1679.3721707272969</v>
      </c>
      <c r="AF183" s="11">
        <f t="shared" si="97"/>
        <v>1548.3178292727032</v>
      </c>
      <c r="AG183" s="9">
        <f t="shared" si="95"/>
        <v>217940.17808071998</v>
      </c>
      <c r="AH183" s="11"/>
      <c r="AI183" s="33">
        <f>IF(AB183&lt;&gt;"",ROUND(IF($F$11="raty równe",-PMT(W183/12,($F$4-AB182+SUM($AC$27:AC182)),AG182,2),AG182/($F$4-AB182+SUM($AC$27:AC182))+AG182*W183/12),2),"")</f>
        <v>3227.69</v>
      </c>
      <c r="AJ183" s="33">
        <f t="shared" si="87"/>
        <v>233.48999999999978</v>
      </c>
      <c r="AK183" s="33">
        <f t="shared" si="88"/>
        <v>44789.8096808466</v>
      </c>
      <c r="AL183" s="33">
        <f>IF(AB183&lt;&gt;"",AK183-SUM($AJ$28:AJ183),"")</f>
        <v>10041.809680846651</v>
      </c>
      <c r="AM183" s="11">
        <f t="shared" si="89"/>
        <v>20</v>
      </c>
      <c r="AN183" s="11">
        <f>IF(AB183&lt;&gt;"",IF($B$16=listy!$K$8,'RZĄDOWY PROGRAM'!$F$3*'RZĄDOWY PROGRAM'!$F$15,AG182*$F$15),"")</f>
        <v>50</v>
      </c>
      <c r="AO183" s="11">
        <f t="shared" si="90"/>
        <v>70</v>
      </c>
      <c r="AQ183" s="49">
        <f t="shared" si="78"/>
        <v>0.05</v>
      </c>
      <c r="AR183" s="18">
        <f t="shared" si="79"/>
        <v>4.0741237836483535E-3</v>
      </c>
      <c r="AS183" s="11">
        <f t="shared" si="91"/>
        <v>0</v>
      </c>
      <c r="AT183" s="11">
        <f t="shared" si="92"/>
        <v>45207.255746997689</v>
      </c>
      <c r="AU183" s="11">
        <f>IF(AB183&lt;&gt;"",AT183-SUM($AS$28:AS183),"")</f>
        <v>17517.855746997684</v>
      </c>
    </row>
    <row r="184" spans="1:47" ht="14.5" x14ac:dyDescent="0.35">
      <c r="A184" s="76">
        <f t="shared" si="93"/>
        <v>49491</v>
      </c>
      <c r="B184" s="8">
        <f t="shared" si="67"/>
        <v>157</v>
      </c>
      <c r="C184" s="11">
        <f t="shared" si="68"/>
        <v>3461.17</v>
      </c>
      <c r="D184" s="11">
        <f t="shared" si="69"/>
        <v>1918.3920174579787</v>
      </c>
      <c r="E184" s="11">
        <f t="shared" si="70"/>
        <v>1542.7779825420214</v>
      </c>
      <c r="F184" s="9">
        <f t="shared" si="80"/>
        <v>216915.36437148126</v>
      </c>
      <c r="G184" s="10">
        <f t="shared" si="71"/>
        <v>6.7599999999999993E-2</v>
      </c>
      <c r="H184" s="10">
        <f t="shared" si="72"/>
        <v>1.7000000000000001E-2</v>
      </c>
      <c r="I184" s="49">
        <f t="shared" si="73"/>
        <v>8.4599999999999995E-2</v>
      </c>
      <c r="J184" s="11">
        <f t="shared" si="74"/>
        <v>20</v>
      </c>
      <c r="K184" s="11">
        <f>IF(B184&lt;&gt;"",IF($B$16=listy!$K$8,'RZĄDOWY PROGRAM'!$F$3*'RZĄDOWY PROGRAM'!$F$15,F183*$F$15),"")</f>
        <v>50</v>
      </c>
      <c r="L184" s="11">
        <f t="shared" si="81"/>
        <v>70</v>
      </c>
      <c r="N184" s="55">
        <f t="shared" si="94"/>
        <v>49491</v>
      </c>
      <c r="O184" s="8">
        <f t="shared" si="82"/>
        <v>157</v>
      </c>
      <c r="P184" s="8"/>
      <c r="Q184" s="33">
        <f>IF(O184&lt;&gt;"",ROUND(IF($F$11="raty równe",-PMT(W184/12,$F$4-O183+SUM($P$28:P184),T183,2),R184+S184),2),"")</f>
        <v>3461.17</v>
      </c>
      <c r="R184" s="11">
        <f>IF(O184&lt;&gt;"",IF($F$11="raty malejące",T183/($F$4-O183+SUM($P$28:P184)),IF(Q184-S184&gt;T183,T183,Q184-S184)),"")</f>
        <v>1813.5478677075823</v>
      </c>
      <c r="S184" s="11">
        <f t="shared" si="96"/>
        <v>1647.6221322924177</v>
      </c>
      <c r="T184" s="9">
        <f t="shared" si="83"/>
        <v>231891.71912412473</v>
      </c>
      <c r="U184" s="10">
        <f t="shared" si="75"/>
        <v>6.7599999999999993E-2</v>
      </c>
      <c r="V184" s="10">
        <f t="shared" si="76"/>
        <v>1.7000000000000001E-2</v>
      </c>
      <c r="W184" s="49">
        <f t="shared" si="84"/>
        <v>8.4599999999999995E-2</v>
      </c>
      <c r="X184" s="11">
        <f t="shared" si="77"/>
        <v>20</v>
      </c>
      <c r="Y184" s="11">
        <f>IF(O184&lt;&gt;"",IF($B$16=listy!$K$8,'RZĄDOWY PROGRAM'!$F$3*'RZĄDOWY PROGRAM'!$F$15,T183*$F$15),"")</f>
        <v>50</v>
      </c>
      <c r="Z184" s="11">
        <f t="shared" si="85"/>
        <v>70</v>
      </c>
      <c r="AB184" s="8">
        <f t="shared" si="86"/>
        <v>157</v>
      </c>
      <c r="AC184" s="8"/>
      <c r="AD184" s="33">
        <f>IF(AB184&lt;&gt;"",ROUND(IF($F$11="raty równe",-PMT(W184/12,$F$4-AB183+SUM($AC$28:AC184),AG183,2),AE184+AF184),2),"")</f>
        <v>3227.7</v>
      </c>
      <c r="AE184" s="11">
        <f>IF(AB184&lt;&gt;"",IF($F$11="raty malejące",AG183/($F$4-AB183+SUM($AC$28:AC183)),MIN(AD184-AF184,AG183)),"")</f>
        <v>1691.2217445309241</v>
      </c>
      <c r="AF184" s="11">
        <f t="shared" si="97"/>
        <v>1536.4782554690757</v>
      </c>
      <c r="AG184" s="9">
        <f t="shared" si="95"/>
        <v>216248.95633618906</v>
      </c>
      <c r="AH184" s="11"/>
      <c r="AI184" s="33">
        <f>IF(AB184&lt;&gt;"",ROUND(IF($F$11="raty równe",-PMT(W184/12,($F$4-AB183+SUM($AC$27:AC183)),AG183,2),AG183/($F$4-AB183+SUM($AC$27:AC183))+AG183*W184/12),2),"")</f>
        <v>3227.7</v>
      </c>
      <c r="AJ184" s="33">
        <f t="shared" si="87"/>
        <v>233.47000000000025</v>
      </c>
      <c r="AK184" s="33">
        <f t="shared" si="88"/>
        <v>45171.087856244114</v>
      </c>
      <c r="AL184" s="33">
        <f>IF(AB184&lt;&gt;"",AK184-SUM($AJ$28:AJ184),"")</f>
        <v>10189.617856244164</v>
      </c>
      <c r="AM184" s="11">
        <f t="shared" si="89"/>
        <v>20</v>
      </c>
      <c r="AN184" s="11">
        <f>IF(AB184&lt;&gt;"",IF($B$16=listy!$K$8,'RZĄDOWY PROGRAM'!$F$3*'RZĄDOWY PROGRAM'!$F$15,AG183*$F$15),"")</f>
        <v>50</v>
      </c>
      <c r="AO184" s="11">
        <f t="shared" si="90"/>
        <v>70</v>
      </c>
      <c r="AQ184" s="49">
        <f t="shared" si="78"/>
        <v>0.05</v>
      </c>
      <c r="AR184" s="18">
        <f t="shared" si="79"/>
        <v>4.0741237836483535E-3</v>
      </c>
      <c r="AS184" s="11">
        <f t="shared" si="91"/>
        <v>0</v>
      </c>
      <c r="AT184" s="11">
        <f t="shared" si="92"/>
        <v>45356.441511221863</v>
      </c>
      <c r="AU184" s="11">
        <f>IF(AB184&lt;&gt;"",AT184-SUM($AS$28:AS184),"")</f>
        <v>17667.041511221858</v>
      </c>
    </row>
    <row r="185" spans="1:47" ht="14.5" x14ac:dyDescent="0.35">
      <c r="A185" s="76">
        <f t="shared" si="93"/>
        <v>49522</v>
      </c>
      <c r="B185" s="8">
        <f t="shared" si="67"/>
        <v>158</v>
      </c>
      <c r="C185" s="11">
        <f t="shared" si="68"/>
        <v>3461.18</v>
      </c>
      <c r="D185" s="11">
        <f t="shared" si="69"/>
        <v>1931.9266811810571</v>
      </c>
      <c r="E185" s="11">
        <f t="shared" si="70"/>
        <v>1529.2533188189427</v>
      </c>
      <c r="F185" s="9">
        <f t="shared" si="80"/>
        <v>214983.4376903002</v>
      </c>
      <c r="G185" s="10">
        <f t="shared" si="71"/>
        <v>6.7599999999999993E-2</v>
      </c>
      <c r="H185" s="10">
        <f t="shared" si="72"/>
        <v>1.7000000000000001E-2</v>
      </c>
      <c r="I185" s="49">
        <f t="shared" si="73"/>
        <v>8.4599999999999995E-2</v>
      </c>
      <c r="J185" s="11">
        <f t="shared" si="74"/>
        <v>20</v>
      </c>
      <c r="K185" s="11">
        <f>IF(B185&lt;&gt;"",IF($B$16=listy!$K$8,'RZĄDOWY PROGRAM'!$F$3*'RZĄDOWY PROGRAM'!$F$15,F184*$F$15),"")</f>
        <v>50</v>
      </c>
      <c r="L185" s="11">
        <f t="shared" si="81"/>
        <v>70</v>
      </c>
      <c r="N185" s="55">
        <f t="shared" si="94"/>
        <v>49522</v>
      </c>
      <c r="O185" s="8">
        <f t="shared" si="82"/>
        <v>158</v>
      </c>
      <c r="P185" s="8"/>
      <c r="Q185" s="33">
        <f>IF(O185&lt;&gt;"",ROUND(IF($F$11="raty równe",-PMT(W185/12,$F$4-O184+SUM($P$28:P185),T184,2),R185+S185),2),"")</f>
        <v>3461.18</v>
      </c>
      <c r="R185" s="11">
        <f>IF(O185&lt;&gt;"",IF($F$11="raty malejące",T184/($F$4-O184+SUM($P$28:P185)),IF(Q185-S185&gt;T184,T184,Q185-S185)),"")</f>
        <v>1826.3433801749204</v>
      </c>
      <c r="S185" s="11">
        <f t="shared" si="96"/>
        <v>1634.8366198250794</v>
      </c>
      <c r="T185" s="9">
        <f t="shared" si="83"/>
        <v>230065.37574394981</v>
      </c>
      <c r="U185" s="10">
        <f t="shared" si="75"/>
        <v>6.7599999999999993E-2</v>
      </c>
      <c r="V185" s="10">
        <f t="shared" si="76"/>
        <v>1.7000000000000001E-2</v>
      </c>
      <c r="W185" s="49">
        <f t="shared" si="84"/>
        <v>8.4599999999999995E-2</v>
      </c>
      <c r="X185" s="11">
        <f t="shared" si="77"/>
        <v>20</v>
      </c>
      <c r="Y185" s="11">
        <f>IF(O185&lt;&gt;"",IF($B$16=listy!$K$8,'RZĄDOWY PROGRAM'!$F$3*'RZĄDOWY PROGRAM'!$F$15,T184*$F$15),"")</f>
        <v>50</v>
      </c>
      <c r="Z185" s="11">
        <f t="shared" si="85"/>
        <v>70</v>
      </c>
      <c r="AB185" s="8">
        <f t="shared" si="86"/>
        <v>158</v>
      </c>
      <c r="AC185" s="8"/>
      <c r="AD185" s="33">
        <f>IF(AB185&lt;&gt;"",ROUND(IF($F$11="raty równe",-PMT(W185/12,$F$4-AB184+SUM($AC$28:AC185),AG184,2),AE185+AF185),2),"")</f>
        <v>3227.69</v>
      </c>
      <c r="AE185" s="11">
        <f>IF(AB185&lt;&gt;"",IF($F$11="raty malejące",AG184/($F$4-AB184+SUM($AC$28:AC184)),MIN(AD185-AF185,AG184)),"")</f>
        <v>1703.1348578298673</v>
      </c>
      <c r="AF185" s="11">
        <f t="shared" si="97"/>
        <v>1524.5551421701327</v>
      </c>
      <c r="AG185" s="9">
        <f t="shared" si="95"/>
        <v>214545.8214783592</v>
      </c>
      <c r="AH185" s="11"/>
      <c r="AI185" s="33">
        <f>IF(AB185&lt;&gt;"",ROUND(IF($F$11="raty równe",-PMT(W185/12,($F$4-AB184+SUM($AC$27:AC184)),AG184,2),AG184/($F$4-AB184+SUM($AC$27:AC184))+AG184*W185/12),2),"")</f>
        <v>3227.69</v>
      </c>
      <c r="AJ185" s="33">
        <f t="shared" si="87"/>
        <v>233.48999999999978</v>
      </c>
      <c r="AK185" s="33">
        <f t="shared" si="88"/>
        <v>45553.644264972514</v>
      </c>
      <c r="AL185" s="33">
        <f>IF(AB185&lt;&gt;"",AK185-SUM($AJ$28:AJ185),"")</f>
        <v>10338.684264972566</v>
      </c>
      <c r="AM185" s="11">
        <f t="shared" si="89"/>
        <v>20</v>
      </c>
      <c r="AN185" s="11">
        <f>IF(AB185&lt;&gt;"",IF($B$16=listy!$K$8,'RZĄDOWY PROGRAM'!$F$3*'RZĄDOWY PROGRAM'!$F$15,AG184*$F$15),"")</f>
        <v>50</v>
      </c>
      <c r="AO185" s="11">
        <f t="shared" si="90"/>
        <v>70</v>
      </c>
      <c r="AQ185" s="49">
        <f t="shared" si="78"/>
        <v>0.05</v>
      </c>
      <c r="AR185" s="18">
        <f t="shared" si="79"/>
        <v>4.0741237836483535E-3</v>
      </c>
      <c r="AS185" s="11">
        <f t="shared" si="91"/>
        <v>0</v>
      </c>
      <c r="AT185" s="11">
        <f t="shared" si="92"/>
        <v>45506.119594474905</v>
      </c>
      <c r="AU185" s="11">
        <f>IF(AB185&lt;&gt;"",AT185-SUM($AS$28:AS185),"")</f>
        <v>17816.7195944749</v>
      </c>
    </row>
    <row r="186" spans="1:47" ht="14.5" x14ac:dyDescent="0.35">
      <c r="A186" s="76">
        <f t="shared" si="93"/>
        <v>49553</v>
      </c>
      <c r="B186" s="8">
        <f t="shared" si="67"/>
        <v>159</v>
      </c>
      <c r="C186" s="11">
        <f t="shared" si="68"/>
        <v>3461.17</v>
      </c>
      <c r="D186" s="11">
        <f t="shared" si="69"/>
        <v>1945.5367642833837</v>
      </c>
      <c r="E186" s="11">
        <f t="shared" si="70"/>
        <v>1515.6332357166164</v>
      </c>
      <c r="F186" s="9">
        <f t="shared" si="80"/>
        <v>213037.90092601682</v>
      </c>
      <c r="G186" s="10">
        <f t="shared" si="71"/>
        <v>6.7599999999999993E-2</v>
      </c>
      <c r="H186" s="10">
        <f t="shared" si="72"/>
        <v>1.7000000000000001E-2</v>
      </c>
      <c r="I186" s="49">
        <f t="shared" si="73"/>
        <v>8.4599999999999995E-2</v>
      </c>
      <c r="J186" s="11">
        <f t="shared" si="74"/>
        <v>20</v>
      </c>
      <c r="K186" s="11">
        <f>IF(B186&lt;&gt;"",IF($B$16=listy!$K$8,'RZĄDOWY PROGRAM'!$F$3*'RZĄDOWY PROGRAM'!$F$15,F185*$F$15),"")</f>
        <v>50</v>
      </c>
      <c r="L186" s="11">
        <f t="shared" si="81"/>
        <v>70</v>
      </c>
      <c r="N186" s="55">
        <f t="shared" si="94"/>
        <v>49553</v>
      </c>
      <c r="O186" s="8">
        <f t="shared" si="82"/>
        <v>159</v>
      </c>
      <c r="P186" s="8"/>
      <c r="Q186" s="33">
        <f>IF(O186&lt;&gt;"",ROUND(IF($F$11="raty równe",-PMT(W186/12,$F$4-O185+SUM($P$28:P186),T185,2),R186+S186),2),"")</f>
        <v>3461.17</v>
      </c>
      <c r="R186" s="11">
        <f>IF(O186&lt;&gt;"",IF($F$11="raty malejące",T185/($F$4-O185+SUM($P$28:P186)),IF(Q186-S186&gt;T185,T185,Q186-S186)),"")</f>
        <v>1839.2091010051538</v>
      </c>
      <c r="S186" s="11">
        <f t="shared" si="96"/>
        <v>1621.9608989948463</v>
      </c>
      <c r="T186" s="9">
        <f t="shared" si="83"/>
        <v>228226.16664294465</v>
      </c>
      <c r="U186" s="10">
        <f t="shared" si="75"/>
        <v>6.7599999999999993E-2</v>
      </c>
      <c r="V186" s="10">
        <f t="shared" si="76"/>
        <v>1.7000000000000001E-2</v>
      </c>
      <c r="W186" s="49">
        <f t="shared" si="84"/>
        <v>8.4599999999999995E-2</v>
      </c>
      <c r="X186" s="11">
        <f t="shared" si="77"/>
        <v>20</v>
      </c>
      <c r="Y186" s="11">
        <f>IF(O186&lt;&gt;"",IF($B$16=listy!$K$8,'RZĄDOWY PROGRAM'!$F$3*'RZĄDOWY PROGRAM'!$F$15,T185*$F$15),"")</f>
        <v>50</v>
      </c>
      <c r="Z186" s="11">
        <f t="shared" si="85"/>
        <v>70</v>
      </c>
      <c r="AB186" s="8">
        <f t="shared" si="86"/>
        <v>159</v>
      </c>
      <c r="AC186" s="8"/>
      <c r="AD186" s="33">
        <f>IF(AB186&lt;&gt;"",ROUND(IF($F$11="raty równe",-PMT(W186/12,$F$4-AB185+SUM($AC$28:AC186),AG185,2),AE186+AF186),2),"")</f>
        <v>3227.7</v>
      </c>
      <c r="AE186" s="11">
        <f>IF(AB186&lt;&gt;"",IF($F$11="raty malejące",AG185/($F$4-AB185+SUM($AC$28:AC185)),MIN(AD186-AF186,AG185)),"")</f>
        <v>1715.1519585775677</v>
      </c>
      <c r="AF186" s="11">
        <f t="shared" si="97"/>
        <v>1512.5480414224321</v>
      </c>
      <c r="AG186" s="9">
        <f t="shared" si="95"/>
        <v>212830.66951978163</v>
      </c>
      <c r="AH186" s="11"/>
      <c r="AI186" s="33">
        <f>IF(AB186&lt;&gt;"",ROUND(IF($F$11="raty równe",-PMT(W186/12,($F$4-AB185+SUM($AC$27:AC185)),AG185,2),AG185/($F$4-AB185+SUM($AC$27:AC185))+AG185*W186/12),2),"")</f>
        <v>3227.7</v>
      </c>
      <c r="AJ186" s="33">
        <f t="shared" si="87"/>
        <v>233.47000000000025</v>
      </c>
      <c r="AK186" s="33">
        <f t="shared" si="88"/>
        <v>45937.443125253259</v>
      </c>
      <c r="AL186" s="33">
        <f>IF(AB186&lt;&gt;"",AK186-SUM($AJ$28:AJ186),"")</f>
        <v>10489.01312525331</v>
      </c>
      <c r="AM186" s="11">
        <f t="shared" si="89"/>
        <v>20</v>
      </c>
      <c r="AN186" s="11">
        <f>IF(AB186&lt;&gt;"",IF($B$16=listy!$K$8,'RZĄDOWY PROGRAM'!$F$3*'RZĄDOWY PROGRAM'!$F$15,AG185*$F$15),"")</f>
        <v>50</v>
      </c>
      <c r="AO186" s="11">
        <f t="shared" si="90"/>
        <v>70</v>
      </c>
      <c r="AQ186" s="49">
        <f t="shared" si="78"/>
        <v>0.05</v>
      </c>
      <c r="AR186" s="18">
        <f t="shared" si="79"/>
        <v>4.0741237836483535E-3</v>
      </c>
      <c r="AS186" s="11">
        <f t="shared" si="91"/>
        <v>0</v>
      </c>
      <c r="AT186" s="11">
        <f t="shared" si="92"/>
        <v>45656.291621429438</v>
      </c>
      <c r="AU186" s="11">
        <f>IF(AB186&lt;&gt;"",AT186-SUM($AS$28:AS186),"")</f>
        <v>17966.891621429433</v>
      </c>
    </row>
    <row r="187" spans="1:47" ht="14.5" x14ac:dyDescent="0.35">
      <c r="A187" s="76">
        <f t="shared" si="93"/>
        <v>49583</v>
      </c>
      <c r="B187" s="8">
        <f t="shared" si="67"/>
        <v>160</v>
      </c>
      <c r="C187" s="11">
        <f t="shared" si="68"/>
        <v>3461.18</v>
      </c>
      <c r="D187" s="11">
        <f t="shared" si="69"/>
        <v>1959.2627984715814</v>
      </c>
      <c r="E187" s="11">
        <f t="shared" si="70"/>
        <v>1501.9172015284184</v>
      </c>
      <c r="F187" s="9">
        <f t="shared" si="80"/>
        <v>211078.63812754524</v>
      </c>
      <c r="G187" s="10">
        <f t="shared" si="71"/>
        <v>6.7599999999999993E-2</v>
      </c>
      <c r="H187" s="10">
        <f t="shared" si="72"/>
        <v>1.7000000000000001E-2</v>
      </c>
      <c r="I187" s="49">
        <f t="shared" si="73"/>
        <v>8.4599999999999995E-2</v>
      </c>
      <c r="J187" s="11">
        <f t="shared" si="74"/>
        <v>20</v>
      </c>
      <c r="K187" s="11">
        <f>IF(B187&lt;&gt;"",IF($B$16=listy!$K$8,'RZĄDOWY PROGRAM'!$F$3*'RZĄDOWY PROGRAM'!$F$15,F186*$F$15),"")</f>
        <v>50</v>
      </c>
      <c r="L187" s="11">
        <f t="shared" si="81"/>
        <v>70</v>
      </c>
      <c r="N187" s="55">
        <f t="shared" si="94"/>
        <v>49583</v>
      </c>
      <c r="O187" s="8">
        <f t="shared" si="82"/>
        <v>160</v>
      </c>
      <c r="P187" s="8"/>
      <c r="Q187" s="33">
        <f>IF(O187&lt;&gt;"",ROUND(IF($F$11="raty równe",-PMT(W187/12,$F$4-O186+SUM($P$28:P187),T186,2),R187+S187),2),"")</f>
        <v>3461.18</v>
      </c>
      <c r="R187" s="11">
        <f>IF(O187&lt;&gt;"",IF($F$11="raty malejące",T186/($F$4-O186+SUM($P$28:P187)),IF(Q187-S187&gt;T186,T186,Q187-S187)),"")</f>
        <v>1852.18552516724</v>
      </c>
      <c r="S187" s="11">
        <f t="shared" si="96"/>
        <v>1608.9944748327598</v>
      </c>
      <c r="T187" s="9">
        <f t="shared" si="83"/>
        <v>226373.98111777741</v>
      </c>
      <c r="U187" s="10">
        <f t="shared" si="75"/>
        <v>6.7599999999999993E-2</v>
      </c>
      <c r="V187" s="10">
        <f t="shared" si="76"/>
        <v>1.7000000000000001E-2</v>
      </c>
      <c r="W187" s="49">
        <f t="shared" si="84"/>
        <v>8.4599999999999995E-2</v>
      </c>
      <c r="X187" s="11">
        <f t="shared" si="77"/>
        <v>20</v>
      </c>
      <c r="Y187" s="11">
        <f>IF(O187&lt;&gt;"",IF($B$16=listy!$K$8,'RZĄDOWY PROGRAM'!$F$3*'RZĄDOWY PROGRAM'!$F$15,T186*$F$15),"")</f>
        <v>50</v>
      </c>
      <c r="Z187" s="11">
        <f t="shared" si="85"/>
        <v>70</v>
      </c>
      <c r="AB187" s="8">
        <f t="shared" si="86"/>
        <v>160</v>
      </c>
      <c r="AC187" s="8"/>
      <c r="AD187" s="33">
        <f>IF(AB187&lt;&gt;"",ROUND(IF($F$11="raty równe",-PMT(W187/12,$F$4-AB186+SUM($AC$28:AC187),AG186,2),AE187+AF187),2),"")</f>
        <v>3227.69</v>
      </c>
      <c r="AE187" s="11">
        <f>IF(AB187&lt;&gt;"",IF($F$11="raty malejące",AG186/($F$4-AB186+SUM($AC$28:AC186)),MIN(AD187-AF187,AG186)),"")</f>
        <v>1727.2337798855394</v>
      </c>
      <c r="AF187" s="11">
        <f t="shared" si="97"/>
        <v>1500.4562201144606</v>
      </c>
      <c r="AG187" s="9">
        <f t="shared" si="95"/>
        <v>211103.43573989609</v>
      </c>
      <c r="AH187" s="11"/>
      <c r="AI187" s="33">
        <f>IF(AB187&lt;&gt;"",ROUND(IF($F$11="raty równe",-PMT(W187/12,($F$4-AB186+SUM($AC$27:AC186)),AG186,2),AG186/($F$4-AB186+SUM($AC$27:AC186))+AG186*W187/12),2),"")</f>
        <v>3227.69</v>
      </c>
      <c r="AJ187" s="33">
        <f t="shared" si="87"/>
        <v>233.48999999999978</v>
      </c>
      <c r="AK187" s="33">
        <f t="shared" si="88"/>
        <v>46322.528537226492</v>
      </c>
      <c r="AL187" s="33">
        <f>IF(AB187&lt;&gt;"",AK187-SUM($AJ$28:AJ187),"")</f>
        <v>10640.608537226544</v>
      </c>
      <c r="AM187" s="11">
        <f t="shared" si="89"/>
        <v>20</v>
      </c>
      <c r="AN187" s="11">
        <f>IF(AB187&lt;&gt;"",IF($B$16=listy!$K$8,'RZĄDOWY PROGRAM'!$F$3*'RZĄDOWY PROGRAM'!$F$15,AG186*$F$15),"")</f>
        <v>50</v>
      </c>
      <c r="AO187" s="11">
        <f t="shared" si="90"/>
        <v>70</v>
      </c>
      <c r="AQ187" s="49">
        <f t="shared" si="78"/>
        <v>0.05</v>
      </c>
      <c r="AR187" s="18">
        <f t="shared" si="79"/>
        <v>4.0741237836483535E-3</v>
      </c>
      <c r="AS187" s="11">
        <f t="shared" si="91"/>
        <v>0</v>
      </c>
      <c r="AT187" s="11">
        <f t="shared" si="92"/>
        <v>45806.959222119556</v>
      </c>
      <c r="AU187" s="11">
        <f>IF(AB187&lt;&gt;"",AT187-SUM($AS$28:AS187),"")</f>
        <v>18117.559222119551</v>
      </c>
    </row>
    <row r="188" spans="1:47" ht="14.5" x14ac:dyDescent="0.35">
      <c r="A188" s="76">
        <f t="shared" si="93"/>
        <v>49614</v>
      </c>
      <c r="B188" s="8">
        <f t="shared" si="67"/>
        <v>161</v>
      </c>
      <c r="C188" s="11">
        <f t="shared" si="68"/>
        <v>3461.17</v>
      </c>
      <c r="D188" s="11">
        <f t="shared" si="69"/>
        <v>1973.065601200806</v>
      </c>
      <c r="E188" s="11">
        <f t="shared" si="70"/>
        <v>1488.1043987991941</v>
      </c>
      <c r="F188" s="9">
        <f t="shared" si="80"/>
        <v>209105.57252634445</v>
      </c>
      <c r="G188" s="10">
        <f t="shared" si="71"/>
        <v>6.7599999999999993E-2</v>
      </c>
      <c r="H188" s="10">
        <f t="shared" si="72"/>
        <v>1.7000000000000001E-2</v>
      </c>
      <c r="I188" s="49">
        <f t="shared" si="73"/>
        <v>8.4599999999999995E-2</v>
      </c>
      <c r="J188" s="11">
        <f t="shared" si="74"/>
        <v>20</v>
      </c>
      <c r="K188" s="11">
        <f>IF(B188&lt;&gt;"",IF($B$16=listy!$K$8,'RZĄDOWY PROGRAM'!$F$3*'RZĄDOWY PROGRAM'!$F$15,F187*$F$15),"")</f>
        <v>50</v>
      </c>
      <c r="L188" s="11">
        <f t="shared" si="81"/>
        <v>70</v>
      </c>
      <c r="N188" s="55">
        <f t="shared" si="94"/>
        <v>49614</v>
      </c>
      <c r="O188" s="8">
        <f t="shared" si="82"/>
        <v>161</v>
      </c>
      <c r="P188" s="8"/>
      <c r="Q188" s="33">
        <f>IF(O188&lt;&gt;"",ROUND(IF($F$11="raty równe",-PMT(W188/12,$F$4-O187+SUM($P$28:P188),T187,2),R188+S188),2),"")</f>
        <v>3461.17</v>
      </c>
      <c r="R188" s="11">
        <f>IF(O188&lt;&gt;"",IF($F$11="raty malejące",T187/($F$4-O187+SUM($P$28:P188)),IF(Q188-S188&gt;T187,T187,Q188-S188)),"")</f>
        <v>1865.2334331196696</v>
      </c>
      <c r="S188" s="11">
        <f t="shared" si="96"/>
        <v>1595.9365668803305</v>
      </c>
      <c r="T188" s="9">
        <f t="shared" si="83"/>
        <v>224508.74768465775</v>
      </c>
      <c r="U188" s="10">
        <f t="shared" si="75"/>
        <v>6.7599999999999993E-2</v>
      </c>
      <c r="V188" s="10">
        <f t="shared" si="76"/>
        <v>1.7000000000000001E-2</v>
      </c>
      <c r="W188" s="49">
        <f t="shared" si="84"/>
        <v>8.4599999999999995E-2</v>
      </c>
      <c r="X188" s="11">
        <f t="shared" si="77"/>
        <v>20</v>
      </c>
      <c r="Y188" s="11">
        <f>IF(O188&lt;&gt;"",IF($B$16=listy!$K$8,'RZĄDOWY PROGRAM'!$F$3*'RZĄDOWY PROGRAM'!$F$15,T187*$F$15),"")</f>
        <v>50</v>
      </c>
      <c r="Z188" s="11">
        <f t="shared" si="85"/>
        <v>70</v>
      </c>
      <c r="AB188" s="8">
        <f t="shared" si="86"/>
        <v>161</v>
      </c>
      <c r="AC188" s="8"/>
      <c r="AD188" s="33">
        <f>IF(AB188&lt;&gt;"",ROUND(IF($F$11="raty równe",-PMT(W188/12,$F$4-AB187+SUM($AC$28:AC188),AG187,2),AE188+AF188),2),"")</f>
        <v>3227.7</v>
      </c>
      <c r="AE188" s="11">
        <f>IF(AB188&lt;&gt;"",IF($F$11="raty malejące",AG187/($F$4-AB187+SUM($AC$28:AC187)),MIN(AD188-AF188,AG187)),"")</f>
        <v>1739.4207780337326</v>
      </c>
      <c r="AF188" s="11">
        <f t="shared" si="97"/>
        <v>1488.2792219662672</v>
      </c>
      <c r="AG188" s="9">
        <f t="shared" si="95"/>
        <v>209364.01496186235</v>
      </c>
      <c r="AH188" s="11"/>
      <c r="AI188" s="33">
        <f>IF(AB188&lt;&gt;"",ROUND(IF($F$11="raty równe",-PMT(W188/12,($F$4-AB187+SUM($AC$27:AC187)),AG187,2),AG187/($F$4-AB187+SUM($AC$27:AC187))+AG187*W188/12),2),"")</f>
        <v>3227.7</v>
      </c>
      <c r="AJ188" s="33">
        <f t="shared" si="87"/>
        <v>233.47000000000025</v>
      </c>
      <c r="AK188" s="33">
        <f t="shared" si="88"/>
        <v>46708.864746564614</v>
      </c>
      <c r="AL188" s="33">
        <f>IF(AB188&lt;&gt;"",AK188-SUM($AJ$28:AJ188),"")</f>
        <v>10793.474746564665</v>
      </c>
      <c r="AM188" s="11">
        <f t="shared" si="89"/>
        <v>20</v>
      </c>
      <c r="AN188" s="11">
        <f>IF(AB188&lt;&gt;"",IF($B$16=listy!$K$8,'RZĄDOWY PROGRAM'!$F$3*'RZĄDOWY PROGRAM'!$F$15,AG187*$F$15),"")</f>
        <v>50</v>
      </c>
      <c r="AO188" s="11">
        <f t="shared" si="90"/>
        <v>70</v>
      </c>
      <c r="AQ188" s="49">
        <f t="shared" si="78"/>
        <v>0.05</v>
      </c>
      <c r="AR188" s="18">
        <f t="shared" si="79"/>
        <v>4.0741237836483535E-3</v>
      </c>
      <c r="AS188" s="11">
        <f t="shared" si="91"/>
        <v>0</v>
      </c>
      <c r="AT188" s="11">
        <f t="shared" si="92"/>
        <v>45958.124031958549</v>
      </c>
      <c r="AU188" s="11">
        <f>IF(AB188&lt;&gt;"",AT188-SUM($AS$28:AS188),"")</f>
        <v>18268.724031958543</v>
      </c>
    </row>
    <row r="189" spans="1:47" ht="14.5" x14ac:dyDescent="0.35">
      <c r="A189" s="76">
        <f t="shared" si="93"/>
        <v>49644</v>
      </c>
      <c r="B189" s="8">
        <f t="shared" si="67"/>
        <v>162</v>
      </c>
      <c r="C189" s="11">
        <f t="shared" si="68"/>
        <v>3461.18</v>
      </c>
      <c r="D189" s="11">
        <f t="shared" si="69"/>
        <v>1986.9857136892717</v>
      </c>
      <c r="E189" s="11">
        <f t="shared" si="70"/>
        <v>1474.1942863107281</v>
      </c>
      <c r="F189" s="9">
        <f t="shared" si="80"/>
        <v>207118.58681265518</v>
      </c>
      <c r="G189" s="10">
        <f t="shared" si="71"/>
        <v>6.7599999999999993E-2</v>
      </c>
      <c r="H189" s="10">
        <f t="shared" si="72"/>
        <v>1.7000000000000001E-2</v>
      </c>
      <c r="I189" s="49">
        <f t="shared" si="73"/>
        <v>8.4599999999999995E-2</v>
      </c>
      <c r="J189" s="11">
        <f t="shared" si="74"/>
        <v>20</v>
      </c>
      <c r="K189" s="11">
        <f>IF(B189&lt;&gt;"",IF($B$16=listy!$K$8,'RZĄDOWY PROGRAM'!$F$3*'RZĄDOWY PROGRAM'!$F$15,F188*$F$15),"")</f>
        <v>50</v>
      </c>
      <c r="L189" s="11">
        <f t="shared" si="81"/>
        <v>70</v>
      </c>
      <c r="N189" s="55">
        <f t="shared" si="94"/>
        <v>49644</v>
      </c>
      <c r="O189" s="8">
        <f t="shared" si="82"/>
        <v>162</v>
      </c>
      <c r="P189" s="8"/>
      <c r="Q189" s="33">
        <f>IF(O189&lt;&gt;"",ROUND(IF($F$11="raty równe",-PMT(W189/12,$F$4-O188+SUM($P$28:P189),T188,2),R189+S189),2),"")</f>
        <v>3461.18</v>
      </c>
      <c r="R189" s="11">
        <f>IF(O189&lt;&gt;"",IF($F$11="raty malejące",T188/($F$4-O188+SUM($P$28:P189)),IF(Q189-S189&gt;T188,T188,Q189-S189)),"")</f>
        <v>1878.3933288231626</v>
      </c>
      <c r="S189" s="11">
        <f t="shared" si="96"/>
        <v>1582.7866711768372</v>
      </c>
      <c r="T189" s="9">
        <f t="shared" si="83"/>
        <v>222630.3543558346</v>
      </c>
      <c r="U189" s="10">
        <f t="shared" si="75"/>
        <v>6.7599999999999993E-2</v>
      </c>
      <c r="V189" s="10">
        <f t="shared" si="76"/>
        <v>1.7000000000000001E-2</v>
      </c>
      <c r="W189" s="49">
        <f t="shared" si="84"/>
        <v>8.4599999999999995E-2</v>
      </c>
      <c r="X189" s="11">
        <f t="shared" si="77"/>
        <v>20</v>
      </c>
      <c r="Y189" s="11">
        <f>IF(O189&lt;&gt;"",IF($B$16=listy!$K$8,'RZĄDOWY PROGRAM'!$F$3*'RZĄDOWY PROGRAM'!$F$15,T188*$F$15),"")</f>
        <v>50</v>
      </c>
      <c r="Z189" s="11">
        <f t="shared" si="85"/>
        <v>70</v>
      </c>
      <c r="AB189" s="8">
        <f t="shared" si="86"/>
        <v>162</v>
      </c>
      <c r="AC189" s="8"/>
      <c r="AD189" s="33">
        <f>IF(AB189&lt;&gt;"",ROUND(IF($F$11="raty równe",-PMT(W189/12,$F$4-AB188+SUM($AC$28:AC189),AG188,2),AE189+AF189),2),"")</f>
        <v>3227.69</v>
      </c>
      <c r="AE189" s="11">
        <f>IF(AB189&lt;&gt;"",IF($F$11="raty malejące",AG188/($F$4-AB188+SUM($AC$28:AC188)),MIN(AD189-AF189,AG188)),"")</f>
        <v>1751.6736945188707</v>
      </c>
      <c r="AF189" s="11">
        <f t="shared" si="97"/>
        <v>1476.0163054811294</v>
      </c>
      <c r="AG189" s="9">
        <f t="shared" si="95"/>
        <v>207612.34126734349</v>
      </c>
      <c r="AH189" s="11"/>
      <c r="AI189" s="33">
        <f>IF(AB189&lt;&gt;"",ROUND(IF($F$11="raty równe",-PMT(W189/12,($F$4-AB188+SUM($AC$27:AC188)),AG188,2),AG188/($F$4-AB188+SUM($AC$27:AC188))+AG188*W189/12),2),"")</f>
        <v>3227.69</v>
      </c>
      <c r="AJ189" s="33">
        <f t="shared" si="87"/>
        <v>233.48999999999978</v>
      </c>
      <c r="AK189" s="33">
        <f t="shared" si="88"/>
        <v>47096.495880949275</v>
      </c>
      <c r="AL189" s="33">
        <f>IF(AB189&lt;&gt;"",AK189-SUM($AJ$28:AJ189),"")</f>
        <v>10947.615880949328</v>
      </c>
      <c r="AM189" s="11">
        <f t="shared" si="89"/>
        <v>20</v>
      </c>
      <c r="AN189" s="11">
        <f>IF(AB189&lt;&gt;"",IF($B$16=listy!$K$8,'RZĄDOWY PROGRAM'!$F$3*'RZĄDOWY PROGRAM'!$F$15,AG188*$F$15),"")</f>
        <v>50</v>
      </c>
      <c r="AO189" s="11">
        <f t="shared" si="90"/>
        <v>70</v>
      </c>
      <c r="AQ189" s="49">
        <f t="shared" si="78"/>
        <v>0.05</v>
      </c>
      <c r="AR189" s="18">
        <f t="shared" si="79"/>
        <v>4.0741237836483535E-3</v>
      </c>
      <c r="AS189" s="11">
        <f t="shared" si="91"/>
        <v>0</v>
      </c>
      <c r="AT189" s="11">
        <f t="shared" si="92"/>
        <v>46109.787691756625</v>
      </c>
      <c r="AU189" s="11">
        <f>IF(AB189&lt;&gt;"",AT189-SUM($AS$28:AS189),"")</f>
        <v>18420.387691756619</v>
      </c>
    </row>
    <row r="190" spans="1:47" ht="14.5" x14ac:dyDescent="0.35">
      <c r="A190" s="76">
        <f t="shared" si="93"/>
        <v>49675</v>
      </c>
      <c r="B190" s="8">
        <f t="shared" si="67"/>
        <v>163</v>
      </c>
      <c r="C190" s="11">
        <f t="shared" si="68"/>
        <v>3461.17</v>
      </c>
      <c r="D190" s="11">
        <f t="shared" si="69"/>
        <v>2000.9839629707812</v>
      </c>
      <c r="E190" s="11">
        <f t="shared" si="70"/>
        <v>1460.1860370292188</v>
      </c>
      <c r="F190" s="9">
        <f t="shared" si="80"/>
        <v>205117.60284968439</v>
      </c>
      <c r="G190" s="10">
        <f t="shared" si="71"/>
        <v>6.7599999999999993E-2</v>
      </c>
      <c r="H190" s="10">
        <f t="shared" si="72"/>
        <v>1.7000000000000001E-2</v>
      </c>
      <c r="I190" s="49">
        <f t="shared" si="73"/>
        <v>8.4599999999999995E-2</v>
      </c>
      <c r="J190" s="11">
        <f t="shared" si="74"/>
        <v>20</v>
      </c>
      <c r="K190" s="11">
        <f>IF(B190&lt;&gt;"",IF($B$16=listy!$K$8,'RZĄDOWY PROGRAM'!$F$3*'RZĄDOWY PROGRAM'!$F$15,F189*$F$15),"")</f>
        <v>50</v>
      </c>
      <c r="L190" s="11">
        <f t="shared" si="81"/>
        <v>70</v>
      </c>
      <c r="N190" s="55">
        <f t="shared" si="94"/>
        <v>49675</v>
      </c>
      <c r="O190" s="8">
        <f t="shared" si="82"/>
        <v>163</v>
      </c>
      <c r="P190" s="8"/>
      <c r="Q190" s="33">
        <f>IF(O190&lt;&gt;"",ROUND(IF($F$11="raty równe",-PMT(W190/12,$F$4-O189+SUM($P$28:P190),T189,2),R190+S190),2),"")</f>
        <v>3461.17</v>
      </c>
      <c r="R190" s="11">
        <f>IF(O190&lt;&gt;"",IF($F$11="raty malejące",T189/($F$4-O189+SUM($P$28:P190)),IF(Q190-S190&gt;T189,T189,Q190-S190)),"")</f>
        <v>1891.6260017913662</v>
      </c>
      <c r="S190" s="11">
        <f t="shared" si="96"/>
        <v>1569.5439982086339</v>
      </c>
      <c r="T190" s="9">
        <f t="shared" si="83"/>
        <v>220738.72835404324</v>
      </c>
      <c r="U190" s="10">
        <f t="shared" si="75"/>
        <v>6.7599999999999993E-2</v>
      </c>
      <c r="V190" s="10">
        <f t="shared" si="76"/>
        <v>1.7000000000000001E-2</v>
      </c>
      <c r="W190" s="49">
        <f t="shared" si="84"/>
        <v>8.4599999999999995E-2</v>
      </c>
      <c r="X190" s="11">
        <f t="shared" si="77"/>
        <v>20</v>
      </c>
      <c r="Y190" s="11">
        <f>IF(O190&lt;&gt;"",IF($B$16=listy!$K$8,'RZĄDOWY PROGRAM'!$F$3*'RZĄDOWY PROGRAM'!$F$15,T189*$F$15),"")</f>
        <v>50</v>
      </c>
      <c r="Z190" s="11">
        <f t="shared" si="85"/>
        <v>70</v>
      </c>
      <c r="AB190" s="8">
        <f t="shared" si="86"/>
        <v>163</v>
      </c>
      <c r="AC190" s="8"/>
      <c r="AD190" s="33">
        <f>IF(AB190&lt;&gt;"",ROUND(IF($F$11="raty równe",-PMT(W190/12,$F$4-AB189+SUM($AC$28:AC190),AG189,2),AE190+AF190),2),"")</f>
        <v>3227.7</v>
      </c>
      <c r="AE190" s="11">
        <f>IF(AB190&lt;&gt;"",IF($F$11="raty malejące",AG189/($F$4-AB189+SUM($AC$28:AC189)),MIN(AD190-AF190,AG189)),"")</f>
        <v>1764.0329940652282</v>
      </c>
      <c r="AF190" s="11">
        <f t="shared" si="97"/>
        <v>1463.6670059347716</v>
      </c>
      <c r="AG190" s="9">
        <f t="shared" si="95"/>
        <v>205848.30827327826</v>
      </c>
      <c r="AH190" s="11"/>
      <c r="AI190" s="33">
        <f>IF(AB190&lt;&gt;"",ROUND(IF($F$11="raty równe",-PMT(W190/12,($F$4-AB189+SUM($AC$27:AC189)),AG189,2),AG189/($F$4-AB189+SUM($AC$27:AC189))+AG189*W190/12),2),"")</f>
        <v>3227.7</v>
      </c>
      <c r="AJ190" s="33">
        <f t="shared" si="87"/>
        <v>233.47000000000025</v>
      </c>
      <c r="AK190" s="33">
        <f t="shared" si="88"/>
        <v>47485.386213685284</v>
      </c>
      <c r="AL190" s="33">
        <f>IF(AB190&lt;&gt;"",AK190-SUM($AJ$28:AJ190),"")</f>
        <v>11103.036213685336</v>
      </c>
      <c r="AM190" s="11">
        <f t="shared" si="89"/>
        <v>20</v>
      </c>
      <c r="AN190" s="11">
        <f>IF(AB190&lt;&gt;"",IF($B$16=listy!$K$8,'RZĄDOWY PROGRAM'!$F$3*'RZĄDOWY PROGRAM'!$F$15,AG189*$F$15),"")</f>
        <v>50</v>
      </c>
      <c r="AO190" s="11">
        <f t="shared" si="90"/>
        <v>70</v>
      </c>
      <c r="AQ190" s="49">
        <f t="shared" si="78"/>
        <v>0.05</v>
      </c>
      <c r="AR190" s="18">
        <f t="shared" si="79"/>
        <v>4.0741237836483535E-3</v>
      </c>
      <c r="AS190" s="11">
        <f t="shared" si="91"/>
        <v>0</v>
      </c>
      <c r="AT190" s="11">
        <f t="shared" si="92"/>
        <v>46261.951847738732</v>
      </c>
      <c r="AU190" s="11">
        <f>IF(AB190&lt;&gt;"",AT190-SUM($AS$28:AS190),"")</f>
        <v>18572.551847738727</v>
      </c>
    </row>
    <row r="191" spans="1:47" ht="14.5" x14ac:dyDescent="0.35">
      <c r="A191" s="76">
        <f t="shared" si="93"/>
        <v>49706</v>
      </c>
      <c r="B191" s="8">
        <f t="shared" si="67"/>
        <v>164</v>
      </c>
      <c r="C191" s="11">
        <f t="shared" si="68"/>
        <v>3461.18</v>
      </c>
      <c r="D191" s="11">
        <f t="shared" si="69"/>
        <v>2015.1008999097251</v>
      </c>
      <c r="E191" s="11">
        <f t="shared" si="70"/>
        <v>1446.0791000902748</v>
      </c>
      <c r="F191" s="9">
        <f t="shared" si="80"/>
        <v>203102.50194977465</v>
      </c>
      <c r="G191" s="10">
        <f t="shared" si="71"/>
        <v>6.7599999999999993E-2</v>
      </c>
      <c r="H191" s="10">
        <f t="shared" si="72"/>
        <v>1.7000000000000001E-2</v>
      </c>
      <c r="I191" s="49">
        <f t="shared" si="73"/>
        <v>8.4599999999999995E-2</v>
      </c>
      <c r="J191" s="11">
        <f t="shared" si="74"/>
        <v>20</v>
      </c>
      <c r="K191" s="11">
        <f>IF(B191&lt;&gt;"",IF($B$16=listy!$K$8,'RZĄDOWY PROGRAM'!$F$3*'RZĄDOWY PROGRAM'!$F$15,F190*$F$15),"")</f>
        <v>50</v>
      </c>
      <c r="L191" s="11">
        <f t="shared" si="81"/>
        <v>70</v>
      </c>
      <c r="N191" s="55">
        <f t="shared" si="94"/>
        <v>49706</v>
      </c>
      <c r="O191" s="8">
        <f t="shared" si="82"/>
        <v>164</v>
      </c>
      <c r="P191" s="8"/>
      <c r="Q191" s="33">
        <f>IF(O191&lt;&gt;"",ROUND(IF($F$11="raty równe",-PMT(W191/12,$F$4-O190+SUM($P$28:P191),T190,2),R191+S191),2),"")</f>
        <v>3461.18</v>
      </c>
      <c r="R191" s="11">
        <f>IF(O191&lt;&gt;"",IF($F$11="raty malejące",T190/($F$4-O190+SUM($P$28:P191)),IF(Q191-S191&gt;T190,T190,Q191-S191)),"")</f>
        <v>1904.9719651039952</v>
      </c>
      <c r="S191" s="11">
        <f t="shared" si="96"/>
        <v>1556.2080348960046</v>
      </c>
      <c r="T191" s="9">
        <f t="shared" si="83"/>
        <v>218833.75638893925</v>
      </c>
      <c r="U191" s="10">
        <f t="shared" si="75"/>
        <v>6.7599999999999993E-2</v>
      </c>
      <c r="V191" s="10">
        <f t="shared" si="76"/>
        <v>1.7000000000000001E-2</v>
      </c>
      <c r="W191" s="49">
        <f t="shared" si="84"/>
        <v>8.4599999999999995E-2</v>
      </c>
      <c r="X191" s="11">
        <f t="shared" si="77"/>
        <v>20</v>
      </c>
      <c r="Y191" s="11">
        <f>IF(O191&lt;&gt;"",IF($B$16=listy!$K$8,'RZĄDOWY PROGRAM'!$F$3*'RZĄDOWY PROGRAM'!$F$15,T190*$F$15),"")</f>
        <v>50</v>
      </c>
      <c r="Z191" s="11">
        <f t="shared" si="85"/>
        <v>70</v>
      </c>
      <c r="AB191" s="8">
        <f t="shared" si="86"/>
        <v>164</v>
      </c>
      <c r="AC191" s="8"/>
      <c r="AD191" s="33">
        <f>IF(AB191&lt;&gt;"",ROUND(IF($F$11="raty równe",-PMT(W191/12,$F$4-AB190+SUM($AC$28:AC191),AG190,2),AE191+AF191),2),"")</f>
        <v>3227.69</v>
      </c>
      <c r="AE191" s="11">
        <f>IF(AB191&lt;&gt;"",IF($F$11="raty malejące",AG190/($F$4-AB190+SUM($AC$28:AC190)),MIN(AD191-AF191,AG190)),"")</f>
        <v>1776.4594266733882</v>
      </c>
      <c r="AF191" s="11">
        <f t="shared" si="97"/>
        <v>1451.2305733266119</v>
      </c>
      <c r="AG191" s="9">
        <f t="shared" si="95"/>
        <v>204071.84884660487</v>
      </c>
      <c r="AH191" s="11"/>
      <c r="AI191" s="33">
        <f>IF(AB191&lt;&gt;"",ROUND(IF($F$11="raty równe",-PMT(W191/12,($F$4-AB190+SUM($AC$27:AC190)),AG190,2),AG190/($F$4-AB190+SUM($AC$27:AC190))+AG190*W191/12),2),"")</f>
        <v>3227.69</v>
      </c>
      <c r="AJ191" s="33">
        <f t="shared" si="87"/>
        <v>233.48999999999978</v>
      </c>
      <c r="AK191" s="33">
        <f t="shared" si="88"/>
        <v>47875.579900177894</v>
      </c>
      <c r="AL191" s="33">
        <f>IF(AB191&lt;&gt;"",AK191-SUM($AJ$28:AJ191),"")</f>
        <v>11259.739900177949</v>
      </c>
      <c r="AM191" s="11">
        <f t="shared" si="89"/>
        <v>20</v>
      </c>
      <c r="AN191" s="11">
        <f>IF(AB191&lt;&gt;"",IF($B$16=listy!$K$8,'RZĄDOWY PROGRAM'!$F$3*'RZĄDOWY PROGRAM'!$F$15,AG190*$F$15),"")</f>
        <v>50</v>
      </c>
      <c r="AO191" s="11">
        <f t="shared" si="90"/>
        <v>70</v>
      </c>
      <c r="AQ191" s="49">
        <f t="shared" si="78"/>
        <v>0.05</v>
      </c>
      <c r="AR191" s="18">
        <f t="shared" si="79"/>
        <v>4.0741237836483535E-3</v>
      </c>
      <c r="AS191" s="11">
        <f t="shared" si="91"/>
        <v>0</v>
      </c>
      <c r="AT191" s="11">
        <f t="shared" si="92"/>
        <v>46414.618151562434</v>
      </c>
      <c r="AU191" s="11">
        <f>IF(AB191&lt;&gt;"",AT191-SUM($AS$28:AS191),"")</f>
        <v>18725.218151562429</v>
      </c>
    </row>
    <row r="192" spans="1:47" ht="14.5" x14ac:dyDescent="0.35">
      <c r="A192" s="76">
        <f t="shared" si="93"/>
        <v>49735</v>
      </c>
      <c r="B192" s="8">
        <f t="shared" si="67"/>
        <v>165</v>
      </c>
      <c r="C192" s="11">
        <f t="shared" si="68"/>
        <v>3461.17</v>
      </c>
      <c r="D192" s="11">
        <f t="shared" si="69"/>
        <v>2029.2973612540889</v>
      </c>
      <c r="E192" s="11">
        <f t="shared" si="70"/>
        <v>1431.8726387459112</v>
      </c>
      <c r="F192" s="9">
        <f t="shared" si="80"/>
        <v>201073.20458852057</v>
      </c>
      <c r="G192" s="10">
        <f t="shared" si="71"/>
        <v>6.7599999999999993E-2</v>
      </c>
      <c r="H192" s="10">
        <f t="shared" si="72"/>
        <v>1.7000000000000001E-2</v>
      </c>
      <c r="I192" s="49">
        <f t="shared" si="73"/>
        <v>8.4599999999999995E-2</v>
      </c>
      <c r="J192" s="11">
        <f t="shared" si="74"/>
        <v>20</v>
      </c>
      <c r="K192" s="11">
        <f>IF(B192&lt;&gt;"",IF($B$16=listy!$K$8,'RZĄDOWY PROGRAM'!$F$3*'RZĄDOWY PROGRAM'!$F$15,F191*$F$15),"")</f>
        <v>50</v>
      </c>
      <c r="L192" s="11">
        <f t="shared" si="81"/>
        <v>70</v>
      </c>
      <c r="N192" s="55">
        <f t="shared" si="94"/>
        <v>49735</v>
      </c>
      <c r="O192" s="8">
        <f t="shared" si="82"/>
        <v>165</v>
      </c>
      <c r="P192" s="8"/>
      <c r="Q192" s="33">
        <f>IF(O192&lt;&gt;"",ROUND(IF($F$11="raty równe",-PMT(W192/12,$F$4-O191+SUM($P$28:P192),T191,2),R192+S192),2),"")</f>
        <v>3461.17</v>
      </c>
      <c r="R192" s="11">
        <f>IF(O192&lt;&gt;"",IF($F$11="raty malejące",T191/($F$4-O191+SUM($P$28:P192)),IF(Q192-S192&gt;T191,T191,Q192-S192)),"")</f>
        <v>1918.3920174579787</v>
      </c>
      <c r="S192" s="11">
        <f t="shared" si="96"/>
        <v>1542.7779825420214</v>
      </c>
      <c r="T192" s="9">
        <f t="shared" si="83"/>
        <v>216915.36437148126</v>
      </c>
      <c r="U192" s="10">
        <f t="shared" si="75"/>
        <v>6.7599999999999993E-2</v>
      </c>
      <c r="V192" s="10">
        <f t="shared" si="76"/>
        <v>1.7000000000000001E-2</v>
      </c>
      <c r="W192" s="49">
        <f t="shared" si="84"/>
        <v>8.4599999999999995E-2</v>
      </c>
      <c r="X192" s="11">
        <f t="shared" si="77"/>
        <v>20</v>
      </c>
      <c r="Y192" s="11">
        <f>IF(O192&lt;&gt;"",IF($B$16=listy!$K$8,'RZĄDOWY PROGRAM'!$F$3*'RZĄDOWY PROGRAM'!$F$15,T191*$F$15),"")</f>
        <v>50</v>
      </c>
      <c r="Z192" s="11">
        <f t="shared" si="85"/>
        <v>70</v>
      </c>
      <c r="AB192" s="8">
        <f t="shared" si="86"/>
        <v>165</v>
      </c>
      <c r="AC192" s="8"/>
      <c r="AD192" s="33">
        <f>IF(AB192&lt;&gt;"",ROUND(IF($F$11="raty równe",-PMT(W192/12,$F$4-AB191+SUM($AC$28:AC192),AG191,2),AE192+AF192),2),"")</f>
        <v>3227.7</v>
      </c>
      <c r="AE192" s="11">
        <f>IF(AB192&lt;&gt;"",IF($F$11="raty malejące",AG191/($F$4-AB191+SUM($AC$28:AC191)),MIN(AD192-AF192,AG191)),"")</f>
        <v>1788.9934656314356</v>
      </c>
      <c r="AF192" s="11">
        <f t="shared" si="97"/>
        <v>1438.7065343685642</v>
      </c>
      <c r="AG192" s="9">
        <f t="shared" si="95"/>
        <v>202282.85538097343</v>
      </c>
      <c r="AH192" s="11"/>
      <c r="AI192" s="33">
        <f>IF(AB192&lt;&gt;"",ROUND(IF($F$11="raty równe",-PMT(W192/12,($F$4-AB191+SUM($AC$27:AC191)),AG191,2),AG191/($F$4-AB191+SUM($AC$27:AC191))+AG191*W192/12),2),"")</f>
        <v>3227.7</v>
      </c>
      <c r="AJ192" s="33">
        <f t="shared" si="87"/>
        <v>233.47000000000025</v>
      </c>
      <c r="AK192" s="33">
        <f t="shared" si="88"/>
        <v>48267.041241546984</v>
      </c>
      <c r="AL192" s="33">
        <f>IF(AB192&lt;&gt;"",AK192-SUM($AJ$28:AJ192),"")</f>
        <v>11417.731241547037</v>
      </c>
      <c r="AM192" s="11">
        <f t="shared" si="89"/>
        <v>20</v>
      </c>
      <c r="AN192" s="11">
        <f>IF(AB192&lt;&gt;"",IF($B$16=listy!$K$8,'RZĄDOWY PROGRAM'!$F$3*'RZĄDOWY PROGRAM'!$F$15,AG191*$F$15),"")</f>
        <v>50</v>
      </c>
      <c r="AO192" s="11">
        <f t="shared" si="90"/>
        <v>70</v>
      </c>
      <c r="AQ192" s="49">
        <f t="shared" si="78"/>
        <v>0.05</v>
      </c>
      <c r="AR192" s="18">
        <f t="shared" si="79"/>
        <v>4.0741237836483535E-3</v>
      </c>
      <c r="AS192" s="11">
        <f t="shared" si="91"/>
        <v>0</v>
      </c>
      <c r="AT192" s="11">
        <f t="shared" si="92"/>
        <v>46567.788260335823</v>
      </c>
      <c r="AU192" s="11">
        <f>IF(AB192&lt;&gt;"",AT192-SUM($AS$28:AS192),"")</f>
        <v>18878.388260335818</v>
      </c>
    </row>
    <row r="193" spans="1:47" ht="14.5" x14ac:dyDescent="0.35">
      <c r="A193" s="76">
        <f t="shared" si="93"/>
        <v>49766</v>
      </c>
      <c r="B193" s="8">
        <f t="shared" si="67"/>
        <v>166</v>
      </c>
      <c r="C193" s="11">
        <f t="shared" si="68"/>
        <v>3461.18</v>
      </c>
      <c r="D193" s="11">
        <f t="shared" si="69"/>
        <v>2043.6139076509301</v>
      </c>
      <c r="E193" s="11">
        <f t="shared" si="70"/>
        <v>1417.5660923490698</v>
      </c>
      <c r="F193" s="9">
        <f t="shared" si="80"/>
        <v>199029.59068086965</v>
      </c>
      <c r="G193" s="10">
        <f t="shared" si="71"/>
        <v>6.7599999999999993E-2</v>
      </c>
      <c r="H193" s="10">
        <f t="shared" si="72"/>
        <v>1.7000000000000001E-2</v>
      </c>
      <c r="I193" s="49">
        <f t="shared" si="73"/>
        <v>8.4599999999999995E-2</v>
      </c>
      <c r="J193" s="11">
        <f t="shared" si="74"/>
        <v>20</v>
      </c>
      <c r="K193" s="11">
        <f>IF(B193&lt;&gt;"",IF($B$16=listy!$K$8,'RZĄDOWY PROGRAM'!$F$3*'RZĄDOWY PROGRAM'!$F$15,F192*$F$15),"")</f>
        <v>50</v>
      </c>
      <c r="L193" s="11">
        <f t="shared" si="81"/>
        <v>70</v>
      </c>
      <c r="N193" s="55">
        <f t="shared" si="94"/>
        <v>49766</v>
      </c>
      <c r="O193" s="8">
        <f t="shared" si="82"/>
        <v>166</v>
      </c>
      <c r="P193" s="8"/>
      <c r="Q193" s="33">
        <f>IF(O193&lt;&gt;"",ROUND(IF($F$11="raty równe",-PMT(W193/12,$F$4-O192+SUM($P$28:P193),T192,2),R193+S193),2),"")</f>
        <v>3461.18</v>
      </c>
      <c r="R193" s="11">
        <f>IF(O193&lt;&gt;"",IF($F$11="raty malejące",T192/($F$4-O192+SUM($P$28:P193)),IF(Q193-S193&gt;T192,T192,Q193-S193)),"")</f>
        <v>1931.9266811810571</v>
      </c>
      <c r="S193" s="11">
        <f t="shared" si="96"/>
        <v>1529.2533188189427</v>
      </c>
      <c r="T193" s="9">
        <f t="shared" si="83"/>
        <v>214983.4376903002</v>
      </c>
      <c r="U193" s="10">
        <f t="shared" si="75"/>
        <v>6.7599999999999993E-2</v>
      </c>
      <c r="V193" s="10">
        <f t="shared" si="76"/>
        <v>1.7000000000000001E-2</v>
      </c>
      <c r="W193" s="49">
        <f t="shared" si="84"/>
        <v>8.4599999999999995E-2</v>
      </c>
      <c r="X193" s="11">
        <f t="shared" si="77"/>
        <v>20</v>
      </c>
      <c r="Y193" s="11">
        <f>IF(O193&lt;&gt;"",IF($B$16=listy!$K$8,'RZĄDOWY PROGRAM'!$F$3*'RZĄDOWY PROGRAM'!$F$15,T192*$F$15),"")</f>
        <v>50</v>
      </c>
      <c r="Z193" s="11">
        <f t="shared" si="85"/>
        <v>70</v>
      </c>
      <c r="AB193" s="8">
        <f t="shared" si="86"/>
        <v>166</v>
      </c>
      <c r="AC193" s="8"/>
      <c r="AD193" s="33">
        <f>IF(AB193&lt;&gt;"",ROUND(IF($F$11="raty równe",-PMT(W193/12,$F$4-AB192+SUM($AC$28:AC193),AG192,2),AE193+AF193),2),"")</f>
        <v>3227.69</v>
      </c>
      <c r="AE193" s="11">
        <f>IF(AB193&lt;&gt;"",IF($F$11="raty malejące",AG192/($F$4-AB192+SUM($AC$28:AC192)),MIN(AD193-AF193,AG192)),"")</f>
        <v>1801.5958695641373</v>
      </c>
      <c r="AF193" s="11">
        <f t="shared" si="97"/>
        <v>1426.0941304358628</v>
      </c>
      <c r="AG193" s="9">
        <f t="shared" si="95"/>
        <v>200481.2595114093</v>
      </c>
      <c r="AH193" s="11"/>
      <c r="AI193" s="33">
        <f>IF(AB193&lt;&gt;"",ROUND(IF($F$11="raty równe",-PMT(W193/12,($F$4-AB192+SUM($AC$27:AC192)),AG192,2),AG192/($F$4-AB192+SUM($AC$27:AC192))+AG192*W193/12),2),"")</f>
        <v>3227.69</v>
      </c>
      <c r="AJ193" s="33">
        <f t="shared" si="87"/>
        <v>233.48999999999978</v>
      </c>
      <c r="AK193" s="33">
        <f t="shared" si="88"/>
        <v>48659.814421104682</v>
      </c>
      <c r="AL193" s="33">
        <f>IF(AB193&lt;&gt;"",AK193-SUM($AJ$28:AJ193),"")</f>
        <v>11577.014421104737</v>
      </c>
      <c r="AM193" s="11">
        <f t="shared" si="89"/>
        <v>20</v>
      </c>
      <c r="AN193" s="11">
        <f>IF(AB193&lt;&gt;"",IF($B$16=listy!$K$8,'RZĄDOWY PROGRAM'!$F$3*'RZĄDOWY PROGRAM'!$F$15,AG192*$F$15),"")</f>
        <v>50</v>
      </c>
      <c r="AO193" s="11">
        <f t="shared" si="90"/>
        <v>70</v>
      </c>
      <c r="AQ193" s="49">
        <f t="shared" si="78"/>
        <v>0.05</v>
      </c>
      <c r="AR193" s="18">
        <f t="shared" si="79"/>
        <v>4.0741237836483535E-3</v>
      </c>
      <c r="AS193" s="11">
        <f t="shared" si="91"/>
        <v>0</v>
      </c>
      <c r="AT193" s="11">
        <f t="shared" si="92"/>
        <v>46721.463836635521</v>
      </c>
      <c r="AU193" s="11">
        <f>IF(AB193&lt;&gt;"",AT193-SUM($AS$28:AS193),"")</f>
        <v>19032.063836635516</v>
      </c>
    </row>
    <row r="194" spans="1:47" ht="14.5" x14ac:dyDescent="0.35">
      <c r="A194" s="76">
        <f t="shared" si="93"/>
        <v>49796</v>
      </c>
      <c r="B194" s="8">
        <f t="shared" si="67"/>
        <v>167</v>
      </c>
      <c r="C194" s="11">
        <f t="shared" si="68"/>
        <v>3461.17</v>
      </c>
      <c r="D194" s="11">
        <f t="shared" si="69"/>
        <v>2058.0113856998696</v>
      </c>
      <c r="E194" s="11">
        <f t="shared" si="70"/>
        <v>1403.1586143001307</v>
      </c>
      <c r="F194" s="9">
        <f t="shared" si="80"/>
        <v>196971.57929516977</v>
      </c>
      <c r="G194" s="10">
        <f t="shared" si="71"/>
        <v>6.7599999999999993E-2</v>
      </c>
      <c r="H194" s="10">
        <f t="shared" si="72"/>
        <v>1.7000000000000001E-2</v>
      </c>
      <c r="I194" s="49">
        <f t="shared" si="73"/>
        <v>8.4599999999999995E-2</v>
      </c>
      <c r="J194" s="11">
        <f t="shared" si="74"/>
        <v>20</v>
      </c>
      <c r="K194" s="11">
        <f>IF(B194&lt;&gt;"",IF($B$16=listy!$K$8,'RZĄDOWY PROGRAM'!$F$3*'RZĄDOWY PROGRAM'!$F$15,F193*$F$15),"")</f>
        <v>50</v>
      </c>
      <c r="L194" s="11">
        <f t="shared" si="81"/>
        <v>70</v>
      </c>
      <c r="N194" s="55">
        <f t="shared" si="94"/>
        <v>49796</v>
      </c>
      <c r="O194" s="8">
        <f t="shared" si="82"/>
        <v>167</v>
      </c>
      <c r="P194" s="8"/>
      <c r="Q194" s="33">
        <f>IF(O194&lt;&gt;"",ROUND(IF($F$11="raty równe",-PMT(W194/12,$F$4-O193+SUM($P$28:P194),T193,2),R194+S194),2),"")</f>
        <v>3461.17</v>
      </c>
      <c r="R194" s="11">
        <f>IF(O194&lt;&gt;"",IF($F$11="raty malejące",T193/($F$4-O193+SUM($P$28:P194)),IF(Q194-S194&gt;T193,T193,Q194-S194)),"")</f>
        <v>1945.5367642833837</v>
      </c>
      <c r="S194" s="11">
        <f t="shared" si="96"/>
        <v>1515.6332357166164</v>
      </c>
      <c r="T194" s="9">
        <f t="shared" si="83"/>
        <v>213037.90092601682</v>
      </c>
      <c r="U194" s="10">
        <f t="shared" si="75"/>
        <v>6.7599999999999993E-2</v>
      </c>
      <c r="V194" s="10">
        <f t="shared" si="76"/>
        <v>1.7000000000000001E-2</v>
      </c>
      <c r="W194" s="49">
        <f t="shared" si="84"/>
        <v>8.4599999999999995E-2</v>
      </c>
      <c r="X194" s="11">
        <f t="shared" si="77"/>
        <v>20</v>
      </c>
      <c r="Y194" s="11">
        <f>IF(O194&lt;&gt;"",IF($B$16=listy!$K$8,'RZĄDOWY PROGRAM'!$F$3*'RZĄDOWY PROGRAM'!$F$15,T193*$F$15),"")</f>
        <v>50</v>
      </c>
      <c r="Z194" s="11">
        <f t="shared" si="85"/>
        <v>70</v>
      </c>
      <c r="AB194" s="8">
        <f t="shared" si="86"/>
        <v>167</v>
      </c>
      <c r="AC194" s="8"/>
      <c r="AD194" s="33">
        <f>IF(AB194&lt;&gt;"",ROUND(IF($F$11="raty równe",-PMT(W194/12,$F$4-AB193+SUM($AC$28:AC194),AG193,2),AE194+AF194),2),"")</f>
        <v>3227.7</v>
      </c>
      <c r="AE194" s="11">
        <f>IF(AB194&lt;&gt;"",IF($F$11="raty malejące",AG193/($F$4-AB193+SUM($AC$28:AC193)),MIN(AD194-AF194,AG193)),"")</f>
        <v>1814.3071204445644</v>
      </c>
      <c r="AF194" s="11">
        <f t="shared" si="97"/>
        <v>1413.3928795554355</v>
      </c>
      <c r="AG194" s="9">
        <f t="shared" si="95"/>
        <v>198666.95239096473</v>
      </c>
      <c r="AH194" s="11"/>
      <c r="AI194" s="33">
        <f>IF(AB194&lt;&gt;"",ROUND(IF($F$11="raty równe",-PMT(W194/12,($F$4-AB193+SUM($AC$27:AC193)),AG193,2),AG193/($F$4-AB193+SUM($AC$27:AC193))+AG193*W194/12),2),"")</f>
        <v>3227.7</v>
      </c>
      <c r="AJ194" s="33">
        <f t="shared" si="87"/>
        <v>233.47000000000025</v>
      </c>
      <c r="AK194" s="33">
        <f t="shared" si="88"/>
        <v>49053.863767969844</v>
      </c>
      <c r="AL194" s="33">
        <f>IF(AB194&lt;&gt;"",AK194-SUM($AJ$28:AJ194),"")</f>
        <v>11737.593767969898</v>
      </c>
      <c r="AM194" s="11">
        <f t="shared" si="89"/>
        <v>20</v>
      </c>
      <c r="AN194" s="11">
        <f>IF(AB194&lt;&gt;"",IF($B$16=listy!$K$8,'RZĄDOWY PROGRAM'!$F$3*'RZĄDOWY PROGRAM'!$F$15,AG193*$F$15),"")</f>
        <v>50</v>
      </c>
      <c r="AO194" s="11">
        <f t="shared" si="90"/>
        <v>70</v>
      </c>
      <c r="AQ194" s="49">
        <f t="shared" si="78"/>
        <v>0.05</v>
      </c>
      <c r="AR194" s="18">
        <f t="shared" si="79"/>
        <v>4.0741237836483535E-3</v>
      </c>
      <c r="AS194" s="11">
        <f t="shared" si="91"/>
        <v>0</v>
      </c>
      <c r="AT194" s="11">
        <f t="shared" si="92"/>
        <v>46875.646548524717</v>
      </c>
      <c r="AU194" s="11">
        <f>IF(AB194&lt;&gt;"",AT194-SUM($AS$28:AS194),"")</f>
        <v>19186.246548524712</v>
      </c>
    </row>
    <row r="195" spans="1:47" ht="14.5" x14ac:dyDescent="0.35">
      <c r="A195" s="76">
        <f t="shared" si="93"/>
        <v>49827</v>
      </c>
      <c r="B195" s="8">
        <f t="shared" si="67"/>
        <v>168</v>
      </c>
      <c r="C195" s="11">
        <f t="shared" si="68"/>
        <v>3461.18</v>
      </c>
      <c r="D195" s="11">
        <f t="shared" si="69"/>
        <v>2072.530365969053</v>
      </c>
      <c r="E195" s="11">
        <f t="shared" si="70"/>
        <v>1388.6496340309468</v>
      </c>
      <c r="F195" s="9">
        <f t="shared" si="80"/>
        <v>194899.04892920071</v>
      </c>
      <c r="G195" s="10">
        <f t="shared" si="71"/>
        <v>6.7599999999999993E-2</v>
      </c>
      <c r="H195" s="10">
        <f t="shared" si="72"/>
        <v>1.7000000000000001E-2</v>
      </c>
      <c r="I195" s="49">
        <f t="shared" si="73"/>
        <v>8.4599999999999995E-2</v>
      </c>
      <c r="J195" s="11">
        <f t="shared" si="74"/>
        <v>20</v>
      </c>
      <c r="K195" s="11">
        <f>IF(B195&lt;&gt;"",IF($B$16=listy!$K$8,'RZĄDOWY PROGRAM'!$F$3*'RZĄDOWY PROGRAM'!$F$15,F194*$F$15),"")</f>
        <v>50</v>
      </c>
      <c r="L195" s="11">
        <f t="shared" si="81"/>
        <v>70</v>
      </c>
      <c r="N195" s="55">
        <f t="shared" si="94"/>
        <v>49827</v>
      </c>
      <c r="O195" s="8">
        <f t="shared" si="82"/>
        <v>168</v>
      </c>
      <c r="P195" s="8"/>
      <c r="Q195" s="33">
        <f>IF(O195&lt;&gt;"",ROUND(IF($F$11="raty równe",-PMT(W195/12,$F$4-O194+SUM($P$28:P195),T194,2),R195+S195),2),"")</f>
        <v>3461.18</v>
      </c>
      <c r="R195" s="11">
        <f>IF(O195&lt;&gt;"",IF($F$11="raty malejące",T194/($F$4-O194+SUM($P$28:P195)),IF(Q195-S195&gt;T194,T194,Q195-S195)),"")</f>
        <v>1959.2627984715814</v>
      </c>
      <c r="S195" s="11">
        <f t="shared" si="96"/>
        <v>1501.9172015284184</v>
      </c>
      <c r="T195" s="9">
        <f t="shared" si="83"/>
        <v>211078.63812754524</v>
      </c>
      <c r="U195" s="10">
        <f t="shared" si="75"/>
        <v>6.7599999999999993E-2</v>
      </c>
      <c r="V195" s="10">
        <f t="shared" si="76"/>
        <v>1.7000000000000001E-2</v>
      </c>
      <c r="W195" s="49">
        <f t="shared" si="84"/>
        <v>8.4599999999999995E-2</v>
      </c>
      <c r="X195" s="11">
        <f t="shared" si="77"/>
        <v>20</v>
      </c>
      <c r="Y195" s="11">
        <f>IF(O195&lt;&gt;"",IF($B$16=listy!$K$8,'RZĄDOWY PROGRAM'!$F$3*'RZĄDOWY PROGRAM'!$F$15,T194*$F$15),"")</f>
        <v>50</v>
      </c>
      <c r="Z195" s="11">
        <f t="shared" si="85"/>
        <v>70</v>
      </c>
      <c r="AB195" s="8">
        <f t="shared" si="86"/>
        <v>168</v>
      </c>
      <c r="AC195" s="8"/>
      <c r="AD195" s="33">
        <f>IF(AB195&lt;&gt;"",ROUND(IF($F$11="raty równe",-PMT(W195/12,$F$4-AB194+SUM($AC$28:AC195),AG194,2),AE195+AF195),2),"")</f>
        <v>3227.69</v>
      </c>
      <c r="AE195" s="11">
        <f>IF(AB195&lt;&gt;"",IF($F$11="raty malejące",AG194/($F$4-AB194+SUM($AC$28:AC194)),MIN(AD195-AF195,AG194)),"")</f>
        <v>1827.0879856436989</v>
      </c>
      <c r="AF195" s="11">
        <f t="shared" si="97"/>
        <v>1400.6020143563012</v>
      </c>
      <c r="AG195" s="9">
        <f t="shared" si="95"/>
        <v>196839.86440532102</v>
      </c>
      <c r="AH195" s="11"/>
      <c r="AI195" s="33">
        <f>IF(AB195&lt;&gt;"",ROUND(IF($F$11="raty równe",-PMT(W195/12,($F$4-AB194+SUM($AC$27:AC194)),AG194,2),AG194/($F$4-AB194+SUM($AC$27:AC194))+AG194*W195/12),2),"")</f>
        <v>3227.69</v>
      </c>
      <c r="AJ195" s="33">
        <f t="shared" si="87"/>
        <v>233.48999999999978</v>
      </c>
      <c r="AK195" s="33">
        <f t="shared" si="88"/>
        <v>49449.233493545958</v>
      </c>
      <c r="AL195" s="33">
        <f>IF(AB195&lt;&gt;"",AK195-SUM($AJ$28:AJ195),"")</f>
        <v>11899.473493546015</v>
      </c>
      <c r="AM195" s="11">
        <f t="shared" si="89"/>
        <v>20</v>
      </c>
      <c r="AN195" s="11">
        <f>IF(AB195&lt;&gt;"",IF($B$16=listy!$K$8,'RZĄDOWY PROGRAM'!$F$3*'RZĄDOWY PROGRAM'!$F$15,AG194*$F$15),"")</f>
        <v>50</v>
      </c>
      <c r="AO195" s="11">
        <f t="shared" si="90"/>
        <v>70</v>
      </c>
      <c r="AQ195" s="49">
        <f t="shared" si="78"/>
        <v>0.05</v>
      </c>
      <c r="AR195" s="18">
        <f t="shared" si="79"/>
        <v>4.0741237836483535E-3</v>
      </c>
      <c r="AS195" s="11">
        <f t="shared" si="91"/>
        <v>0</v>
      </c>
      <c r="AT195" s="11">
        <f t="shared" si="92"/>
        <v>47030.338069571277</v>
      </c>
      <c r="AU195" s="11">
        <f>IF(AB195&lt;&gt;"",AT195-SUM($AS$28:AS195),"")</f>
        <v>19340.938069571272</v>
      </c>
    </row>
    <row r="196" spans="1:47" ht="14.5" x14ac:dyDescent="0.35">
      <c r="A196" s="76">
        <f t="shared" si="93"/>
        <v>49857</v>
      </c>
      <c r="B196" s="8">
        <f t="shared" si="67"/>
        <v>169</v>
      </c>
      <c r="C196" s="11">
        <f t="shared" si="68"/>
        <v>3461.17</v>
      </c>
      <c r="D196" s="11">
        <f t="shared" si="69"/>
        <v>2087.1317050491352</v>
      </c>
      <c r="E196" s="11">
        <f t="shared" si="70"/>
        <v>1374.0382949508648</v>
      </c>
      <c r="F196" s="9">
        <f t="shared" si="80"/>
        <v>192811.91722415158</v>
      </c>
      <c r="G196" s="10">
        <f t="shared" si="71"/>
        <v>6.7599999999999993E-2</v>
      </c>
      <c r="H196" s="10">
        <f t="shared" si="72"/>
        <v>1.7000000000000001E-2</v>
      </c>
      <c r="I196" s="49">
        <f t="shared" si="73"/>
        <v>8.4599999999999995E-2</v>
      </c>
      <c r="J196" s="11">
        <f t="shared" si="74"/>
        <v>20</v>
      </c>
      <c r="K196" s="11">
        <f>IF(B196&lt;&gt;"",IF($B$16=listy!$K$8,'RZĄDOWY PROGRAM'!$F$3*'RZĄDOWY PROGRAM'!$F$15,F195*$F$15),"")</f>
        <v>50</v>
      </c>
      <c r="L196" s="11">
        <f t="shared" si="81"/>
        <v>70</v>
      </c>
      <c r="N196" s="55">
        <f t="shared" si="94"/>
        <v>49857</v>
      </c>
      <c r="O196" s="8">
        <f t="shared" si="82"/>
        <v>169</v>
      </c>
      <c r="P196" s="8"/>
      <c r="Q196" s="33">
        <f>IF(O196&lt;&gt;"",ROUND(IF($F$11="raty równe",-PMT(W196/12,$F$4-O195+SUM($P$28:P196),T195,2),R196+S196),2),"")</f>
        <v>3461.17</v>
      </c>
      <c r="R196" s="11">
        <f>IF(O196&lt;&gt;"",IF($F$11="raty malejące",T195/($F$4-O195+SUM($P$28:P196)),IF(Q196-S196&gt;T195,T195,Q196-S196)),"")</f>
        <v>1973.065601200806</v>
      </c>
      <c r="S196" s="11">
        <f t="shared" si="96"/>
        <v>1488.1043987991941</v>
      </c>
      <c r="T196" s="9">
        <f t="shared" si="83"/>
        <v>209105.57252634445</v>
      </c>
      <c r="U196" s="10">
        <f t="shared" si="75"/>
        <v>6.7599999999999993E-2</v>
      </c>
      <c r="V196" s="10">
        <f t="shared" si="76"/>
        <v>1.7000000000000001E-2</v>
      </c>
      <c r="W196" s="49">
        <f t="shared" si="84"/>
        <v>8.4599999999999995E-2</v>
      </c>
      <c r="X196" s="11">
        <f t="shared" si="77"/>
        <v>20</v>
      </c>
      <c r="Y196" s="11">
        <f>IF(O196&lt;&gt;"",IF($B$16=listy!$K$8,'RZĄDOWY PROGRAM'!$F$3*'RZĄDOWY PROGRAM'!$F$15,T195*$F$15),"")</f>
        <v>50</v>
      </c>
      <c r="Z196" s="11">
        <f t="shared" si="85"/>
        <v>70</v>
      </c>
      <c r="AB196" s="8">
        <f t="shared" si="86"/>
        <v>169</v>
      </c>
      <c r="AC196" s="8"/>
      <c r="AD196" s="33">
        <f>IF(AB196&lt;&gt;"",ROUND(IF($F$11="raty równe",-PMT(W196/12,$F$4-AB195+SUM($AC$28:AC196),AG195,2),AE196+AF196),2),"")</f>
        <v>3227.7</v>
      </c>
      <c r="AE196" s="11">
        <f>IF(AB196&lt;&gt;"",IF($F$11="raty malejące",AG195/($F$4-AB195+SUM($AC$28:AC195)),MIN(AD196-AF196,AG195)),"")</f>
        <v>1839.9789559424869</v>
      </c>
      <c r="AF196" s="11">
        <f t="shared" si="97"/>
        <v>1387.7210440575129</v>
      </c>
      <c r="AG196" s="9">
        <f t="shared" si="95"/>
        <v>194999.88544937852</v>
      </c>
      <c r="AH196" s="11"/>
      <c r="AI196" s="33">
        <f>IF(AB196&lt;&gt;"",ROUND(IF($F$11="raty równe",-PMT(W196/12,($F$4-AB195+SUM($AC$27:AC195)),AG195,2),AG195/($F$4-AB195+SUM($AC$27:AC195))+AG195*W196/12),2),"")</f>
        <v>3227.7</v>
      </c>
      <c r="AJ196" s="33">
        <f t="shared" si="87"/>
        <v>233.47000000000025</v>
      </c>
      <c r="AK196" s="33">
        <f t="shared" si="88"/>
        <v>49845.887955135942</v>
      </c>
      <c r="AL196" s="33">
        <f>IF(AB196&lt;&gt;"",AK196-SUM($AJ$28:AJ196),"")</f>
        <v>12062.657955135997</v>
      </c>
      <c r="AM196" s="11">
        <f t="shared" si="89"/>
        <v>20</v>
      </c>
      <c r="AN196" s="11">
        <f>IF(AB196&lt;&gt;"",IF($B$16=listy!$K$8,'RZĄDOWY PROGRAM'!$F$3*'RZĄDOWY PROGRAM'!$F$15,AG195*$F$15),"")</f>
        <v>50</v>
      </c>
      <c r="AO196" s="11">
        <f t="shared" si="90"/>
        <v>70</v>
      </c>
      <c r="AQ196" s="49">
        <f t="shared" si="78"/>
        <v>0.05</v>
      </c>
      <c r="AR196" s="18">
        <f t="shared" si="79"/>
        <v>4.0741237836483535E-3</v>
      </c>
      <c r="AS196" s="11">
        <f t="shared" si="91"/>
        <v>0</v>
      </c>
      <c r="AT196" s="11">
        <f t="shared" si="92"/>
        <v>47185.54007886591</v>
      </c>
      <c r="AU196" s="11">
        <f>IF(AB196&lt;&gt;"",AT196-SUM($AS$28:AS196),"")</f>
        <v>19496.140078865905</v>
      </c>
    </row>
    <row r="197" spans="1:47" ht="14.5" x14ac:dyDescent="0.35">
      <c r="A197" s="76">
        <f t="shared" si="93"/>
        <v>49888</v>
      </c>
      <c r="B197" s="8">
        <f t="shared" si="67"/>
        <v>170</v>
      </c>
      <c r="C197" s="11">
        <f t="shared" si="68"/>
        <v>3461.18</v>
      </c>
      <c r="D197" s="11">
        <f t="shared" si="69"/>
        <v>2101.8559835697315</v>
      </c>
      <c r="E197" s="11">
        <f t="shared" si="70"/>
        <v>1359.3240164302686</v>
      </c>
      <c r="F197" s="9">
        <f t="shared" si="80"/>
        <v>190710.06124058185</v>
      </c>
      <c r="G197" s="10">
        <f t="shared" si="71"/>
        <v>6.7599999999999993E-2</v>
      </c>
      <c r="H197" s="10">
        <f t="shared" si="72"/>
        <v>1.7000000000000001E-2</v>
      </c>
      <c r="I197" s="49">
        <f t="shared" si="73"/>
        <v>8.4599999999999995E-2</v>
      </c>
      <c r="J197" s="11">
        <f t="shared" si="74"/>
        <v>20</v>
      </c>
      <c r="K197" s="11">
        <f>IF(B197&lt;&gt;"",IF($B$16=listy!$K$8,'RZĄDOWY PROGRAM'!$F$3*'RZĄDOWY PROGRAM'!$F$15,F196*$F$15),"")</f>
        <v>50</v>
      </c>
      <c r="L197" s="11">
        <f t="shared" si="81"/>
        <v>70</v>
      </c>
      <c r="N197" s="55">
        <f t="shared" si="94"/>
        <v>49888</v>
      </c>
      <c r="O197" s="8">
        <f t="shared" si="82"/>
        <v>170</v>
      </c>
      <c r="P197" s="8"/>
      <c r="Q197" s="33">
        <f>IF(O197&lt;&gt;"",ROUND(IF($F$11="raty równe",-PMT(W197/12,$F$4-O196+SUM($P$28:P197),T196,2),R197+S197),2),"")</f>
        <v>3461.18</v>
      </c>
      <c r="R197" s="11">
        <f>IF(O197&lt;&gt;"",IF($F$11="raty malejące",T196/($F$4-O196+SUM($P$28:P197)),IF(Q197-S197&gt;T196,T196,Q197-S197)),"")</f>
        <v>1986.9857136892717</v>
      </c>
      <c r="S197" s="11">
        <f t="shared" si="96"/>
        <v>1474.1942863107281</v>
      </c>
      <c r="T197" s="9">
        <f t="shared" si="83"/>
        <v>207118.58681265518</v>
      </c>
      <c r="U197" s="10">
        <f t="shared" si="75"/>
        <v>6.7599999999999993E-2</v>
      </c>
      <c r="V197" s="10">
        <f t="shared" si="76"/>
        <v>1.7000000000000001E-2</v>
      </c>
      <c r="W197" s="49">
        <f t="shared" si="84"/>
        <v>8.4599999999999995E-2</v>
      </c>
      <c r="X197" s="11">
        <f t="shared" si="77"/>
        <v>20</v>
      </c>
      <c r="Y197" s="11">
        <f>IF(O197&lt;&gt;"",IF($B$16=listy!$K$8,'RZĄDOWY PROGRAM'!$F$3*'RZĄDOWY PROGRAM'!$F$15,T196*$F$15),"")</f>
        <v>50</v>
      </c>
      <c r="Z197" s="11">
        <f t="shared" si="85"/>
        <v>70</v>
      </c>
      <c r="AB197" s="8">
        <f t="shared" si="86"/>
        <v>170</v>
      </c>
      <c r="AC197" s="8"/>
      <c r="AD197" s="33">
        <f>IF(AB197&lt;&gt;"",ROUND(IF($F$11="raty równe",-PMT(W197/12,$F$4-AB196+SUM($AC$28:AC197),AG196,2),AE197+AF197),2),"")</f>
        <v>3227.69</v>
      </c>
      <c r="AE197" s="11">
        <f>IF(AB197&lt;&gt;"",IF($F$11="raty malejące",AG196/($F$4-AB196+SUM($AC$28:AC196)),MIN(AD197-AF197,AG196)),"")</f>
        <v>1852.9408075818815</v>
      </c>
      <c r="AF197" s="11">
        <f t="shared" si="97"/>
        <v>1374.7491924181186</v>
      </c>
      <c r="AG197" s="9">
        <f t="shared" si="95"/>
        <v>193146.94464179664</v>
      </c>
      <c r="AH197" s="11"/>
      <c r="AI197" s="33">
        <f>IF(AB197&lt;&gt;"",ROUND(IF($F$11="raty równe",-PMT(W197/12,($F$4-AB196+SUM($AC$27:AC196)),AG196,2),AG196/($F$4-AB196+SUM($AC$27:AC196))+AG196*W197/12),2),"")</f>
        <v>3227.69</v>
      </c>
      <c r="AJ197" s="33">
        <f t="shared" si="87"/>
        <v>233.48999999999978</v>
      </c>
      <c r="AK197" s="33">
        <f t="shared" si="88"/>
        <v>50243.871392420362</v>
      </c>
      <c r="AL197" s="33">
        <f>IF(AB197&lt;&gt;"",AK197-SUM($AJ$28:AJ197),"")</f>
        <v>12227.151392420419</v>
      </c>
      <c r="AM197" s="11">
        <f t="shared" si="89"/>
        <v>20</v>
      </c>
      <c r="AN197" s="11">
        <f>IF(AB197&lt;&gt;"",IF($B$16=listy!$K$8,'RZĄDOWY PROGRAM'!$F$3*'RZĄDOWY PROGRAM'!$F$15,AG196*$F$15),"")</f>
        <v>50</v>
      </c>
      <c r="AO197" s="11">
        <f t="shared" si="90"/>
        <v>70</v>
      </c>
      <c r="AQ197" s="49">
        <f t="shared" si="78"/>
        <v>0.05</v>
      </c>
      <c r="AR197" s="18">
        <f t="shared" si="79"/>
        <v>4.0741237836483535E-3</v>
      </c>
      <c r="AS197" s="11">
        <f t="shared" si="91"/>
        <v>0</v>
      </c>
      <c r="AT197" s="11">
        <f t="shared" si="92"/>
        <v>47341.254261040383</v>
      </c>
      <c r="AU197" s="11">
        <f>IF(AB197&lt;&gt;"",AT197-SUM($AS$28:AS197),"")</f>
        <v>19651.854261040378</v>
      </c>
    </row>
    <row r="198" spans="1:47" ht="14.5" x14ac:dyDescent="0.35">
      <c r="A198" s="76">
        <f t="shared" si="93"/>
        <v>49919</v>
      </c>
      <c r="B198" s="8">
        <f t="shared" si="67"/>
        <v>171</v>
      </c>
      <c r="C198" s="11">
        <f t="shared" si="68"/>
        <v>3461.17</v>
      </c>
      <c r="D198" s="11">
        <f t="shared" si="69"/>
        <v>2116.6640682538982</v>
      </c>
      <c r="E198" s="11">
        <f t="shared" si="70"/>
        <v>1344.5059317461021</v>
      </c>
      <c r="F198" s="9">
        <f t="shared" si="80"/>
        <v>188593.39717232797</v>
      </c>
      <c r="G198" s="10">
        <f t="shared" si="71"/>
        <v>6.7599999999999993E-2</v>
      </c>
      <c r="H198" s="10">
        <f t="shared" si="72"/>
        <v>1.7000000000000001E-2</v>
      </c>
      <c r="I198" s="49">
        <f t="shared" si="73"/>
        <v>8.4599999999999995E-2</v>
      </c>
      <c r="J198" s="11">
        <f t="shared" si="74"/>
        <v>20</v>
      </c>
      <c r="K198" s="11">
        <f>IF(B198&lt;&gt;"",IF($B$16=listy!$K$8,'RZĄDOWY PROGRAM'!$F$3*'RZĄDOWY PROGRAM'!$F$15,F197*$F$15),"")</f>
        <v>50</v>
      </c>
      <c r="L198" s="11">
        <f t="shared" si="81"/>
        <v>70</v>
      </c>
      <c r="N198" s="55">
        <f t="shared" si="94"/>
        <v>49919</v>
      </c>
      <c r="O198" s="8">
        <f t="shared" si="82"/>
        <v>171</v>
      </c>
      <c r="P198" s="8"/>
      <c r="Q198" s="33">
        <f>IF(O198&lt;&gt;"",ROUND(IF($F$11="raty równe",-PMT(W198/12,$F$4-O197+SUM($P$28:P198),T197,2),R198+S198),2),"")</f>
        <v>3461.17</v>
      </c>
      <c r="R198" s="11">
        <f>IF(O198&lt;&gt;"",IF($F$11="raty malejące",T197/($F$4-O197+SUM($P$28:P198)),IF(Q198-S198&gt;T197,T197,Q198-S198)),"")</f>
        <v>2000.9839629707812</v>
      </c>
      <c r="S198" s="11">
        <f t="shared" si="96"/>
        <v>1460.1860370292188</v>
      </c>
      <c r="T198" s="9">
        <f t="shared" si="83"/>
        <v>205117.60284968439</v>
      </c>
      <c r="U198" s="10">
        <f t="shared" si="75"/>
        <v>6.7599999999999993E-2</v>
      </c>
      <c r="V198" s="10">
        <f t="shared" si="76"/>
        <v>1.7000000000000001E-2</v>
      </c>
      <c r="W198" s="49">
        <f t="shared" si="84"/>
        <v>8.4599999999999995E-2</v>
      </c>
      <c r="X198" s="11">
        <f t="shared" si="77"/>
        <v>20</v>
      </c>
      <c r="Y198" s="11">
        <f>IF(O198&lt;&gt;"",IF($B$16=listy!$K$8,'RZĄDOWY PROGRAM'!$F$3*'RZĄDOWY PROGRAM'!$F$15,T197*$F$15),"")</f>
        <v>50</v>
      </c>
      <c r="Z198" s="11">
        <f t="shared" si="85"/>
        <v>70</v>
      </c>
      <c r="AB198" s="8">
        <f t="shared" si="86"/>
        <v>171</v>
      </c>
      <c r="AC198" s="8"/>
      <c r="AD198" s="33">
        <f>IF(AB198&lt;&gt;"",ROUND(IF($F$11="raty równe",-PMT(W198/12,$F$4-AB197+SUM($AC$28:AC198),AG197,2),AE198+AF198),2),"")</f>
        <v>3227.7</v>
      </c>
      <c r="AE198" s="11">
        <f>IF(AB198&lt;&gt;"",IF($F$11="raty malejące",AG197/($F$4-AB197+SUM($AC$28:AC197)),MIN(AD198-AF198,AG197)),"")</f>
        <v>1866.0140402753336</v>
      </c>
      <c r="AF198" s="11">
        <f t="shared" si="97"/>
        <v>1361.6859597246662</v>
      </c>
      <c r="AG198" s="9">
        <f t="shared" si="95"/>
        <v>191280.93060152131</v>
      </c>
      <c r="AH198" s="11"/>
      <c r="AI198" s="33">
        <f>IF(AB198&lt;&gt;"",ROUND(IF($F$11="raty równe",-PMT(W198/12,($F$4-AB197+SUM($AC$27:AC197)),AG197,2),AG197/($F$4-AB197+SUM($AC$27:AC197))+AG197*W198/12),2),"")</f>
        <v>3227.7</v>
      </c>
      <c r="AJ198" s="33">
        <f t="shared" si="87"/>
        <v>233.47000000000025</v>
      </c>
      <c r="AK198" s="33">
        <f t="shared" si="88"/>
        <v>50643.148191072534</v>
      </c>
      <c r="AL198" s="33">
        <f>IF(AB198&lt;&gt;"",AK198-SUM($AJ$28:AJ198),"")</f>
        <v>12392.95819107259</v>
      </c>
      <c r="AM198" s="11">
        <f t="shared" si="89"/>
        <v>20</v>
      </c>
      <c r="AN198" s="11">
        <f>IF(AB198&lt;&gt;"",IF($B$16=listy!$K$8,'RZĄDOWY PROGRAM'!$F$3*'RZĄDOWY PROGRAM'!$F$15,AG197*$F$15),"")</f>
        <v>50</v>
      </c>
      <c r="AO198" s="11">
        <f t="shared" si="90"/>
        <v>70</v>
      </c>
      <c r="AQ198" s="49">
        <f t="shared" si="78"/>
        <v>0.05</v>
      </c>
      <c r="AR198" s="18">
        <f t="shared" si="79"/>
        <v>4.0741237836483535E-3</v>
      </c>
      <c r="AS198" s="11">
        <f t="shared" si="91"/>
        <v>0</v>
      </c>
      <c r="AT198" s="11">
        <f t="shared" si="92"/>
        <v>47497.482306285827</v>
      </c>
      <c r="AU198" s="11">
        <f>IF(AB198&lt;&gt;"",AT198-SUM($AS$28:AS198),"")</f>
        <v>19808.082306285822</v>
      </c>
    </row>
    <row r="199" spans="1:47" ht="14.5" x14ac:dyDescent="0.35">
      <c r="A199" s="76">
        <f t="shared" si="93"/>
        <v>49949</v>
      </c>
      <c r="B199" s="8">
        <f t="shared" si="67"/>
        <v>172</v>
      </c>
      <c r="C199" s="11">
        <f t="shared" si="68"/>
        <v>3461.18</v>
      </c>
      <c r="D199" s="11">
        <f t="shared" si="69"/>
        <v>2131.5965499350878</v>
      </c>
      <c r="E199" s="11">
        <f t="shared" si="70"/>
        <v>1329.5834500649121</v>
      </c>
      <c r="F199" s="9">
        <f t="shared" si="80"/>
        <v>186461.80062239288</v>
      </c>
      <c r="G199" s="10">
        <f t="shared" si="71"/>
        <v>6.7599999999999993E-2</v>
      </c>
      <c r="H199" s="10">
        <f t="shared" si="72"/>
        <v>1.7000000000000001E-2</v>
      </c>
      <c r="I199" s="49">
        <f t="shared" si="73"/>
        <v>8.4599999999999995E-2</v>
      </c>
      <c r="J199" s="11">
        <f t="shared" si="74"/>
        <v>20</v>
      </c>
      <c r="K199" s="11">
        <f>IF(B199&lt;&gt;"",IF($B$16=listy!$K$8,'RZĄDOWY PROGRAM'!$F$3*'RZĄDOWY PROGRAM'!$F$15,F198*$F$15),"")</f>
        <v>50</v>
      </c>
      <c r="L199" s="11">
        <f t="shared" si="81"/>
        <v>70</v>
      </c>
      <c r="N199" s="55">
        <f t="shared" si="94"/>
        <v>49949</v>
      </c>
      <c r="O199" s="8">
        <f t="shared" si="82"/>
        <v>172</v>
      </c>
      <c r="P199" s="8"/>
      <c r="Q199" s="33">
        <f>IF(O199&lt;&gt;"",ROUND(IF($F$11="raty równe",-PMT(W199/12,$F$4-O198+SUM($P$28:P199),T198,2),R199+S199),2),"")</f>
        <v>3461.18</v>
      </c>
      <c r="R199" s="11">
        <f>IF(O199&lt;&gt;"",IF($F$11="raty malejące",T198/($F$4-O198+SUM($P$28:P199)),IF(Q199-S199&gt;T198,T198,Q199-S199)),"")</f>
        <v>2015.1008999097251</v>
      </c>
      <c r="S199" s="11">
        <f t="shared" si="96"/>
        <v>1446.0791000902748</v>
      </c>
      <c r="T199" s="9">
        <f t="shared" si="83"/>
        <v>203102.50194977465</v>
      </c>
      <c r="U199" s="10">
        <f t="shared" si="75"/>
        <v>6.7599999999999993E-2</v>
      </c>
      <c r="V199" s="10">
        <f t="shared" si="76"/>
        <v>1.7000000000000001E-2</v>
      </c>
      <c r="W199" s="49">
        <f t="shared" si="84"/>
        <v>8.4599999999999995E-2</v>
      </c>
      <c r="X199" s="11">
        <f t="shared" si="77"/>
        <v>20</v>
      </c>
      <c r="Y199" s="11">
        <f>IF(O199&lt;&gt;"",IF($B$16=listy!$K$8,'RZĄDOWY PROGRAM'!$F$3*'RZĄDOWY PROGRAM'!$F$15,T198*$F$15),"")</f>
        <v>50</v>
      </c>
      <c r="Z199" s="11">
        <f t="shared" si="85"/>
        <v>70</v>
      </c>
      <c r="AB199" s="8">
        <f t="shared" si="86"/>
        <v>172</v>
      </c>
      <c r="AC199" s="8"/>
      <c r="AD199" s="33">
        <f>IF(AB199&lt;&gt;"",ROUND(IF($F$11="raty równe",-PMT(W199/12,$F$4-AB198+SUM($AC$28:AC199),AG198,2),AE199+AF199),2),"")</f>
        <v>3227.69</v>
      </c>
      <c r="AE199" s="11">
        <f>IF(AB199&lt;&gt;"",IF($F$11="raty malejące",AG198/($F$4-AB198+SUM($AC$28:AC198)),MIN(AD199-AF199,AG198)),"")</f>
        <v>1879.1594392592749</v>
      </c>
      <c r="AF199" s="11">
        <f t="shared" si="97"/>
        <v>1348.5305607407252</v>
      </c>
      <c r="AG199" s="9">
        <f t="shared" si="95"/>
        <v>189401.77116226204</v>
      </c>
      <c r="AH199" s="11"/>
      <c r="AI199" s="33">
        <f>IF(AB199&lt;&gt;"",ROUND(IF($F$11="raty równe",-PMT(W199/12,($F$4-AB198+SUM($AC$27:AC198)),AG198,2),AG198/($F$4-AB198+SUM($AC$27:AC198))+AG198*W199/12),2),"")</f>
        <v>3227.69</v>
      </c>
      <c r="AJ199" s="33">
        <f t="shared" si="87"/>
        <v>233.48999999999978</v>
      </c>
      <c r="AK199" s="33">
        <f t="shared" si="88"/>
        <v>51043.762619237037</v>
      </c>
      <c r="AL199" s="33">
        <f>IF(AB199&lt;&gt;"",AK199-SUM($AJ$28:AJ199),"")</f>
        <v>12560.082619237095</v>
      </c>
      <c r="AM199" s="11">
        <f t="shared" si="89"/>
        <v>20</v>
      </c>
      <c r="AN199" s="11">
        <f>IF(AB199&lt;&gt;"",IF($B$16=listy!$K$8,'RZĄDOWY PROGRAM'!$F$3*'RZĄDOWY PROGRAM'!$F$15,AG198*$F$15),"")</f>
        <v>50</v>
      </c>
      <c r="AO199" s="11">
        <f t="shared" si="90"/>
        <v>70</v>
      </c>
      <c r="AQ199" s="49">
        <f t="shared" si="78"/>
        <v>0.05</v>
      </c>
      <c r="AR199" s="18">
        <f t="shared" si="79"/>
        <v>4.0741237836483535E-3</v>
      </c>
      <c r="AS199" s="11">
        <f t="shared" si="91"/>
        <v>0</v>
      </c>
      <c r="AT199" s="11">
        <f t="shared" si="92"/>
        <v>47654.225910371068</v>
      </c>
      <c r="AU199" s="11">
        <f>IF(AB199&lt;&gt;"",AT199-SUM($AS$28:AS199),"")</f>
        <v>19964.825910371062</v>
      </c>
    </row>
    <row r="200" spans="1:47" ht="14.5" x14ac:dyDescent="0.35">
      <c r="A200" s="76">
        <f t="shared" si="93"/>
        <v>49980</v>
      </c>
      <c r="B200" s="8">
        <f t="shared" si="67"/>
        <v>173</v>
      </c>
      <c r="C200" s="11">
        <f t="shared" si="68"/>
        <v>3461.17</v>
      </c>
      <c r="D200" s="11">
        <f t="shared" si="69"/>
        <v>2146.61430561213</v>
      </c>
      <c r="E200" s="11">
        <f t="shared" si="70"/>
        <v>1314.5556943878698</v>
      </c>
      <c r="F200" s="9">
        <f t="shared" si="80"/>
        <v>184315.18631678075</v>
      </c>
      <c r="G200" s="10">
        <f t="shared" si="71"/>
        <v>6.7599999999999993E-2</v>
      </c>
      <c r="H200" s="10">
        <f t="shared" si="72"/>
        <v>1.7000000000000001E-2</v>
      </c>
      <c r="I200" s="49">
        <f t="shared" si="73"/>
        <v>8.4599999999999995E-2</v>
      </c>
      <c r="J200" s="11">
        <f t="shared" si="74"/>
        <v>20</v>
      </c>
      <c r="K200" s="11">
        <f>IF(B200&lt;&gt;"",IF($B$16=listy!$K$8,'RZĄDOWY PROGRAM'!$F$3*'RZĄDOWY PROGRAM'!$F$15,F199*$F$15),"")</f>
        <v>50</v>
      </c>
      <c r="L200" s="11">
        <f t="shared" si="81"/>
        <v>70</v>
      </c>
      <c r="N200" s="55">
        <f t="shared" si="94"/>
        <v>49980</v>
      </c>
      <c r="O200" s="8">
        <f t="shared" si="82"/>
        <v>173</v>
      </c>
      <c r="P200" s="8"/>
      <c r="Q200" s="33">
        <f>IF(O200&lt;&gt;"",ROUND(IF($F$11="raty równe",-PMT(W200/12,$F$4-O199+SUM($P$28:P200),T199,2),R200+S200),2),"")</f>
        <v>3461.17</v>
      </c>
      <c r="R200" s="11">
        <f>IF(O200&lt;&gt;"",IF($F$11="raty malejące",T199/($F$4-O199+SUM($P$28:P200)),IF(Q200-S200&gt;T199,T199,Q200-S200)),"")</f>
        <v>2029.2973612540889</v>
      </c>
      <c r="S200" s="11">
        <f t="shared" si="96"/>
        <v>1431.8726387459112</v>
      </c>
      <c r="T200" s="9">
        <f t="shared" si="83"/>
        <v>201073.20458852057</v>
      </c>
      <c r="U200" s="10">
        <f t="shared" si="75"/>
        <v>6.7599999999999993E-2</v>
      </c>
      <c r="V200" s="10">
        <f t="shared" si="76"/>
        <v>1.7000000000000001E-2</v>
      </c>
      <c r="W200" s="49">
        <f t="shared" si="84"/>
        <v>8.4599999999999995E-2</v>
      </c>
      <c r="X200" s="11">
        <f t="shared" si="77"/>
        <v>20</v>
      </c>
      <c r="Y200" s="11">
        <f>IF(O200&lt;&gt;"",IF($B$16=listy!$K$8,'RZĄDOWY PROGRAM'!$F$3*'RZĄDOWY PROGRAM'!$F$15,T199*$F$15),"")</f>
        <v>50</v>
      </c>
      <c r="Z200" s="11">
        <f t="shared" si="85"/>
        <v>70</v>
      </c>
      <c r="AB200" s="8">
        <f t="shared" si="86"/>
        <v>173</v>
      </c>
      <c r="AC200" s="8"/>
      <c r="AD200" s="33">
        <f>IF(AB200&lt;&gt;"",ROUND(IF($F$11="raty równe",-PMT(W200/12,$F$4-AB199+SUM($AC$28:AC200),AG199,2),AE200+AF200),2),"")</f>
        <v>3227.7</v>
      </c>
      <c r="AE200" s="11">
        <f>IF(AB200&lt;&gt;"",IF($F$11="raty malejące",AG199/($F$4-AB199+SUM($AC$28:AC199)),MIN(AD200-AF200,AG199)),"")</f>
        <v>1892.4175133060526</v>
      </c>
      <c r="AF200" s="11">
        <f t="shared" si="97"/>
        <v>1335.2824866939472</v>
      </c>
      <c r="AG200" s="9">
        <f t="shared" si="95"/>
        <v>187509.35364895599</v>
      </c>
      <c r="AH200" s="11"/>
      <c r="AI200" s="33">
        <f>IF(AB200&lt;&gt;"",ROUND(IF($F$11="raty równe",-PMT(W200/12,($F$4-AB199+SUM($AC$27:AC199)),AG199,2),AG199/($F$4-AB199+SUM($AC$27:AC199))+AG199*W200/12),2),"")</f>
        <v>3227.7</v>
      </c>
      <c r="AJ200" s="33">
        <f t="shared" si="87"/>
        <v>233.47000000000025</v>
      </c>
      <c r="AK200" s="33">
        <f t="shared" si="88"/>
        <v>51445.679091145124</v>
      </c>
      <c r="AL200" s="33">
        <f>IF(AB200&lt;&gt;"",AK200-SUM($AJ$28:AJ200),"")</f>
        <v>12728.529091145181</v>
      </c>
      <c r="AM200" s="11">
        <f t="shared" si="89"/>
        <v>20</v>
      </c>
      <c r="AN200" s="11">
        <f>IF(AB200&lt;&gt;"",IF($B$16=listy!$K$8,'RZĄDOWY PROGRAM'!$F$3*'RZĄDOWY PROGRAM'!$F$15,AG199*$F$15),"")</f>
        <v>50</v>
      </c>
      <c r="AO200" s="11">
        <f t="shared" si="90"/>
        <v>70</v>
      </c>
      <c r="AQ200" s="49">
        <f t="shared" si="78"/>
        <v>0.05</v>
      </c>
      <c r="AR200" s="18">
        <f t="shared" si="79"/>
        <v>4.0741237836483535E-3</v>
      </c>
      <c r="AS200" s="11">
        <f t="shared" si="91"/>
        <v>0</v>
      </c>
      <c r="AT200" s="11">
        <f t="shared" si="92"/>
        <v>47811.486774661033</v>
      </c>
      <c r="AU200" s="11">
        <f>IF(AB200&lt;&gt;"",AT200-SUM($AS$28:AS200),"")</f>
        <v>20122.086774661027</v>
      </c>
    </row>
    <row r="201" spans="1:47" ht="14.5" x14ac:dyDescent="0.35">
      <c r="A201" s="76">
        <f t="shared" si="93"/>
        <v>50010</v>
      </c>
      <c r="B201" s="8">
        <f t="shared" si="67"/>
        <v>174</v>
      </c>
      <c r="C201" s="11">
        <f t="shared" si="68"/>
        <v>3461.18</v>
      </c>
      <c r="D201" s="11">
        <f t="shared" si="69"/>
        <v>2161.7579364666954</v>
      </c>
      <c r="E201" s="11">
        <f t="shared" si="70"/>
        <v>1299.4220635333043</v>
      </c>
      <c r="F201" s="9">
        <f t="shared" si="80"/>
        <v>182153.42838031406</v>
      </c>
      <c r="G201" s="10">
        <f t="shared" si="71"/>
        <v>6.7599999999999993E-2</v>
      </c>
      <c r="H201" s="10">
        <f t="shared" si="72"/>
        <v>1.7000000000000001E-2</v>
      </c>
      <c r="I201" s="49">
        <f t="shared" si="73"/>
        <v>8.4599999999999995E-2</v>
      </c>
      <c r="J201" s="11">
        <f t="shared" si="74"/>
        <v>20</v>
      </c>
      <c r="K201" s="11">
        <f>IF(B201&lt;&gt;"",IF($B$16=listy!$K$8,'RZĄDOWY PROGRAM'!$F$3*'RZĄDOWY PROGRAM'!$F$15,F200*$F$15),"")</f>
        <v>50</v>
      </c>
      <c r="L201" s="11">
        <f t="shared" si="81"/>
        <v>70</v>
      </c>
      <c r="N201" s="55">
        <f t="shared" si="94"/>
        <v>50010</v>
      </c>
      <c r="O201" s="8">
        <f t="shared" si="82"/>
        <v>174</v>
      </c>
      <c r="P201" s="8"/>
      <c r="Q201" s="33">
        <f>IF(O201&lt;&gt;"",ROUND(IF($F$11="raty równe",-PMT(W201/12,$F$4-O200+SUM($P$28:P201),T200,2),R201+S201),2),"")</f>
        <v>3461.18</v>
      </c>
      <c r="R201" s="11">
        <f>IF(O201&lt;&gt;"",IF($F$11="raty malejące",T200/($F$4-O200+SUM($P$28:P201)),IF(Q201-S201&gt;T200,T200,Q201-S201)),"")</f>
        <v>2043.6139076509301</v>
      </c>
      <c r="S201" s="11">
        <f t="shared" si="96"/>
        <v>1417.5660923490698</v>
      </c>
      <c r="T201" s="9">
        <f t="shared" si="83"/>
        <v>199029.59068086965</v>
      </c>
      <c r="U201" s="10">
        <f t="shared" si="75"/>
        <v>6.7599999999999993E-2</v>
      </c>
      <c r="V201" s="10">
        <f t="shared" si="76"/>
        <v>1.7000000000000001E-2</v>
      </c>
      <c r="W201" s="49">
        <f t="shared" si="84"/>
        <v>8.4599999999999995E-2</v>
      </c>
      <c r="X201" s="11">
        <f t="shared" si="77"/>
        <v>20</v>
      </c>
      <c r="Y201" s="11">
        <f>IF(O201&lt;&gt;"",IF($B$16=listy!$K$8,'RZĄDOWY PROGRAM'!$F$3*'RZĄDOWY PROGRAM'!$F$15,T200*$F$15),"")</f>
        <v>50</v>
      </c>
      <c r="Z201" s="11">
        <f t="shared" si="85"/>
        <v>70</v>
      </c>
      <c r="AB201" s="8">
        <f t="shared" si="86"/>
        <v>174</v>
      </c>
      <c r="AC201" s="8"/>
      <c r="AD201" s="33">
        <f>IF(AB201&lt;&gt;"",ROUND(IF($F$11="raty równe",-PMT(W201/12,$F$4-AB200+SUM($AC$28:AC201),AG200,2),AE201+AF201),2),"")</f>
        <v>3227.69</v>
      </c>
      <c r="AE201" s="11">
        <f>IF(AB201&lt;&gt;"",IF($F$11="raty malejące",AG200/($F$4-AB200+SUM($AC$28:AC200)),MIN(AD201-AF201,AG200)),"")</f>
        <v>1905.7490567748603</v>
      </c>
      <c r="AF201" s="11">
        <f t="shared" si="97"/>
        <v>1321.9409432251398</v>
      </c>
      <c r="AG201" s="9">
        <f t="shared" si="95"/>
        <v>185603.60459218113</v>
      </c>
      <c r="AH201" s="11"/>
      <c r="AI201" s="33">
        <f>IF(AB201&lt;&gt;"",ROUND(IF($F$11="raty równe",-PMT(W201/12,($F$4-AB200+SUM($AC$27:AC200)),AG200,2),AG200/($F$4-AB200+SUM($AC$27:AC200))+AG200*W201/12),2),"")</f>
        <v>3227.69</v>
      </c>
      <c r="AJ201" s="33">
        <f t="shared" si="87"/>
        <v>233.48999999999978</v>
      </c>
      <c r="AK201" s="33">
        <f t="shared" si="88"/>
        <v>51848.941903593572</v>
      </c>
      <c r="AL201" s="33">
        <f>IF(AB201&lt;&gt;"",AK201-SUM($AJ$28:AJ201),"")</f>
        <v>12898.30190359363</v>
      </c>
      <c r="AM201" s="11">
        <f t="shared" si="89"/>
        <v>20</v>
      </c>
      <c r="AN201" s="11">
        <f>IF(AB201&lt;&gt;"",IF($B$16=listy!$K$8,'RZĄDOWY PROGRAM'!$F$3*'RZĄDOWY PROGRAM'!$F$15,AG200*$F$15),"")</f>
        <v>50</v>
      </c>
      <c r="AO201" s="11">
        <f t="shared" si="90"/>
        <v>70</v>
      </c>
      <c r="AQ201" s="49">
        <f t="shared" si="78"/>
        <v>0.05</v>
      </c>
      <c r="AR201" s="18">
        <f t="shared" si="79"/>
        <v>4.0741237836483535E-3</v>
      </c>
      <c r="AS201" s="11">
        <f t="shared" si="91"/>
        <v>0</v>
      </c>
      <c r="AT201" s="11">
        <f t="shared" si="92"/>
        <v>47969.266606135221</v>
      </c>
      <c r="AU201" s="11">
        <f>IF(AB201&lt;&gt;"",AT201-SUM($AS$28:AS201),"")</f>
        <v>20279.866606135216</v>
      </c>
    </row>
    <row r="202" spans="1:47" ht="14.5" x14ac:dyDescent="0.35">
      <c r="A202" s="76">
        <f t="shared" si="93"/>
        <v>50041</v>
      </c>
      <c r="B202" s="8">
        <f t="shared" si="67"/>
        <v>175</v>
      </c>
      <c r="C202" s="11">
        <f t="shared" si="68"/>
        <v>3461.17</v>
      </c>
      <c r="D202" s="11">
        <f t="shared" si="69"/>
        <v>2176.9883299187859</v>
      </c>
      <c r="E202" s="11">
        <f t="shared" si="70"/>
        <v>1284.181670081214</v>
      </c>
      <c r="F202" s="9">
        <f t="shared" si="80"/>
        <v>179976.44005039526</v>
      </c>
      <c r="G202" s="10">
        <f t="shared" si="71"/>
        <v>6.7599999999999993E-2</v>
      </c>
      <c r="H202" s="10">
        <f t="shared" si="72"/>
        <v>1.7000000000000001E-2</v>
      </c>
      <c r="I202" s="49">
        <f t="shared" si="73"/>
        <v>8.4599999999999995E-2</v>
      </c>
      <c r="J202" s="11">
        <f t="shared" si="74"/>
        <v>20</v>
      </c>
      <c r="K202" s="11">
        <f>IF(B202&lt;&gt;"",IF($B$16=listy!$K$8,'RZĄDOWY PROGRAM'!$F$3*'RZĄDOWY PROGRAM'!$F$15,F201*$F$15),"")</f>
        <v>50</v>
      </c>
      <c r="L202" s="11">
        <f t="shared" si="81"/>
        <v>70</v>
      </c>
      <c r="N202" s="55">
        <f t="shared" si="94"/>
        <v>50041</v>
      </c>
      <c r="O202" s="8">
        <f t="shared" si="82"/>
        <v>175</v>
      </c>
      <c r="P202" s="8"/>
      <c r="Q202" s="33">
        <f>IF(O202&lt;&gt;"",ROUND(IF($F$11="raty równe",-PMT(W202/12,$F$4-O201+SUM($P$28:P202),T201,2),R202+S202),2),"")</f>
        <v>3461.17</v>
      </c>
      <c r="R202" s="11">
        <f>IF(O202&lt;&gt;"",IF($F$11="raty malejące",T201/($F$4-O201+SUM($P$28:P202)),IF(Q202-S202&gt;T201,T201,Q202-S202)),"")</f>
        <v>2058.0113856998696</v>
      </c>
      <c r="S202" s="11">
        <f t="shared" si="96"/>
        <v>1403.1586143001307</v>
      </c>
      <c r="T202" s="9">
        <f t="shared" si="83"/>
        <v>196971.57929516977</v>
      </c>
      <c r="U202" s="10">
        <f t="shared" si="75"/>
        <v>6.7599999999999993E-2</v>
      </c>
      <c r="V202" s="10">
        <f t="shared" si="76"/>
        <v>1.7000000000000001E-2</v>
      </c>
      <c r="W202" s="49">
        <f t="shared" si="84"/>
        <v>8.4599999999999995E-2</v>
      </c>
      <c r="X202" s="11">
        <f t="shared" si="77"/>
        <v>20</v>
      </c>
      <c r="Y202" s="11">
        <f>IF(O202&lt;&gt;"",IF($B$16=listy!$K$8,'RZĄDOWY PROGRAM'!$F$3*'RZĄDOWY PROGRAM'!$F$15,T201*$F$15),"")</f>
        <v>50</v>
      </c>
      <c r="Z202" s="11">
        <f t="shared" si="85"/>
        <v>70</v>
      </c>
      <c r="AB202" s="8">
        <f t="shared" si="86"/>
        <v>175</v>
      </c>
      <c r="AC202" s="8"/>
      <c r="AD202" s="33">
        <f>IF(AB202&lt;&gt;"",ROUND(IF($F$11="raty równe",-PMT(W202/12,$F$4-AB201+SUM($AC$28:AC202),AG201,2),AE202+AF202),2),"")</f>
        <v>3227.7</v>
      </c>
      <c r="AE202" s="11">
        <f>IF(AB202&lt;&gt;"",IF($F$11="raty malejące",AG201/($F$4-AB201+SUM($AC$28:AC201)),MIN(AD202-AF202,AG201)),"")</f>
        <v>1919.1945876251229</v>
      </c>
      <c r="AF202" s="11">
        <f t="shared" si="97"/>
        <v>1308.5054123748769</v>
      </c>
      <c r="AG202" s="9">
        <f t="shared" si="95"/>
        <v>183684.410004556</v>
      </c>
      <c r="AH202" s="11"/>
      <c r="AI202" s="33">
        <f>IF(AB202&lt;&gt;"",ROUND(IF($F$11="raty równe",-PMT(W202/12,($F$4-AB201+SUM($AC$27:AC201)),AG201,2),AG201/($F$4-AB201+SUM($AC$27:AC201))+AG201*W202/12),2),"")</f>
        <v>3227.7</v>
      </c>
      <c r="AJ202" s="33">
        <f t="shared" si="87"/>
        <v>233.47000000000025</v>
      </c>
      <c r="AK202" s="33">
        <f t="shared" si="88"/>
        <v>52253.515499560381</v>
      </c>
      <c r="AL202" s="33">
        <f>IF(AB202&lt;&gt;"",AK202-SUM($AJ$28:AJ202),"")</f>
        <v>13069.405499560438</v>
      </c>
      <c r="AM202" s="11">
        <f t="shared" si="89"/>
        <v>20</v>
      </c>
      <c r="AN202" s="11">
        <f>IF(AB202&lt;&gt;"",IF($B$16=listy!$K$8,'RZĄDOWY PROGRAM'!$F$3*'RZĄDOWY PROGRAM'!$F$15,AG201*$F$15),"")</f>
        <v>50</v>
      </c>
      <c r="AO202" s="11">
        <f t="shared" si="90"/>
        <v>70</v>
      </c>
      <c r="AQ202" s="49">
        <f t="shared" si="78"/>
        <v>0.05</v>
      </c>
      <c r="AR202" s="18">
        <f t="shared" si="79"/>
        <v>4.0741237836483535E-3</v>
      </c>
      <c r="AS202" s="11">
        <f t="shared" si="91"/>
        <v>0</v>
      </c>
      <c r="AT202" s="11">
        <f t="shared" si="92"/>
        <v>48127.567117406245</v>
      </c>
      <c r="AU202" s="11">
        <f>IF(AB202&lt;&gt;"",AT202-SUM($AS$28:AS202),"")</f>
        <v>20438.167117406239</v>
      </c>
    </row>
    <row r="203" spans="1:47" ht="14.5" x14ac:dyDescent="0.35">
      <c r="A203" s="76">
        <f t="shared" si="93"/>
        <v>50072</v>
      </c>
      <c r="B203" s="8">
        <f t="shared" si="67"/>
        <v>176</v>
      </c>
      <c r="C203" s="11">
        <f t="shared" si="68"/>
        <v>3461.18</v>
      </c>
      <c r="D203" s="11">
        <f t="shared" si="69"/>
        <v>2192.3460976447132</v>
      </c>
      <c r="E203" s="11">
        <f t="shared" si="70"/>
        <v>1268.8339023552865</v>
      </c>
      <c r="F203" s="9">
        <f t="shared" si="80"/>
        <v>177784.09395275055</v>
      </c>
      <c r="G203" s="10">
        <f t="shared" si="71"/>
        <v>6.7599999999999993E-2</v>
      </c>
      <c r="H203" s="10">
        <f t="shared" si="72"/>
        <v>1.7000000000000001E-2</v>
      </c>
      <c r="I203" s="49">
        <f t="shared" si="73"/>
        <v>8.4599999999999995E-2</v>
      </c>
      <c r="J203" s="11">
        <f t="shared" si="74"/>
        <v>20</v>
      </c>
      <c r="K203" s="11">
        <f>IF(B203&lt;&gt;"",IF($B$16=listy!$K$8,'RZĄDOWY PROGRAM'!$F$3*'RZĄDOWY PROGRAM'!$F$15,F202*$F$15),"")</f>
        <v>50</v>
      </c>
      <c r="L203" s="11">
        <f t="shared" si="81"/>
        <v>70</v>
      </c>
      <c r="N203" s="55">
        <f t="shared" si="94"/>
        <v>50072</v>
      </c>
      <c r="O203" s="8">
        <f t="shared" si="82"/>
        <v>176</v>
      </c>
      <c r="P203" s="8"/>
      <c r="Q203" s="33">
        <f>IF(O203&lt;&gt;"",ROUND(IF($F$11="raty równe",-PMT(W203/12,$F$4-O202+SUM($P$28:P203),T202,2),R203+S203),2),"")</f>
        <v>3461.18</v>
      </c>
      <c r="R203" s="11">
        <f>IF(O203&lt;&gt;"",IF($F$11="raty malejące",T202/($F$4-O202+SUM($P$28:P203)),IF(Q203-S203&gt;T202,T202,Q203-S203)),"")</f>
        <v>2072.530365969053</v>
      </c>
      <c r="S203" s="11">
        <f t="shared" si="96"/>
        <v>1388.6496340309468</v>
      </c>
      <c r="T203" s="9">
        <f t="shared" si="83"/>
        <v>194899.04892920071</v>
      </c>
      <c r="U203" s="10">
        <f t="shared" si="75"/>
        <v>6.7599999999999993E-2</v>
      </c>
      <c r="V203" s="10">
        <f t="shared" si="76"/>
        <v>1.7000000000000001E-2</v>
      </c>
      <c r="W203" s="49">
        <f t="shared" si="84"/>
        <v>8.4599999999999995E-2</v>
      </c>
      <c r="X203" s="11">
        <f t="shared" si="77"/>
        <v>20</v>
      </c>
      <c r="Y203" s="11">
        <f>IF(O203&lt;&gt;"",IF($B$16=listy!$K$8,'RZĄDOWY PROGRAM'!$F$3*'RZĄDOWY PROGRAM'!$F$15,T202*$F$15),"")</f>
        <v>50</v>
      </c>
      <c r="Z203" s="11">
        <f t="shared" si="85"/>
        <v>70</v>
      </c>
      <c r="AB203" s="8">
        <f t="shared" si="86"/>
        <v>176</v>
      </c>
      <c r="AC203" s="8"/>
      <c r="AD203" s="33">
        <f>IF(AB203&lt;&gt;"",ROUND(IF($F$11="raty równe",-PMT(W203/12,$F$4-AB202+SUM($AC$28:AC203),AG202,2),AE203+AF203),2),"")</f>
        <v>3227.69</v>
      </c>
      <c r="AE203" s="11">
        <f>IF(AB203&lt;&gt;"",IF($F$11="raty malejące",AG202/($F$4-AB202+SUM($AC$28:AC202)),MIN(AD203-AF203,AG202)),"")</f>
        <v>1932.7149094678803</v>
      </c>
      <c r="AF203" s="11">
        <f t="shared" si="97"/>
        <v>1294.9750905321198</v>
      </c>
      <c r="AG203" s="9">
        <f t="shared" si="95"/>
        <v>181751.69509508813</v>
      </c>
      <c r="AH203" s="11"/>
      <c r="AI203" s="33">
        <f>IF(AB203&lt;&gt;"",ROUND(IF($F$11="raty równe",-PMT(W203/12,($F$4-AB202+SUM($AC$27:AC202)),AG202,2),AG202/($F$4-AB202+SUM($AC$27:AC202))+AG202*W203/12),2),"")</f>
        <v>3227.69</v>
      </c>
      <c r="AJ203" s="33">
        <f t="shared" si="87"/>
        <v>233.48999999999978</v>
      </c>
      <c r="AK203" s="33">
        <f t="shared" si="88"/>
        <v>52659.444204683939</v>
      </c>
      <c r="AL203" s="33">
        <f>IF(AB203&lt;&gt;"",AK203-SUM($AJ$28:AJ203),"")</f>
        <v>13241.844204683999</v>
      </c>
      <c r="AM203" s="11">
        <f t="shared" si="89"/>
        <v>20</v>
      </c>
      <c r="AN203" s="11">
        <f>IF(AB203&lt;&gt;"",IF($B$16=listy!$K$8,'RZĄDOWY PROGRAM'!$F$3*'RZĄDOWY PROGRAM'!$F$15,AG202*$F$15),"")</f>
        <v>50</v>
      </c>
      <c r="AO203" s="11">
        <f t="shared" si="90"/>
        <v>70</v>
      </c>
      <c r="AQ203" s="49">
        <f t="shared" si="78"/>
        <v>0.05</v>
      </c>
      <c r="AR203" s="18">
        <f t="shared" si="79"/>
        <v>4.0741237836483535E-3</v>
      </c>
      <c r="AS203" s="11">
        <f t="shared" si="91"/>
        <v>0</v>
      </c>
      <c r="AT203" s="11">
        <f t="shared" si="92"/>
        <v>48286.390026738394</v>
      </c>
      <c r="AU203" s="11">
        <f>IF(AB203&lt;&gt;"",AT203-SUM($AS$28:AS203),"")</f>
        <v>20596.990026738389</v>
      </c>
    </row>
    <row r="204" spans="1:47" ht="14.5" x14ac:dyDescent="0.35">
      <c r="A204" s="76">
        <f t="shared" si="93"/>
        <v>50100</v>
      </c>
      <c r="B204" s="8">
        <f t="shared" si="67"/>
        <v>177</v>
      </c>
      <c r="C204" s="11">
        <f t="shared" si="68"/>
        <v>3461.17</v>
      </c>
      <c r="D204" s="11">
        <f t="shared" si="69"/>
        <v>2207.7921376331087</v>
      </c>
      <c r="E204" s="11">
        <f t="shared" si="70"/>
        <v>1253.3778623668913</v>
      </c>
      <c r="F204" s="9">
        <f t="shared" si="80"/>
        <v>175576.30181511745</v>
      </c>
      <c r="G204" s="10">
        <f t="shared" si="71"/>
        <v>6.7599999999999993E-2</v>
      </c>
      <c r="H204" s="10">
        <f t="shared" si="72"/>
        <v>1.7000000000000001E-2</v>
      </c>
      <c r="I204" s="49">
        <f t="shared" si="73"/>
        <v>8.4599999999999995E-2</v>
      </c>
      <c r="J204" s="11">
        <f t="shared" si="74"/>
        <v>20</v>
      </c>
      <c r="K204" s="11">
        <f>IF(B204&lt;&gt;"",IF($B$16=listy!$K$8,'RZĄDOWY PROGRAM'!$F$3*'RZĄDOWY PROGRAM'!$F$15,F203*$F$15),"")</f>
        <v>50</v>
      </c>
      <c r="L204" s="11">
        <f t="shared" si="81"/>
        <v>70</v>
      </c>
      <c r="N204" s="55">
        <f t="shared" si="94"/>
        <v>50100</v>
      </c>
      <c r="O204" s="8">
        <f t="shared" si="82"/>
        <v>177</v>
      </c>
      <c r="P204" s="8"/>
      <c r="Q204" s="33">
        <f>IF(O204&lt;&gt;"",ROUND(IF($F$11="raty równe",-PMT(W204/12,$F$4-O203+SUM($P$28:P204),T203,2),R204+S204),2),"")</f>
        <v>3461.17</v>
      </c>
      <c r="R204" s="11">
        <f>IF(O204&lt;&gt;"",IF($F$11="raty malejące",T203/($F$4-O203+SUM($P$28:P204)),IF(Q204-S204&gt;T203,T203,Q204-S204)),"")</f>
        <v>2087.1317050491352</v>
      </c>
      <c r="S204" s="11">
        <f t="shared" si="96"/>
        <v>1374.0382949508648</v>
      </c>
      <c r="T204" s="9">
        <f t="shared" si="83"/>
        <v>192811.91722415158</v>
      </c>
      <c r="U204" s="10">
        <f t="shared" si="75"/>
        <v>6.7599999999999993E-2</v>
      </c>
      <c r="V204" s="10">
        <f t="shared" si="76"/>
        <v>1.7000000000000001E-2</v>
      </c>
      <c r="W204" s="49">
        <f t="shared" si="84"/>
        <v>8.4599999999999995E-2</v>
      </c>
      <c r="X204" s="11">
        <f t="shared" si="77"/>
        <v>20</v>
      </c>
      <c r="Y204" s="11">
        <f>IF(O204&lt;&gt;"",IF($B$16=listy!$K$8,'RZĄDOWY PROGRAM'!$F$3*'RZĄDOWY PROGRAM'!$F$15,T203*$F$15),"")</f>
        <v>50</v>
      </c>
      <c r="Z204" s="11">
        <f t="shared" si="85"/>
        <v>70</v>
      </c>
      <c r="AB204" s="8">
        <f t="shared" si="86"/>
        <v>177</v>
      </c>
      <c r="AC204" s="8"/>
      <c r="AD204" s="33">
        <f>IF(AB204&lt;&gt;"",ROUND(IF($F$11="raty równe",-PMT(W204/12,$F$4-AB203+SUM($AC$28:AC204),AG203,2),AE204+AF204),2),"")</f>
        <v>3227.7</v>
      </c>
      <c r="AE204" s="11">
        <f>IF(AB204&lt;&gt;"",IF($F$11="raty malejące",AG203/($F$4-AB203+SUM($AC$28:AC203)),MIN(AD204-AF204,AG203)),"")</f>
        <v>1946.3505495796287</v>
      </c>
      <c r="AF204" s="11">
        <f t="shared" si="97"/>
        <v>1281.3494504203711</v>
      </c>
      <c r="AG204" s="9">
        <f t="shared" si="95"/>
        <v>179805.3445455085</v>
      </c>
      <c r="AH204" s="11"/>
      <c r="AI204" s="33">
        <f>IF(AB204&lt;&gt;"",ROUND(IF($F$11="raty równe",-PMT(W204/12,($F$4-AB203+SUM($AC$27:AC203)),AG203,2),AG203/($F$4-AB203+SUM($AC$27:AC203))+AG203*W204/12),2),"")</f>
        <v>3227.7</v>
      </c>
      <c r="AJ204" s="33">
        <f t="shared" si="87"/>
        <v>233.47000000000025</v>
      </c>
      <c r="AK204" s="33">
        <f t="shared" si="88"/>
        <v>53066.692490879024</v>
      </c>
      <c r="AL204" s="33">
        <f>IF(AB204&lt;&gt;"",AK204-SUM($AJ$28:AJ204),"")</f>
        <v>13415.622490879083</v>
      </c>
      <c r="AM204" s="11">
        <f t="shared" si="89"/>
        <v>20</v>
      </c>
      <c r="AN204" s="11">
        <f>IF(AB204&lt;&gt;"",IF($B$16=listy!$K$8,'RZĄDOWY PROGRAM'!$F$3*'RZĄDOWY PROGRAM'!$F$15,AG203*$F$15),"")</f>
        <v>50</v>
      </c>
      <c r="AO204" s="11">
        <f t="shared" si="90"/>
        <v>70</v>
      </c>
      <c r="AQ204" s="49">
        <f t="shared" si="78"/>
        <v>0.05</v>
      </c>
      <c r="AR204" s="18">
        <f t="shared" si="79"/>
        <v>4.0741237836483535E-3</v>
      </c>
      <c r="AS204" s="11">
        <f t="shared" si="91"/>
        <v>0</v>
      </c>
      <c r="AT204" s="11">
        <f t="shared" si="92"/>
        <v>48445.737058066305</v>
      </c>
      <c r="AU204" s="11">
        <f>IF(AB204&lt;&gt;"",AT204-SUM($AS$28:AS204),"")</f>
        <v>20756.3370580663</v>
      </c>
    </row>
    <row r="205" spans="1:47" ht="14.5" x14ac:dyDescent="0.35">
      <c r="A205" s="76">
        <f t="shared" si="93"/>
        <v>50131</v>
      </c>
      <c r="B205" s="8">
        <f t="shared" si="67"/>
        <v>178</v>
      </c>
      <c r="C205" s="11">
        <f t="shared" si="68"/>
        <v>3461.18</v>
      </c>
      <c r="D205" s="11">
        <f t="shared" si="69"/>
        <v>2223.3670722034221</v>
      </c>
      <c r="E205" s="11">
        <f t="shared" si="70"/>
        <v>1237.8129277965779</v>
      </c>
      <c r="F205" s="9">
        <f t="shared" si="80"/>
        <v>173352.93474291402</v>
      </c>
      <c r="G205" s="10">
        <f t="shared" si="71"/>
        <v>6.7599999999999993E-2</v>
      </c>
      <c r="H205" s="10">
        <f t="shared" si="72"/>
        <v>1.7000000000000001E-2</v>
      </c>
      <c r="I205" s="49">
        <f t="shared" si="73"/>
        <v>8.4599999999999995E-2</v>
      </c>
      <c r="J205" s="11">
        <f t="shared" si="74"/>
        <v>20</v>
      </c>
      <c r="K205" s="11">
        <f>IF(B205&lt;&gt;"",IF($B$16=listy!$K$8,'RZĄDOWY PROGRAM'!$F$3*'RZĄDOWY PROGRAM'!$F$15,F204*$F$15),"")</f>
        <v>50</v>
      </c>
      <c r="L205" s="11">
        <f t="shared" si="81"/>
        <v>70</v>
      </c>
      <c r="N205" s="55">
        <f t="shared" si="94"/>
        <v>50131</v>
      </c>
      <c r="O205" s="8">
        <f t="shared" si="82"/>
        <v>178</v>
      </c>
      <c r="P205" s="8"/>
      <c r="Q205" s="33">
        <f>IF(O205&lt;&gt;"",ROUND(IF($F$11="raty równe",-PMT(W205/12,$F$4-O204+SUM($P$28:P205),T204,2),R205+S205),2),"")</f>
        <v>3461.18</v>
      </c>
      <c r="R205" s="11">
        <f>IF(O205&lt;&gt;"",IF($F$11="raty malejące",T204/($F$4-O204+SUM($P$28:P205)),IF(Q205-S205&gt;T204,T204,Q205-S205)),"")</f>
        <v>2101.8559835697315</v>
      </c>
      <c r="S205" s="11">
        <f t="shared" si="96"/>
        <v>1359.3240164302686</v>
      </c>
      <c r="T205" s="9">
        <f t="shared" si="83"/>
        <v>190710.06124058185</v>
      </c>
      <c r="U205" s="10">
        <f t="shared" si="75"/>
        <v>6.7599999999999993E-2</v>
      </c>
      <c r="V205" s="10">
        <f t="shared" si="76"/>
        <v>1.7000000000000001E-2</v>
      </c>
      <c r="W205" s="49">
        <f t="shared" si="84"/>
        <v>8.4599999999999995E-2</v>
      </c>
      <c r="X205" s="11">
        <f t="shared" si="77"/>
        <v>20</v>
      </c>
      <c r="Y205" s="11">
        <f>IF(O205&lt;&gt;"",IF($B$16=listy!$K$8,'RZĄDOWY PROGRAM'!$F$3*'RZĄDOWY PROGRAM'!$F$15,T204*$F$15),"")</f>
        <v>50</v>
      </c>
      <c r="Z205" s="11">
        <f t="shared" si="85"/>
        <v>70</v>
      </c>
      <c r="AB205" s="8">
        <f t="shared" si="86"/>
        <v>178</v>
      </c>
      <c r="AC205" s="8"/>
      <c r="AD205" s="33">
        <f>IF(AB205&lt;&gt;"",ROUND(IF($F$11="raty równe",-PMT(W205/12,$F$4-AB204+SUM($AC$28:AC205),AG204,2),AE205+AF205),2),"")</f>
        <v>3227.69</v>
      </c>
      <c r="AE205" s="11">
        <f>IF(AB205&lt;&gt;"",IF($F$11="raty malejące",AG204/($F$4-AB204+SUM($AC$28:AC204)),MIN(AD205-AF205,AG204)),"")</f>
        <v>1960.0623209541652</v>
      </c>
      <c r="AF205" s="11">
        <f t="shared" si="97"/>
        <v>1267.6276790458348</v>
      </c>
      <c r="AG205" s="9">
        <f t="shared" si="95"/>
        <v>177845.28222455434</v>
      </c>
      <c r="AH205" s="11"/>
      <c r="AI205" s="33">
        <f>IF(AB205&lt;&gt;"",ROUND(IF($F$11="raty równe",-PMT(W205/12,($F$4-AB204+SUM($AC$27:AC204)),AG204,2),AG204/($F$4-AB204+SUM($AC$27:AC204))+AG204*W205/12),2),"")</f>
        <v>3227.69</v>
      </c>
      <c r="AJ205" s="33">
        <f t="shared" si="87"/>
        <v>233.48999999999978</v>
      </c>
      <c r="AK205" s="33">
        <f t="shared" si="88"/>
        <v>53475.304712816302</v>
      </c>
      <c r="AL205" s="33">
        <f>IF(AB205&lt;&gt;"",AK205-SUM($AJ$28:AJ205),"")</f>
        <v>13590.744712816362</v>
      </c>
      <c r="AM205" s="11">
        <f t="shared" si="89"/>
        <v>20</v>
      </c>
      <c r="AN205" s="11">
        <f>IF(AB205&lt;&gt;"",IF($B$16=listy!$K$8,'RZĄDOWY PROGRAM'!$F$3*'RZĄDOWY PROGRAM'!$F$15,AG204*$F$15),"")</f>
        <v>50</v>
      </c>
      <c r="AO205" s="11">
        <f t="shared" si="90"/>
        <v>70</v>
      </c>
      <c r="AQ205" s="49">
        <f t="shared" si="78"/>
        <v>0.05</v>
      </c>
      <c r="AR205" s="18">
        <f t="shared" si="79"/>
        <v>4.0741237836483535E-3</v>
      </c>
      <c r="AS205" s="11">
        <f t="shared" si="91"/>
        <v>0</v>
      </c>
      <c r="AT205" s="11">
        <f t="shared" si="92"/>
        <v>48605.609941013667</v>
      </c>
      <c r="AU205" s="11">
        <f>IF(AB205&lt;&gt;"",AT205-SUM($AS$28:AS205),"")</f>
        <v>20916.209941013662</v>
      </c>
    </row>
    <row r="206" spans="1:47" ht="14.5" x14ac:dyDescent="0.35">
      <c r="A206" s="76">
        <f t="shared" si="93"/>
        <v>50161</v>
      </c>
      <c r="B206" s="8">
        <f t="shared" si="67"/>
        <v>179</v>
      </c>
      <c r="C206" s="11">
        <f t="shared" si="68"/>
        <v>3461.17</v>
      </c>
      <c r="D206" s="11">
        <f t="shared" si="69"/>
        <v>2239.0318100624563</v>
      </c>
      <c r="E206" s="11">
        <f t="shared" si="70"/>
        <v>1222.1381899375438</v>
      </c>
      <c r="F206" s="9">
        <f t="shared" si="80"/>
        <v>171113.90293285158</v>
      </c>
      <c r="G206" s="10">
        <f t="shared" si="71"/>
        <v>6.7599999999999993E-2</v>
      </c>
      <c r="H206" s="10">
        <f t="shared" si="72"/>
        <v>1.7000000000000001E-2</v>
      </c>
      <c r="I206" s="49">
        <f t="shared" si="73"/>
        <v>8.4599999999999995E-2</v>
      </c>
      <c r="J206" s="11">
        <f t="shared" si="74"/>
        <v>20</v>
      </c>
      <c r="K206" s="11">
        <f>IF(B206&lt;&gt;"",IF($B$16=listy!$K$8,'RZĄDOWY PROGRAM'!$F$3*'RZĄDOWY PROGRAM'!$F$15,F205*$F$15),"")</f>
        <v>50</v>
      </c>
      <c r="L206" s="11">
        <f t="shared" si="81"/>
        <v>70</v>
      </c>
      <c r="N206" s="55">
        <f t="shared" si="94"/>
        <v>50161</v>
      </c>
      <c r="O206" s="8">
        <f t="shared" si="82"/>
        <v>179</v>
      </c>
      <c r="P206" s="8"/>
      <c r="Q206" s="33">
        <f>IF(O206&lt;&gt;"",ROUND(IF($F$11="raty równe",-PMT(W206/12,$F$4-O205+SUM($P$28:P206),T205,2),R206+S206),2),"")</f>
        <v>3461.17</v>
      </c>
      <c r="R206" s="11">
        <f>IF(O206&lt;&gt;"",IF($F$11="raty malejące",T205/($F$4-O205+SUM($P$28:P206)),IF(Q206-S206&gt;T205,T205,Q206-S206)),"")</f>
        <v>2116.6640682538982</v>
      </c>
      <c r="S206" s="11">
        <f t="shared" si="96"/>
        <v>1344.5059317461021</v>
      </c>
      <c r="T206" s="9">
        <f t="shared" si="83"/>
        <v>188593.39717232797</v>
      </c>
      <c r="U206" s="10">
        <f t="shared" si="75"/>
        <v>6.7599999999999993E-2</v>
      </c>
      <c r="V206" s="10">
        <f t="shared" si="76"/>
        <v>1.7000000000000001E-2</v>
      </c>
      <c r="W206" s="49">
        <f t="shared" si="84"/>
        <v>8.4599999999999995E-2</v>
      </c>
      <c r="X206" s="11">
        <f t="shared" si="77"/>
        <v>20</v>
      </c>
      <c r="Y206" s="11">
        <f>IF(O206&lt;&gt;"",IF($B$16=listy!$K$8,'RZĄDOWY PROGRAM'!$F$3*'RZĄDOWY PROGRAM'!$F$15,T205*$F$15),"")</f>
        <v>50</v>
      </c>
      <c r="Z206" s="11">
        <f t="shared" si="85"/>
        <v>70</v>
      </c>
      <c r="AB206" s="8">
        <f t="shared" si="86"/>
        <v>179</v>
      </c>
      <c r="AC206" s="8"/>
      <c r="AD206" s="33">
        <f>IF(AB206&lt;&gt;"",ROUND(IF($F$11="raty równe",-PMT(W206/12,$F$4-AB205+SUM($AC$28:AC206),AG205,2),AE206+AF206),2),"")</f>
        <v>3227.7</v>
      </c>
      <c r="AE206" s="11">
        <f>IF(AB206&lt;&gt;"",IF($F$11="raty malejące",AG205/($F$4-AB205+SUM($AC$28:AC205)),MIN(AD206-AF206,AG205)),"")</f>
        <v>1973.8907603168918</v>
      </c>
      <c r="AF206" s="11">
        <f t="shared" si="97"/>
        <v>1253.809239683108</v>
      </c>
      <c r="AG206" s="9">
        <f t="shared" si="95"/>
        <v>175871.39146423744</v>
      </c>
      <c r="AH206" s="11"/>
      <c r="AI206" s="33">
        <f>IF(AB206&lt;&gt;"",ROUND(IF($F$11="raty równe",-PMT(W206/12,($F$4-AB205+SUM($AC$27:AC205)),AG205,2),AG205/($F$4-AB205+SUM($AC$27:AC205))+AG205*W206/12),2),"")</f>
        <v>3227.7</v>
      </c>
      <c r="AJ206" s="33">
        <f t="shared" si="87"/>
        <v>233.47000000000025</v>
      </c>
      <c r="AK206" s="33">
        <f t="shared" si="88"/>
        <v>53885.245371538651</v>
      </c>
      <c r="AL206" s="33">
        <f>IF(AB206&lt;&gt;"",AK206-SUM($AJ$28:AJ206),"")</f>
        <v>13767.21537153871</v>
      </c>
      <c r="AM206" s="11">
        <f t="shared" si="89"/>
        <v>20</v>
      </c>
      <c r="AN206" s="11">
        <f>IF(AB206&lt;&gt;"",IF($B$16=listy!$K$8,'RZĄDOWY PROGRAM'!$F$3*'RZĄDOWY PROGRAM'!$F$15,AG205*$F$15),"")</f>
        <v>50</v>
      </c>
      <c r="AO206" s="11">
        <f t="shared" si="90"/>
        <v>70</v>
      </c>
      <c r="AQ206" s="49">
        <f t="shared" si="78"/>
        <v>0.05</v>
      </c>
      <c r="AR206" s="18">
        <f t="shared" si="79"/>
        <v>4.0741237836483535E-3</v>
      </c>
      <c r="AS206" s="11">
        <f t="shared" si="91"/>
        <v>0</v>
      </c>
      <c r="AT206" s="11">
        <f t="shared" si="92"/>
        <v>48766.010410911993</v>
      </c>
      <c r="AU206" s="11">
        <f>IF(AB206&lt;&gt;"",AT206-SUM($AS$28:AS206),"")</f>
        <v>21076.610410911988</v>
      </c>
    </row>
    <row r="207" spans="1:47" ht="14.5" x14ac:dyDescent="0.35">
      <c r="A207" s="76">
        <f t="shared" si="93"/>
        <v>50192</v>
      </c>
      <c r="B207" s="8">
        <f t="shared" si="67"/>
        <v>180</v>
      </c>
      <c r="C207" s="11">
        <f t="shared" si="68"/>
        <v>3461.18</v>
      </c>
      <c r="D207" s="11">
        <f t="shared" si="69"/>
        <v>2254.8269843233966</v>
      </c>
      <c r="E207" s="11">
        <f t="shared" si="70"/>
        <v>1206.3530156766035</v>
      </c>
      <c r="F207" s="9">
        <f t="shared" si="80"/>
        <v>168859.07594852819</v>
      </c>
      <c r="G207" s="10">
        <f t="shared" si="71"/>
        <v>6.7599999999999993E-2</v>
      </c>
      <c r="H207" s="10">
        <f t="shared" si="72"/>
        <v>1.7000000000000001E-2</v>
      </c>
      <c r="I207" s="49">
        <f t="shared" si="73"/>
        <v>8.4599999999999995E-2</v>
      </c>
      <c r="J207" s="11">
        <f t="shared" si="74"/>
        <v>20</v>
      </c>
      <c r="K207" s="11">
        <f>IF(B207&lt;&gt;"",IF($B$16=listy!$K$8,'RZĄDOWY PROGRAM'!$F$3*'RZĄDOWY PROGRAM'!$F$15,F206*$F$15),"")</f>
        <v>50</v>
      </c>
      <c r="L207" s="11">
        <f t="shared" si="81"/>
        <v>70</v>
      </c>
      <c r="N207" s="55">
        <f t="shared" si="94"/>
        <v>50192</v>
      </c>
      <c r="O207" s="8">
        <f t="shared" si="82"/>
        <v>180</v>
      </c>
      <c r="P207" s="8"/>
      <c r="Q207" s="33">
        <f>IF(O207&lt;&gt;"",ROUND(IF($F$11="raty równe",-PMT(W207/12,$F$4-O206+SUM($P$28:P207),T206,2),R207+S207),2),"")</f>
        <v>3461.18</v>
      </c>
      <c r="R207" s="11">
        <f>IF(O207&lt;&gt;"",IF($F$11="raty malejące",T206/($F$4-O206+SUM($P$28:P207)),IF(Q207-S207&gt;T206,T206,Q207-S207)),"")</f>
        <v>2131.5965499350878</v>
      </c>
      <c r="S207" s="11">
        <f t="shared" si="96"/>
        <v>1329.5834500649121</v>
      </c>
      <c r="T207" s="9">
        <f t="shared" si="83"/>
        <v>186461.80062239288</v>
      </c>
      <c r="U207" s="10">
        <f t="shared" si="75"/>
        <v>6.7599999999999993E-2</v>
      </c>
      <c r="V207" s="10">
        <f t="shared" si="76"/>
        <v>1.7000000000000001E-2</v>
      </c>
      <c r="W207" s="49">
        <f t="shared" si="84"/>
        <v>8.4599999999999995E-2</v>
      </c>
      <c r="X207" s="11">
        <f t="shared" si="77"/>
        <v>20</v>
      </c>
      <c r="Y207" s="11">
        <f>IF(O207&lt;&gt;"",IF($B$16=listy!$K$8,'RZĄDOWY PROGRAM'!$F$3*'RZĄDOWY PROGRAM'!$F$15,T206*$F$15),"")</f>
        <v>50</v>
      </c>
      <c r="Z207" s="11">
        <f t="shared" si="85"/>
        <v>70</v>
      </c>
      <c r="AB207" s="8">
        <f t="shared" si="86"/>
        <v>180</v>
      </c>
      <c r="AC207" s="8"/>
      <c r="AD207" s="33">
        <f>IF(AB207&lt;&gt;"",ROUND(IF($F$11="raty równe",-PMT(W207/12,$F$4-AB206+SUM($AC$28:AC207),AG206,2),AE207+AF207),2),"")</f>
        <v>3227.69</v>
      </c>
      <c r="AE207" s="11">
        <f>IF(AB207&lt;&gt;"",IF($F$11="raty malejące",AG206/($F$4-AB206+SUM($AC$28:AC206)),MIN(AD207-AF207,AG206)),"")</f>
        <v>1987.7966901771263</v>
      </c>
      <c r="AF207" s="11">
        <f t="shared" si="97"/>
        <v>1239.8933098228738</v>
      </c>
      <c r="AG207" s="9">
        <f t="shared" si="95"/>
        <v>173883.59477406033</v>
      </c>
      <c r="AH207" s="11"/>
      <c r="AI207" s="33">
        <f>IF(AB207&lt;&gt;"",ROUND(IF($F$11="raty równe",-PMT(W207/12,($F$4-AB206+SUM($AC$27:AC206)),AG206,2),AG206/($F$4-AB206+SUM($AC$27:AC206))+AG206*W207/12),2),"")</f>
        <v>3227.69</v>
      </c>
      <c r="AJ207" s="33">
        <f t="shared" si="87"/>
        <v>233.48999999999978</v>
      </c>
      <c r="AK207" s="33">
        <f t="shared" si="88"/>
        <v>54296.558850940935</v>
      </c>
      <c r="AL207" s="33">
        <f>IF(AB207&lt;&gt;"",AK207-SUM($AJ$28:AJ207),"")</f>
        <v>13945.038850940997</v>
      </c>
      <c r="AM207" s="11">
        <f t="shared" si="89"/>
        <v>20</v>
      </c>
      <c r="AN207" s="11">
        <f>IF(AB207&lt;&gt;"",IF($B$16=listy!$K$8,'RZĄDOWY PROGRAM'!$F$3*'RZĄDOWY PROGRAM'!$F$15,AG206*$F$15),"")</f>
        <v>50</v>
      </c>
      <c r="AO207" s="11">
        <f t="shared" si="90"/>
        <v>70</v>
      </c>
      <c r="AQ207" s="49">
        <f t="shared" si="78"/>
        <v>0.05</v>
      </c>
      <c r="AR207" s="18">
        <f t="shared" si="79"/>
        <v>4.0741237836483535E-3</v>
      </c>
      <c r="AS207" s="11">
        <f t="shared" si="91"/>
        <v>0</v>
      </c>
      <c r="AT207" s="11">
        <f t="shared" si="92"/>
        <v>48926.940208819469</v>
      </c>
      <c r="AU207" s="11">
        <f>IF(AB207&lt;&gt;"",AT207-SUM($AS$28:AS207),"")</f>
        <v>21237.540208819464</v>
      </c>
    </row>
    <row r="208" spans="1:47" ht="14.5" x14ac:dyDescent="0.35">
      <c r="A208" s="76">
        <f t="shared" si="93"/>
        <v>50222</v>
      </c>
      <c r="B208" s="8">
        <f t="shared" si="67"/>
        <v>181</v>
      </c>
      <c r="C208" s="11">
        <f t="shared" si="68"/>
        <v>3461.17</v>
      </c>
      <c r="D208" s="11">
        <f t="shared" si="69"/>
        <v>2270.7135145628763</v>
      </c>
      <c r="E208" s="11">
        <f t="shared" si="70"/>
        <v>1190.4564854371235</v>
      </c>
      <c r="F208" s="9">
        <f t="shared" si="80"/>
        <v>166588.36243396532</v>
      </c>
      <c r="G208" s="10">
        <f t="shared" si="71"/>
        <v>6.7599999999999993E-2</v>
      </c>
      <c r="H208" s="10">
        <f t="shared" si="72"/>
        <v>1.7000000000000001E-2</v>
      </c>
      <c r="I208" s="49">
        <f t="shared" si="73"/>
        <v>8.4599999999999995E-2</v>
      </c>
      <c r="J208" s="11">
        <f t="shared" si="74"/>
        <v>20</v>
      </c>
      <c r="K208" s="11">
        <f>IF(B208&lt;&gt;"",IF($B$16=listy!$K$8,'RZĄDOWY PROGRAM'!$F$3*'RZĄDOWY PROGRAM'!$F$15,F207*$F$15),"")</f>
        <v>50</v>
      </c>
      <c r="L208" s="11">
        <f t="shared" si="81"/>
        <v>70</v>
      </c>
      <c r="N208" s="55">
        <f t="shared" si="94"/>
        <v>50222</v>
      </c>
      <c r="O208" s="8">
        <f t="shared" si="82"/>
        <v>181</v>
      </c>
      <c r="P208" s="8"/>
      <c r="Q208" s="33">
        <f>IF(O208&lt;&gt;"",ROUND(IF($F$11="raty równe",-PMT(W208/12,$F$4-O207+SUM($P$28:P208),T207,2),R208+S208),2),"")</f>
        <v>3461.17</v>
      </c>
      <c r="R208" s="11">
        <f>IF(O208&lt;&gt;"",IF($F$11="raty malejące",T207/($F$4-O207+SUM($P$28:P208)),IF(Q208-S208&gt;T207,T207,Q208-S208)),"")</f>
        <v>2146.61430561213</v>
      </c>
      <c r="S208" s="11">
        <f t="shared" si="96"/>
        <v>1314.5556943878698</v>
      </c>
      <c r="T208" s="9">
        <f t="shared" si="83"/>
        <v>184315.18631678075</v>
      </c>
      <c r="U208" s="10">
        <f t="shared" si="75"/>
        <v>6.7599999999999993E-2</v>
      </c>
      <c r="V208" s="10">
        <f t="shared" si="76"/>
        <v>1.7000000000000001E-2</v>
      </c>
      <c r="W208" s="49">
        <f t="shared" si="84"/>
        <v>8.4599999999999995E-2</v>
      </c>
      <c r="X208" s="11">
        <f t="shared" si="77"/>
        <v>20</v>
      </c>
      <c r="Y208" s="11">
        <f>IF(O208&lt;&gt;"",IF($B$16=listy!$K$8,'RZĄDOWY PROGRAM'!$F$3*'RZĄDOWY PROGRAM'!$F$15,T207*$F$15),"")</f>
        <v>50</v>
      </c>
      <c r="Z208" s="11">
        <f t="shared" si="85"/>
        <v>70</v>
      </c>
      <c r="AB208" s="8">
        <f t="shared" si="86"/>
        <v>181</v>
      </c>
      <c r="AC208" s="8"/>
      <c r="AD208" s="33">
        <f>IF(AB208&lt;&gt;"",ROUND(IF($F$11="raty równe",-PMT(W208/12,$F$4-AB207+SUM($AC$28:AC208),AG207,2),AE208+AF208),2),"")</f>
        <v>3227.7</v>
      </c>
      <c r="AE208" s="11">
        <f>IF(AB208&lt;&gt;"",IF($F$11="raty malejące",AG207/($F$4-AB207+SUM($AC$28:AC207)),MIN(AD208-AF208,AG207)),"")</f>
        <v>2001.8206568428745</v>
      </c>
      <c r="AF208" s="11">
        <f t="shared" si="97"/>
        <v>1225.8793431571253</v>
      </c>
      <c r="AG208" s="9">
        <f t="shared" si="95"/>
        <v>171881.77411721746</v>
      </c>
      <c r="AH208" s="11"/>
      <c r="AI208" s="33">
        <f>IF(AB208&lt;&gt;"",ROUND(IF($F$11="raty równe",-PMT(W208/12,($F$4-AB207+SUM($AC$27:AC207)),AG207,2),AG207/($F$4-AB207+SUM($AC$27:AC207))+AG207*W208/12),2),"")</f>
        <v>3227.7</v>
      </c>
      <c r="AJ208" s="33">
        <f t="shared" si="87"/>
        <v>233.47000000000025</v>
      </c>
      <c r="AK208" s="33">
        <f t="shared" si="88"/>
        <v>54709.209681386688</v>
      </c>
      <c r="AL208" s="33">
        <f>IF(AB208&lt;&gt;"",AK208-SUM($AJ$28:AJ208),"")</f>
        <v>14124.219681386749</v>
      </c>
      <c r="AM208" s="11">
        <f t="shared" si="89"/>
        <v>20</v>
      </c>
      <c r="AN208" s="11">
        <f>IF(AB208&lt;&gt;"",IF($B$16=listy!$K$8,'RZĄDOWY PROGRAM'!$F$3*'RZĄDOWY PROGRAM'!$F$15,AG207*$F$15),"")</f>
        <v>50</v>
      </c>
      <c r="AO208" s="11">
        <f t="shared" si="90"/>
        <v>70</v>
      </c>
      <c r="AQ208" s="49">
        <f t="shared" si="78"/>
        <v>0.05</v>
      </c>
      <c r="AR208" s="18">
        <f t="shared" si="79"/>
        <v>4.0741237836483535E-3</v>
      </c>
      <c r="AS208" s="11">
        <f t="shared" si="91"/>
        <v>0</v>
      </c>
      <c r="AT208" s="11">
        <f t="shared" si="92"/>
        <v>49088.401081539843</v>
      </c>
      <c r="AU208" s="11">
        <f>IF(AB208&lt;&gt;"",AT208-SUM($AS$28:AS208),"")</f>
        <v>21399.001081539838</v>
      </c>
    </row>
    <row r="209" spans="1:47" ht="14.5" x14ac:dyDescent="0.35">
      <c r="A209" s="76">
        <f t="shared" si="93"/>
        <v>50253</v>
      </c>
      <c r="B209" s="8">
        <f t="shared" si="67"/>
        <v>182</v>
      </c>
      <c r="C209" s="11">
        <f t="shared" si="68"/>
        <v>3461.18</v>
      </c>
      <c r="D209" s="11">
        <f t="shared" si="69"/>
        <v>2286.7320448405444</v>
      </c>
      <c r="E209" s="11">
        <f t="shared" si="70"/>
        <v>1174.4479551594554</v>
      </c>
      <c r="F209" s="9">
        <f t="shared" si="80"/>
        <v>164301.63038912477</v>
      </c>
      <c r="G209" s="10">
        <f t="shared" si="71"/>
        <v>6.7599999999999993E-2</v>
      </c>
      <c r="H209" s="10">
        <f t="shared" si="72"/>
        <v>1.7000000000000001E-2</v>
      </c>
      <c r="I209" s="49">
        <f t="shared" si="73"/>
        <v>8.4599999999999995E-2</v>
      </c>
      <c r="J209" s="11">
        <f t="shared" si="74"/>
        <v>20</v>
      </c>
      <c r="K209" s="11">
        <f>IF(B209&lt;&gt;"",IF($B$16=listy!$K$8,'RZĄDOWY PROGRAM'!$F$3*'RZĄDOWY PROGRAM'!$F$15,F208*$F$15),"")</f>
        <v>50</v>
      </c>
      <c r="L209" s="11">
        <f t="shared" si="81"/>
        <v>70</v>
      </c>
      <c r="N209" s="55">
        <f t="shared" si="94"/>
        <v>50253</v>
      </c>
      <c r="O209" s="8">
        <f t="shared" si="82"/>
        <v>182</v>
      </c>
      <c r="P209" s="8"/>
      <c r="Q209" s="33">
        <f>IF(O209&lt;&gt;"",ROUND(IF($F$11="raty równe",-PMT(W209/12,$F$4-O208+SUM($P$28:P209),T208,2),R209+S209),2),"")</f>
        <v>3461.18</v>
      </c>
      <c r="R209" s="11">
        <f>IF(O209&lt;&gt;"",IF($F$11="raty malejące",T208/($F$4-O208+SUM($P$28:P209)),IF(Q209-S209&gt;T208,T208,Q209-S209)),"")</f>
        <v>2161.7579364666954</v>
      </c>
      <c r="S209" s="11">
        <f t="shared" si="96"/>
        <v>1299.4220635333043</v>
      </c>
      <c r="T209" s="9">
        <f t="shared" si="83"/>
        <v>182153.42838031406</v>
      </c>
      <c r="U209" s="10">
        <f t="shared" si="75"/>
        <v>6.7599999999999993E-2</v>
      </c>
      <c r="V209" s="10">
        <f t="shared" si="76"/>
        <v>1.7000000000000001E-2</v>
      </c>
      <c r="W209" s="49">
        <f t="shared" si="84"/>
        <v>8.4599999999999995E-2</v>
      </c>
      <c r="X209" s="11">
        <f t="shared" si="77"/>
        <v>20</v>
      </c>
      <c r="Y209" s="11">
        <f>IF(O209&lt;&gt;"",IF($B$16=listy!$K$8,'RZĄDOWY PROGRAM'!$F$3*'RZĄDOWY PROGRAM'!$F$15,T208*$F$15),"")</f>
        <v>50</v>
      </c>
      <c r="Z209" s="11">
        <f t="shared" si="85"/>
        <v>70</v>
      </c>
      <c r="AB209" s="8">
        <f t="shared" si="86"/>
        <v>182</v>
      </c>
      <c r="AC209" s="8"/>
      <c r="AD209" s="33">
        <f>IF(AB209&lt;&gt;"",ROUND(IF($F$11="raty równe",-PMT(W209/12,$F$4-AB208+SUM($AC$28:AC209),AG208,2),AE209+AF209),2),"")</f>
        <v>3227.69</v>
      </c>
      <c r="AE209" s="11">
        <f>IF(AB209&lt;&gt;"",IF($F$11="raty malejące",AG208/($F$4-AB208+SUM($AC$28:AC208)),MIN(AD209-AF209,AG208)),"")</f>
        <v>2015.923492473617</v>
      </c>
      <c r="AF209" s="11">
        <f t="shared" si="97"/>
        <v>1211.7665075263831</v>
      </c>
      <c r="AG209" s="9">
        <f t="shared" si="95"/>
        <v>169865.85062474385</v>
      </c>
      <c r="AH209" s="11"/>
      <c r="AI209" s="33">
        <f>IF(AB209&lt;&gt;"",ROUND(IF($F$11="raty równe",-PMT(W209/12,($F$4-AB208+SUM($AC$27:AC208)),AG208,2),AG208/($F$4-AB208+SUM($AC$27:AC208))+AG208*W209/12),2),"")</f>
        <v>3227.69</v>
      </c>
      <c r="AJ209" s="33">
        <f t="shared" si="87"/>
        <v>233.48999999999978</v>
      </c>
      <c r="AK209" s="33">
        <f t="shared" si="88"/>
        <v>55123.242276188197</v>
      </c>
      <c r="AL209" s="33">
        <f>IF(AB209&lt;&gt;"",AK209-SUM($AJ$28:AJ209),"")</f>
        <v>14304.762276188259</v>
      </c>
      <c r="AM209" s="11">
        <f t="shared" si="89"/>
        <v>20</v>
      </c>
      <c r="AN209" s="11">
        <f>IF(AB209&lt;&gt;"",IF($B$16=listy!$K$8,'RZĄDOWY PROGRAM'!$F$3*'RZĄDOWY PROGRAM'!$F$15,AG208*$F$15),"")</f>
        <v>50</v>
      </c>
      <c r="AO209" s="11">
        <f t="shared" si="90"/>
        <v>70</v>
      </c>
      <c r="AQ209" s="49">
        <f t="shared" si="78"/>
        <v>0.05</v>
      </c>
      <c r="AR209" s="18">
        <f t="shared" si="79"/>
        <v>4.0741237836483535E-3</v>
      </c>
      <c r="AS209" s="11">
        <f t="shared" si="91"/>
        <v>0</v>
      </c>
      <c r="AT209" s="11">
        <f t="shared" si="92"/>
        <v>49250.394781641378</v>
      </c>
      <c r="AU209" s="11">
        <f>IF(AB209&lt;&gt;"",AT209-SUM($AS$28:AS209),"")</f>
        <v>21560.994781641373</v>
      </c>
    </row>
    <row r="210" spans="1:47" ht="14.5" x14ac:dyDescent="0.35">
      <c r="A210" s="76">
        <f t="shared" si="93"/>
        <v>50284</v>
      </c>
      <c r="B210" s="8">
        <f t="shared" si="67"/>
        <v>183</v>
      </c>
      <c r="C210" s="11">
        <f t="shared" si="68"/>
        <v>3461.17</v>
      </c>
      <c r="D210" s="11">
        <f t="shared" si="69"/>
        <v>2302.8435057566703</v>
      </c>
      <c r="E210" s="11">
        <f t="shared" si="70"/>
        <v>1158.3264942433295</v>
      </c>
      <c r="F210" s="9">
        <f t="shared" si="80"/>
        <v>161998.7868833681</v>
      </c>
      <c r="G210" s="10">
        <f t="shared" si="71"/>
        <v>6.7599999999999993E-2</v>
      </c>
      <c r="H210" s="10">
        <f t="shared" si="72"/>
        <v>1.7000000000000001E-2</v>
      </c>
      <c r="I210" s="49">
        <f t="shared" si="73"/>
        <v>8.4599999999999995E-2</v>
      </c>
      <c r="J210" s="11">
        <f t="shared" si="74"/>
        <v>20</v>
      </c>
      <c r="K210" s="11">
        <f>IF(B210&lt;&gt;"",IF($B$16=listy!$K$8,'RZĄDOWY PROGRAM'!$F$3*'RZĄDOWY PROGRAM'!$F$15,F209*$F$15),"")</f>
        <v>50</v>
      </c>
      <c r="L210" s="11">
        <f t="shared" si="81"/>
        <v>70</v>
      </c>
      <c r="N210" s="55">
        <f t="shared" si="94"/>
        <v>50284</v>
      </c>
      <c r="O210" s="8">
        <f t="shared" si="82"/>
        <v>183</v>
      </c>
      <c r="P210" s="8"/>
      <c r="Q210" s="33">
        <f>IF(O210&lt;&gt;"",ROUND(IF($F$11="raty równe",-PMT(W210/12,$F$4-O209+SUM($P$28:P210),T209,2),R210+S210),2),"")</f>
        <v>3461.17</v>
      </c>
      <c r="R210" s="11">
        <f>IF(O210&lt;&gt;"",IF($F$11="raty malejące",T209/($F$4-O209+SUM($P$28:P210)),IF(Q210-S210&gt;T209,T209,Q210-S210)),"")</f>
        <v>2176.9883299187859</v>
      </c>
      <c r="S210" s="11">
        <f t="shared" si="96"/>
        <v>1284.181670081214</v>
      </c>
      <c r="T210" s="9">
        <f t="shared" si="83"/>
        <v>179976.44005039526</v>
      </c>
      <c r="U210" s="10">
        <f t="shared" si="75"/>
        <v>6.7599999999999993E-2</v>
      </c>
      <c r="V210" s="10">
        <f t="shared" si="76"/>
        <v>1.7000000000000001E-2</v>
      </c>
      <c r="W210" s="49">
        <f t="shared" si="84"/>
        <v>8.4599999999999995E-2</v>
      </c>
      <c r="X210" s="11">
        <f t="shared" si="77"/>
        <v>20</v>
      </c>
      <c r="Y210" s="11">
        <f>IF(O210&lt;&gt;"",IF($B$16=listy!$K$8,'RZĄDOWY PROGRAM'!$F$3*'RZĄDOWY PROGRAM'!$F$15,T209*$F$15),"")</f>
        <v>50</v>
      </c>
      <c r="Z210" s="11">
        <f t="shared" si="85"/>
        <v>70</v>
      </c>
      <c r="AB210" s="8">
        <f t="shared" si="86"/>
        <v>183</v>
      </c>
      <c r="AC210" s="8"/>
      <c r="AD210" s="33">
        <f>IF(AB210&lt;&gt;"",ROUND(IF($F$11="raty równe",-PMT(W210/12,$F$4-AB209+SUM($AC$28:AC210),AG209,2),AE210+AF210),2),"")</f>
        <v>3227.7</v>
      </c>
      <c r="AE210" s="11">
        <f>IF(AB210&lt;&gt;"",IF($F$11="raty malejące",AG209/($F$4-AB209+SUM($AC$28:AC209)),MIN(AD210-AF210,AG209)),"")</f>
        <v>2030.1457530955556</v>
      </c>
      <c r="AF210" s="11">
        <f t="shared" si="97"/>
        <v>1197.5542469044442</v>
      </c>
      <c r="AG210" s="9">
        <f t="shared" si="95"/>
        <v>167835.70487164828</v>
      </c>
      <c r="AH210" s="11"/>
      <c r="AI210" s="33">
        <f>IF(AB210&lt;&gt;"",ROUND(IF($F$11="raty równe",-PMT(W210/12,($F$4-AB209+SUM($AC$27:AC209)),AG209,2),AG209/($F$4-AB209+SUM($AC$27:AC209))+AG209*W210/12),2),"")</f>
        <v>3227.7</v>
      </c>
      <c r="AJ210" s="33">
        <f t="shared" si="87"/>
        <v>233.47000000000025</v>
      </c>
      <c r="AK210" s="33">
        <f t="shared" si="88"/>
        <v>55538.621195223473</v>
      </c>
      <c r="AL210" s="33">
        <f>IF(AB210&lt;&gt;"",AK210-SUM($AJ$28:AJ210),"")</f>
        <v>14486.671195223535</v>
      </c>
      <c r="AM210" s="11">
        <f t="shared" si="89"/>
        <v>20</v>
      </c>
      <c r="AN210" s="11">
        <f>IF(AB210&lt;&gt;"",IF($B$16=listy!$K$8,'RZĄDOWY PROGRAM'!$F$3*'RZĄDOWY PROGRAM'!$F$15,AG209*$F$15),"")</f>
        <v>50</v>
      </c>
      <c r="AO210" s="11">
        <f t="shared" si="90"/>
        <v>70</v>
      </c>
      <c r="AQ210" s="49">
        <f t="shared" si="78"/>
        <v>0.05</v>
      </c>
      <c r="AR210" s="18">
        <f t="shared" si="79"/>
        <v>4.0741237836483535E-3</v>
      </c>
      <c r="AS210" s="11">
        <f t="shared" si="91"/>
        <v>0</v>
      </c>
      <c r="AT210" s="11">
        <f t="shared" si="92"/>
        <v>49412.92306747588</v>
      </c>
      <c r="AU210" s="11">
        <f>IF(AB210&lt;&gt;"",AT210-SUM($AS$28:AS210),"")</f>
        <v>21723.523067475875</v>
      </c>
    </row>
    <row r="211" spans="1:47" ht="14.5" x14ac:dyDescent="0.35">
      <c r="A211" s="76">
        <f t="shared" si="93"/>
        <v>50314</v>
      </c>
      <c r="B211" s="8">
        <f t="shared" si="67"/>
        <v>184</v>
      </c>
      <c r="C211" s="11">
        <f t="shared" si="68"/>
        <v>3461.18</v>
      </c>
      <c r="D211" s="11">
        <f t="shared" si="69"/>
        <v>2319.0885524722548</v>
      </c>
      <c r="E211" s="11">
        <f t="shared" si="70"/>
        <v>1142.091447527745</v>
      </c>
      <c r="F211" s="9">
        <f t="shared" si="80"/>
        <v>159679.69833089583</v>
      </c>
      <c r="G211" s="10">
        <f t="shared" si="71"/>
        <v>6.7599999999999993E-2</v>
      </c>
      <c r="H211" s="10">
        <f t="shared" si="72"/>
        <v>1.7000000000000001E-2</v>
      </c>
      <c r="I211" s="49">
        <f t="shared" si="73"/>
        <v>8.4599999999999995E-2</v>
      </c>
      <c r="J211" s="11">
        <f t="shared" si="74"/>
        <v>20</v>
      </c>
      <c r="K211" s="11">
        <f>IF(B211&lt;&gt;"",IF($B$16=listy!$K$8,'RZĄDOWY PROGRAM'!$F$3*'RZĄDOWY PROGRAM'!$F$15,F210*$F$15),"")</f>
        <v>50</v>
      </c>
      <c r="L211" s="11">
        <f t="shared" si="81"/>
        <v>70</v>
      </c>
      <c r="N211" s="55">
        <f t="shared" si="94"/>
        <v>50314</v>
      </c>
      <c r="O211" s="8">
        <f t="shared" si="82"/>
        <v>184</v>
      </c>
      <c r="P211" s="8"/>
      <c r="Q211" s="33">
        <f>IF(O211&lt;&gt;"",ROUND(IF($F$11="raty równe",-PMT(W211/12,$F$4-O210+SUM($P$28:P211),T210,2),R211+S211),2),"")</f>
        <v>3461.18</v>
      </c>
      <c r="R211" s="11">
        <f>IF(O211&lt;&gt;"",IF($F$11="raty malejące",T210/($F$4-O210+SUM($P$28:P211)),IF(Q211-S211&gt;T210,T210,Q211-S211)),"")</f>
        <v>2192.3460976447132</v>
      </c>
      <c r="S211" s="11">
        <f t="shared" si="96"/>
        <v>1268.8339023552865</v>
      </c>
      <c r="T211" s="9">
        <f t="shared" si="83"/>
        <v>177784.09395275055</v>
      </c>
      <c r="U211" s="10">
        <f t="shared" si="75"/>
        <v>6.7599999999999993E-2</v>
      </c>
      <c r="V211" s="10">
        <f t="shared" si="76"/>
        <v>1.7000000000000001E-2</v>
      </c>
      <c r="W211" s="49">
        <f t="shared" si="84"/>
        <v>8.4599999999999995E-2</v>
      </c>
      <c r="X211" s="11">
        <f t="shared" si="77"/>
        <v>20</v>
      </c>
      <c r="Y211" s="11">
        <f>IF(O211&lt;&gt;"",IF($B$16=listy!$K$8,'RZĄDOWY PROGRAM'!$F$3*'RZĄDOWY PROGRAM'!$F$15,T210*$F$15),"")</f>
        <v>50</v>
      </c>
      <c r="Z211" s="11">
        <f t="shared" si="85"/>
        <v>70</v>
      </c>
      <c r="AB211" s="8">
        <f t="shared" si="86"/>
        <v>184</v>
      </c>
      <c r="AC211" s="8"/>
      <c r="AD211" s="33">
        <f>IF(AB211&lt;&gt;"",ROUND(IF($F$11="raty równe",-PMT(W211/12,$F$4-AB210+SUM($AC$28:AC211),AG210,2),AE211+AF211),2),"")</f>
        <v>3227.69</v>
      </c>
      <c r="AE211" s="11">
        <f>IF(AB211&lt;&gt;"",IF($F$11="raty malejące",AG210/($F$4-AB210+SUM($AC$28:AC210)),MIN(AD211-AF211,AG210)),"")</f>
        <v>2044.4482806548797</v>
      </c>
      <c r="AF211" s="11">
        <f t="shared" si="97"/>
        <v>1183.2417193451204</v>
      </c>
      <c r="AG211" s="9">
        <f t="shared" si="95"/>
        <v>165791.25659099341</v>
      </c>
      <c r="AH211" s="11"/>
      <c r="AI211" s="33">
        <f>IF(AB211&lt;&gt;"",ROUND(IF($F$11="raty równe",-PMT(W211/12,($F$4-AB210+SUM($AC$27:AC210)),AG210,2),AG210/($F$4-AB210+SUM($AC$27:AC210))+AG210*W211/12),2),"")</f>
        <v>3227.69</v>
      </c>
      <c r="AJ211" s="33">
        <f t="shared" si="87"/>
        <v>233.48999999999978</v>
      </c>
      <c r="AK211" s="33">
        <f t="shared" si="88"/>
        <v>55955.390881416693</v>
      </c>
      <c r="AL211" s="33">
        <f>IF(AB211&lt;&gt;"",AK211-SUM($AJ$28:AJ211),"")</f>
        <v>14669.950881416757</v>
      </c>
      <c r="AM211" s="11">
        <f t="shared" si="89"/>
        <v>20</v>
      </c>
      <c r="AN211" s="11">
        <f>IF(AB211&lt;&gt;"",IF($B$16=listy!$K$8,'RZĄDOWY PROGRAM'!$F$3*'RZĄDOWY PROGRAM'!$F$15,AG210*$F$15),"")</f>
        <v>50</v>
      </c>
      <c r="AO211" s="11">
        <f t="shared" si="90"/>
        <v>70</v>
      </c>
      <c r="AQ211" s="49">
        <f t="shared" si="78"/>
        <v>0.05</v>
      </c>
      <c r="AR211" s="18">
        <f t="shared" si="79"/>
        <v>4.0741237836483535E-3</v>
      </c>
      <c r="AS211" s="11">
        <f t="shared" si="91"/>
        <v>0</v>
      </c>
      <c r="AT211" s="11">
        <f t="shared" si="92"/>
        <v>49575.987703197803</v>
      </c>
      <c r="AU211" s="11">
        <f>IF(AB211&lt;&gt;"",AT211-SUM($AS$28:AS211),"")</f>
        <v>21886.587703197798</v>
      </c>
    </row>
    <row r="212" spans="1:47" ht="14.5" x14ac:dyDescent="0.35">
      <c r="A212" s="76">
        <f t="shared" si="93"/>
        <v>50345</v>
      </c>
      <c r="B212" s="8">
        <f t="shared" si="67"/>
        <v>185</v>
      </c>
      <c r="C212" s="11">
        <f t="shared" si="68"/>
        <v>3461.17</v>
      </c>
      <c r="D212" s="11">
        <f t="shared" si="69"/>
        <v>2335.4281267671845</v>
      </c>
      <c r="E212" s="11">
        <f t="shared" si="70"/>
        <v>1125.7418732328156</v>
      </c>
      <c r="F212" s="9">
        <f t="shared" si="80"/>
        <v>157344.27020412864</v>
      </c>
      <c r="G212" s="10">
        <f t="shared" si="71"/>
        <v>6.7599999999999993E-2</v>
      </c>
      <c r="H212" s="10">
        <f t="shared" si="72"/>
        <v>1.7000000000000001E-2</v>
      </c>
      <c r="I212" s="49">
        <f t="shared" si="73"/>
        <v>8.4599999999999995E-2</v>
      </c>
      <c r="J212" s="11">
        <f t="shared" si="74"/>
        <v>20</v>
      </c>
      <c r="K212" s="11">
        <f>IF(B212&lt;&gt;"",IF($B$16=listy!$K$8,'RZĄDOWY PROGRAM'!$F$3*'RZĄDOWY PROGRAM'!$F$15,F211*$F$15),"")</f>
        <v>50</v>
      </c>
      <c r="L212" s="11">
        <f t="shared" si="81"/>
        <v>70</v>
      </c>
      <c r="N212" s="55">
        <f t="shared" si="94"/>
        <v>50345</v>
      </c>
      <c r="O212" s="8">
        <f t="shared" si="82"/>
        <v>185</v>
      </c>
      <c r="P212" s="8"/>
      <c r="Q212" s="33">
        <f>IF(O212&lt;&gt;"",ROUND(IF($F$11="raty równe",-PMT(W212/12,$F$4-O211+SUM($P$28:P212),T211,2),R212+S212),2),"")</f>
        <v>3461.17</v>
      </c>
      <c r="R212" s="11">
        <f>IF(O212&lt;&gt;"",IF($F$11="raty malejące",T211/($F$4-O211+SUM($P$28:P212)),IF(Q212-S212&gt;T211,T211,Q212-S212)),"")</f>
        <v>2207.7921376331087</v>
      </c>
      <c r="S212" s="11">
        <f t="shared" si="96"/>
        <v>1253.3778623668913</v>
      </c>
      <c r="T212" s="9">
        <f t="shared" si="83"/>
        <v>175576.30181511745</v>
      </c>
      <c r="U212" s="10">
        <f t="shared" si="75"/>
        <v>6.7599999999999993E-2</v>
      </c>
      <c r="V212" s="10">
        <f t="shared" si="76"/>
        <v>1.7000000000000001E-2</v>
      </c>
      <c r="W212" s="49">
        <f t="shared" si="84"/>
        <v>8.4599999999999995E-2</v>
      </c>
      <c r="X212" s="11">
        <f t="shared" si="77"/>
        <v>20</v>
      </c>
      <c r="Y212" s="11">
        <f>IF(O212&lt;&gt;"",IF($B$16=listy!$K$8,'RZĄDOWY PROGRAM'!$F$3*'RZĄDOWY PROGRAM'!$F$15,T211*$F$15),"")</f>
        <v>50</v>
      </c>
      <c r="Z212" s="11">
        <f t="shared" si="85"/>
        <v>70</v>
      </c>
      <c r="AB212" s="8">
        <f t="shared" si="86"/>
        <v>185</v>
      </c>
      <c r="AC212" s="8"/>
      <c r="AD212" s="33">
        <f>IF(AB212&lt;&gt;"",ROUND(IF($F$11="raty równe",-PMT(W212/12,$F$4-AB211+SUM($AC$28:AC212),AG211,2),AE212+AF212),2),"")</f>
        <v>3227.7</v>
      </c>
      <c r="AE212" s="11">
        <f>IF(AB212&lt;&gt;"",IF($F$11="raty malejące",AG211/($F$4-AB211+SUM($AC$28:AC211)),MIN(AD212-AF212,AG211)),"")</f>
        <v>2058.8716410334964</v>
      </c>
      <c r="AF212" s="11">
        <f t="shared" si="97"/>
        <v>1168.8283589665034</v>
      </c>
      <c r="AG212" s="9">
        <f t="shared" si="95"/>
        <v>163732.3849499599</v>
      </c>
      <c r="AH212" s="11"/>
      <c r="AI212" s="33">
        <f>IF(AB212&lt;&gt;"",ROUND(IF($F$11="raty równe",-PMT(W212/12,($F$4-AB211+SUM($AC$27:AC211)),AG211,2),AG211/($F$4-AB211+SUM($AC$27:AC211))+AG211*W212/12),2),"")</f>
        <v>3227.7</v>
      </c>
      <c r="AJ212" s="33">
        <f t="shared" si="87"/>
        <v>233.47000000000025</v>
      </c>
      <c r="AK212" s="33">
        <f t="shared" si="88"/>
        <v>56373.515924355481</v>
      </c>
      <c r="AL212" s="33">
        <f>IF(AB212&lt;&gt;"",AK212-SUM($AJ$28:AJ212),"")</f>
        <v>14854.605924355543</v>
      </c>
      <c r="AM212" s="11">
        <f t="shared" si="89"/>
        <v>20</v>
      </c>
      <c r="AN212" s="11">
        <f>IF(AB212&lt;&gt;"",IF($B$16=listy!$K$8,'RZĄDOWY PROGRAM'!$F$3*'RZĄDOWY PROGRAM'!$F$15,AG211*$F$15),"")</f>
        <v>50</v>
      </c>
      <c r="AO212" s="11">
        <f t="shared" si="90"/>
        <v>70</v>
      </c>
      <c r="AQ212" s="49">
        <f t="shared" si="78"/>
        <v>0.05</v>
      </c>
      <c r="AR212" s="18">
        <f t="shared" si="79"/>
        <v>4.0741237836483535E-3</v>
      </c>
      <c r="AS212" s="11">
        <f t="shared" si="91"/>
        <v>0</v>
      </c>
      <c r="AT212" s="11">
        <f t="shared" si="92"/>
        <v>49739.590458783365</v>
      </c>
      <c r="AU212" s="11">
        <f>IF(AB212&lt;&gt;"",AT212-SUM($AS$28:AS212),"")</f>
        <v>22050.19045878336</v>
      </c>
    </row>
    <row r="213" spans="1:47" ht="14.5" x14ac:dyDescent="0.35">
      <c r="A213" s="76">
        <f t="shared" si="93"/>
        <v>50375</v>
      </c>
      <c r="B213" s="8">
        <f t="shared" si="67"/>
        <v>186</v>
      </c>
      <c r="C213" s="11">
        <f t="shared" si="68"/>
        <v>3461.18</v>
      </c>
      <c r="D213" s="11">
        <f t="shared" si="69"/>
        <v>2351.9028950608927</v>
      </c>
      <c r="E213" s="11">
        <f t="shared" si="70"/>
        <v>1109.2771049391069</v>
      </c>
      <c r="F213" s="9">
        <f t="shared" si="80"/>
        <v>154992.36730906775</v>
      </c>
      <c r="G213" s="10">
        <f t="shared" si="71"/>
        <v>6.7599999999999993E-2</v>
      </c>
      <c r="H213" s="10">
        <f t="shared" si="72"/>
        <v>1.7000000000000001E-2</v>
      </c>
      <c r="I213" s="49">
        <f t="shared" si="73"/>
        <v>8.4599999999999995E-2</v>
      </c>
      <c r="J213" s="11">
        <f t="shared" si="74"/>
        <v>20</v>
      </c>
      <c r="K213" s="11">
        <f>IF(B213&lt;&gt;"",IF($B$16=listy!$K$8,'RZĄDOWY PROGRAM'!$F$3*'RZĄDOWY PROGRAM'!$F$15,F212*$F$15),"")</f>
        <v>50</v>
      </c>
      <c r="L213" s="11">
        <f t="shared" si="81"/>
        <v>70</v>
      </c>
      <c r="N213" s="55">
        <f t="shared" si="94"/>
        <v>50375</v>
      </c>
      <c r="O213" s="8">
        <f t="shared" si="82"/>
        <v>186</v>
      </c>
      <c r="P213" s="8"/>
      <c r="Q213" s="33">
        <f>IF(O213&lt;&gt;"",ROUND(IF($F$11="raty równe",-PMT(W213/12,$F$4-O212+SUM($P$28:P213),T212,2),R213+S213),2),"")</f>
        <v>3461.18</v>
      </c>
      <c r="R213" s="11">
        <f>IF(O213&lt;&gt;"",IF($F$11="raty malejące",T212/($F$4-O212+SUM($P$28:P213)),IF(Q213-S213&gt;T212,T212,Q213-S213)),"")</f>
        <v>2223.3670722034221</v>
      </c>
      <c r="S213" s="11">
        <f t="shared" si="96"/>
        <v>1237.8129277965779</v>
      </c>
      <c r="T213" s="9">
        <f t="shared" si="83"/>
        <v>173352.93474291402</v>
      </c>
      <c r="U213" s="10">
        <f t="shared" si="75"/>
        <v>6.7599999999999993E-2</v>
      </c>
      <c r="V213" s="10">
        <f t="shared" si="76"/>
        <v>1.7000000000000001E-2</v>
      </c>
      <c r="W213" s="49">
        <f t="shared" si="84"/>
        <v>8.4599999999999995E-2</v>
      </c>
      <c r="X213" s="11">
        <f t="shared" si="77"/>
        <v>20</v>
      </c>
      <c r="Y213" s="11">
        <f>IF(O213&lt;&gt;"",IF($B$16=listy!$K$8,'RZĄDOWY PROGRAM'!$F$3*'RZĄDOWY PROGRAM'!$F$15,T212*$F$15),"")</f>
        <v>50</v>
      </c>
      <c r="Z213" s="11">
        <f t="shared" si="85"/>
        <v>70</v>
      </c>
      <c r="AB213" s="8">
        <f t="shared" si="86"/>
        <v>186</v>
      </c>
      <c r="AC213" s="8"/>
      <c r="AD213" s="33">
        <f>IF(AB213&lt;&gt;"",ROUND(IF($F$11="raty równe",-PMT(W213/12,$F$4-AB212+SUM($AC$28:AC213),AG212,2),AE213+AF213),2),"")</f>
        <v>3227.69</v>
      </c>
      <c r="AE213" s="11">
        <f>IF(AB213&lt;&gt;"",IF($F$11="raty malejące",AG212/($F$4-AB212+SUM($AC$28:AC212)),MIN(AD213-AF213,AG212)),"")</f>
        <v>2073.3766861027825</v>
      </c>
      <c r="AF213" s="11">
        <f t="shared" si="97"/>
        <v>1154.3133138972173</v>
      </c>
      <c r="AG213" s="9">
        <f t="shared" si="95"/>
        <v>161659.00826385713</v>
      </c>
      <c r="AH213" s="11"/>
      <c r="AI213" s="33">
        <f>IF(AB213&lt;&gt;"",ROUND(IF($F$11="raty równe",-PMT(W213/12,($F$4-AB212+SUM($AC$27:AC212)),AG212,2),AG212/($F$4-AB212+SUM($AC$27:AC212))+AG212*W213/12),2),"")</f>
        <v>3227.69</v>
      </c>
      <c r="AJ213" s="33">
        <f t="shared" si="87"/>
        <v>233.48999999999978</v>
      </c>
      <c r="AK213" s="33">
        <f t="shared" si="88"/>
        <v>56793.040796771667</v>
      </c>
      <c r="AL213" s="33">
        <f>IF(AB213&lt;&gt;"",AK213-SUM($AJ$28:AJ213),"")</f>
        <v>15040.640796771731</v>
      </c>
      <c r="AM213" s="11">
        <f t="shared" si="89"/>
        <v>20</v>
      </c>
      <c r="AN213" s="11">
        <f>IF(AB213&lt;&gt;"",IF($B$16=listy!$K$8,'RZĄDOWY PROGRAM'!$F$3*'RZĄDOWY PROGRAM'!$F$15,AG212*$F$15),"")</f>
        <v>50</v>
      </c>
      <c r="AO213" s="11">
        <f t="shared" si="90"/>
        <v>70</v>
      </c>
      <c r="AQ213" s="49">
        <f t="shared" si="78"/>
        <v>0.05</v>
      </c>
      <c r="AR213" s="18">
        <f t="shared" si="79"/>
        <v>4.0741237836483535E-3</v>
      </c>
      <c r="AS213" s="11">
        <f t="shared" si="91"/>
        <v>0</v>
      </c>
      <c r="AT213" s="11">
        <f t="shared" si="92"/>
        <v>49903.733110049783</v>
      </c>
      <c r="AU213" s="11">
        <f>IF(AB213&lt;&gt;"",AT213-SUM($AS$28:AS213),"")</f>
        <v>22214.333110049778</v>
      </c>
    </row>
    <row r="214" spans="1:47" ht="14.5" x14ac:dyDescent="0.35">
      <c r="A214" s="76">
        <f t="shared" si="93"/>
        <v>50406</v>
      </c>
      <c r="B214" s="8">
        <f t="shared" si="67"/>
        <v>187</v>
      </c>
      <c r="C214" s="11">
        <f t="shared" si="68"/>
        <v>3461.17</v>
      </c>
      <c r="D214" s="11">
        <f t="shared" si="69"/>
        <v>2368.4738104710723</v>
      </c>
      <c r="E214" s="11">
        <f t="shared" si="70"/>
        <v>1092.6961895289276</v>
      </c>
      <c r="F214" s="9">
        <f t="shared" si="80"/>
        <v>152623.89349859668</v>
      </c>
      <c r="G214" s="10">
        <f t="shared" si="71"/>
        <v>6.7599999999999993E-2</v>
      </c>
      <c r="H214" s="10">
        <f t="shared" si="72"/>
        <v>1.7000000000000001E-2</v>
      </c>
      <c r="I214" s="49">
        <f t="shared" si="73"/>
        <v>8.4599999999999995E-2</v>
      </c>
      <c r="J214" s="11">
        <f t="shared" si="74"/>
        <v>20</v>
      </c>
      <c r="K214" s="11">
        <f>IF(B214&lt;&gt;"",IF($B$16=listy!$K$8,'RZĄDOWY PROGRAM'!$F$3*'RZĄDOWY PROGRAM'!$F$15,F213*$F$15),"")</f>
        <v>50</v>
      </c>
      <c r="L214" s="11">
        <f t="shared" si="81"/>
        <v>70</v>
      </c>
      <c r="N214" s="55">
        <f t="shared" si="94"/>
        <v>50406</v>
      </c>
      <c r="O214" s="8">
        <f t="shared" si="82"/>
        <v>187</v>
      </c>
      <c r="P214" s="8"/>
      <c r="Q214" s="33">
        <f>IF(O214&lt;&gt;"",ROUND(IF($F$11="raty równe",-PMT(W214/12,$F$4-O213+SUM($P$28:P214),T213,2),R214+S214),2),"")</f>
        <v>3461.17</v>
      </c>
      <c r="R214" s="11">
        <f>IF(O214&lt;&gt;"",IF($F$11="raty malejące",T213/($F$4-O213+SUM($P$28:P214)),IF(Q214-S214&gt;T213,T213,Q214-S214)),"")</f>
        <v>2239.0318100624563</v>
      </c>
      <c r="S214" s="11">
        <f t="shared" si="96"/>
        <v>1222.1381899375438</v>
      </c>
      <c r="T214" s="9">
        <f t="shared" si="83"/>
        <v>171113.90293285158</v>
      </c>
      <c r="U214" s="10">
        <f t="shared" si="75"/>
        <v>6.7599999999999993E-2</v>
      </c>
      <c r="V214" s="10">
        <f t="shared" si="76"/>
        <v>1.7000000000000001E-2</v>
      </c>
      <c r="W214" s="49">
        <f t="shared" si="84"/>
        <v>8.4599999999999995E-2</v>
      </c>
      <c r="X214" s="11">
        <f t="shared" si="77"/>
        <v>20</v>
      </c>
      <c r="Y214" s="11">
        <f>IF(O214&lt;&gt;"",IF($B$16=listy!$K$8,'RZĄDOWY PROGRAM'!$F$3*'RZĄDOWY PROGRAM'!$F$15,T213*$F$15),"")</f>
        <v>50</v>
      </c>
      <c r="Z214" s="11">
        <f t="shared" si="85"/>
        <v>70</v>
      </c>
      <c r="AB214" s="8">
        <f t="shared" si="86"/>
        <v>187</v>
      </c>
      <c r="AC214" s="8"/>
      <c r="AD214" s="33">
        <f>IF(AB214&lt;&gt;"",ROUND(IF($F$11="raty równe",-PMT(W214/12,$F$4-AB213+SUM($AC$28:AC214),AG213,2),AE214+AF214),2),"")</f>
        <v>3227.7</v>
      </c>
      <c r="AE214" s="11">
        <f>IF(AB214&lt;&gt;"",IF($F$11="raty malejące",AG213/($F$4-AB213+SUM($AC$28:AC213)),MIN(AD214-AF214,AG213)),"")</f>
        <v>2088.0039917398071</v>
      </c>
      <c r="AF214" s="11">
        <f t="shared" si="97"/>
        <v>1139.6960082601927</v>
      </c>
      <c r="AG214" s="9">
        <f t="shared" si="95"/>
        <v>159571.00427211734</v>
      </c>
      <c r="AH214" s="11"/>
      <c r="AI214" s="33">
        <f>IF(AB214&lt;&gt;"",ROUND(IF($F$11="raty równe",-PMT(W214/12,($F$4-AB213+SUM($AC$27:AC213)),AG213,2),AG213/($F$4-AB213+SUM($AC$27:AC213))+AG213*W214/12),2),"")</f>
        <v>3227.7</v>
      </c>
      <c r="AJ214" s="33">
        <f t="shared" si="87"/>
        <v>233.47000000000025</v>
      </c>
      <c r="AK214" s="33">
        <f t="shared" si="88"/>
        <v>57213.930118158896</v>
      </c>
      <c r="AL214" s="33">
        <f>IF(AB214&lt;&gt;"",AK214-SUM($AJ$28:AJ214),"")</f>
        <v>15228.060118158959</v>
      </c>
      <c r="AM214" s="11">
        <f t="shared" si="89"/>
        <v>20</v>
      </c>
      <c r="AN214" s="11">
        <f>IF(AB214&lt;&gt;"",IF($B$16=listy!$K$8,'RZĄDOWY PROGRAM'!$F$3*'RZĄDOWY PROGRAM'!$F$15,AG213*$F$15),"")</f>
        <v>50</v>
      </c>
      <c r="AO214" s="11">
        <f t="shared" si="90"/>
        <v>70</v>
      </c>
      <c r="AQ214" s="49">
        <f t="shared" si="78"/>
        <v>0.05</v>
      </c>
      <c r="AR214" s="18">
        <f t="shared" si="79"/>
        <v>4.0741237836483535E-3</v>
      </c>
      <c r="AS214" s="11">
        <f t="shared" si="91"/>
        <v>0</v>
      </c>
      <c r="AT214" s="11">
        <f t="shared" si="92"/>
        <v>50068.417438674544</v>
      </c>
      <c r="AU214" s="11">
        <f>IF(AB214&lt;&gt;"",AT214-SUM($AS$28:AS214),"")</f>
        <v>22379.017438674538</v>
      </c>
    </row>
    <row r="215" spans="1:47" ht="14.5" x14ac:dyDescent="0.35">
      <c r="A215" s="76">
        <f t="shared" si="93"/>
        <v>50437</v>
      </c>
      <c r="B215" s="8">
        <f t="shared" si="67"/>
        <v>188</v>
      </c>
      <c r="C215" s="11">
        <f t="shared" si="68"/>
        <v>3461.18</v>
      </c>
      <c r="D215" s="11">
        <f t="shared" si="69"/>
        <v>2385.1815508348936</v>
      </c>
      <c r="E215" s="11">
        <f t="shared" si="70"/>
        <v>1075.9984491651064</v>
      </c>
      <c r="F215" s="9">
        <f t="shared" si="80"/>
        <v>150238.7119477618</v>
      </c>
      <c r="G215" s="10">
        <f t="shared" si="71"/>
        <v>6.7599999999999993E-2</v>
      </c>
      <c r="H215" s="10">
        <f t="shared" si="72"/>
        <v>1.7000000000000001E-2</v>
      </c>
      <c r="I215" s="49">
        <f t="shared" si="73"/>
        <v>8.4599999999999995E-2</v>
      </c>
      <c r="J215" s="11">
        <f t="shared" si="74"/>
        <v>20</v>
      </c>
      <c r="K215" s="11">
        <f>IF(B215&lt;&gt;"",IF($B$16=listy!$K$8,'RZĄDOWY PROGRAM'!$F$3*'RZĄDOWY PROGRAM'!$F$15,F214*$F$15),"")</f>
        <v>50</v>
      </c>
      <c r="L215" s="11">
        <f t="shared" si="81"/>
        <v>70</v>
      </c>
      <c r="N215" s="55">
        <f t="shared" si="94"/>
        <v>50437</v>
      </c>
      <c r="O215" s="8">
        <f t="shared" si="82"/>
        <v>188</v>
      </c>
      <c r="P215" s="8"/>
      <c r="Q215" s="33">
        <f>IF(O215&lt;&gt;"",ROUND(IF($F$11="raty równe",-PMT(W215/12,$F$4-O214+SUM($P$28:P215),T214,2),R215+S215),2),"")</f>
        <v>3461.18</v>
      </c>
      <c r="R215" s="11">
        <f>IF(O215&lt;&gt;"",IF($F$11="raty malejące",T214/($F$4-O214+SUM($P$28:P215)),IF(Q215-S215&gt;T214,T214,Q215-S215)),"")</f>
        <v>2254.8269843233966</v>
      </c>
      <c r="S215" s="11">
        <f t="shared" si="96"/>
        <v>1206.3530156766035</v>
      </c>
      <c r="T215" s="9">
        <f t="shared" si="83"/>
        <v>168859.07594852819</v>
      </c>
      <c r="U215" s="10">
        <f t="shared" si="75"/>
        <v>6.7599999999999993E-2</v>
      </c>
      <c r="V215" s="10">
        <f t="shared" si="76"/>
        <v>1.7000000000000001E-2</v>
      </c>
      <c r="W215" s="49">
        <f t="shared" si="84"/>
        <v>8.4599999999999995E-2</v>
      </c>
      <c r="X215" s="11">
        <f t="shared" si="77"/>
        <v>20</v>
      </c>
      <c r="Y215" s="11">
        <f>IF(O215&lt;&gt;"",IF($B$16=listy!$K$8,'RZĄDOWY PROGRAM'!$F$3*'RZĄDOWY PROGRAM'!$F$15,T214*$F$15),"")</f>
        <v>50</v>
      </c>
      <c r="Z215" s="11">
        <f t="shared" si="85"/>
        <v>70</v>
      </c>
      <c r="AB215" s="8">
        <f t="shared" si="86"/>
        <v>188</v>
      </c>
      <c r="AC215" s="8"/>
      <c r="AD215" s="33">
        <f>IF(AB215&lt;&gt;"",ROUND(IF($F$11="raty równe",-PMT(W215/12,$F$4-AB214+SUM($AC$28:AC215),AG214,2),AE215+AF215),2),"")</f>
        <v>3227.69</v>
      </c>
      <c r="AE215" s="11">
        <f>IF(AB215&lt;&gt;"",IF($F$11="raty malejące",AG214/($F$4-AB214+SUM($AC$28:AC214)),MIN(AD215-AF215,AG214)),"")</f>
        <v>2102.7144198815731</v>
      </c>
      <c r="AF215" s="11">
        <f t="shared" si="97"/>
        <v>1124.9755801184272</v>
      </c>
      <c r="AG215" s="9">
        <f t="shared" si="95"/>
        <v>157468.28985223576</v>
      </c>
      <c r="AH215" s="11"/>
      <c r="AI215" s="33">
        <f>IF(AB215&lt;&gt;"",ROUND(IF($F$11="raty równe",-PMT(W215/12,($F$4-AB214+SUM($AC$27:AC214)),AG214,2),AG214/($F$4-AB214+SUM($AC$27:AC214))+AG214*W215/12),2),"")</f>
        <v>3227.69</v>
      </c>
      <c r="AJ215" s="33">
        <f t="shared" si="87"/>
        <v>233.48999999999978</v>
      </c>
      <c r="AK215" s="33">
        <f t="shared" si="88"/>
        <v>57636.22839125371</v>
      </c>
      <c r="AL215" s="33">
        <f>IF(AB215&lt;&gt;"",AK215-SUM($AJ$28:AJ215),"")</f>
        <v>15416.868391253774</v>
      </c>
      <c r="AM215" s="11">
        <f t="shared" si="89"/>
        <v>20</v>
      </c>
      <c r="AN215" s="11">
        <f>IF(AB215&lt;&gt;"",IF($B$16=listy!$K$8,'RZĄDOWY PROGRAM'!$F$3*'RZĄDOWY PROGRAM'!$F$15,AG214*$F$15),"")</f>
        <v>50</v>
      </c>
      <c r="AO215" s="11">
        <f t="shared" si="90"/>
        <v>70</v>
      </c>
      <c r="AQ215" s="49">
        <f t="shared" si="78"/>
        <v>0.05</v>
      </c>
      <c r="AR215" s="18">
        <f t="shared" si="79"/>
        <v>4.0741237836483535E-3</v>
      </c>
      <c r="AS215" s="11">
        <f t="shared" si="91"/>
        <v>0</v>
      </c>
      <c r="AT215" s="11">
        <f t="shared" si="92"/>
        <v>50233.645232214738</v>
      </c>
      <c r="AU215" s="11">
        <f>IF(AB215&lt;&gt;"",AT215-SUM($AS$28:AS215),"")</f>
        <v>22544.245232214733</v>
      </c>
    </row>
    <row r="216" spans="1:47" ht="14.5" x14ac:dyDescent="0.35">
      <c r="A216" s="76">
        <f t="shared" si="93"/>
        <v>50465</v>
      </c>
      <c r="B216" s="8">
        <f t="shared" si="67"/>
        <v>189</v>
      </c>
      <c r="C216" s="11">
        <f t="shared" si="68"/>
        <v>3461.17</v>
      </c>
      <c r="D216" s="11">
        <f t="shared" si="69"/>
        <v>2401.9870807682792</v>
      </c>
      <c r="E216" s="11">
        <f t="shared" si="70"/>
        <v>1059.1829192317207</v>
      </c>
      <c r="F216" s="9">
        <f t="shared" si="80"/>
        <v>147836.72486699352</v>
      </c>
      <c r="G216" s="10">
        <f t="shared" si="71"/>
        <v>6.7599999999999993E-2</v>
      </c>
      <c r="H216" s="10">
        <f t="shared" si="72"/>
        <v>1.7000000000000001E-2</v>
      </c>
      <c r="I216" s="49">
        <f t="shared" si="73"/>
        <v>8.4599999999999995E-2</v>
      </c>
      <c r="J216" s="11">
        <f t="shared" si="74"/>
        <v>20</v>
      </c>
      <c r="K216" s="11">
        <f>IF(B216&lt;&gt;"",IF($B$16=listy!$K$8,'RZĄDOWY PROGRAM'!$F$3*'RZĄDOWY PROGRAM'!$F$15,F215*$F$15),"")</f>
        <v>50</v>
      </c>
      <c r="L216" s="11">
        <f t="shared" si="81"/>
        <v>70</v>
      </c>
      <c r="N216" s="55">
        <f t="shared" si="94"/>
        <v>50465</v>
      </c>
      <c r="O216" s="8">
        <f t="shared" si="82"/>
        <v>189</v>
      </c>
      <c r="P216" s="8"/>
      <c r="Q216" s="33">
        <f>IF(O216&lt;&gt;"",ROUND(IF($F$11="raty równe",-PMT(W216/12,$F$4-O215+SUM($P$28:P216),T215,2),R216+S216),2),"")</f>
        <v>3461.17</v>
      </c>
      <c r="R216" s="11">
        <f>IF(O216&lt;&gt;"",IF($F$11="raty malejące",T215/($F$4-O215+SUM($P$28:P216)),IF(Q216-S216&gt;T215,T215,Q216-S216)),"")</f>
        <v>2270.7135145628763</v>
      </c>
      <c r="S216" s="11">
        <f t="shared" si="96"/>
        <v>1190.4564854371235</v>
      </c>
      <c r="T216" s="9">
        <f t="shared" si="83"/>
        <v>166588.36243396532</v>
      </c>
      <c r="U216" s="10">
        <f t="shared" si="75"/>
        <v>6.7599999999999993E-2</v>
      </c>
      <c r="V216" s="10">
        <f t="shared" si="76"/>
        <v>1.7000000000000001E-2</v>
      </c>
      <c r="W216" s="49">
        <f t="shared" si="84"/>
        <v>8.4599999999999995E-2</v>
      </c>
      <c r="X216" s="11">
        <f t="shared" si="77"/>
        <v>20</v>
      </c>
      <c r="Y216" s="11">
        <f>IF(O216&lt;&gt;"",IF($B$16=listy!$K$8,'RZĄDOWY PROGRAM'!$F$3*'RZĄDOWY PROGRAM'!$F$15,T215*$F$15),"")</f>
        <v>50</v>
      </c>
      <c r="Z216" s="11">
        <f t="shared" si="85"/>
        <v>70</v>
      </c>
      <c r="AB216" s="8">
        <f t="shared" si="86"/>
        <v>189</v>
      </c>
      <c r="AC216" s="8"/>
      <c r="AD216" s="33">
        <f>IF(AB216&lt;&gt;"",ROUND(IF($F$11="raty równe",-PMT(W216/12,$F$4-AB215+SUM($AC$28:AC216),AG215,2),AE216+AF216),2),"")</f>
        <v>3227.7</v>
      </c>
      <c r="AE216" s="11">
        <f>IF(AB216&lt;&gt;"",IF($F$11="raty malejące",AG215/($F$4-AB215+SUM($AC$28:AC215)),MIN(AD216-AF216,AG215)),"")</f>
        <v>2117.5485565417375</v>
      </c>
      <c r="AF216" s="11">
        <f t="shared" si="97"/>
        <v>1110.1514434582621</v>
      </c>
      <c r="AG216" s="9">
        <f t="shared" si="95"/>
        <v>155350.74129569402</v>
      </c>
      <c r="AH216" s="11"/>
      <c r="AI216" s="33">
        <f>IF(AB216&lt;&gt;"",ROUND(IF($F$11="raty równe",-PMT(W216/12,($F$4-AB215+SUM($AC$27:AC215)),AG215,2),AG215/($F$4-AB215+SUM($AC$27:AC215))+AG215*W216/12),2),"")</f>
        <v>3227.7</v>
      </c>
      <c r="AJ216" s="33">
        <f t="shared" si="87"/>
        <v>233.47000000000025</v>
      </c>
      <c r="AK216" s="33">
        <f t="shared" si="88"/>
        <v>58059.900265653472</v>
      </c>
      <c r="AL216" s="33">
        <f>IF(AB216&lt;&gt;"",AK216-SUM($AJ$28:AJ216),"")</f>
        <v>15607.070265653536</v>
      </c>
      <c r="AM216" s="11">
        <f t="shared" si="89"/>
        <v>20</v>
      </c>
      <c r="AN216" s="11">
        <f>IF(AB216&lt;&gt;"",IF($B$16=listy!$K$8,'RZĄDOWY PROGRAM'!$F$3*'RZĄDOWY PROGRAM'!$F$15,AG215*$F$15),"")</f>
        <v>50</v>
      </c>
      <c r="AO216" s="11">
        <f t="shared" si="90"/>
        <v>70</v>
      </c>
      <c r="AQ216" s="49">
        <f t="shared" si="78"/>
        <v>0.05</v>
      </c>
      <c r="AR216" s="18">
        <f t="shared" si="79"/>
        <v>4.0741237836483535E-3</v>
      </c>
      <c r="AS216" s="11">
        <f t="shared" si="91"/>
        <v>0</v>
      </c>
      <c r="AT216" s="11">
        <f t="shared" si="92"/>
        <v>50399.41828412647</v>
      </c>
      <c r="AU216" s="11">
        <f>IF(AB216&lt;&gt;"",AT216-SUM($AS$28:AS216),"")</f>
        <v>22710.018284126465</v>
      </c>
    </row>
    <row r="217" spans="1:47" ht="14.5" x14ac:dyDescent="0.35">
      <c r="A217" s="76">
        <f t="shared" si="93"/>
        <v>50496</v>
      </c>
      <c r="B217" s="8">
        <f t="shared" si="67"/>
        <v>190</v>
      </c>
      <c r="C217" s="11">
        <f t="shared" si="68"/>
        <v>3461.18</v>
      </c>
      <c r="D217" s="11">
        <f t="shared" si="69"/>
        <v>2418.9310896876959</v>
      </c>
      <c r="E217" s="11">
        <f t="shared" si="70"/>
        <v>1042.2489103123041</v>
      </c>
      <c r="F217" s="9">
        <f t="shared" si="80"/>
        <v>145417.79377730584</v>
      </c>
      <c r="G217" s="10">
        <f t="shared" si="71"/>
        <v>6.7599999999999993E-2</v>
      </c>
      <c r="H217" s="10">
        <f t="shared" si="72"/>
        <v>1.7000000000000001E-2</v>
      </c>
      <c r="I217" s="49">
        <f t="shared" si="73"/>
        <v>8.4599999999999995E-2</v>
      </c>
      <c r="J217" s="11">
        <f t="shared" si="74"/>
        <v>20</v>
      </c>
      <c r="K217" s="11">
        <f>IF(B217&lt;&gt;"",IF($B$16=listy!$K$8,'RZĄDOWY PROGRAM'!$F$3*'RZĄDOWY PROGRAM'!$F$15,F216*$F$15),"")</f>
        <v>50</v>
      </c>
      <c r="L217" s="11">
        <f t="shared" si="81"/>
        <v>70</v>
      </c>
      <c r="N217" s="55">
        <f t="shared" si="94"/>
        <v>50496</v>
      </c>
      <c r="O217" s="8">
        <f t="shared" si="82"/>
        <v>190</v>
      </c>
      <c r="P217" s="8"/>
      <c r="Q217" s="33">
        <f>IF(O217&lt;&gt;"",ROUND(IF($F$11="raty równe",-PMT(W217/12,$F$4-O216+SUM($P$28:P217),T216,2),R217+S217),2),"")</f>
        <v>3461.18</v>
      </c>
      <c r="R217" s="11">
        <f>IF(O217&lt;&gt;"",IF($F$11="raty malejące",T216/($F$4-O216+SUM($P$28:P217)),IF(Q217-S217&gt;T216,T216,Q217-S217)),"")</f>
        <v>2286.7320448405444</v>
      </c>
      <c r="S217" s="11">
        <f t="shared" si="96"/>
        <v>1174.4479551594554</v>
      </c>
      <c r="T217" s="9">
        <f t="shared" si="83"/>
        <v>164301.63038912477</v>
      </c>
      <c r="U217" s="10">
        <f t="shared" si="75"/>
        <v>6.7599999999999993E-2</v>
      </c>
      <c r="V217" s="10">
        <f t="shared" si="76"/>
        <v>1.7000000000000001E-2</v>
      </c>
      <c r="W217" s="49">
        <f t="shared" si="84"/>
        <v>8.4599999999999995E-2</v>
      </c>
      <c r="X217" s="11">
        <f t="shared" si="77"/>
        <v>20</v>
      </c>
      <c r="Y217" s="11">
        <f>IF(O217&lt;&gt;"",IF($B$16=listy!$K$8,'RZĄDOWY PROGRAM'!$F$3*'RZĄDOWY PROGRAM'!$F$15,T216*$F$15),"")</f>
        <v>50</v>
      </c>
      <c r="Z217" s="11">
        <f t="shared" si="85"/>
        <v>70</v>
      </c>
      <c r="AB217" s="8">
        <f t="shared" si="86"/>
        <v>190</v>
      </c>
      <c r="AC217" s="8"/>
      <c r="AD217" s="33">
        <f>IF(AB217&lt;&gt;"",ROUND(IF($F$11="raty równe",-PMT(W217/12,$F$4-AB216+SUM($AC$28:AC217),AG216,2),AE217+AF217),2),"")</f>
        <v>3227.69</v>
      </c>
      <c r="AE217" s="11">
        <f>IF(AB217&lt;&gt;"",IF($F$11="raty malejące",AG216/($F$4-AB216+SUM($AC$28:AC216)),MIN(AD217-AF217,AG216)),"")</f>
        <v>2132.4672738653571</v>
      </c>
      <c r="AF217" s="11">
        <f t="shared" si="97"/>
        <v>1095.2227261346427</v>
      </c>
      <c r="AG217" s="9">
        <f t="shared" si="95"/>
        <v>153218.27402182866</v>
      </c>
      <c r="AH217" s="11"/>
      <c r="AI217" s="33">
        <f>IF(AB217&lt;&gt;"",ROUND(IF($F$11="raty równe",-PMT(W217/12,($F$4-AB216+SUM($AC$27:AC216)),AG216,2),AG216/($F$4-AB216+SUM($AC$27:AC216))+AG216*W217/12),2),"")</f>
        <v>3227.69</v>
      </c>
      <c r="AJ217" s="33">
        <f t="shared" si="87"/>
        <v>233.48999999999978</v>
      </c>
      <c r="AK217" s="33">
        <f t="shared" si="88"/>
        <v>58484.990274297794</v>
      </c>
      <c r="AL217" s="33">
        <f>IF(AB217&lt;&gt;"",AK217-SUM($AJ$28:AJ217),"")</f>
        <v>15798.67027429786</v>
      </c>
      <c r="AM217" s="11">
        <f t="shared" si="89"/>
        <v>20</v>
      </c>
      <c r="AN217" s="11">
        <f>IF(AB217&lt;&gt;"",IF($B$16=listy!$K$8,'RZĄDOWY PROGRAM'!$F$3*'RZĄDOWY PROGRAM'!$F$15,AG216*$F$15),"")</f>
        <v>50</v>
      </c>
      <c r="AO217" s="11">
        <f t="shared" si="90"/>
        <v>70</v>
      </c>
      <c r="AQ217" s="49">
        <f t="shared" si="78"/>
        <v>0.05</v>
      </c>
      <c r="AR217" s="18">
        <f t="shared" si="79"/>
        <v>4.0741237836483535E-3</v>
      </c>
      <c r="AS217" s="11">
        <f t="shared" si="91"/>
        <v>0</v>
      </c>
      <c r="AT217" s="11">
        <f t="shared" si="92"/>
        <v>50565.738393784326</v>
      </c>
      <c r="AU217" s="11">
        <f>IF(AB217&lt;&gt;"",AT217-SUM($AS$28:AS217),"")</f>
        <v>22876.338393784321</v>
      </c>
    </row>
    <row r="218" spans="1:47" ht="14.5" x14ac:dyDescent="0.35">
      <c r="A218" s="76">
        <f t="shared" si="93"/>
        <v>50526</v>
      </c>
      <c r="B218" s="8">
        <f t="shared" si="67"/>
        <v>191</v>
      </c>
      <c r="C218" s="11">
        <f t="shared" si="68"/>
        <v>3461.17</v>
      </c>
      <c r="D218" s="11">
        <f t="shared" si="69"/>
        <v>2435.974553869994</v>
      </c>
      <c r="E218" s="11">
        <f t="shared" si="70"/>
        <v>1025.1954461300061</v>
      </c>
      <c r="F218" s="9">
        <f t="shared" si="80"/>
        <v>142981.81922343583</v>
      </c>
      <c r="G218" s="10">
        <f t="shared" si="71"/>
        <v>6.7599999999999993E-2</v>
      </c>
      <c r="H218" s="10">
        <f t="shared" si="72"/>
        <v>1.7000000000000001E-2</v>
      </c>
      <c r="I218" s="49">
        <f t="shared" si="73"/>
        <v>8.4599999999999995E-2</v>
      </c>
      <c r="J218" s="11">
        <f t="shared" si="74"/>
        <v>20</v>
      </c>
      <c r="K218" s="11">
        <f>IF(B218&lt;&gt;"",IF($B$16=listy!$K$8,'RZĄDOWY PROGRAM'!$F$3*'RZĄDOWY PROGRAM'!$F$15,F217*$F$15),"")</f>
        <v>50</v>
      </c>
      <c r="L218" s="11">
        <f t="shared" si="81"/>
        <v>70</v>
      </c>
      <c r="N218" s="55">
        <f t="shared" si="94"/>
        <v>50526</v>
      </c>
      <c r="O218" s="8">
        <f t="shared" si="82"/>
        <v>191</v>
      </c>
      <c r="P218" s="8"/>
      <c r="Q218" s="33">
        <f>IF(O218&lt;&gt;"",ROUND(IF($F$11="raty równe",-PMT(W218/12,$F$4-O217+SUM($P$28:P218),T217,2),R218+S218),2),"")</f>
        <v>3461.17</v>
      </c>
      <c r="R218" s="11">
        <f>IF(O218&lt;&gt;"",IF($F$11="raty malejące",T217/($F$4-O217+SUM($P$28:P218)),IF(Q218-S218&gt;T217,T217,Q218-S218)),"")</f>
        <v>2302.8435057566703</v>
      </c>
      <c r="S218" s="11">
        <f t="shared" si="96"/>
        <v>1158.3264942433295</v>
      </c>
      <c r="T218" s="9">
        <f t="shared" si="83"/>
        <v>161998.7868833681</v>
      </c>
      <c r="U218" s="10">
        <f t="shared" si="75"/>
        <v>6.7599999999999993E-2</v>
      </c>
      <c r="V218" s="10">
        <f t="shared" si="76"/>
        <v>1.7000000000000001E-2</v>
      </c>
      <c r="W218" s="49">
        <f t="shared" si="84"/>
        <v>8.4599999999999995E-2</v>
      </c>
      <c r="X218" s="11">
        <f t="shared" si="77"/>
        <v>20</v>
      </c>
      <c r="Y218" s="11">
        <f>IF(O218&lt;&gt;"",IF($B$16=listy!$K$8,'RZĄDOWY PROGRAM'!$F$3*'RZĄDOWY PROGRAM'!$F$15,T217*$F$15),"")</f>
        <v>50</v>
      </c>
      <c r="Z218" s="11">
        <f t="shared" si="85"/>
        <v>70</v>
      </c>
      <c r="AB218" s="8">
        <f t="shared" si="86"/>
        <v>191</v>
      </c>
      <c r="AC218" s="8"/>
      <c r="AD218" s="33">
        <f>IF(AB218&lt;&gt;"",ROUND(IF($F$11="raty równe",-PMT(W218/12,$F$4-AB217+SUM($AC$28:AC218),AG217,2),AE218+AF218),2),"")</f>
        <v>3227.7</v>
      </c>
      <c r="AE218" s="11">
        <f>IF(AB218&lt;&gt;"",IF($F$11="raty malejące",AG217/($F$4-AB217+SUM($AC$28:AC217)),MIN(AD218-AF218,AG217)),"")</f>
        <v>2147.5111681461076</v>
      </c>
      <c r="AF218" s="11">
        <f t="shared" si="97"/>
        <v>1080.188831853892</v>
      </c>
      <c r="AG218" s="9">
        <f t="shared" si="95"/>
        <v>151070.76285368257</v>
      </c>
      <c r="AH218" s="11"/>
      <c r="AI218" s="33">
        <f>IF(AB218&lt;&gt;"",ROUND(IF($F$11="raty równe",-PMT(W218/12,($F$4-AB217+SUM($AC$27:AC217)),AG217,2),AG217/($F$4-AB217+SUM($AC$27:AC217))+AG217*W218/12),2),"")</f>
        <v>3227.7</v>
      </c>
      <c r="AJ218" s="33">
        <f t="shared" si="87"/>
        <v>233.47000000000025</v>
      </c>
      <c r="AK218" s="33">
        <f t="shared" si="88"/>
        <v>58911.463097086795</v>
      </c>
      <c r="AL218" s="33">
        <f>IF(AB218&lt;&gt;"",AK218-SUM($AJ$28:AJ218),"")</f>
        <v>15991.673097086859</v>
      </c>
      <c r="AM218" s="11">
        <f t="shared" si="89"/>
        <v>20</v>
      </c>
      <c r="AN218" s="11">
        <f>IF(AB218&lt;&gt;"",IF($B$16=listy!$K$8,'RZĄDOWY PROGRAM'!$F$3*'RZĄDOWY PROGRAM'!$F$15,AG217*$F$15),"")</f>
        <v>50</v>
      </c>
      <c r="AO218" s="11">
        <f t="shared" si="90"/>
        <v>70</v>
      </c>
      <c r="AQ218" s="49">
        <f t="shared" si="78"/>
        <v>0.05</v>
      </c>
      <c r="AR218" s="18">
        <f t="shared" si="79"/>
        <v>4.0741237836483535E-3</v>
      </c>
      <c r="AS218" s="11">
        <f t="shared" si="91"/>
        <v>0</v>
      </c>
      <c r="AT218" s="11">
        <f t="shared" si="92"/>
        <v>50732.607366500888</v>
      </c>
      <c r="AU218" s="11">
        <f>IF(AB218&lt;&gt;"",AT218-SUM($AS$28:AS218),"")</f>
        <v>23043.207366500883</v>
      </c>
    </row>
    <row r="219" spans="1:47" ht="14.5" x14ac:dyDescent="0.35">
      <c r="A219" s="76">
        <f t="shared" si="93"/>
        <v>50557</v>
      </c>
      <c r="B219" s="8">
        <f t="shared" si="67"/>
        <v>192</v>
      </c>
      <c r="C219" s="11">
        <f t="shared" si="68"/>
        <v>3461.18</v>
      </c>
      <c r="D219" s="11">
        <f t="shared" si="69"/>
        <v>2453.1581744747773</v>
      </c>
      <c r="E219" s="11">
        <f t="shared" si="70"/>
        <v>1008.0218255252225</v>
      </c>
      <c r="F219" s="9">
        <f t="shared" si="80"/>
        <v>140528.66104896105</v>
      </c>
      <c r="G219" s="10">
        <f t="shared" si="71"/>
        <v>6.7599999999999993E-2</v>
      </c>
      <c r="H219" s="10">
        <f t="shared" si="72"/>
        <v>1.7000000000000001E-2</v>
      </c>
      <c r="I219" s="49">
        <f t="shared" si="73"/>
        <v>8.4599999999999995E-2</v>
      </c>
      <c r="J219" s="11">
        <f t="shared" si="74"/>
        <v>20</v>
      </c>
      <c r="K219" s="11">
        <f>IF(B219&lt;&gt;"",IF($B$16=listy!$K$8,'RZĄDOWY PROGRAM'!$F$3*'RZĄDOWY PROGRAM'!$F$15,F218*$F$15),"")</f>
        <v>50</v>
      </c>
      <c r="L219" s="11">
        <f t="shared" si="81"/>
        <v>70</v>
      </c>
      <c r="N219" s="55">
        <f t="shared" si="94"/>
        <v>50557</v>
      </c>
      <c r="O219" s="8">
        <f t="shared" si="82"/>
        <v>192</v>
      </c>
      <c r="P219" s="8"/>
      <c r="Q219" s="33">
        <f>IF(O219&lt;&gt;"",ROUND(IF($F$11="raty równe",-PMT(W219/12,$F$4-O218+SUM($P$28:P219),T218,2),R219+S219),2),"")</f>
        <v>3461.18</v>
      </c>
      <c r="R219" s="11">
        <f>IF(O219&lt;&gt;"",IF($F$11="raty malejące",T218/($F$4-O218+SUM($P$28:P219)),IF(Q219-S219&gt;T218,T218,Q219-S219)),"")</f>
        <v>2319.0885524722548</v>
      </c>
      <c r="S219" s="11">
        <f t="shared" si="96"/>
        <v>1142.091447527745</v>
      </c>
      <c r="T219" s="9">
        <f t="shared" si="83"/>
        <v>159679.69833089583</v>
      </c>
      <c r="U219" s="10">
        <f t="shared" si="75"/>
        <v>6.7599999999999993E-2</v>
      </c>
      <c r="V219" s="10">
        <f t="shared" si="76"/>
        <v>1.7000000000000001E-2</v>
      </c>
      <c r="W219" s="49">
        <f t="shared" si="84"/>
        <v>8.4599999999999995E-2</v>
      </c>
      <c r="X219" s="11">
        <f t="shared" si="77"/>
        <v>20</v>
      </c>
      <c r="Y219" s="11">
        <f>IF(O219&lt;&gt;"",IF($B$16=listy!$K$8,'RZĄDOWY PROGRAM'!$F$3*'RZĄDOWY PROGRAM'!$F$15,T218*$F$15),"")</f>
        <v>50</v>
      </c>
      <c r="Z219" s="11">
        <f t="shared" si="85"/>
        <v>70</v>
      </c>
      <c r="AB219" s="8">
        <f t="shared" si="86"/>
        <v>192</v>
      </c>
      <c r="AC219" s="8"/>
      <c r="AD219" s="33">
        <f>IF(AB219&lt;&gt;"",ROUND(IF($F$11="raty równe",-PMT(W219/12,$F$4-AB218+SUM($AC$28:AC219),AG218,2),AE219+AF219),2),"")</f>
        <v>3227.69</v>
      </c>
      <c r="AE219" s="11">
        <f>IF(AB219&lt;&gt;"",IF($F$11="raty malejące",AG218/($F$4-AB218+SUM($AC$28:AC218)),MIN(AD219-AF219,AG218)),"")</f>
        <v>2162.6411218815383</v>
      </c>
      <c r="AF219" s="11">
        <f t="shared" si="97"/>
        <v>1065.048878118462</v>
      </c>
      <c r="AG219" s="9">
        <f t="shared" si="95"/>
        <v>148908.12173180102</v>
      </c>
      <c r="AH219" s="11"/>
      <c r="AI219" s="33">
        <f>IF(AB219&lt;&gt;"",ROUND(IF($F$11="raty równe",-PMT(W219/12,($F$4-AB218+SUM($AC$27:AC218)),AG218,2),AG218/($F$4-AB218+SUM($AC$27:AC218))+AG218*W219/12),2),"")</f>
        <v>3227.69</v>
      </c>
      <c r="AJ219" s="33">
        <f t="shared" si="87"/>
        <v>233.48999999999978</v>
      </c>
      <c r="AK219" s="33">
        <f t="shared" si="88"/>
        <v>59339.363297362819</v>
      </c>
      <c r="AL219" s="33">
        <f>IF(AB219&lt;&gt;"",AK219-SUM($AJ$28:AJ219),"")</f>
        <v>16186.083297362886</v>
      </c>
      <c r="AM219" s="11">
        <f t="shared" si="89"/>
        <v>20</v>
      </c>
      <c r="AN219" s="11">
        <f>IF(AB219&lt;&gt;"",IF($B$16=listy!$K$8,'RZĄDOWY PROGRAM'!$F$3*'RZĄDOWY PROGRAM'!$F$15,AG218*$F$15),"")</f>
        <v>50</v>
      </c>
      <c r="AO219" s="11">
        <f t="shared" si="90"/>
        <v>70</v>
      </c>
      <c r="AQ219" s="49">
        <f t="shared" si="78"/>
        <v>0.05</v>
      </c>
      <c r="AR219" s="18">
        <f t="shared" si="79"/>
        <v>4.0741237836483535E-3</v>
      </c>
      <c r="AS219" s="11">
        <f t="shared" si="91"/>
        <v>0</v>
      </c>
      <c r="AT219" s="11">
        <f t="shared" si="92"/>
        <v>50900.027013546358</v>
      </c>
      <c r="AU219" s="11">
        <f>IF(AB219&lt;&gt;"",AT219-SUM($AS$28:AS219),"")</f>
        <v>23210.627013546353</v>
      </c>
    </row>
    <row r="220" spans="1:47" ht="14.5" x14ac:dyDescent="0.35">
      <c r="A220" s="76">
        <f t="shared" si="93"/>
        <v>50587</v>
      </c>
      <c r="B220" s="8">
        <f t="shared" ref="B220:B283" si="98">IFERROR(IF(B219+1&lt;=$F$4,B219+1,""),"")</f>
        <v>193</v>
      </c>
      <c r="C220" s="11">
        <f t="shared" ref="C220:C283" si="99">IF(B220&lt;&gt;"",ROUND(IF($F$11="raty równe",-PMT(I220/12,$F$4-B219,F219,2),D220+E220),2),"")</f>
        <v>3461.17</v>
      </c>
      <c r="D220" s="11">
        <f t="shared" ref="D220:D283" si="100">IF(B220&lt;&gt;"",IF($F$11="raty malejące",F219/($F$4-B219),IF(C220-E220&gt;F219,F219,C220-E220)),"")</f>
        <v>2470.4429396048249</v>
      </c>
      <c r="E220" s="11">
        <f t="shared" ref="E220:E283" si="101">IF(B220&lt;&gt;"",F219*I220/12,"")</f>
        <v>990.72706039517527</v>
      </c>
      <c r="F220" s="9">
        <f t="shared" si="80"/>
        <v>138058.21810935621</v>
      </c>
      <c r="G220" s="10">
        <f t="shared" ref="G220:G283" si="102">IF(B220&lt;&gt;"",$F$5,"")</f>
        <v>6.7599999999999993E-2</v>
      </c>
      <c r="H220" s="10">
        <f t="shared" ref="H220:H283" si="103">IF(B220&lt;&gt;"",$F$6,"")</f>
        <v>1.7000000000000001E-2</v>
      </c>
      <c r="I220" s="49">
        <f t="shared" ref="I220:I283" si="104">IF($B220&lt;&gt;"",IF(AND($F$8="TAK",$B220&lt;=$F$9),$F$10,G220+H220),"")</f>
        <v>8.4599999999999995E-2</v>
      </c>
      <c r="J220" s="11">
        <f t="shared" ref="J220:J283" si="105">IF(B220&lt;=$F$4,$F$14,"")</f>
        <v>20</v>
      </c>
      <c r="K220" s="11">
        <f>IF(B220&lt;&gt;"",IF($B$16=listy!$K$8,'RZĄDOWY PROGRAM'!$F$3*'RZĄDOWY PROGRAM'!$F$15,F219*$F$15),"")</f>
        <v>50</v>
      </c>
      <c r="L220" s="11">
        <f t="shared" si="81"/>
        <v>70</v>
      </c>
      <c r="N220" s="55">
        <f t="shared" si="94"/>
        <v>50587</v>
      </c>
      <c r="O220" s="8">
        <f t="shared" si="82"/>
        <v>193</v>
      </c>
      <c r="P220" s="8"/>
      <c r="Q220" s="33">
        <f>IF(O220&lt;&gt;"",ROUND(IF($F$11="raty równe",-PMT(W220/12,$F$4-O219+SUM($P$28:P220),T219,2),R220+S220),2),"")</f>
        <v>3461.17</v>
      </c>
      <c r="R220" s="11">
        <f>IF(O220&lt;&gt;"",IF($F$11="raty malejące",T219/($F$4-O219+SUM($P$28:P220)),IF(Q220-S220&gt;T219,T219,Q220-S220)),"")</f>
        <v>2335.4281267671845</v>
      </c>
      <c r="S220" s="11">
        <f t="shared" si="96"/>
        <v>1125.7418732328156</v>
      </c>
      <c r="T220" s="9">
        <f t="shared" si="83"/>
        <v>157344.27020412864</v>
      </c>
      <c r="U220" s="10">
        <f t="shared" ref="U220:U266" si="106">IF(O220&lt;&gt;"",$F$5,"")</f>
        <v>6.7599999999999993E-2</v>
      </c>
      <c r="V220" s="10">
        <f t="shared" ref="V220:V266" si="107">IF(O220&lt;&gt;"",$F$6,"")</f>
        <v>1.7000000000000001E-2</v>
      </c>
      <c r="W220" s="49">
        <f t="shared" si="84"/>
        <v>8.4599999999999995E-2</v>
      </c>
      <c r="X220" s="11">
        <f t="shared" ref="X220:X275" si="108">IF(O220&lt;&gt;"",$F$14,"")</f>
        <v>20</v>
      </c>
      <c r="Y220" s="11">
        <f>IF(O220&lt;&gt;"",IF($B$16=listy!$K$8,'RZĄDOWY PROGRAM'!$F$3*'RZĄDOWY PROGRAM'!$F$15,T219*$F$15),"")</f>
        <v>50</v>
      </c>
      <c r="Z220" s="11">
        <f t="shared" si="85"/>
        <v>70</v>
      </c>
      <c r="AB220" s="8">
        <f t="shared" si="86"/>
        <v>193</v>
      </c>
      <c r="AC220" s="8"/>
      <c r="AD220" s="33">
        <f>IF(AB220&lt;&gt;"",ROUND(IF($F$11="raty równe",-PMT(W220/12,$F$4-AB219+SUM($AC$28:AC220),AG219,2),AE220+AF220),2),"")</f>
        <v>3227.7</v>
      </c>
      <c r="AE220" s="11">
        <f>IF(AB220&lt;&gt;"",IF($F$11="raty malejące",AG219/($F$4-AB219+SUM($AC$28:AC219)),MIN(AD220-AF220,AG219)),"")</f>
        <v>2177.8977417908027</v>
      </c>
      <c r="AF220" s="11">
        <f t="shared" si="97"/>
        <v>1049.8022582091971</v>
      </c>
      <c r="AG220" s="9">
        <f t="shared" si="95"/>
        <v>146730.22399001021</v>
      </c>
      <c r="AH220" s="11"/>
      <c r="AI220" s="33">
        <f>IF(AB220&lt;&gt;"",ROUND(IF($F$11="raty równe",-PMT(W220/12,($F$4-AB219+SUM($AC$27:AC219)),AG219,2),AG219/($F$4-AB219+SUM($AC$27:AC219))+AG219*W220/12),2),"")</f>
        <v>3227.7</v>
      </c>
      <c r="AJ220" s="33">
        <f t="shared" si="87"/>
        <v>233.47000000000025</v>
      </c>
      <c r="AK220" s="33">
        <f t="shared" si="88"/>
        <v>59768.65558552905</v>
      </c>
      <c r="AL220" s="33">
        <f>IF(AB220&lt;&gt;"",AK220-SUM($AJ$28:AJ220),"")</f>
        <v>16381.905585529115</v>
      </c>
      <c r="AM220" s="11">
        <f t="shared" si="89"/>
        <v>20</v>
      </c>
      <c r="AN220" s="11">
        <f>IF(AB220&lt;&gt;"",IF($B$16=listy!$K$8,'RZĄDOWY PROGRAM'!$F$3*'RZĄDOWY PROGRAM'!$F$15,AG219*$F$15),"")</f>
        <v>50</v>
      </c>
      <c r="AO220" s="11">
        <f t="shared" si="90"/>
        <v>70</v>
      </c>
      <c r="AQ220" s="49">
        <f t="shared" ref="AQ220:AQ283" si="109">IF(AB220&lt;&gt;"",$F$19,"")</f>
        <v>0.05</v>
      </c>
      <c r="AR220" s="18">
        <f t="shared" ref="AR220:AR283" si="110">IF(AB220&lt;&gt;"",(1+AQ220)^(1/12)-1,"")</f>
        <v>4.0741237836483535E-3</v>
      </c>
      <c r="AS220" s="11">
        <f t="shared" si="91"/>
        <v>0</v>
      </c>
      <c r="AT220" s="11">
        <f t="shared" si="92"/>
        <v>51067.999152168188</v>
      </c>
      <c r="AU220" s="11">
        <f>IF(AB220&lt;&gt;"",AT220-SUM($AS$28:AS220),"")</f>
        <v>23378.599152168183</v>
      </c>
    </row>
    <row r="221" spans="1:47" ht="14.5" x14ac:dyDescent="0.35">
      <c r="A221" s="76">
        <f t="shared" si="93"/>
        <v>50618</v>
      </c>
      <c r="B221" s="8">
        <f t="shared" si="98"/>
        <v>194</v>
      </c>
      <c r="C221" s="11">
        <f t="shared" si="99"/>
        <v>3461.18</v>
      </c>
      <c r="D221" s="11">
        <f t="shared" si="100"/>
        <v>2487.8695623290387</v>
      </c>
      <c r="E221" s="11">
        <f t="shared" si="101"/>
        <v>973.31043767096116</v>
      </c>
      <c r="F221" s="9">
        <f t="shared" ref="F221:F284" si="111">IF(B221&lt;&gt;"",F220-D221,"")</f>
        <v>135570.34854702718</v>
      </c>
      <c r="G221" s="10">
        <f t="shared" si="102"/>
        <v>6.7599999999999993E-2</v>
      </c>
      <c r="H221" s="10">
        <f t="shared" si="103"/>
        <v>1.7000000000000001E-2</v>
      </c>
      <c r="I221" s="49">
        <f t="shared" si="104"/>
        <v>8.4599999999999995E-2</v>
      </c>
      <c r="J221" s="11">
        <f t="shared" si="105"/>
        <v>20</v>
      </c>
      <c r="K221" s="11">
        <f>IF(B221&lt;&gt;"",IF($B$16=listy!$K$8,'RZĄDOWY PROGRAM'!$F$3*'RZĄDOWY PROGRAM'!$F$15,F220*$F$15),"")</f>
        <v>50</v>
      </c>
      <c r="L221" s="11">
        <f t="shared" ref="L221:L284" si="112">IF(B221&lt;&gt;"",J221+K221,"")</f>
        <v>70</v>
      </c>
      <c r="N221" s="55">
        <f t="shared" si="94"/>
        <v>50618</v>
      </c>
      <c r="O221" s="8">
        <f t="shared" ref="O221:O284" si="113">IFERROR(IF(O220+1&lt;=$F$4+8,O220+1,""),"")</f>
        <v>194</v>
      </c>
      <c r="P221" s="8"/>
      <c r="Q221" s="33">
        <f>IF(O221&lt;&gt;"",ROUND(IF($F$11="raty równe",-PMT(W221/12,$F$4-O220+SUM($P$28:P221),T220,2),R221+S221),2),"")</f>
        <v>3461.18</v>
      </c>
      <c r="R221" s="11">
        <f>IF(O221&lt;&gt;"",IF($F$11="raty malejące",T220/($F$4-O220+SUM($P$28:P221)),IF(Q221-S221&gt;T220,T220,Q221-S221)),"")</f>
        <v>2351.9028950608927</v>
      </c>
      <c r="S221" s="11">
        <f t="shared" si="96"/>
        <v>1109.2771049391069</v>
      </c>
      <c r="T221" s="9">
        <f t="shared" ref="T221:T266" si="114">IF(O221&lt;&gt;"",T220-R221,"")</f>
        <v>154992.36730906775</v>
      </c>
      <c r="U221" s="10">
        <f t="shared" si="106"/>
        <v>6.7599999999999993E-2</v>
      </c>
      <c r="V221" s="10">
        <f t="shared" si="107"/>
        <v>1.7000000000000001E-2</v>
      </c>
      <c r="W221" s="49">
        <f t="shared" ref="W221:W275" si="115">IF(O221&lt;&gt;"",IF(AND($F$8="TAK",$B221&lt;=$F$9),$F$10,U221+V221),"")</f>
        <v>8.4599999999999995E-2</v>
      </c>
      <c r="X221" s="11">
        <f t="shared" si="108"/>
        <v>20</v>
      </c>
      <c r="Y221" s="11">
        <f>IF(O221&lt;&gt;"",IF($B$16=listy!$K$8,'RZĄDOWY PROGRAM'!$F$3*'RZĄDOWY PROGRAM'!$F$15,T220*$F$15),"")</f>
        <v>50</v>
      </c>
      <c r="Z221" s="11">
        <f t="shared" ref="Z221:Z266" si="116">IF(O221&lt;&gt;"",X221+Y221,"")</f>
        <v>70</v>
      </c>
      <c r="AB221" s="8">
        <f t="shared" ref="AB221:AB284" si="117">IFERROR(IF(AG220&gt;0,AB220+1,""),"")</f>
        <v>194</v>
      </c>
      <c r="AC221" s="8"/>
      <c r="AD221" s="33">
        <f>IF(AB221&lt;&gt;"",ROUND(IF($F$11="raty równe",-PMT(W221/12,$F$4-AB220+SUM($AC$28:AC221),AG220,2),AE221+AF221),2),"")</f>
        <v>3227.69</v>
      </c>
      <c r="AE221" s="11">
        <f>IF(AB221&lt;&gt;"",IF($F$11="raty malejące",AG220/($F$4-AB220+SUM($AC$28:AC220)),MIN(AD221-AF221,AG220)),"")</f>
        <v>2193.2419208704277</v>
      </c>
      <c r="AF221" s="11">
        <f t="shared" si="97"/>
        <v>1034.4480791295721</v>
      </c>
      <c r="AG221" s="9">
        <f t="shared" si="95"/>
        <v>144536.98206913978</v>
      </c>
      <c r="AH221" s="11"/>
      <c r="AI221" s="33">
        <f>IF(AB221&lt;&gt;"",ROUND(IF($F$11="raty równe",-PMT(W221/12,($F$4-AB220+SUM($AC$27:AC220)),AG220,2),AG220/($F$4-AB220+SUM($AC$27:AC220))+AG220*W221/12),2),"")</f>
        <v>3227.69</v>
      </c>
      <c r="AJ221" s="33">
        <f t="shared" ref="AJ221:AJ284" si="118">IF(AB221&lt;&gt;"",IF(B221&lt;&gt;"",C221-AD221-AH221,-(AD221+AH221)),"")</f>
        <v>233.48999999999978</v>
      </c>
      <c r="AK221" s="33">
        <f t="shared" ref="AK221:AK284" si="119">IF(AB221&lt;&gt;"",IF($F$21="co miesiąc",AK220*(1+(1-$F$20)*AR221)+AJ221,(AK220*(1+AR221)+AJ221)),"")</f>
        <v>60199.384555531578</v>
      </c>
      <c r="AL221" s="33">
        <f>IF(AB221&lt;&gt;"",AK221-SUM($AJ$28:AJ221),"")</f>
        <v>16579.144555531646</v>
      </c>
      <c r="AM221" s="11">
        <f t="shared" ref="AM221:AM284" si="120">IF(AB221&lt;&gt;"",$F$14,"")</f>
        <v>20</v>
      </c>
      <c r="AN221" s="11">
        <f>IF(AB221&lt;&gt;"",IF($B$16=listy!$K$8,'RZĄDOWY PROGRAM'!$F$3*'RZĄDOWY PROGRAM'!$F$15,AG220*$F$15),"")</f>
        <v>50</v>
      </c>
      <c r="AO221" s="11">
        <f t="shared" ref="AO221:AO284" si="121">IF(AD221&lt;&gt;"",AM221+AN221,"")</f>
        <v>70</v>
      </c>
      <c r="AQ221" s="49">
        <f t="shared" si="109"/>
        <v>0.05</v>
      </c>
      <c r="AR221" s="18">
        <f t="shared" si="110"/>
        <v>4.0741237836483535E-3</v>
      </c>
      <c r="AS221" s="11">
        <f t="shared" ref="AS221:AS284" si="122">IF(AB221&lt;&gt;"",IF(A221&lt;&gt;"",C221-Q221,0),"")</f>
        <v>0</v>
      </c>
      <c r="AT221" s="11">
        <f t="shared" ref="AT221:AT284" si="123">IF(AB221&lt;&gt;"",IF($F$21="co miesiąc",AT220*(1+(1-$F$20)*AR221)+AS221,(AT220*(1+AR221)+AS221)),"")</f>
        <v>51236.525605610826</v>
      </c>
      <c r="AU221" s="11">
        <f>IF(AB221&lt;&gt;"",AT221-SUM($AS$28:AS221),"")</f>
        <v>23547.125605610821</v>
      </c>
    </row>
    <row r="222" spans="1:47" ht="14.5" x14ac:dyDescent="0.35">
      <c r="A222" s="76">
        <f t="shared" ref="A222:A285" si="124">IF(B222&lt;&gt;"",EDATE(A221,1),"")</f>
        <v>50649</v>
      </c>
      <c r="B222" s="8">
        <f t="shared" si="98"/>
        <v>195</v>
      </c>
      <c r="C222" s="11">
        <f t="shared" si="99"/>
        <v>3461.17</v>
      </c>
      <c r="D222" s="11">
        <f t="shared" si="100"/>
        <v>2505.3990427434583</v>
      </c>
      <c r="E222" s="11">
        <f t="shared" si="101"/>
        <v>955.77095725654169</v>
      </c>
      <c r="F222" s="9">
        <f t="shared" si="111"/>
        <v>133064.94950428372</v>
      </c>
      <c r="G222" s="10">
        <f t="shared" si="102"/>
        <v>6.7599999999999993E-2</v>
      </c>
      <c r="H222" s="10">
        <f t="shared" si="103"/>
        <v>1.7000000000000001E-2</v>
      </c>
      <c r="I222" s="49">
        <f t="shared" si="104"/>
        <v>8.4599999999999995E-2</v>
      </c>
      <c r="J222" s="11">
        <f t="shared" si="105"/>
        <v>20</v>
      </c>
      <c r="K222" s="11">
        <f>IF(B222&lt;&gt;"",IF($B$16=listy!$K$8,'RZĄDOWY PROGRAM'!$F$3*'RZĄDOWY PROGRAM'!$F$15,F221*$F$15),"")</f>
        <v>50</v>
      </c>
      <c r="L222" s="11">
        <f t="shared" si="112"/>
        <v>70</v>
      </c>
      <c r="N222" s="55">
        <f t="shared" ref="N222:N285" si="125">IF(O222&lt;&gt;"",EDATE(N221,1),"")</f>
        <v>50649</v>
      </c>
      <c r="O222" s="8">
        <f t="shared" si="113"/>
        <v>195</v>
      </c>
      <c r="P222" s="8"/>
      <c r="Q222" s="33">
        <f>IF(O222&lt;&gt;"",ROUND(IF($F$11="raty równe",-PMT(W222/12,$F$4-O221+SUM($P$28:P222),T221,2),R222+S222),2),"")</f>
        <v>3461.17</v>
      </c>
      <c r="R222" s="11">
        <f>IF(O222&lt;&gt;"",IF($F$11="raty malejące",T221/($F$4-O221+SUM($P$28:P222)),IF(Q222-S222&gt;T221,T221,Q222-S222)),"")</f>
        <v>2368.4738104710723</v>
      </c>
      <c r="S222" s="11">
        <f t="shared" si="96"/>
        <v>1092.6961895289276</v>
      </c>
      <c r="T222" s="9">
        <f t="shared" si="114"/>
        <v>152623.89349859668</v>
      </c>
      <c r="U222" s="10">
        <f t="shared" si="106"/>
        <v>6.7599999999999993E-2</v>
      </c>
      <c r="V222" s="10">
        <f t="shared" si="107"/>
        <v>1.7000000000000001E-2</v>
      </c>
      <c r="W222" s="49">
        <f t="shared" si="115"/>
        <v>8.4599999999999995E-2</v>
      </c>
      <c r="X222" s="11">
        <f t="shared" si="108"/>
        <v>20</v>
      </c>
      <c r="Y222" s="11">
        <f>IF(O222&lt;&gt;"",IF($B$16=listy!$K$8,'RZĄDOWY PROGRAM'!$F$3*'RZĄDOWY PROGRAM'!$F$15,T221*$F$15),"")</f>
        <v>50</v>
      </c>
      <c r="Z222" s="11">
        <f t="shared" si="116"/>
        <v>70</v>
      </c>
      <c r="AB222" s="8">
        <f t="shared" si="117"/>
        <v>195</v>
      </c>
      <c r="AC222" s="8"/>
      <c r="AD222" s="33">
        <f>IF(AB222&lt;&gt;"",ROUND(IF($F$11="raty równe",-PMT(W222/12,$F$4-AB221+SUM($AC$28:AC222),AG221,2),AE222+AF222),2),"")</f>
        <v>3227.7</v>
      </c>
      <c r="AE222" s="11">
        <f>IF(AB222&lt;&gt;"",IF($F$11="raty malejące",AG221/($F$4-AB221+SUM($AC$28:AC221)),MIN(AD222-AF222,AG221)),"")</f>
        <v>2208.7142764125647</v>
      </c>
      <c r="AF222" s="11">
        <f t="shared" si="97"/>
        <v>1018.9857235874352</v>
      </c>
      <c r="AG222" s="9">
        <f t="shared" ref="AG222:AG285" si="126">IF(AB222&lt;&gt;"",IF(AH222&lt;&gt;"",AG221-AE222-AH222,AG221-AE222),"")</f>
        <v>142328.26779272722</v>
      </c>
      <c r="AH222" s="11"/>
      <c r="AI222" s="33">
        <f>IF(AB222&lt;&gt;"",ROUND(IF($F$11="raty równe",-PMT(W222/12,($F$4-AB221+SUM($AC$27:AC221)),AG221,2),AG221/($F$4-AB221+SUM($AC$27:AC221))+AG221*W222/12),2),"")</f>
        <v>3227.7</v>
      </c>
      <c r="AJ222" s="33">
        <f t="shared" si="118"/>
        <v>233.47000000000025</v>
      </c>
      <c r="AK222" s="33">
        <f t="shared" si="119"/>
        <v>60631.514948478311</v>
      </c>
      <c r="AL222" s="33">
        <f>IF(AB222&lt;&gt;"",AK222-SUM($AJ$28:AJ222),"")</f>
        <v>16777.804948478377</v>
      </c>
      <c r="AM222" s="11">
        <f t="shared" si="120"/>
        <v>20</v>
      </c>
      <c r="AN222" s="11">
        <f>IF(AB222&lt;&gt;"",IF($B$16=listy!$K$8,'RZĄDOWY PROGRAM'!$F$3*'RZĄDOWY PROGRAM'!$F$15,AG221*$F$15),"")</f>
        <v>50</v>
      </c>
      <c r="AO222" s="11">
        <f t="shared" si="121"/>
        <v>70</v>
      </c>
      <c r="AQ222" s="49">
        <f t="shared" si="109"/>
        <v>0.05</v>
      </c>
      <c r="AR222" s="18">
        <f t="shared" si="110"/>
        <v>4.0741237836483535E-3</v>
      </c>
      <c r="AS222" s="11">
        <f t="shared" si="122"/>
        <v>0</v>
      </c>
      <c r="AT222" s="11">
        <f t="shared" si="123"/>
        <v>51405.608203135504</v>
      </c>
      <c r="AU222" s="11">
        <f>IF(AB222&lt;&gt;"",AT222-SUM($AS$28:AS222),"")</f>
        <v>23716.208203135498</v>
      </c>
    </row>
    <row r="223" spans="1:47" ht="14.5" x14ac:dyDescent="0.35">
      <c r="A223" s="76">
        <f t="shared" si="124"/>
        <v>50679</v>
      </c>
      <c r="B223" s="8">
        <f t="shared" si="98"/>
        <v>196</v>
      </c>
      <c r="C223" s="11">
        <f t="shared" si="99"/>
        <v>3461.18</v>
      </c>
      <c r="D223" s="11">
        <f t="shared" si="100"/>
        <v>2523.0721059947996</v>
      </c>
      <c r="E223" s="11">
        <f t="shared" si="101"/>
        <v>938.10789400520025</v>
      </c>
      <c r="F223" s="9">
        <f t="shared" si="111"/>
        <v>130541.87739828893</v>
      </c>
      <c r="G223" s="10">
        <f t="shared" si="102"/>
        <v>6.7599999999999993E-2</v>
      </c>
      <c r="H223" s="10">
        <f t="shared" si="103"/>
        <v>1.7000000000000001E-2</v>
      </c>
      <c r="I223" s="49">
        <f t="shared" si="104"/>
        <v>8.4599999999999995E-2</v>
      </c>
      <c r="J223" s="11">
        <f t="shared" si="105"/>
        <v>20</v>
      </c>
      <c r="K223" s="11">
        <f>IF(B223&lt;&gt;"",IF($B$16=listy!$K$8,'RZĄDOWY PROGRAM'!$F$3*'RZĄDOWY PROGRAM'!$F$15,F222*$F$15),"")</f>
        <v>50</v>
      </c>
      <c r="L223" s="11">
        <f t="shared" si="112"/>
        <v>70</v>
      </c>
      <c r="N223" s="55">
        <f t="shared" si="125"/>
        <v>50679</v>
      </c>
      <c r="O223" s="8">
        <f t="shared" si="113"/>
        <v>196</v>
      </c>
      <c r="P223" s="8"/>
      <c r="Q223" s="33">
        <f>IF(O223&lt;&gt;"",ROUND(IF($F$11="raty równe",-PMT(W223/12,$F$4-O222+SUM($P$28:P223),T222,2),R223+S223),2),"")</f>
        <v>3461.18</v>
      </c>
      <c r="R223" s="11">
        <f>IF(O223&lt;&gt;"",IF($F$11="raty malejące",T222/($F$4-O222+SUM($P$28:P223)),IF(Q223-S223&gt;T222,T222,Q223-S223)),"")</f>
        <v>2385.1815508348936</v>
      </c>
      <c r="S223" s="11">
        <f t="shared" si="96"/>
        <v>1075.9984491651064</v>
      </c>
      <c r="T223" s="9">
        <f t="shared" si="114"/>
        <v>150238.7119477618</v>
      </c>
      <c r="U223" s="10">
        <f t="shared" si="106"/>
        <v>6.7599999999999993E-2</v>
      </c>
      <c r="V223" s="10">
        <f t="shared" si="107"/>
        <v>1.7000000000000001E-2</v>
      </c>
      <c r="W223" s="49">
        <f t="shared" si="115"/>
        <v>8.4599999999999995E-2</v>
      </c>
      <c r="X223" s="11">
        <f t="shared" si="108"/>
        <v>20</v>
      </c>
      <c r="Y223" s="11">
        <f>IF(O223&lt;&gt;"",IF($B$16=listy!$K$8,'RZĄDOWY PROGRAM'!$F$3*'RZĄDOWY PROGRAM'!$F$15,T222*$F$15),"")</f>
        <v>50</v>
      </c>
      <c r="Z223" s="11">
        <f t="shared" si="116"/>
        <v>70</v>
      </c>
      <c r="AB223" s="8">
        <f t="shared" si="117"/>
        <v>196</v>
      </c>
      <c r="AC223" s="8"/>
      <c r="AD223" s="33">
        <f>IF(AB223&lt;&gt;"",ROUND(IF($F$11="raty równe",-PMT(W223/12,$F$4-AB222+SUM($AC$28:AC223),AG222,2),AE223+AF223),2),"")</f>
        <v>3227.69</v>
      </c>
      <c r="AE223" s="11">
        <f>IF(AB223&lt;&gt;"",IF($F$11="raty malejące",AG222/($F$4-AB222+SUM($AC$28:AC222)),MIN(AD223-AF223,AG222)),"")</f>
        <v>2224.2757120612732</v>
      </c>
      <c r="AF223" s="11">
        <f t="shared" si="97"/>
        <v>1003.4142879387268</v>
      </c>
      <c r="AG223" s="9">
        <f t="shared" si="126"/>
        <v>140103.99208066595</v>
      </c>
      <c r="AH223" s="11"/>
      <c r="AI223" s="33">
        <f>IF(AB223&lt;&gt;"",ROUND(IF($F$11="raty równe",-PMT(W223/12,($F$4-AB222+SUM($AC$27:AC222)),AG222,2),AG222/($F$4-AB222+SUM($AC$27:AC222))+AG222*W223/12),2),"")</f>
        <v>3227.69</v>
      </c>
      <c r="AJ223" s="33">
        <f t="shared" si="118"/>
        <v>233.48999999999978</v>
      </c>
      <c r="AK223" s="33">
        <f t="shared" si="119"/>
        <v>61065.091389121393</v>
      </c>
      <c r="AL223" s="33">
        <f>IF(AB223&lt;&gt;"",AK223-SUM($AJ$28:AJ223),"")</f>
        <v>16977.891389121462</v>
      </c>
      <c r="AM223" s="11">
        <f t="shared" si="120"/>
        <v>20</v>
      </c>
      <c r="AN223" s="11">
        <f>IF(AB223&lt;&gt;"",IF($B$16=listy!$K$8,'RZĄDOWY PROGRAM'!$F$3*'RZĄDOWY PROGRAM'!$F$15,AG222*$F$15),"")</f>
        <v>50</v>
      </c>
      <c r="AO223" s="11">
        <f t="shared" si="121"/>
        <v>70</v>
      </c>
      <c r="AQ223" s="49">
        <f t="shared" si="109"/>
        <v>0.05</v>
      </c>
      <c r="AR223" s="18">
        <f t="shared" si="110"/>
        <v>4.0741237836483535E-3</v>
      </c>
      <c r="AS223" s="11">
        <f t="shared" si="122"/>
        <v>0</v>
      </c>
      <c r="AT223" s="11">
        <f t="shared" si="123"/>
        <v>51575.248780040078</v>
      </c>
      <c r="AU223" s="11">
        <f>IF(AB223&lt;&gt;"",AT223-SUM($AS$28:AS223),"")</f>
        <v>23885.848780040073</v>
      </c>
    </row>
    <row r="224" spans="1:47" ht="14.5" x14ac:dyDescent="0.35">
      <c r="A224" s="76">
        <f t="shared" si="124"/>
        <v>50710</v>
      </c>
      <c r="B224" s="8">
        <f t="shared" si="98"/>
        <v>197</v>
      </c>
      <c r="C224" s="11">
        <f t="shared" si="99"/>
        <v>3461.17</v>
      </c>
      <c r="D224" s="11">
        <f t="shared" si="100"/>
        <v>2540.8497643420633</v>
      </c>
      <c r="E224" s="11">
        <f t="shared" si="101"/>
        <v>920.32023565793679</v>
      </c>
      <c r="F224" s="9">
        <f t="shared" si="111"/>
        <v>128001.02763394685</v>
      </c>
      <c r="G224" s="10">
        <f t="shared" si="102"/>
        <v>6.7599999999999993E-2</v>
      </c>
      <c r="H224" s="10">
        <f t="shared" si="103"/>
        <v>1.7000000000000001E-2</v>
      </c>
      <c r="I224" s="49">
        <f t="shared" si="104"/>
        <v>8.4599999999999995E-2</v>
      </c>
      <c r="J224" s="11">
        <f t="shared" si="105"/>
        <v>20</v>
      </c>
      <c r="K224" s="11">
        <f>IF(B224&lt;&gt;"",IF($B$16=listy!$K$8,'RZĄDOWY PROGRAM'!$F$3*'RZĄDOWY PROGRAM'!$F$15,F223*$F$15),"")</f>
        <v>50</v>
      </c>
      <c r="L224" s="11">
        <f t="shared" si="112"/>
        <v>70</v>
      </c>
      <c r="N224" s="55">
        <f t="shared" si="125"/>
        <v>50710</v>
      </c>
      <c r="O224" s="8">
        <f t="shared" si="113"/>
        <v>197</v>
      </c>
      <c r="P224" s="8"/>
      <c r="Q224" s="33">
        <f>IF(O224&lt;&gt;"",ROUND(IF($F$11="raty równe",-PMT(W224/12,$F$4-O223+SUM($P$28:P224),T223,2),R224+S224),2),"")</f>
        <v>3461.17</v>
      </c>
      <c r="R224" s="11">
        <f>IF(O224&lt;&gt;"",IF($F$11="raty malejące",T223/($F$4-O223+SUM($P$28:P224)),IF(Q224-S224&gt;T223,T223,Q224-S224)),"")</f>
        <v>2401.9870807682792</v>
      </c>
      <c r="S224" s="11">
        <f t="shared" si="96"/>
        <v>1059.1829192317207</v>
      </c>
      <c r="T224" s="9">
        <f t="shared" si="114"/>
        <v>147836.72486699352</v>
      </c>
      <c r="U224" s="10">
        <f t="shared" si="106"/>
        <v>6.7599999999999993E-2</v>
      </c>
      <c r="V224" s="10">
        <f t="shared" si="107"/>
        <v>1.7000000000000001E-2</v>
      </c>
      <c r="W224" s="49">
        <f t="shared" si="115"/>
        <v>8.4599999999999995E-2</v>
      </c>
      <c r="X224" s="11">
        <f t="shared" si="108"/>
        <v>20</v>
      </c>
      <c r="Y224" s="11">
        <f>IF(O224&lt;&gt;"",IF($B$16=listy!$K$8,'RZĄDOWY PROGRAM'!$F$3*'RZĄDOWY PROGRAM'!$F$15,T223*$F$15),"")</f>
        <v>50</v>
      </c>
      <c r="Z224" s="11">
        <f t="shared" si="116"/>
        <v>70</v>
      </c>
      <c r="AB224" s="8">
        <f t="shared" si="117"/>
        <v>197</v>
      </c>
      <c r="AC224" s="8"/>
      <c r="AD224" s="33">
        <f>IF(AB224&lt;&gt;"",ROUND(IF($F$11="raty równe",-PMT(W224/12,$F$4-AB223+SUM($AC$28:AC224),AG223,2),AE224+AF224),2),"")</f>
        <v>3227.7</v>
      </c>
      <c r="AE224" s="11">
        <f>IF(AB224&lt;&gt;"",IF($F$11="raty malejące",AG223/($F$4-AB223+SUM($AC$28:AC223)),MIN(AD224-AF224,AG223)),"")</f>
        <v>2239.9668558313051</v>
      </c>
      <c r="AF224" s="11">
        <f t="shared" si="97"/>
        <v>987.73314416869482</v>
      </c>
      <c r="AG224" s="9">
        <f t="shared" si="126"/>
        <v>137864.02522483465</v>
      </c>
      <c r="AH224" s="11"/>
      <c r="AI224" s="33">
        <f>IF(AB224&lt;&gt;"",ROUND(IF($F$11="raty równe",-PMT(W224/12,($F$4-AB223+SUM($AC$27:AC223)),AG223,2),AG223/($F$4-AB223+SUM($AC$27:AC223))+AG223*W224/12),2),"")</f>
        <v>3227.7</v>
      </c>
      <c r="AJ224" s="33">
        <f t="shared" si="118"/>
        <v>233.47000000000025</v>
      </c>
      <c r="AK224" s="33">
        <f t="shared" si="119"/>
        <v>61500.078649476447</v>
      </c>
      <c r="AL224" s="33">
        <f>IF(AB224&lt;&gt;"",AK224-SUM($AJ$28:AJ224),"")</f>
        <v>17179.408649476514</v>
      </c>
      <c r="AM224" s="11">
        <f t="shared" si="120"/>
        <v>20</v>
      </c>
      <c r="AN224" s="11">
        <f>IF(AB224&lt;&gt;"",IF($B$16=listy!$K$8,'RZĄDOWY PROGRAM'!$F$3*'RZĄDOWY PROGRAM'!$F$15,AG223*$F$15),"")</f>
        <v>50</v>
      </c>
      <c r="AO224" s="11">
        <f t="shared" si="121"/>
        <v>70</v>
      </c>
      <c r="AQ224" s="49">
        <f t="shared" si="109"/>
        <v>0.05</v>
      </c>
      <c r="AR224" s="18">
        <f t="shared" si="110"/>
        <v>4.0741237836483535E-3</v>
      </c>
      <c r="AS224" s="11">
        <f t="shared" si="122"/>
        <v>0</v>
      </c>
      <c r="AT224" s="11">
        <f t="shared" si="123"/>
        <v>51745.449177678973</v>
      </c>
      <c r="AU224" s="11">
        <f>IF(AB224&lt;&gt;"",AT224-SUM($AS$28:AS224),"")</f>
        <v>24056.049177678968</v>
      </c>
    </row>
    <row r="225" spans="1:47" ht="14.5" x14ac:dyDescent="0.35">
      <c r="A225" s="76">
        <f t="shared" si="124"/>
        <v>50740</v>
      </c>
      <c r="B225" s="8">
        <f t="shared" si="98"/>
        <v>198</v>
      </c>
      <c r="C225" s="11">
        <f t="shared" si="99"/>
        <v>3461.18</v>
      </c>
      <c r="D225" s="11">
        <f t="shared" si="100"/>
        <v>2558.7727551806747</v>
      </c>
      <c r="E225" s="11">
        <f t="shared" si="101"/>
        <v>902.40724481932523</v>
      </c>
      <c r="F225" s="9">
        <f t="shared" si="111"/>
        <v>125442.25487876618</v>
      </c>
      <c r="G225" s="10">
        <f t="shared" si="102"/>
        <v>6.7599999999999993E-2</v>
      </c>
      <c r="H225" s="10">
        <f t="shared" si="103"/>
        <v>1.7000000000000001E-2</v>
      </c>
      <c r="I225" s="49">
        <f t="shared" si="104"/>
        <v>8.4599999999999995E-2</v>
      </c>
      <c r="J225" s="11">
        <f t="shared" si="105"/>
        <v>20</v>
      </c>
      <c r="K225" s="11">
        <f>IF(B225&lt;&gt;"",IF($B$16=listy!$K$8,'RZĄDOWY PROGRAM'!$F$3*'RZĄDOWY PROGRAM'!$F$15,F224*$F$15),"")</f>
        <v>50</v>
      </c>
      <c r="L225" s="11">
        <f t="shared" si="112"/>
        <v>70</v>
      </c>
      <c r="N225" s="55">
        <f t="shared" si="125"/>
        <v>50740</v>
      </c>
      <c r="O225" s="8">
        <f t="shared" si="113"/>
        <v>198</v>
      </c>
      <c r="P225" s="8"/>
      <c r="Q225" s="33">
        <f>IF(O225&lt;&gt;"",ROUND(IF($F$11="raty równe",-PMT(W225/12,$F$4-O224+SUM($P$28:P225),T224,2),R225+S225),2),"")</f>
        <v>3461.18</v>
      </c>
      <c r="R225" s="11">
        <f>IF(O225&lt;&gt;"",IF($F$11="raty malejące",T224/($F$4-O224+SUM($P$28:P225)),IF(Q225-S225&gt;T224,T224,Q225-S225)),"")</f>
        <v>2418.9310896876959</v>
      </c>
      <c r="S225" s="11">
        <f t="shared" si="96"/>
        <v>1042.2489103123041</v>
      </c>
      <c r="T225" s="9">
        <f t="shared" si="114"/>
        <v>145417.79377730584</v>
      </c>
      <c r="U225" s="10">
        <f t="shared" si="106"/>
        <v>6.7599999999999993E-2</v>
      </c>
      <c r="V225" s="10">
        <f t="shared" si="107"/>
        <v>1.7000000000000001E-2</v>
      </c>
      <c r="W225" s="49">
        <f t="shared" si="115"/>
        <v>8.4599999999999995E-2</v>
      </c>
      <c r="X225" s="11">
        <f t="shared" si="108"/>
        <v>20</v>
      </c>
      <c r="Y225" s="11">
        <f>IF(O225&lt;&gt;"",IF($B$16=listy!$K$8,'RZĄDOWY PROGRAM'!$F$3*'RZĄDOWY PROGRAM'!$F$15,T224*$F$15),"")</f>
        <v>50</v>
      </c>
      <c r="Z225" s="11">
        <f t="shared" si="116"/>
        <v>70</v>
      </c>
      <c r="AB225" s="8">
        <f t="shared" si="117"/>
        <v>198</v>
      </c>
      <c r="AC225" s="8"/>
      <c r="AD225" s="33">
        <f>IF(AB225&lt;&gt;"",ROUND(IF($F$11="raty równe",-PMT(W225/12,$F$4-AB224+SUM($AC$28:AC225),AG224,2),AE225+AF225),2),"")</f>
        <v>3227.69</v>
      </c>
      <c r="AE225" s="11">
        <f>IF(AB225&lt;&gt;"",IF($F$11="raty malejące",AG224/($F$4-AB224+SUM($AC$28:AC224)),MIN(AD225-AF225,AG224)),"")</f>
        <v>2255.748622164916</v>
      </c>
      <c r="AF225" s="11">
        <f t="shared" si="97"/>
        <v>971.94137783508415</v>
      </c>
      <c r="AG225" s="9">
        <f t="shared" si="126"/>
        <v>135608.27660266974</v>
      </c>
      <c r="AH225" s="11"/>
      <c r="AI225" s="33">
        <f>IF(AB225&lt;&gt;"",ROUND(IF($F$11="raty równe",-PMT(W225/12,($F$4-AB224+SUM($AC$27:AC224)),AG224,2),AG224/($F$4-AB224+SUM($AC$27:AC224))+AG224*W225/12),2),"")</f>
        <v>3227.69</v>
      </c>
      <c r="AJ225" s="33">
        <f t="shared" si="118"/>
        <v>233.48999999999978</v>
      </c>
      <c r="AK225" s="33">
        <f t="shared" si="119"/>
        <v>61936.521385305328</v>
      </c>
      <c r="AL225" s="33">
        <f>IF(AB225&lt;&gt;"",AK225-SUM($AJ$28:AJ225),"")</f>
        <v>17382.361385305398</v>
      </c>
      <c r="AM225" s="11">
        <f t="shared" si="120"/>
        <v>20</v>
      </c>
      <c r="AN225" s="11">
        <f>IF(AB225&lt;&gt;"",IF($B$16=listy!$K$8,'RZĄDOWY PROGRAM'!$F$3*'RZĄDOWY PROGRAM'!$F$15,AG224*$F$15),"")</f>
        <v>50</v>
      </c>
      <c r="AO225" s="11">
        <f t="shared" si="121"/>
        <v>70</v>
      </c>
      <c r="AQ225" s="49">
        <f t="shared" si="109"/>
        <v>0.05</v>
      </c>
      <c r="AR225" s="18">
        <f t="shared" si="110"/>
        <v>4.0741237836483535E-3</v>
      </c>
      <c r="AS225" s="11">
        <f t="shared" si="122"/>
        <v>0</v>
      </c>
      <c r="AT225" s="11">
        <f t="shared" si="123"/>
        <v>51916.211243483158</v>
      </c>
      <c r="AU225" s="11">
        <f>IF(AB225&lt;&gt;"",AT225-SUM($AS$28:AS225),"")</f>
        <v>24226.811243483153</v>
      </c>
    </row>
    <row r="226" spans="1:47" ht="14.5" x14ac:dyDescent="0.35">
      <c r="A226" s="76">
        <f t="shared" si="124"/>
        <v>50771</v>
      </c>
      <c r="B226" s="8">
        <f t="shared" si="98"/>
        <v>199</v>
      </c>
      <c r="C226" s="11">
        <f t="shared" si="99"/>
        <v>3461.17</v>
      </c>
      <c r="D226" s="11">
        <f t="shared" si="100"/>
        <v>2576.8021031046987</v>
      </c>
      <c r="E226" s="11">
        <f t="shared" si="101"/>
        <v>884.36789689530144</v>
      </c>
      <c r="F226" s="9">
        <f t="shared" si="111"/>
        <v>122865.45277566148</v>
      </c>
      <c r="G226" s="10">
        <f t="shared" si="102"/>
        <v>6.7599999999999993E-2</v>
      </c>
      <c r="H226" s="10">
        <f t="shared" si="103"/>
        <v>1.7000000000000001E-2</v>
      </c>
      <c r="I226" s="49">
        <f t="shared" si="104"/>
        <v>8.4599999999999995E-2</v>
      </c>
      <c r="J226" s="11">
        <f t="shared" si="105"/>
        <v>20</v>
      </c>
      <c r="K226" s="11">
        <f>IF(B226&lt;&gt;"",IF($B$16=listy!$K$8,'RZĄDOWY PROGRAM'!$F$3*'RZĄDOWY PROGRAM'!$F$15,F225*$F$15),"")</f>
        <v>50</v>
      </c>
      <c r="L226" s="11">
        <f t="shared" si="112"/>
        <v>70</v>
      </c>
      <c r="N226" s="55">
        <f t="shared" si="125"/>
        <v>50771</v>
      </c>
      <c r="O226" s="8">
        <f t="shared" si="113"/>
        <v>199</v>
      </c>
      <c r="P226" s="8"/>
      <c r="Q226" s="33">
        <f>IF(O226&lt;&gt;"",ROUND(IF($F$11="raty równe",-PMT(W226/12,$F$4-O225+SUM($P$28:P226),T225,2),R226+S226),2),"")</f>
        <v>3461.17</v>
      </c>
      <c r="R226" s="11">
        <f>IF(O226&lt;&gt;"",IF($F$11="raty malejące",T225/($F$4-O225+SUM($P$28:P226)),IF(Q226-S226&gt;T225,T225,Q226-S226)),"")</f>
        <v>2435.974553869994</v>
      </c>
      <c r="S226" s="11">
        <f t="shared" si="96"/>
        <v>1025.1954461300061</v>
      </c>
      <c r="T226" s="9">
        <f t="shared" si="114"/>
        <v>142981.81922343583</v>
      </c>
      <c r="U226" s="10">
        <f t="shared" si="106"/>
        <v>6.7599999999999993E-2</v>
      </c>
      <c r="V226" s="10">
        <f t="shared" si="107"/>
        <v>1.7000000000000001E-2</v>
      </c>
      <c r="W226" s="49">
        <f t="shared" si="115"/>
        <v>8.4599999999999995E-2</v>
      </c>
      <c r="X226" s="11">
        <f t="shared" si="108"/>
        <v>20</v>
      </c>
      <c r="Y226" s="11">
        <f>IF(O226&lt;&gt;"",IF($B$16=listy!$K$8,'RZĄDOWY PROGRAM'!$F$3*'RZĄDOWY PROGRAM'!$F$15,T225*$F$15),"")</f>
        <v>50</v>
      </c>
      <c r="Z226" s="11">
        <f t="shared" si="116"/>
        <v>70</v>
      </c>
      <c r="AB226" s="8">
        <f t="shared" si="117"/>
        <v>199</v>
      </c>
      <c r="AC226" s="8"/>
      <c r="AD226" s="33">
        <f>IF(AB226&lt;&gt;"",ROUND(IF($F$11="raty równe",-PMT(W226/12,$F$4-AB225+SUM($AC$28:AC226),AG225,2),AE226+AF226),2),"")</f>
        <v>3227.7</v>
      </c>
      <c r="AE226" s="11">
        <f>IF(AB226&lt;&gt;"",IF($F$11="raty malejące",AG225/($F$4-AB225+SUM($AC$28:AC225)),MIN(AD226-AF226,AG225)),"")</f>
        <v>2271.6616499511783</v>
      </c>
      <c r="AF226" s="11">
        <f t="shared" si="97"/>
        <v>956.0383500488216</v>
      </c>
      <c r="AG226" s="9">
        <f t="shared" si="126"/>
        <v>133336.61495271855</v>
      </c>
      <c r="AH226" s="11"/>
      <c r="AI226" s="33">
        <f>IF(AB226&lt;&gt;"",ROUND(IF($F$11="raty równe",-PMT(W226/12,($F$4-AB225+SUM($AC$27:AC225)),AG225,2),AG225/($F$4-AB225+SUM($AC$27:AC225))+AG225*W226/12),2),"")</f>
        <v>3227.7</v>
      </c>
      <c r="AJ226" s="33">
        <f t="shared" si="118"/>
        <v>233.47000000000025</v>
      </c>
      <c r="AK226" s="33">
        <f t="shared" si="119"/>
        <v>62374.384399735703</v>
      </c>
      <c r="AL226" s="33">
        <f>IF(AB226&lt;&gt;"",AK226-SUM($AJ$28:AJ226),"")</f>
        <v>17586.754399735772</v>
      </c>
      <c r="AM226" s="11">
        <f t="shared" si="120"/>
        <v>20</v>
      </c>
      <c r="AN226" s="11">
        <f>IF(AB226&lt;&gt;"",IF($B$16=listy!$K$8,'RZĄDOWY PROGRAM'!$F$3*'RZĄDOWY PROGRAM'!$F$15,AG225*$F$15),"")</f>
        <v>50</v>
      </c>
      <c r="AO226" s="11">
        <f t="shared" si="121"/>
        <v>70</v>
      </c>
      <c r="AQ226" s="49">
        <f t="shared" si="109"/>
        <v>0.05</v>
      </c>
      <c r="AR226" s="18">
        <f t="shared" si="110"/>
        <v>4.0741237836483535E-3</v>
      </c>
      <c r="AS226" s="11">
        <f t="shared" si="122"/>
        <v>0</v>
      </c>
      <c r="AT226" s="11">
        <f t="shared" si="123"/>
        <v>52087.536830980185</v>
      </c>
      <c r="AU226" s="11">
        <f>IF(AB226&lt;&gt;"",AT226-SUM($AS$28:AS226),"")</f>
        <v>24398.13683098018</v>
      </c>
    </row>
    <row r="227" spans="1:47" ht="14.5" x14ac:dyDescent="0.35">
      <c r="A227" s="76">
        <f t="shared" si="124"/>
        <v>50802</v>
      </c>
      <c r="B227" s="8">
        <f t="shared" si="98"/>
        <v>200</v>
      </c>
      <c r="C227" s="11">
        <f t="shared" si="99"/>
        <v>3461.18</v>
      </c>
      <c r="D227" s="11">
        <f t="shared" si="100"/>
        <v>2594.9785579315862</v>
      </c>
      <c r="E227" s="11">
        <f t="shared" si="101"/>
        <v>866.20144206841348</v>
      </c>
      <c r="F227" s="9">
        <f t="shared" si="111"/>
        <v>120270.4742177299</v>
      </c>
      <c r="G227" s="10">
        <f t="shared" si="102"/>
        <v>6.7599999999999993E-2</v>
      </c>
      <c r="H227" s="10">
        <f t="shared" si="103"/>
        <v>1.7000000000000001E-2</v>
      </c>
      <c r="I227" s="49">
        <f t="shared" si="104"/>
        <v>8.4599999999999995E-2</v>
      </c>
      <c r="J227" s="11">
        <f t="shared" si="105"/>
        <v>20</v>
      </c>
      <c r="K227" s="11">
        <f>IF(B227&lt;&gt;"",IF($B$16=listy!$K$8,'RZĄDOWY PROGRAM'!$F$3*'RZĄDOWY PROGRAM'!$F$15,F226*$F$15),"")</f>
        <v>50</v>
      </c>
      <c r="L227" s="11">
        <f t="shared" si="112"/>
        <v>70</v>
      </c>
      <c r="N227" s="55">
        <f t="shared" si="125"/>
        <v>50802</v>
      </c>
      <c r="O227" s="8">
        <f t="shared" si="113"/>
        <v>200</v>
      </c>
      <c r="P227" s="8"/>
      <c r="Q227" s="33">
        <f>IF(O227&lt;&gt;"",ROUND(IF($F$11="raty równe",-PMT(W227/12,$F$4-O226+SUM($P$28:P227),T226,2),R227+S227),2),"")</f>
        <v>3461.18</v>
      </c>
      <c r="R227" s="11">
        <f>IF(O227&lt;&gt;"",IF($F$11="raty malejące",T226/($F$4-O226+SUM($P$28:P227)),IF(Q227-S227&gt;T226,T226,Q227-S227)),"")</f>
        <v>2453.1581744747773</v>
      </c>
      <c r="S227" s="11">
        <f t="shared" si="96"/>
        <v>1008.0218255252225</v>
      </c>
      <c r="T227" s="9">
        <f t="shared" si="114"/>
        <v>140528.66104896105</v>
      </c>
      <c r="U227" s="10">
        <f t="shared" si="106"/>
        <v>6.7599999999999993E-2</v>
      </c>
      <c r="V227" s="10">
        <f t="shared" si="107"/>
        <v>1.7000000000000001E-2</v>
      </c>
      <c r="W227" s="49">
        <f t="shared" si="115"/>
        <v>8.4599999999999995E-2</v>
      </c>
      <c r="X227" s="11">
        <f t="shared" si="108"/>
        <v>20</v>
      </c>
      <c r="Y227" s="11">
        <f>IF(O227&lt;&gt;"",IF($B$16=listy!$K$8,'RZĄDOWY PROGRAM'!$F$3*'RZĄDOWY PROGRAM'!$F$15,T226*$F$15),"")</f>
        <v>50</v>
      </c>
      <c r="Z227" s="11">
        <f t="shared" si="116"/>
        <v>70</v>
      </c>
      <c r="AB227" s="8">
        <f t="shared" si="117"/>
        <v>200</v>
      </c>
      <c r="AC227" s="8"/>
      <c r="AD227" s="33">
        <f>IF(AB227&lt;&gt;"",ROUND(IF($F$11="raty równe",-PMT(W227/12,$F$4-AB226+SUM($AC$28:AC227),AG226,2),AE227+AF227),2),"")</f>
        <v>3227.69</v>
      </c>
      <c r="AE227" s="11">
        <f>IF(AB227&lt;&gt;"",IF($F$11="raty malejące",AG226/($F$4-AB226+SUM($AC$28:AC226)),MIN(AD227-AF227,AG226)),"")</f>
        <v>2287.6668645833342</v>
      </c>
      <c r="AF227" s="11">
        <f t="shared" si="97"/>
        <v>940.0231354166657</v>
      </c>
      <c r="AG227" s="9">
        <f t="shared" si="126"/>
        <v>131048.94808813522</v>
      </c>
      <c r="AH227" s="11"/>
      <c r="AI227" s="33">
        <f>IF(AB227&lt;&gt;"",ROUND(IF($F$11="raty równe",-PMT(W227/12,($F$4-AB226+SUM($AC$27:AC226)),AG226,2),AG226/($F$4-AB226+SUM($AC$27:AC226))+AG226*W227/12),2),"")</f>
        <v>3227.69</v>
      </c>
      <c r="AJ227" s="33">
        <f t="shared" si="118"/>
        <v>233.48999999999978</v>
      </c>
      <c r="AK227" s="33">
        <f t="shared" si="119"/>
        <v>62813.712379744145</v>
      </c>
      <c r="AL227" s="33">
        <f>IF(AB227&lt;&gt;"",AK227-SUM($AJ$28:AJ227),"")</f>
        <v>17792.592379744216</v>
      </c>
      <c r="AM227" s="11">
        <f t="shared" si="120"/>
        <v>20</v>
      </c>
      <c r="AN227" s="11">
        <f>IF(AB227&lt;&gt;"",IF($B$16=listy!$K$8,'RZĄDOWY PROGRAM'!$F$3*'RZĄDOWY PROGRAM'!$F$15,AG226*$F$15),"")</f>
        <v>50</v>
      </c>
      <c r="AO227" s="11">
        <f t="shared" si="121"/>
        <v>70</v>
      </c>
      <c r="AQ227" s="49">
        <f t="shared" si="109"/>
        <v>0.05</v>
      </c>
      <c r="AR227" s="18">
        <f t="shared" si="110"/>
        <v>4.0741237836483535E-3</v>
      </c>
      <c r="AS227" s="11">
        <f t="shared" si="122"/>
        <v>0</v>
      </c>
      <c r="AT227" s="11">
        <f t="shared" si="123"/>
        <v>52259.427799814337</v>
      </c>
      <c r="AU227" s="11">
        <f>IF(AB227&lt;&gt;"",AT227-SUM($AS$28:AS227),"")</f>
        <v>24570.027799814332</v>
      </c>
    </row>
    <row r="228" spans="1:47" ht="14.5" x14ac:dyDescent="0.35">
      <c r="A228" s="76">
        <f t="shared" si="124"/>
        <v>50830</v>
      </c>
      <c r="B228" s="8">
        <f t="shared" si="98"/>
        <v>201</v>
      </c>
      <c r="C228" s="11">
        <f t="shared" si="99"/>
        <v>3461.17</v>
      </c>
      <c r="D228" s="11">
        <f t="shared" si="100"/>
        <v>2613.2631567650042</v>
      </c>
      <c r="E228" s="11">
        <f t="shared" si="101"/>
        <v>847.90684323499579</v>
      </c>
      <c r="F228" s="9">
        <f t="shared" si="111"/>
        <v>117657.2110609649</v>
      </c>
      <c r="G228" s="10">
        <f t="shared" si="102"/>
        <v>6.7599999999999993E-2</v>
      </c>
      <c r="H228" s="10">
        <f t="shared" si="103"/>
        <v>1.7000000000000001E-2</v>
      </c>
      <c r="I228" s="49">
        <f t="shared" si="104"/>
        <v>8.4599999999999995E-2</v>
      </c>
      <c r="J228" s="11">
        <f t="shared" si="105"/>
        <v>20</v>
      </c>
      <c r="K228" s="11">
        <f>IF(B228&lt;&gt;"",IF($B$16=listy!$K$8,'RZĄDOWY PROGRAM'!$F$3*'RZĄDOWY PROGRAM'!$F$15,F227*$F$15),"")</f>
        <v>50</v>
      </c>
      <c r="L228" s="11">
        <f t="shared" si="112"/>
        <v>70</v>
      </c>
      <c r="N228" s="55">
        <f t="shared" si="125"/>
        <v>50830</v>
      </c>
      <c r="O228" s="8">
        <f t="shared" si="113"/>
        <v>201</v>
      </c>
      <c r="P228" s="8"/>
      <c r="Q228" s="33">
        <f>IF(O228&lt;&gt;"",ROUND(IF($F$11="raty równe",-PMT(W228/12,$F$4-O227+SUM($P$28:P228),T227,2),R228+S228),2),"")</f>
        <v>3461.17</v>
      </c>
      <c r="R228" s="11">
        <f>IF(O228&lt;&gt;"",IF($F$11="raty malejące",T227/($F$4-O227+SUM($P$28:P228)),IF(Q228-S228&gt;T227,T227,Q228-S228)),"")</f>
        <v>2470.4429396048249</v>
      </c>
      <c r="S228" s="11">
        <f t="shared" si="96"/>
        <v>990.72706039517527</v>
      </c>
      <c r="T228" s="9">
        <f t="shared" si="114"/>
        <v>138058.21810935621</v>
      </c>
      <c r="U228" s="10">
        <f t="shared" si="106"/>
        <v>6.7599999999999993E-2</v>
      </c>
      <c r="V228" s="10">
        <f t="shared" si="107"/>
        <v>1.7000000000000001E-2</v>
      </c>
      <c r="W228" s="49">
        <f t="shared" si="115"/>
        <v>8.4599999999999995E-2</v>
      </c>
      <c r="X228" s="11">
        <f t="shared" si="108"/>
        <v>20</v>
      </c>
      <c r="Y228" s="11">
        <f>IF(O228&lt;&gt;"",IF($B$16=listy!$K$8,'RZĄDOWY PROGRAM'!$F$3*'RZĄDOWY PROGRAM'!$F$15,T227*$F$15),"")</f>
        <v>50</v>
      </c>
      <c r="Z228" s="11">
        <f t="shared" si="116"/>
        <v>70</v>
      </c>
      <c r="AB228" s="8">
        <f t="shared" si="117"/>
        <v>201</v>
      </c>
      <c r="AC228" s="8"/>
      <c r="AD228" s="33">
        <f>IF(AB228&lt;&gt;"",ROUND(IF($F$11="raty równe",-PMT(W228/12,$F$4-AB227+SUM($AC$28:AC228),AG227,2),AE228+AF228),2),"")</f>
        <v>3227.7</v>
      </c>
      <c r="AE228" s="11">
        <f>IF(AB228&lt;&gt;"",IF($F$11="raty malejące",AG227/($F$4-AB227+SUM($AC$28:AC227)),MIN(AD228-AF228,AG227)),"")</f>
        <v>2303.8049159786465</v>
      </c>
      <c r="AF228" s="11">
        <f t="shared" si="97"/>
        <v>923.89508402135323</v>
      </c>
      <c r="AG228" s="9">
        <f t="shared" si="126"/>
        <v>128745.14317215658</v>
      </c>
      <c r="AH228" s="11"/>
      <c r="AI228" s="33">
        <f>IF(AB228&lt;&gt;"",ROUND(IF($F$11="raty równe",-PMT(W228/12,($F$4-AB227+SUM($AC$27:AC227)),AG227,2),AG227/($F$4-AB227+SUM($AC$27:AC227))+AG227*W228/12),2),"")</f>
        <v>3227.7</v>
      </c>
      <c r="AJ228" s="33">
        <f t="shared" si="118"/>
        <v>233.47000000000025</v>
      </c>
      <c r="AK228" s="33">
        <f t="shared" si="119"/>
        <v>63254.47015977605</v>
      </c>
      <c r="AL228" s="33">
        <f>IF(AB228&lt;&gt;"",AK228-SUM($AJ$28:AJ228),"")</f>
        <v>17999.880159776119</v>
      </c>
      <c r="AM228" s="11">
        <f t="shared" si="120"/>
        <v>20</v>
      </c>
      <c r="AN228" s="11">
        <f>IF(AB228&lt;&gt;"",IF($B$16=listy!$K$8,'RZĄDOWY PROGRAM'!$F$3*'RZĄDOWY PROGRAM'!$F$15,AG227*$F$15),"")</f>
        <v>50</v>
      </c>
      <c r="AO228" s="11">
        <f t="shared" si="121"/>
        <v>70</v>
      </c>
      <c r="AQ228" s="49">
        <f t="shared" si="109"/>
        <v>0.05</v>
      </c>
      <c r="AR228" s="18">
        <f t="shared" si="110"/>
        <v>4.0741237836483535E-3</v>
      </c>
      <c r="AS228" s="11">
        <f t="shared" si="122"/>
        <v>0</v>
      </c>
      <c r="AT228" s="11">
        <f t="shared" si="123"/>
        <v>52431.886015766788</v>
      </c>
      <c r="AU228" s="11">
        <f>IF(AB228&lt;&gt;"",AT228-SUM($AS$28:AS228),"")</f>
        <v>24742.486015766783</v>
      </c>
    </row>
    <row r="229" spans="1:47" ht="14.5" x14ac:dyDescent="0.35">
      <c r="A229" s="76">
        <f t="shared" si="124"/>
        <v>50861</v>
      </c>
      <c r="B229" s="8">
        <f t="shared" si="98"/>
        <v>202</v>
      </c>
      <c r="C229" s="11">
        <f t="shared" si="99"/>
        <v>3461.18</v>
      </c>
      <c r="D229" s="11">
        <f t="shared" si="100"/>
        <v>2631.6966620201974</v>
      </c>
      <c r="E229" s="11">
        <f t="shared" si="101"/>
        <v>829.4833379798024</v>
      </c>
      <c r="F229" s="9">
        <f t="shared" si="111"/>
        <v>115025.5143989447</v>
      </c>
      <c r="G229" s="10">
        <f t="shared" si="102"/>
        <v>6.7599999999999993E-2</v>
      </c>
      <c r="H229" s="10">
        <f t="shared" si="103"/>
        <v>1.7000000000000001E-2</v>
      </c>
      <c r="I229" s="49">
        <f t="shared" si="104"/>
        <v>8.4599999999999995E-2</v>
      </c>
      <c r="J229" s="11">
        <f t="shared" si="105"/>
        <v>20</v>
      </c>
      <c r="K229" s="11">
        <f>IF(B229&lt;&gt;"",IF($B$16=listy!$K$8,'RZĄDOWY PROGRAM'!$F$3*'RZĄDOWY PROGRAM'!$F$15,F228*$F$15),"")</f>
        <v>50</v>
      </c>
      <c r="L229" s="11">
        <f t="shared" si="112"/>
        <v>70</v>
      </c>
      <c r="N229" s="55">
        <f t="shared" si="125"/>
        <v>50861</v>
      </c>
      <c r="O229" s="8">
        <f t="shared" si="113"/>
        <v>202</v>
      </c>
      <c r="P229" s="8"/>
      <c r="Q229" s="33">
        <f>IF(O229&lt;&gt;"",ROUND(IF($F$11="raty równe",-PMT(W229/12,$F$4-O228+SUM($P$28:P229),T228,2),R229+S229),2),"")</f>
        <v>3461.18</v>
      </c>
      <c r="R229" s="11">
        <f>IF(O229&lt;&gt;"",IF($F$11="raty malejące",T228/($F$4-O228+SUM($P$28:P229)),IF(Q229-S229&gt;T228,T228,Q229-S229)),"")</f>
        <v>2487.8695623290387</v>
      </c>
      <c r="S229" s="11">
        <f t="shared" si="96"/>
        <v>973.31043767096116</v>
      </c>
      <c r="T229" s="9">
        <f t="shared" si="114"/>
        <v>135570.34854702718</v>
      </c>
      <c r="U229" s="10">
        <f t="shared" si="106"/>
        <v>6.7599999999999993E-2</v>
      </c>
      <c r="V229" s="10">
        <f t="shared" si="107"/>
        <v>1.7000000000000001E-2</v>
      </c>
      <c r="W229" s="49">
        <f t="shared" si="115"/>
        <v>8.4599999999999995E-2</v>
      </c>
      <c r="X229" s="11">
        <f t="shared" si="108"/>
        <v>20</v>
      </c>
      <c r="Y229" s="11">
        <f>IF(O229&lt;&gt;"",IF($B$16=listy!$K$8,'RZĄDOWY PROGRAM'!$F$3*'RZĄDOWY PROGRAM'!$F$15,T228*$F$15),"")</f>
        <v>50</v>
      </c>
      <c r="Z229" s="11">
        <f t="shared" si="116"/>
        <v>70</v>
      </c>
      <c r="AB229" s="8">
        <f t="shared" si="117"/>
        <v>202</v>
      </c>
      <c r="AC229" s="8"/>
      <c r="AD229" s="33">
        <f>IF(AB229&lt;&gt;"",ROUND(IF($F$11="raty równe",-PMT(W229/12,$F$4-AB228+SUM($AC$28:AC229),AG228,2),AE229+AF229),2),"")</f>
        <v>3227.69</v>
      </c>
      <c r="AE229" s="11">
        <f>IF(AB229&lt;&gt;"",IF($F$11="raty malejące",AG228/($F$4-AB228+SUM($AC$28:AC228)),MIN(AD229-AF229,AG228)),"")</f>
        <v>2320.0367406362961</v>
      </c>
      <c r="AF229" s="11">
        <f t="shared" si="97"/>
        <v>907.6532593637038</v>
      </c>
      <c r="AG229" s="9">
        <f t="shared" si="126"/>
        <v>126425.10643152028</v>
      </c>
      <c r="AH229" s="11"/>
      <c r="AI229" s="33">
        <f>IF(AB229&lt;&gt;"",ROUND(IF($F$11="raty równe",-PMT(W229/12,($F$4-AB228+SUM($AC$27:AC228)),AG228,2),AG228/($F$4-AB228+SUM($AC$27:AC228))+AG228*W229/12),2),"")</f>
        <v>3227.69</v>
      </c>
      <c r="AJ229" s="33">
        <f t="shared" si="118"/>
        <v>233.48999999999978</v>
      </c>
      <c r="AK229" s="33">
        <f t="shared" si="119"/>
        <v>63696.702458229061</v>
      </c>
      <c r="AL229" s="33">
        <f>IF(AB229&lt;&gt;"",AK229-SUM($AJ$28:AJ229),"")</f>
        <v>18208.622458229132</v>
      </c>
      <c r="AM229" s="11">
        <f t="shared" si="120"/>
        <v>20</v>
      </c>
      <c r="AN229" s="11">
        <f>IF(AB229&lt;&gt;"",IF($B$16=listy!$K$8,'RZĄDOWY PROGRAM'!$F$3*'RZĄDOWY PROGRAM'!$F$15,AG228*$F$15),"")</f>
        <v>50</v>
      </c>
      <c r="AO229" s="11">
        <f t="shared" si="121"/>
        <v>70</v>
      </c>
      <c r="AQ229" s="49">
        <f t="shared" si="109"/>
        <v>0.05</v>
      </c>
      <c r="AR229" s="18">
        <f t="shared" si="110"/>
        <v>4.0741237836483535E-3</v>
      </c>
      <c r="AS229" s="11">
        <f t="shared" si="122"/>
        <v>0</v>
      </c>
      <c r="AT229" s="11">
        <f t="shared" si="123"/>
        <v>52604.913350775874</v>
      </c>
      <c r="AU229" s="11">
        <f>IF(AB229&lt;&gt;"",AT229-SUM($AS$28:AS229),"")</f>
        <v>24915.513350775869</v>
      </c>
    </row>
    <row r="230" spans="1:47" ht="14.5" x14ac:dyDescent="0.35">
      <c r="A230" s="76">
        <f t="shared" si="124"/>
        <v>50891</v>
      </c>
      <c r="B230" s="8">
        <f t="shared" si="98"/>
        <v>203</v>
      </c>
      <c r="C230" s="11">
        <f t="shared" si="99"/>
        <v>3461.17</v>
      </c>
      <c r="D230" s="11">
        <f t="shared" si="100"/>
        <v>2650.2401234874401</v>
      </c>
      <c r="E230" s="11">
        <f t="shared" si="101"/>
        <v>810.92987651255999</v>
      </c>
      <c r="F230" s="9">
        <f t="shared" si="111"/>
        <v>112375.27427545725</v>
      </c>
      <c r="G230" s="10">
        <f t="shared" si="102"/>
        <v>6.7599999999999993E-2</v>
      </c>
      <c r="H230" s="10">
        <f t="shared" si="103"/>
        <v>1.7000000000000001E-2</v>
      </c>
      <c r="I230" s="49">
        <f t="shared" si="104"/>
        <v>8.4599999999999995E-2</v>
      </c>
      <c r="J230" s="11">
        <f t="shared" si="105"/>
        <v>20</v>
      </c>
      <c r="K230" s="11">
        <f>IF(B230&lt;&gt;"",IF($B$16=listy!$K$8,'RZĄDOWY PROGRAM'!$F$3*'RZĄDOWY PROGRAM'!$F$15,F229*$F$15),"")</f>
        <v>50</v>
      </c>
      <c r="L230" s="11">
        <f t="shared" si="112"/>
        <v>70</v>
      </c>
      <c r="N230" s="55">
        <f t="shared" si="125"/>
        <v>50891</v>
      </c>
      <c r="O230" s="8">
        <f t="shared" si="113"/>
        <v>203</v>
      </c>
      <c r="P230" s="8"/>
      <c r="Q230" s="33">
        <f>IF(O230&lt;&gt;"",ROUND(IF($F$11="raty równe",-PMT(W230/12,$F$4-O229+SUM($P$28:P230),T229,2),R230+S230),2),"")</f>
        <v>3461.17</v>
      </c>
      <c r="R230" s="11">
        <f>IF(O230&lt;&gt;"",IF($F$11="raty malejące",T229/($F$4-O229+SUM($P$28:P230)),IF(Q230-S230&gt;T229,T229,Q230-S230)),"")</f>
        <v>2505.3990427434583</v>
      </c>
      <c r="S230" s="11">
        <f t="shared" si="96"/>
        <v>955.77095725654169</v>
      </c>
      <c r="T230" s="9">
        <f t="shared" si="114"/>
        <v>133064.94950428372</v>
      </c>
      <c r="U230" s="10">
        <f t="shared" si="106"/>
        <v>6.7599999999999993E-2</v>
      </c>
      <c r="V230" s="10">
        <f t="shared" si="107"/>
        <v>1.7000000000000001E-2</v>
      </c>
      <c r="W230" s="49">
        <f t="shared" si="115"/>
        <v>8.4599999999999995E-2</v>
      </c>
      <c r="X230" s="11">
        <f t="shared" si="108"/>
        <v>20</v>
      </c>
      <c r="Y230" s="11">
        <f>IF(O230&lt;&gt;"",IF($B$16=listy!$K$8,'RZĄDOWY PROGRAM'!$F$3*'RZĄDOWY PROGRAM'!$F$15,T229*$F$15),"")</f>
        <v>50</v>
      </c>
      <c r="Z230" s="11">
        <f t="shared" si="116"/>
        <v>70</v>
      </c>
      <c r="AB230" s="8">
        <f t="shared" si="117"/>
        <v>203</v>
      </c>
      <c r="AC230" s="8"/>
      <c r="AD230" s="33">
        <f>IF(AB230&lt;&gt;"",ROUND(IF($F$11="raty równe",-PMT(W230/12,$F$4-AB229+SUM($AC$28:AC230),AG229,2),AE230+AF230),2),"")</f>
        <v>3227.7</v>
      </c>
      <c r="AE230" s="11">
        <f>IF(AB230&lt;&gt;"",IF($F$11="raty malejące",AG229/($F$4-AB229+SUM($AC$28:AC229)),MIN(AD230-AF230,AG229)),"")</f>
        <v>2336.4029996577819</v>
      </c>
      <c r="AF230" s="11">
        <f t="shared" si="97"/>
        <v>891.29700034221787</v>
      </c>
      <c r="AG230" s="9">
        <f t="shared" si="126"/>
        <v>124088.70343186249</v>
      </c>
      <c r="AH230" s="11"/>
      <c r="AI230" s="33">
        <f>IF(AB230&lt;&gt;"",ROUND(IF($F$11="raty równe",-PMT(W230/12,($F$4-AB229+SUM($AC$27:AC229)),AG229,2),AG229/($F$4-AB229+SUM($AC$27:AC229))+AG229*W230/12),2),"")</f>
        <v>3227.7</v>
      </c>
      <c r="AJ230" s="33">
        <f t="shared" si="118"/>
        <v>233.47000000000025</v>
      </c>
      <c r="AK230" s="33">
        <f t="shared" si="119"/>
        <v>64140.374141073349</v>
      </c>
      <c r="AL230" s="33">
        <f>IF(AB230&lt;&gt;"",AK230-SUM($AJ$28:AJ230),"")</f>
        <v>18418.824141073419</v>
      </c>
      <c r="AM230" s="11">
        <f t="shared" si="120"/>
        <v>20</v>
      </c>
      <c r="AN230" s="11">
        <f>IF(AB230&lt;&gt;"",IF($B$16=listy!$K$8,'RZĄDOWY PROGRAM'!$F$3*'RZĄDOWY PROGRAM'!$F$15,AG229*$F$15),"")</f>
        <v>50</v>
      </c>
      <c r="AO230" s="11">
        <f t="shared" si="121"/>
        <v>70</v>
      </c>
      <c r="AQ230" s="49">
        <f t="shared" si="109"/>
        <v>0.05</v>
      </c>
      <c r="AR230" s="18">
        <f t="shared" si="110"/>
        <v>4.0741237836483535E-3</v>
      </c>
      <c r="AS230" s="11">
        <f t="shared" si="122"/>
        <v>0</v>
      </c>
      <c r="AT230" s="11">
        <f t="shared" si="123"/>
        <v>52778.511682957389</v>
      </c>
      <c r="AU230" s="11">
        <f>IF(AB230&lt;&gt;"",AT230-SUM($AS$28:AS230),"")</f>
        <v>25089.111682957384</v>
      </c>
    </row>
    <row r="231" spans="1:47" ht="14.5" x14ac:dyDescent="0.35">
      <c r="A231" s="76">
        <f t="shared" si="124"/>
        <v>50922</v>
      </c>
      <c r="B231" s="8">
        <f t="shared" si="98"/>
        <v>204</v>
      </c>
      <c r="C231" s="11">
        <f t="shared" si="99"/>
        <v>3461.18</v>
      </c>
      <c r="D231" s="11">
        <f t="shared" si="100"/>
        <v>2668.9343163580261</v>
      </c>
      <c r="E231" s="11">
        <f t="shared" si="101"/>
        <v>792.24568364197364</v>
      </c>
      <c r="F231" s="9">
        <f t="shared" si="111"/>
        <v>109706.33995909923</v>
      </c>
      <c r="G231" s="10">
        <f t="shared" si="102"/>
        <v>6.7599999999999993E-2</v>
      </c>
      <c r="H231" s="10">
        <f t="shared" si="103"/>
        <v>1.7000000000000001E-2</v>
      </c>
      <c r="I231" s="49">
        <f t="shared" si="104"/>
        <v>8.4599999999999995E-2</v>
      </c>
      <c r="J231" s="11">
        <f t="shared" si="105"/>
        <v>20</v>
      </c>
      <c r="K231" s="11">
        <f>IF(B231&lt;&gt;"",IF($B$16=listy!$K$8,'RZĄDOWY PROGRAM'!$F$3*'RZĄDOWY PROGRAM'!$F$15,F230*$F$15),"")</f>
        <v>50</v>
      </c>
      <c r="L231" s="11">
        <f t="shared" si="112"/>
        <v>70</v>
      </c>
      <c r="N231" s="55">
        <f t="shared" si="125"/>
        <v>50922</v>
      </c>
      <c r="O231" s="8">
        <f t="shared" si="113"/>
        <v>204</v>
      </c>
      <c r="P231" s="8"/>
      <c r="Q231" s="33">
        <f>IF(O231&lt;&gt;"",ROUND(IF($F$11="raty równe",-PMT(W231/12,$F$4-O230+SUM($P$28:P231),T230,2),R231+S231),2),"")</f>
        <v>3461.18</v>
      </c>
      <c r="R231" s="11">
        <f>IF(O231&lt;&gt;"",IF($F$11="raty malejące",T230/($F$4-O230+SUM($P$28:P231)),IF(Q231-S231&gt;T230,T230,Q231-S231)),"")</f>
        <v>2523.0721059947996</v>
      </c>
      <c r="S231" s="11">
        <f t="shared" si="96"/>
        <v>938.10789400520025</v>
      </c>
      <c r="T231" s="9">
        <f t="shared" si="114"/>
        <v>130541.87739828893</v>
      </c>
      <c r="U231" s="10">
        <f t="shared" si="106"/>
        <v>6.7599999999999993E-2</v>
      </c>
      <c r="V231" s="10">
        <f t="shared" si="107"/>
        <v>1.7000000000000001E-2</v>
      </c>
      <c r="W231" s="49">
        <f t="shared" si="115"/>
        <v>8.4599999999999995E-2</v>
      </c>
      <c r="X231" s="11">
        <f t="shared" si="108"/>
        <v>20</v>
      </c>
      <c r="Y231" s="11">
        <f>IF(O231&lt;&gt;"",IF($B$16=listy!$K$8,'RZĄDOWY PROGRAM'!$F$3*'RZĄDOWY PROGRAM'!$F$15,T230*$F$15),"")</f>
        <v>50</v>
      </c>
      <c r="Z231" s="11">
        <f t="shared" si="116"/>
        <v>70</v>
      </c>
      <c r="AB231" s="8">
        <f t="shared" si="117"/>
        <v>204</v>
      </c>
      <c r="AC231" s="8"/>
      <c r="AD231" s="33">
        <f>IF(AB231&lt;&gt;"",ROUND(IF($F$11="raty równe",-PMT(W231/12,$F$4-AB230+SUM($AC$28:AC231),AG230,2),AE231+AF231),2),"")</f>
        <v>3227.69</v>
      </c>
      <c r="AE231" s="11">
        <f>IF(AB231&lt;&gt;"",IF($F$11="raty malejące",AG230/($F$4-AB230+SUM($AC$28:AC230)),MIN(AD231-AF231,AG230)),"")</f>
        <v>2352.8646408053696</v>
      </c>
      <c r="AF231" s="11">
        <f t="shared" si="97"/>
        <v>874.82535919463055</v>
      </c>
      <c r="AG231" s="9">
        <f t="shared" si="126"/>
        <v>121735.83879105712</v>
      </c>
      <c r="AH231" s="11"/>
      <c r="AI231" s="33">
        <f>IF(AB231&lt;&gt;"",ROUND(IF($F$11="raty równe",-PMT(W231/12,($F$4-AB230+SUM($AC$27:AC230)),AG230,2),AG230/($F$4-AB230+SUM($AC$27:AC230))+AG230*W231/12),2),"")</f>
        <v>3227.69</v>
      </c>
      <c r="AJ231" s="33">
        <f t="shared" si="118"/>
        <v>233.48999999999978</v>
      </c>
      <c r="AK231" s="33">
        <f t="shared" si="119"/>
        <v>64585.529958335348</v>
      </c>
      <c r="AL231" s="33">
        <f>IF(AB231&lt;&gt;"",AK231-SUM($AJ$28:AJ231),"")</f>
        <v>18630.48995833542</v>
      </c>
      <c r="AM231" s="11">
        <f t="shared" si="120"/>
        <v>20</v>
      </c>
      <c r="AN231" s="11">
        <f>IF(AB231&lt;&gt;"",IF($B$16=listy!$K$8,'RZĄDOWY PROGRAM'!$F$3*'RZĄDOWY PROGRAM'!$F$15,AG230*$F$15),"")</f>
        <v>50</v>
      </c>
      <c r="AO231" s="11">
        <f t="shared" si="121"/>
        <v>70</v>
      </c>
      <c r="AQ231" s="49">
        <f t="shared" si="109"/>
        <v>0.05</v>
      </c>
      <c r="AR231" s="18">
        <f t="shared" si="110"/>
        <v>4.0741237836483535E-3</v>
      </c>
      <c r="AS231" s="11">
        <f t="shared" si="122"/>
        <v>0</v>
      </c>
      <c r="AT231" s="11">
        <f t="shared" si="123"/>
        <v>52952.682896624996</v>
      </c>
      <c r="AU231" s="11">
        <f>IF(AB231&lt;&gt;"",AT231-SUM($AS$28:AS231),"")</f>
        <v>25263.282896624991</v>
      </c>
    </row>
    <row r="232" spans="1:47" ht="14.5" x14ac:dyDescent="0.35">
      <c r="A232" s="76">
        <f t="shared" si="124"/>
        <v>50952</v>
      </c>
      <c r="B232" s="8">
        <f t="shared" si="98"/>
        <v>205</v>
      </c>
      <c r="C232" s="11">
        <f t="shared" si="99"/>
        <v>3461.17</v>
      </c>
      <c r="D232" s="11">
        <f t="shared" si="100"/>
        <v>2687.7403032883503</v>
      </c>
      <c r="E232" s="11">
        <f t="shared" si="101"/>
        <v>773.42969671164963</v>
      </c>
      <c r="F232" s="9">
        <f t="shared" si="111"/>
        <v>107018.59965581089</v>
      </c>
      <c r="G232" s="10">
        <f t="shared" si="102"/>
        <v>6.7599999999999993E-2</v>
      </c>
      <c r="H232" s="10">
        <f t="shared" si="103"/>
        <v>1.7000000000000001E-2</v>
      </c>
      <c r="I232" s="49">
        <f t="shared" si="104"/>
        <v>8.4599999999999995E-2</v>
      </c>
      <c r="J232" s="11">
        <f t="shared" si="105"/>
        <v>20</v>
      </c>
      <c r="K232" s="11">
        <f>IF(B232&lt;&gt;"",IF($B$16=listy!$K$8,'RZĄDOWY PROGRAM'!$F$3*'RZĄDOWY PROGRAM'!$F$15,F231*$F$15),"")</f>
        <v>50</v>
      </c>
      <c r="L232" s="11">
        <f t="shared" si="112"/>
        <v>70</v>
      </c>
      <c r="N232" s="55">
        <f t="shared" si="125"/>
        <v>50952</v>
      </c>
      <c r="O232" s="8">
        <f t="shared" si="113"/>
        <v>205</v>
      </c>
      <c r="P232" s="8"/>
      <c r="Q232" s="33">
        <f>IF(O232&lt;&gt;"",ROUND(IF($F$11="raty równe",-PMT(W232/12,$F$4-O231+SUM($P$28:P232),T231,2),R232+S232),2),"")</f>
        <v>3461.17</v>
      </c>
      <c r="R232" s="11">
        <f>IF(O232&lt;&gt;"",IF($F$11="raty malejące",T231/($F$4-O231+SUM($P$28:P232)),IF(Q232-S232&gt;T231,T231,Q232-S232)),"")</f>
        <v>2540.8497643420633</v>
      </c>
      <c r="S232" s="11">
        <f t="shared" si="96"/>
        <v>920.32023565793679</v>
      </c>
      <c r="T232" s="9">
        <f t="shared" si="114"/>
        <v>128001.02763394685</v>
      </c>
      <c r="U232" s="10">
        <f t="shared" si="106"/>
        <v>6.7599999999999993E-2</v>
      </c>
      <c r="V232" s="10">
        <f t="shared" si="107"/>
        <v>1.7000000000000001E-2</v>
      </c>
      <c r="W232" s="49">
        <f t="shared" si="115"/>
        <v>8.4599999999999995E-2</v>
      </c>
      <c r="X232" s="11">
        <f t="shared" si="108"/>
        <v>20</v>
      </c>
      <c r="Y232" s="11">
        <f>IF(O232&lt;&gt;"",IF($B$16=listy!$K$8,'RZĄDOWY PROGRAM'!$F$3*'RZĄDOWY PROGRAM'!$F$15,T231*$F$15),"")</f>
        <v>50</v>
      </c>
      <c r="Z232" s="11">
        <f t="shared" si="116"/>
        <v>70</v>
      </c>
      <c r="AB232" s="8">
        <f t="shared" si="117"/>
        <v>205</v>
      </c>
      <c r="AC232" s="8"/>
      <c r="AD232" s="33">
        <f>IF(AB232&lt;&gt;"",ROUND(IF($F$11="raty równe",-PMT(W232/12,$F$4-AB231+SUM($AC$28:AC232),AG231,2),AE232+AF232),2),"")</f>
        <v>3227.7</v>
      </c>
      <c r="AE232" s="11">
        <f>IF(AB232&lt;&gt;"",IF($F$11="raty malejące",AG231/($F$4-AB231+SUM($AC$28:AC231)),MIN(AD232-AF232,AG231)),"")</f>
        <v>2369.4623365230473</v>
      </c>
      <c r="AF232" s="11">
        <f t="shared" si="97"/>
        <v>858.23766347695266</v>
      </c>
      <c r="AG232" s="9">
        <f t="shared" si="126"/>
        <v>119366.37645453407</v>
      </c>
      <c r="AH232" s="11"/>
      <c r="AI232" s="33">
        <f>IF(AB232&lt;&gt;"",ROUND(IF($F$11="raty równe",-PMT(W232/12,($F$4-AB231+SUM($AC$27:AC231)),AG231,2),AG231/($F$4-AB231+SUM($AC$27:AC231))+AG231*W232/12),2),"")</f>
        <v>3227.7</v>
      </c>
      <c r="AJ232" s="33">
        <f t="shared" si="118"/>
        <v>233.47000000000025</v>
      </c>
      <c r="AK232" s="33">
        <f t="shared" si="119"/>
        <v>65032.134807718408</v>
      </c>
      <c r="AL232" s="33">
        <f>IF(AB232&lt;&gt;"",AK232-SUM($AJ$28:AJ232),"")</f>
        <v>18843.624807718479</v>
      </c>
      <c r="AM232" s="11">
        <f t="shared" si="120"/>
        <v>20</v>
      </c>
      <c r="AN232" s="11">
        <f>IF(AB232&lt;&gt;"",IF($B$16=listy!$K$8,'RZĄDOWY PROGRAM'!$F$3*'RZĄDOWY PROGRAM'!$F$15,AG231*$F$15),"")</f>
        <v>50</v>
      </c>
      <c r="AO232" s="11">
        <f t="shared" si="121"/>
        <v>70</v>
      </c>
      <c r="AQ232" s="49">
        <f t="shared" si="109"/>
        <v>0.05</v>
      </c>
      <c r="AR232" s="18">
        <f t="shared" si="110"/>
        <v>4.0741237836483535E-3</v>
      </c>
      <c r="AS232" s="11">
        <f t="shared" si="122"/>
        <v>0</v>
      </c>
      <c r="AT232" s="11">
        <f t="shared" si="123"/>
        <v>53127.428882310669</v>
      </c>
      <c r="AU232" s="11">
        <f>IF(AB232&lt;&gt;"",AT232-SUM($AS$28:AS232),"")</f>
        <v>25438.028882310664</v>
      </c>
    </row>
    <row r="233" spans="1:47" ht="14.5" x14ac:dyDescent="0.35">
      <c r="A233" s="76">
        <f t="shared" si="124"/>
        <v>50983</v>
      </c>
      <c r="B233" s="8">
        <f t="shared" si="98"/>
        <v>206</v>
      </c>
      <c r="C233" s="11">
        <f t="shared" si="99"/>
        <v>3461.18</v>
      </c>
      <c r="D233" s="11">
        <f t="shared" si="100"/>
        <v>2706.6988724265329</v>
      </c>
      <c r="E233" s="11">
        <f t="shared" si="101"/>
        <v>754.48112757346678</v>
      </c>
      <c r="F233" s="9">
        <f t="shared" si="111"/>
        <v>104311.90078338435</v>
      </c>
      <c r="G233" s="10">
        <f t="shared" si="102"/>
        <v>6.7599999999999993E-2</v>
      </c>
      <c r="H233" s="10">
        <f t="shared" si="103"/>
        <v>1.7000000000000001E-2</v>
      </c>
      <c r="I233" s="49">
        <f t="shared" si="104"/>
        <v>8.4599999999999995E-2</v>
      </c>
      <c r="J233" s="11">
        <f t="shared" si="105"/>
        <v>20</v>
      </c>
      <c r="K233" s="11">
        <f>IF(B233&lt;&gt;"",IF($B$16=listy!$K$8,'RZĄDOWY PROGRAM'!$F$3*'RZĄDOWY PROGRAM'!$F$15,F232*$F$15),"")</f>
        <v>50</v>
      </c>
      <c r="L233" s="11">
        <f t="shared" si="112"/>
        <v>70</v>
      </c>
      <c r="N233" s="55">
        <f t="shared" si="125"/>
        <v>50983</v>
      </c>
      <c r="O233" s="8">
        <f t="shared" si="113"/>
        <v>206</v>
      </c>
      <c r="P233" s="8"/>
      <c r="Q233" s="33">
        <f>IF(O233&lt;&gt;"",ROUND(IF($F$11="raty równe",-PMT(W233/12,$F$4-O232+SUM($P$28:P233),T232,2),R233+S233),2),"")</f>
        <v>3461.18</v>
      </c>
      <c r="R233" s="11">
        <f>IF(O233&lt;&gt;"",IF($F$11="raty malejące",T232/($F$4-O232+SUM($P$28:P233)),IF(Q233-S233&gt;T232,T232,Q233-S233)),"")</f>
        <v>2558.7727551806747</v>
      </c>
      <c r="S233" s="11">
        <f t="shared" si="96"/>
        <v>902.40724481932523</v>
      </c>
      <c r="T233" s="9">
        <f t="shared" si="114"/>
        <v>125442.25487876618</v>
      </c>
      <c r="U233" s="10">
        <f t="shared" si="106"/>
        <v>6.7599999999999993E-2</v>
      </c>
      <c r="V233" s="10">
        <f t="shared" si="107"/>
        <v>1.7000000000000001E-2</v>
      </c>
      <c r="W233" s="49">
        <f t="shared" si="115"/>
        <v>8.4599999999999995E-2</v>
      </c>
      <c r="X233" s="11">
        <f t="shared" si="108"/>
        <v>20</v>
      </c>
      <c r="Y233" s="11">
        <f>IF(O233&lt;&gt;"",IF($B$16=listy!$K$8,'RZĄDOWY PROGRAM'!$F$3*'RZĄDOWY PROGRAM'!$F$15,T232*$F$15),"")</f>
        <v>50</v>
      </c>
      <c r="Z233" s="11">
        <f t="shared" si="116"/>
        <v>70</v>
      </c>
      <c r="AB233" s="8">
        <f t="shared" si="117"/>
        <v>206</v>
      </c>
      <c r="AC233" s="8"/>
      <c r="AD233" s="33">
        <f>IF(AB233&lt;&gt;"",ROUND(IF($F$11="raty równe",-PMT(W233/12,$F$4-AB232+SUM($AC$28:AC233),AG232,2),AE233+AF233),2),"")</f>
        <v>3227.69</v>
      </c>
      <c r="AE233" s="11">
        <f>IF(AB233&lt;&gt;"",IF($F$11="raty malejące",AG232/($F$4-AB232+SUM($AC$28:AC232)),MIN(AD233-AF233,AG232)),"")</f>
        <v>2386.1570459955351</v>
      </c>
      <c r="AF233" s="11">
        <f t="shared" si="97"/>
        <v>841.53295400446507</v>
      </c>
      <c r="AG233" s="9">
        <f t="shared" si="126"/>
        <v>116980.21940853853</v>
      </c>
      <c r="AH233" s="11"/>
      <c r="AI233" s="33">
        <f>IF(AB233&lt;&gt;"",ROUND(IF($F$11="raty równe",-PMT(W233/12,($F$4-AB232+SUM($AC$27:AC232)),AG232,2),AG232/($F$4-AB232+SUM($AC$27:AC232))+AG232*W233/12),2),"")</f>
        <v>3227.69</v>
      </c>
      <c r="AJ233" s="33">
        <f t="shared" si="118"/>
        <v>233.48999999999978</v>
      </c>
      <c r="AK233" s="33">
        <f t="shared" si="119"/>
        <v>65480.23347108686</v>
      </c>
      <c r="AL233" s="33">
        <f>IF(AB233&lt;&gt;"",AK233-SUM($AJ$28:AJ233),"")</f>
        <v>19058.233471086933</v>
      </c>
      <c r="AM233" s="11">
        <f t="shared" si="120"/>
        <v>20</v>
      </c>
      <c r="AN233" s="11">
        <f>IF(AB233&lt;&gt;"",IF($B$16=listy!$K$8,'RZĄDOWY PROGRAM'!$F$3*'RZĄDOWY PROGRAM'!$F$15,AG232*$F$15),"")</f>
        <v>50</v>
      </c>
      <c r="AO233" s="11">
        <f t="shared" si="121"/>
        <v>70</v>
      </c>
      <c r="AQ233" s="49">
        <f t="shared" si="109"/>
        <v>0.05</v>
      </c>
      <c r="AR233" s="18">
        <f t="shared" si="110"/>
        <v>4.0741237836483535E-3</v>
      </c>
      <c r="AS233" s="11">
        <f t="shared" si="122"/>
        <v>0</v>
      </c>
      <c r="AT233" s="11">
        <f t="shared" si="123"/>
        <v>53302.75153678521</v>
      </c>
      <c r="AU233" s="11">
        <f>IF(AB233&lt;&gt;"",AT233-SUM($AS$28:AS233),"")</f>
        <v>25613.351536785205</v>
      </c>
    </row>
    <row r="234" spans="1:47" ht="14.5" x14ac:dyDescent="0.35">
      <c r="A234" s="76">
        <f t="shared" si="124"/>
        <v>51014</v>
      </c>
      <c r="B234" s="8">
        <f t="shared" si="98"/>
        <v>207</v>
      </c>
      <c r="C234" s="11">
        <f t="shared" si="99"/>
        <v>3461.17</v>
      </c>
      <c r="D234" s="11">
        <f t="shared" si="100"/>
        <v>2725.7710994771405</v>
      </c>
      <c r="E234" s="11">
        <f t="shared" si="101"/>
        <v>735.39890052285955</v>
      </c>
      <c r="F234" s="9">
        <f t="shared" si="111"/>
        <v>101586.1296839072</v>
      </c>
      <c r="G234" s="10">
        <f t="shared" si="102"/>
        <v>6.7599999999999993E-2</v>
      </c>
      <c r="H234" s="10">
        <f t="shared" si="103"/>
        <v>1.7000000000000001E-2</v>
      </c>
      <c r="I234" s="49">
        <f t="shared" si="104"/>
        <v>8.4599999999999995E-2</v>
      </c>
      <c r="J234" s="11">
        <f t="shared" si="105"/>
        <v>20</v>
      </c>
      <c r="K234" s="11">
        <f>IF(B234&lt;&gt;"",IF($B$16=listy!$K$8,'RZĄDOWY PROGRAM'!$F$3*'RZĄDOWY PROGRAM'!$F$15,F233*$F$15),"")</f>
        <v>50</v>
      </c>
      <c r="L234" s="11">
        <f t="shared" si="112"/>
        <v>70</v>
      </c>
      <c r="N234" s="55">
        <f t="shared" si="125"/>
        <v>51014</v>
      </c>
      <c r="O234" s="8">
        <f t="shared" si="113"/>
        <v>207</v>
      </c>
      <c r="P234" s="8"/>
      <c r="Q234" s="33">
        <f>IF(O234&lt;&gt;"",ROUND(IF($F$11="raty równe",-PMT(W234/12,$F$4-O233+SUM($P$28:P234),T233,2),R234+S234),2),"")</f>
        <v>3461.17</v>
      </c>
      <c r="R234" s="11">
        <f>IF(O234&lt;&gt;"",IF($F$11="raty malejące",T233/($F$4-O233+SUM($P$28:P234)),IF(Q234-S234&gt;T233,T233,Q234-S234)),"")</f>
        <v>2576.8021031046987</v>
      </c>
      <c r="S234" s="11">
        <f t="shared" si="96"/>
        <v>884.36789689530144</v>
      </c>
      <c r="T234" s="9">
        <f t="shared" si="114"/>
        <v>122865.45277566148</v>
      </c>
      <c r="U234" s="10">
        <f t="shared" si="106"/>
        <v>6.7599999999999993E-2</v>
      </c>
      <c r="V234" s="10">
        <f t="shared" si="107"/>
        <v>1.7000000000000001E-2</v>
      </c>
      <c r="W234" s="49">
        <f t="shared" si="115"/>
        <v>8.4599999999999995E-2</v>
      </c>
      <c r="X234" s="11">
        <f t="shared" si="108"/>
        <v>20</v>
      </c>
      <c r="Y234" s="11">
        <f>IF(O234&lt;&gt;"",IF($B$16=listy!$K$8,'RZĄDOWY PROGRAM'!$F$3*'RZĄDOWY PROGRAM'!$F$15,T233*$F$15),"")</f>
        <v>50</v>
      </c>
      <c r="Z234" s="11">
        <f t="shared" si="116"/>
        <v>70</v>
      </c>
      <c r="AB234" s="8">
        <f t="shared" si="117"/>
        <v>207</v>
      </c>
      <c r="AC234" s="8"/>
      <c r="AD234" s="33">
        <f>IF(AB234&lt;&gt;"",ROUND(IF($F$11="raty równe",-PMT(W234/12,$F$4-AB233+SUM($AC$28:AC234),AG233,2),AE234+AF234),2),"")</f>
        <v>3227.7</v>
      </c>
      <c r="AE234" s="11">
        <f>IF(AB234&lt;&gt;"",IF($F$11="raty malejące",AG233/($F$4-AB233+SUM($AC$28:AC233)),MIN(AD234-AF234,AG233)),"")</f>
        <v>2402.9894531698033</v>
      </c>
      <c r="AF234" s="11">
        <f t="shared" si="97"/>
        <v>824.71054683019656</v>
      </c>
      <c r="AG234" s="9">
        <f t="shared" si="126"/>
        <v>114577.22995536872</v>
      </c>
      <c r="AH234" s="11"/>
      <c r="AI234" s="33">
        <f>IF(AB234&lt;&gt;"",ROUND(IF($F$11="raty równe",-PMT(W234/12,($F$4-AB233+SUM($AC$27:AC233)),AG233,2),AG233/($F$4-AB233+SUM($AC$27:AC233))+AG233*W234/12),2),"")</f>
        <v>3227.7</v>
      </c>
      <c r="AJ234" s="33">
        <f t="shared" si="118"/>
        <v>233.47000000000025</v>
      </c>
      <c r="AK234" s="33">
        <f t="shared" si="119"/>
        <v>65929.79087808702</v>
      </c>
      <c r="AL234" s="33">
        <f>IF(AB234&lt;&gt;"",AK234-SUM($AJ$28:AJ234),"")</f>
        <v>19274.320878087092</v>
      </c>
      <c r="AM234" s="11">
        <f t="shared" si="120"/>
        <v>20</v>
      </c>
      <c r="AN234" s="11">
        <f>IF(AB234&lt;&gt;"",IF($B$16=listy!$K$8,'RZĄDOWY PROGRAM'!$F$3*'RZĄDOWY PROGRAM'!$F$15,AG233*$F$15),"")</f>
        <v>50</v>
      </c>
      <c r="AO234" s="11">
        <f t="shared" si="121"/>
        <v>70</v>
      </c>
      <c r="AQ234" s="49">
        <f t="shared" si="109"/>
        <v>0.05</v>
      </c>
      <c r="AR234" s="18">
        <f t="shared" si="110"/>
        <v>4.0741237836483535E-3</v>
      </c>
      <c r="AS234" s="11">
        <f t="shared" si="122"/>
        <v>0</v>
      </c>
      <c r="AT234" s="11">
        <f t="shared" si="123"/>
        <v>53478.652763078841</v>
      </c>
      <c r="AU234" s="11">
        <f>IF(AB234&lt;&gt;"",AT234-SUM($AS$28:AS234),"")</f>
        <v>25789.252763078835</v>
      </c>
    </row>
    <row r="235" spans="1:47" ht="14.5" x14ac:dyDescent="0.35">
      <c r="A235" s="76">
        <f t="shared" si="124"/>
        <v>51044</v>
      </c>
      <c r="B235" s="8">
        <f t="shared" si="98"/>
        <v>208</v>
      </c>
      <c r="C235" s="11">
        <f t="shared" si="99"/>
        <v>3461.18</v>
      </c>
      <c r="D235" s="11">
        <f t="shared" si="100"/>
        <v>2744.9977857284539</v>
      </c>
      <c r="E235" s="11">
        <f t="shared" si="101"/>
        <v>716.18221427154583</v>
      </c>
      <c r="F235" s="9">
        <f t="shared" si="111"/>
        <v>98841.131898178748</v>
      </c>
      <c r="G235" s="10">
        <f t="shared" si="102"/>
        <v>6.7599999999999993E-2</v>
      </c>
      <c r="H235" s="10">
        <f t="shared" si="103"/>
        <v>1.7000000000000001E-2</v>
      </c>
      <c r="I235" s="49">
        <f t="shared" si="104"/>
        <v>8.4599999999999995E-2</v>
      </c>
      <c r="J235" s="11">
        <f t="shared" si="105"/>
        <v>20</v>
      </c>
      <c r="K235" s="11">
        <f>IF(B235&lt;&gt;"",IF($B$16=listy!$K$8,'RZĄDOWY PROGRAM'!$F$3*'RZĄDOWY PROGRAM'!$F$15,F234*$F$15),"")</f>
        <v>50</v>
      </c>
      <c r="L235" s="11">
        <f t="shared" si="112"/>
        <v>70</v>
      </c>
      <c r="N235" s="55">
        <f t="shared" si="125"/>
        <v>51044</v>
      </c>
      <c r="O235" s="8">
        <f t="shared" si="113"/>
        <v>208</v>
      </c>
      <c r="P235" s="8"/>
      <c r="Q235" s="33">
        <f>IF(O235&lt;&gt;"",ROUND(IF($F$11="raty równe",-PMT(W235/12,$F$4-O234+SUM($P$28:P235),T234,2),R235+S235),2),"")</f>
        <v>3461.18</v>
      </c>
      <c r="R235" s="11">
        <f>IF(O235&lt;&gt;"",IF($F$11="raty malejące",T234/($F$4-O234+SUM($P$28:P235)),IF(Q235-S235&gt;T234,T234,Q235-S235)),"")</f>
        <v>2594.9785579315862</v>
      </c>
      <c r="S235" s="11">
        <f t="shared" si="96"/>
        <v>866.20144206841348</v>
      </c>
      <c r="T235" s="9">
        <f t="shared" si="114"/>
        <v>120270.4742177299</v>
      </c>
      <c r="U235" s="10">
        <f t="shared" si="106"/>
        <v>6.7599999999999993E-2</v>
      </c>
      <c r="V235" s="10">
        <f t="shared" si="107"/>
        <v>1.7000000000000001E-2</v>
      </c>
      <c r="W235" s="49">
        <f t="shared" si="115"/>
        <v>8.4599999999999995E-2</v>
      </c>
      <c r="X235" s="11">
        <f t="shared" si="108"/>
        <v>20</v>
      </c>
      <c r="Y235" s="11">
        <f>IF(O235&lt;&gt;"",IF($B$16=listy!$K$8,'RZĄDOWY PROGRAM'!$F$3*'RZĄDOWY PROGRAM'!$F$15,T234*$F$15),"")</f>
        <v>50</v>
      </c>
      <c r="Z235" s="11">
        <f t="shared" si="116"/>
        <v>70</v>
      </c>
      <c r="AB235" s="8">
        <f t="shared" si="117"/>
        <v>208</v>
      </c>
      <c r="AC235" s="8"/>
      <c r="AD235" s="33">
        <f>IF(AB235&lt;&gt;"",ROUND(IF($F$11="raty równe",-PMT(W235/12,$F$4-AB234+SUM($AC$28:AC235),AG234,2),AE235+AF235),2),"")</f>
        <v>3227.69</v>
      </c>
      <c r="AE235" s="11">
        <f>IF(AB235&lt;&gt;"",IF($F$11="raty malejące",AG234/($F$4-AB234+SUM($AC$28:AC234)),MIN(AD235-AF235,AG234)),"")</f>
        <v>2419.9205288146504</v>
      </c>
      <c r="AF235" s="11">
        <f t="shared" si="97"/>
        <v>807.76947118534952</v>
      </c>
      <c r="AG235" s="9">
        <f t="shared" si="126"/>
        <v>112157.30942655407</v>
      </c>
      <c r="AH235" s="11"/>
      <c r="AI235" s="33">
        <f>IF(AB235&lt;&gt;"",ROUND(IF($F$11="raty równe",-PMT(W235/12,($F$4-AB234+SUM($AC$27:AC234)),AG234,2),AG234/($F$4-AB234+SUM($AC$27:AC234))+AG234*W235/12),2),"")</f>
        <v>3227.69</v>
      </c>
      <c r="AJ235" s="33">
        <f t="shared" si="118"/>
        <v>233.48999999999978</v>
      </c>
      <c r="AK235" s="33">
        <f t="shared" si="119"/>
        <v>66380.8518426316</v>
      </c>
      <c r="AL235" s="33">
        <f>IF(AB235&lt;&gt;"",AK235-SUM($AJ$28:AJ235),"")</f>
        <v>19491.891842631674</v>
      </c>
      <c r="AM235" s="11">
        <f t="shared" si="120"/>
        <v>20</v>
      </c>
      <c r="AN235" s="11">
        <f>IF(AB235&lt;&gt;"",IF($B$16=listy!$K$8,'RZĄDOWY PROGRAM'!$F$3*'RZĄDOWY PROGRAM'!$F$15,AG234*$F$15),"")</f>
        <v>50</v>
      </c>
      <c r="AO235" s="11">
        <f t="shared" si="121"/>
        <v>70</v>
      </c>
      <c r="AQ235" s="49">
        <f t="shared" si="109"/>
        <v>0.05</v>
      </c>
      <c r="AR235" s="18">
        <f t="shared" si="110"/>
        <v>4.0741237836483535E-3</v>
      </c>
      <c r="AS235" s="11">
        <f t="shared" si="122"/>
        <v>0</v>
      </c>
      <c r="AT235" s="11">
        <f t="shared" si="123"/>
        <v>53655.134470501864</v>
      </c>
      <c r="AU235" s="11">
        <f>IF(AB235&lt;&gt;"",AT235-SUM($AS$28:AS235),"")</f>
        <v>25965.734470501859</v>
      </c>
    </row>
    <row r="236" spans="1:47" ht="14.5" x14ac:dyDescent="0.35">
      <c r="A236" s="76">
        <f t="shared" si="124"/>
        <v>51075</v>
      </c>
      <c r="B236" s="8">
        <f t="shared" si="98"/>
        <v>209</v>
      </c>
      <c r="C236" s="11">
        <f t="shared" si="99"/>
        <v>3461.17</v>
      </c>
      <c r="D236" s="11">
        <f t="shared" si="100"/>
        <v>2764.3400201178401</v>
      </c>
      <c r="E236" s="11">
        <f t="shared" si="101"/>
        <v>696.82997988216005</v>
      </c>
      <c r="F236" s="9">
        <f t="shared" si="111"/>
        <v>96076.791878060903</v>
      </c>
      <c r="G236" s="10">
        <f t="shared" si="102"/>
        <v>6.7599999999999993E-2</v>
      </c>
      <c r="H236" s="10">
        <f t="shared" si="103"/>
        <v>1.7000000000000001E-2</v>
      </c>
      <c r="I236" s="49">
        <f t="shared" si="104"/>
        <v>8.4599999999999995E-2</v>
      </c>
      <c r="J236" s="11">
        <f t="shared" si="105"/>
        <v>20</v>
      </c>
      <c r="K236" s="11">
        <f>IF(B236&lt;&gt;"",IF($B$16=listy!$K$8,'RZĄDOWY PROGRAM'!$F$3*'RZĄDOWY PROGRAM'!$F$15,F235*$F$15),"")</f>
        <v>50</v>
      </c>
      <c r="L236" s="11">
        <f t="shared" si="112"/>
        <v>70</v>
      </c>
      <c r="N236" s="55">
        <f t="shared" si="125"/>
        <v>51075</v>
      </c>
      <c r="O236" s="8">
        <f t="shared" si="113"/>
        <v>209</v>
      </c>
      <c r="P236" s="8"/>
      <c r="Q236" s="33">
        <f>IF(O236&lt;&gt;"",ROUND(IF($F$11="raty równe",-PMT(W236/12,$F$4-O235+SUM($P$28:P236),T235,2),R236+S236),2),"")</f>
        <v>3461.17</v>
      </c>
      <c r="R236" s="11">
        <f>IF(O236&lt;&gt;"",IF($F$11="raty malejące",T235/($F$4-O235+SUM($P$28:P236)),IF(Q236-S236&gt;T235,T235,Q236-S236)),"")</f>
        <v>2613.2631567650042</v>
      </c>
      <c r="S236" s="11">
        <f t="shared" ref="S236:S266" si="127">IF(O236&lt;&gt;"",T235*W236/12,"")</f>
        <v>847.90684323499579</v>
      </c>
      <c r="T236" s="9">
        <f t="shared" si="114"/>
        <v>117657.2110609649</v>
      </c>
      <c r="U236" s="10">
        <f t="shared" si="106"/>
        <v>6.7599999999999993E-2</v>
      </c>
      <c r="V236" s="10">
        <f t="shared" si="107"/>
        <v>1.7000000000000001E-2</v>
      </c>
      <c r="W236" s="49">
        <f t="shared" si="115"/>
        <v>8.4599999999999995E-2</v>
      </c>
      <c r="X236" s="11">
        <f t="shared" si="108"/>
        <v>20</v>
      </c>
      <c r="Y236" s="11">
        <f>IF(O236&lt;&gt;"",IF($B$16=listy!$K$8,'RZĄDOWY PROGRAM'!$F$3*'RZĄDOWY PROGRAM'!$F$15,T235*$F$15),"")</f>
        <v>50</v>
      </c>
      <c r="Z236" s="11">
        <f t="shared" si="116"/>
        <v>70</v>
      </c>
      <c r="AB236" s="8">
        <f t="shared" si="117"/>
        <v>209</v>
      </c>
      <c r="AC236" s="8"/>
      <c r="AD236" s="33">
        <f>IF(AB236&lt;&gt;"",ROUND(IF($F$11="raty równe",-PMT(W236/12,$F$4-AB235+SUM($AC$28:AC236),AG235,2),AE236+AF236),2),"")</f>
        <v>3227.7</v>
      </c>
      <c r="AE236" s="11">
        <f>IF(AB236&lt;&gt;"",IF($F$11="raty malejące",AG235/($F$4-AB235+SUM($AC$28:AC235)),MIN(AD236-AF236,AG235)),"")</f>
        <v>2436.9909685427938</v>
      </c>
      <c r="AF236" s="11">
        <f t="shared" ref="AF236:AF299" si="128">IF(AB236&lt;&gt;"",AG235*W236/12,"")</f>
        <v>790.70903145720615</v>
      </c>
      <c r="AG236" s="9">
        <f t="shared" si="126"/>
        <v>109720.31845801127</v>
      </c>
      <c r="AH236" s="11"/>
      <c r="AI236" s="33">
        <f>IF(AB236&lt;&gt;"",ROUND(IF($F$11="raty równe",-PMT(W236/12,($F$4-AB235+SUM($AC$27:AC235)),AG235,2),AG235/($F$4-AB235+SUM($AC$27:AC235))+AG235*W236/12),2),"")</f>
        <v>3227.7</v>
      </c>
      <c r="AJ236" s="33">
        <f t="shared" si="118"/>
        <v>233.47000000000025</v>
      </c>
      <c r="AK236" s="33">
        <f t="shared" si="119"/>
        <v>66833.381326521034</v>
      </c>
      <c r="AL236" s="33">
        <f>IF(AB236&lt;&gt;"",AK236-SUM($AJ$28:AJ236),"")</f>
        <v>19710.951326521106</v>
      </c>
      <c r="AM236" s="11">
        <f t="shared" si="120"/>
        <v>20</v>
      </c>
      <c r="AN236" s="11">
        <f>IF(AB236&lt;&gt;"",IF($B$16=listy!$K$8,'RZĄDOWY PROGRAM'!$F$3*'RZĄDOWY PROGRAM'!$F$15,AG235*$F$15),"")</f>
        <v>50</v>
      </c>
      <c r="AO236" s="11">
        <f t="shared" si="121"/>
        <v>70</v>
      </c>
      <c r="AQ236" s="49">
        <f t="shared" si="109"/>
        <v>0.05</v>
      </c>
      <c r="AR236" s="18">
        <f t="shared" si="110"/>
        <v>4.0741237836483535E-3</v>
      </c>
      <c r="AS236" s="11">
        <f t="shared" si="122"/>
        <v>0</v>
      </c>
      <c r="AT236" s="11">
        <f t="shared" si="123"/>
        <v>53832.198574665374</v>
      </c>
      <c r="AU236" s="11">
        <f>IF(AB236&lt;&gt;"",AT236-SUM($AS$28:AS236),"")</f>
        <v>26142.798574665369</v>
      </c>
    </row>
    <row r="237" spans="1:47" ht="14.5" x14ac:dyDescent="0.35">
      <c r="A237" s="76">
        <f t="shared" si="124"/>
        <v>51105</v>
      </c>
      <c r="B237" s="8">
        <f t="shared" si="98"/>
        <v>210</v>
      </c>
      <c r="C237" s="11">
        <f t="shared" si="99"/>
        <v>3461.18</v>
      </c>
      <c r="D237" s="11">
        <f t="shared" si="100"/>
        <v>2783.8386172596706</v>
      </c>
      <c r="E237" s="11">
        <f t="shared" si="101"/>
        <v>677.34138274032932</v>
      </c>
      <c r="F237" s="9">
        <f t="shared" si="111"/>
        <v>93292.953260801238</v>
      </c>
      <c r="G237" s="10">
        <f t="shared" si="102"/>
        <v>6.7599999999999993E-2</v>
      </c>
      <c r="H237" s="10">
        <f t="shared" si="103"/>
        <v>1.7000000000000001E-2</v>
      </c>
      <c r="I237" s="49">
        <f t="shared" si="104"/>
        <v>8.4599999999999995E-2</v>
      </c>
      <c r="J237" s="11">
        <f t="shared" si="105"/>
        <v>20</v>
      </c>
      <c r="K237" s="11">
        <f>IF(B237&lt;&gt;"",IF($B$16=listy!$K$8,'RZĄDOWY PROGRAM'!$F$3*'RZĄDOWY PROGRAM'!$F$15,F236*$F$15),"")</f>
        <v>50</v>
      </c>
      <c r="L237" s="11">
        <f t="shared" si="112"/>
        <v>70</v>
      </c>
      <c r="N237" s="55">
        <f t="shared" si="125"/>
        <v>51105</v>
      </c>
      <c r="O237" s="8">
        <f t="shared" si="113"/>
        <v>210</v>
      </c>
      <c r="P237" s="8"/>
      <c r="Q237" s="33">
        <f>IF(O237&lt;&gt;"",ROUND(IF($F$11="raty równe",-PMT(W237/12,$F$4-O236+SUM($P$28:P237),T236,2),R237+S237),2),"")</f>
        <v>3461.18</v>
      </c>
      <c r="R237" s="11">
        <f>IF(O237&lt;&gt;"",IF($F$11="raty malejące",T236/($F$4-O236+SUM($P$28:P237)),IF(Q237-S237&gt;T236,T236,Q237-S237)),"")</f>
        <v>2631.6966620201974</v>
      </c>
      <c r="S237" s="11">
        <f t="shared" si="127"/>
        <v>829.4833379798024</v>
      </c>
      <c r="T237" s="9">
        <f t="shared" si="114"/>
        <v>115025.5143989447</v>
      </c>
      <c r="U237" s="10">
        <f t="shared" si="106"/>
        <v>6.7599999999999993E-2</v>
      </c>
      <c r="V237" s="10">
        <f t="shared" si="107"/>
        <v>1.7000000000000001E-2</v>
      </c>
      <c r="W237" s="49">
        <f t="shared" si="115"/>
        <v>8.4599999999999995E-2</v>
      </c>
      <c r="X237" s="11">
        <f t="shared" si="108"/>
        <v>20</v>
      </c>
      <c r="Y237" s="11">
        <f>IF(O237&lt;&gt;"",IF($B$16=listy!$K$8,'RZĄDOWY PROGRAM'!$F$3*'RZĄDOWY PROGRAM'!$F$15,T236*$F$15),"")</f>
        <v>50</v>
      </c>
      <c r="Z237" s="11">
        <f t="shared" si="116"/>
        <v>70</v>
      </c>
      <c r="AB237" s="8">
        <f t="shared" si="117"/>
        <v>210</v>
      </c>
      <c r="AC237" s="8"/>
      <c r="AD237" s="33">
        <f>IF(AB237&lt;&gt;"",ROUND(IF($F$11="raty równe",-PMT(W237/12,$F$4-AB236+SUM($AC$28:AC237),AG236,2),AE237+AF237),2),"")</f>
        <v>3227.69</v>
      </c>
      <c r="AE237" s="11">
        <f>IF(AB237&lt;&gt;"",IF($F$11="raty malejące",AG236/($F$4-AB236+SUM($AC$28:AC236)),MIN(AD237-AF237,AG236)),"")</f>
        <v>2454.1617548710205</v>
      </c>
      <c r="AF237" s="11">
        <f t="shared" si="128"/>
        <v>773.52824512897939</v>
      </c>
      <c r="AG237" s="9">
        <f t="shared" si="126"/>
        <v>107266.15670314025</v>
      </c>
      <c r="AH237" s="11"/>
      <c r="AI237" s="33">
        <f>IF(AB237&lt;&gt;"",ROUND(IF($F$11="raty równe",-PMT(W237/12,($F$4-AB236+SUM($AC$27:AC236)),AG236,2),AG236/($F$4-AB236+SUM($AC$27:AC236))+AG236*W237/12),2),"")</f>
        <v>3227.69</v>
      </c>
      <c r="AJ237" s="33">
        <f t="shared" si="118"/>
        <v>233.48999999999978</v>
      </c>
      <c r="AK237" s="33">
        <f t="shared" si="119"/>
        <v>67287.424175928289</v>
      </c>
      <c r="AL237" s="33">
        <f>IF(AB237&lt;&gt;"",AK237-SUM($AJ$28:AJ237),"")</f>
        <v>19931.504175928363</v>
      </c>
      <c r="AM237" s="11">
        <f t="shared" si="120"/>
        <v>20</v>
      </c>
      <c r="AN237" s="11">
        <f>IF(AB237&lt;&gt;"",IF($B$16=listy!$K$8,'RZĄDOWY PROGRAM'!$F$3*'RZĄDOWY PROGRAM'!$F$15,AG236*$F$15),"")</f>
        <v>50</v>
      </c>
      <c r="AO237" s="11">
        <f t="shared" si="121"/>
        <v>70</v>
      </c>
      <c r="AQ237" s="49">
        <f t="shared" si="109"/>
        <v>0.05</v>
      </c>
      <c r="AR237" s="18">
        <f t="shared" si="110"/>
        <v>4.0741237836483535E-3</v>
      </c>
      <c r="AS237" s="11">
        <f t="shared" si="122"/>
        <v>0</v>
      </c>
      <c r="AT237" s="11">
        <f t="shared" si="123"/>
        <v>54009.846997502063</v>
      </c>
      <c r="AU237" s="11">
        <f>IF(AB237&lt;&gt;"",AT237-SUM($AS$28:AS237),"")</f>
        <v>26320.446997502058</v>
      </c>
    </row>
    <row r="238" spans="1:47" ht="14.5" x14ac:dyDescent="0.35">
      <c r="A238" s="76">
        <f t="shared" si="124"/>
        <v>51136</v>
      </c>
      <c r="B238" s="8">
        <f t="shared" si="98"/>
        <v>211</v>
      </c>
      <c r="C238" s="11">
        <f t="shared" si="99"/>
        <v>3461.17</v>
      </c>
      <c r="D238" s="11">
        <f t="shared" si="100"/>
        <v>2803.4546795113515</v>
      </c>
      <c r="E238" s="11">
        <f t="shared" si="101"/>
        <v>657.71532048864867</v>
      </c>
      <c r="F238" s="9">
        <f t="shared" si="111"/>
        <v>90489.498581289881</v>
      </c>
      <c r="G238" s="10">
        <f t="shared" si="102"/>
        <v>6.7599999999999993E-2</v>
      </c>
      <c r="H238" s="10">
        <f t="shared" si="103"/>
        <v>1.7000000000000001E-2</v>
      </c>
      <c r="I238" s="49">
        <f t="shared" si="104"/>
        <v>8.4599999999999995E-2</v>
      </c>
      <c r="J238" s="11">
        <f t="shared" si="105"/>
        <v>20</v>
      </c>
      <c r="K238" s="11">
        <f>IF(B238&lt;&gt;"",IF($B$16=listy!$K$8,'RZĄDOWY PROGRAM'!$F$3*'RZĄDOWY PROGRAM'!$F$15,F237*$F$15),"")</f>
        <v>50</v>
      </c>
      <c r="L238" s="11">
        <f t="shared" si="112"/>
        <v>70</v>
      </c>
      <c r="N238" s="55">
        <f t="shared" si="125"/>
        <v>51136</v>
      </c>
      <c r="O238" s="8">
        <f t="shared" si="113"/>
        <v>211</v>
      </c>
      <c r="P238" s="8"/>
      <c r="Q238" s="33">
        <f>IF(O238&lt;&gt;"",ROUND(IF($F$11="raty równe",-PMT(W238/12,$F$4-O237+SUM($P$28:P238),T237,2),R238+S238),2),"")</f>
        <v>3461.17</v>
      </c>
      <c r="R238" s="11">
        <f>IF(O238&lt;&gt;"",IF($F$11="raty malejące",T237/($F$4-O237+SUM($P$28:P238)),IF(Q238-S238&gt;T237,T237,Q238-S238)),"")</f>
        <v>2650.2401234874401</v>
      </c>
      <c r="S238" s="11">
        <f t="shared" si="127"/>
        <v>810.92987651255999</v>
      </c>
      <c r="T238" s="9">
        <f t="shared" si="114"/>
        <v>112375.27427545725</v>
      </c>
      <c r="U238" s="10">
        <f t="shared" si="106"/>
        <v>6.7599999999999993E-2</v>
      </c>
      <c r="V238" s="10">
        <f t="shared" si="107"/>
        <v>1.7000000000000001E-2</v>
      </c>
      <c r="W238" s="49">
        <f t="shared" si="115"/>
        <v>8.4599999999999995E-2</v>
      </c>
      <c r="X238" s="11">
        <f t="shared" si="108"/>
        <v>20</v>
      </c>
      <c r="Y238" s="11">
        <f>IF(O238&lt;&gt;"",IF($B$16=listy!$K$8,'RZĄDOWY PROGRAM'!$F$3*'RZĄDOWY PROGRAM'!$F$15,T237*$F$15),"")</f>
        <v>50</v>
      </c>
      <c r="Z238" s="11">
        <f t="shared" si="116"/>
        <v>70</v>
      </c>
      <c r="AB238" s="8">
        <f t="shared" si="117"/>
        <v>211</v>
      </c>
      <c r="AC238" s="8"/>
      <c r="AD238" s="33">
        <f>IF(AB238&lt;&gt;"",ROUND(IF($F$11="raty równe",-PMT(W238/12,$F$4-AB237+SUM($AC$28:AC238),AG237,2),AE238+AF238),2),"")</f>
        <v>3227.7</v>
      </c>
      <c r="AE238" s="11">
        <f>IF(AB238&lt;&gt;"",IF($F$11="raty malejące",AG237/($F$4-AB237+SUM($AC$28:AC237)),MIN(AD238-AF238,AG237)),"")</f>
        <v>2471.4735952428609</v>
      </c>
      <c r="AF238" s="11">
        <f t="shared" si="128"/>
        <v>756.22640475713877</v>
      </c>
      <c r="AG238" s="9">
        <f t="shared" si="126"/>
        <v>104794.68310789739</v>
      </c>
      <c r="AH238" s="11"/>
      <c r="AI238" s="33">
        <f>IF(AB238&lt;&gt;"",ROUND(IF($F$11="raty równe",-PMT(W238/12,($F$4-AB237+SUM($AC$27:AC237)),AG237,2),AG237/($F$4-AB237+SUM($AC$27:AC237))+AG237*W238/12),2),"")</f>
        <v>3227.7</v>
      </c>
      <c r="AJ238" s="33">
        <f t="shared" si="118"/>
        <v>233.47000000000025</v>
      </c>
      <c r="AK238" s="33">
        <f t="shared" si="119"/>
        <v>67742.945385020517</v>
      </c>
      <c r="AL238" s="33">
        <f>IF(AB238&lt;&gt;"",AK238-SUM($AJ$28:AJ238),"")</f>
        <v>20153.555385020591</v>
      </c>
      <c r="AM238" s="11">
        <f t="shared" si="120"/>
        <v>20</v>
      </c>
      <c r="AN238" s="11">
        <f>IF(AB238&lt;&gt;"",IF($B$16=listy!$K$8,'RZĄDOWY PROGRAM'!$F$3*'RZĄDOWY PROGRAM'!$F$15,AG237*$F$15),"")</f>
        <v>50</v>
      </c>
      <c r="AO238" s="11">
        <f t="shared" si="121"/>
        <v>70</v>
      </c>
      <c r="AQ238" s="49">
        <f t="shared" si="109"/>
        <v>0.05</v>
      </c>
      <c r="AR238" s="18">
        <f t="shared" si="110"/>
        <v>4.0741237836483535E-3</v>
      </c>
      <c r="AS238" s="11">
        <f t="shared" si="122"/>
        <v>0</v>
      </c>
      <c r="AT238" s="11">
        <f t="shared" si="123"/>
        <v>54188.081667287086</v>
      </c>
      <c r="AU238" s="11">
        <f>IF(AB238&lt;&gt;"",AT238-SUM($AS$28:AS238),"")</f>
        <v>26498.681667287081</v>
      </c>
    </row>
    <row r="239" spans="1:47" ht="14.5" x14ac:dyDescent="0.35">
      <c r="A239" s="76">
        <f t="shared" si="124"/>
        <v>51167</v>
      </c>
      <c r="B239" s="8">
        <f t="shared" si="98"/>
        <v>212</v>
      </c>
      <c r="C239" s="11">
        <f t="shared" si="99"/>
        <v>3461.18</v>
      </c>
      <c r="D239" s="11">
        <f t="shared" si="100"/>
        <v>2823.2290350019061</v>
      </c>
      <c r="E239" s="11">
        <f t="shared" si="101"/>
        <v>637.95096499809358</v>
      </c>
      <c r="F239" s="9">
        <f t="shared" si="111"/>
        <v>87666.269546287978</v>
      </c>
      <c r="G239" s="10">
        <f t="shared" si="102"/>
        <v>6.7599999999999993E-2</v>
      </c>
      <c r="H239" s="10">
        <f t="shared" si="103"/>
        <v>1.7000000000000001E-2</v>
      </c>
      <c r="I239" s="49">
        <f t="shared" si="104"/>
        <v>8.4599999999999995E-2</v>
      </c>
      <c r="J239" s="11">
        <f t="shared" si="105"/>
        <v>20</v>
      </c>
      <c r="K239" s="11">
        <f>IF(B239&lt;&gt;"",IF($B$16=listy!$K$8,'RZĄDOWY PROGRAM'!$F$3*'RZĄDOWY PROGRAM'!$F$15,F238*$F$15),"")</f>
        <v>50</v>
      </c>
      <c r="L239" s="11">
        <f t="shared" si="112"/>
        <v>70</v>
      </c>
      <c r="N239" s="55">
        <f t="shared" si="125"/>
        <v>51167</v>
      </c>
      <c r="O239" s="8">
        <f t="shared" si="113"/>
        <v>212</v>
      </c>
      <c r="P239" s="8"/>
      <c r="Q239" s="33">
        <f>IF(O239&lt;&gt;"",ROUND(IF($F$11="raty równe",-PMT(W239/12,$F$4-O238+SUM($P$28:P239),T238,2),R239+S239),2),"")</f>
        <v>3461.18</v>
      </c>
      <c r="R239" s="11">
        <f>IF(O239&lt;&gt;"",IF($F$11="raty malejące",T238/($F$4-O238+SUM($P$28:P239)),IF(Q239-S239&gt;T238,T238,Q239-S239)),"")</f>
        <v>2668.9343163580261</v>
      </c>
      <c r="S239" s="11">
        <f t="shared" si="127"/>
        <v>792.24568364197364</v>
      </c>
      <c r="T239" s="9">
        <f t="shared" si="114"/>
        <v>109706.33995909923</v>
      </c>
      <c r="U239" s="10">
        <f t="shared" si="106"/>
        <v>6.7599999999999993E-2</v>
      </c>
      <c r="V239" s="10">
        <f t="shared" si="107"/>
        <v>1.7000000000000001E-2</v>
      </c>
      <c r="W239" s="49">
        <f t="shared" si="115"/>
        <v>8.4599999999999995E-2</v>
      </c>
      <c r="X239" s="11">
        <f t="shared" si="108"/>
        <v>20</v>
      </c>
      <c r="Y239" s="11">
        <f>IF(O239&lt;&gt;"",IF($B$16=listy!$K$8,'RZĄDOWY PROGRAM'!$F$3*'RZĄDOWY PROGRAM'!$F$15,T238*$F$15),"")</f>
        <v>50</v>
      </c>
      <c r="Z239" s="11">
        <f t="shared" si="116"/>
        <v>70</v>
      </c>
      <c r="AB239" s="8">
        <f t="shared" si="117"/>
        <v>212</v>
      </c>
      <c r="AC239" s="8"/>
      <c r="AD239" s="33">
        <f>IF(AB239&lt;&gt;"",ROUND(IF($F$11="raty równe",-PMT(W239/12,$F$4-AB238+SUM($AC$28:AC239),AG238,2),AE239+AF239),2),"")</f>
        <v>3227.69</v>
      </c>
      <c r="AE239" s="11">
        <f>IF(AB239&lt;&gt;"",IF($F$11="raty malejące",AG238/($F$4-AB238+SUM($AC$28:AC238)),MIN(AD239-AF239,AG238)),"")</f>
        <v>2488.8874840893236</v>
      </c>
      <c r="AF239" s="11">
        <f t="shared" si="128"/>
        <v>738.80251591067656</v>
      </c>
      <c r="AG239" s="9">
        <f t="shared" si="126"/>
        <v>102305.79562380807</v>
      </c>
      <c r="AH239" s="11"/>
      <c r="AI239" s="33">
        <f>IF(AB239&lt;&gt;"",ROUND(IF($F$11="raty równe",-PMT(W239/12,($F$4-AB238+SUM($AC$27:AC238)),AG238,2),AG238/($F$4-AB238+SUM($AC$27:AC238))+AG238*W239/12),2),"")</f>
        <v>3227.69</v>
      </c>
      <c r="AJ239" s="33">
        <f t="shared" si="118"/>
        <v>233.48999999999978</v>
      </c>
      <c r="AK239" s="33">
        <f t="shared" si="119"/>
        <v>68199.989832444204</v>
      </c>
      <c r="AL239" s="33">
        <f>IF(AB239&lt;&gt;"",AK239-SUM($AJ$28:AJ239),"")</f>
        <v>20377.109832444279</v>
      </c>
      <c r="AM239" s="11">
        <f t="shared" si="120"/>
        <v>20</v>
      </c>
      <c r="AN239" s="11">
        <f>IF(AB239&lt;&gt;"",IF($B$16=listy!$K$8,'RZĄDOWY PROGRAM'!$F$3*'RZĄDOWY PROGRAM'!$F$15,AG238*$F$15),"")</f>
        <v>50</v>
      </c>
      <c r="AO239" s="11">
        <f t="shared" si="121"/>
        <v>70</v>
      </c>
      <c r="AQ239" s="49">
        <f t="shared" si="109"/>
        <v>0.05</v>
      </c>
      <c r="AR239" s="18">
        <f t="shared" si="110"/>
        <v>4.0741237836483535E-3</v>
      </c>
      <c r="AS239" s="11">
        <f t="shared" si="122"/>
        <v>0</v>
      </c>
      <c r="AT239" s="11">
        <f t="shared" si="123"/>
        <v>54366.904518658972</v>
      </c>
      <c r="AU239" s="11">
        <f>IF(AB239&lt;&gt;"",AT239-SUM($AS$28:AS239),"")</f>
        <v>26677.504518658967</v>
      </c>
    </row>
    <row r="240" spans="1:47" ht="14.5" x14ac:dyDescent="0.35">
      <c r="A240" s="76">
        <f t="shared" si="124"/>
        <v>51196</v>
      </c>
      <c r="B240" s="8">
        <f t="shared" si="98"/>
        <v>213</v>
      </c>
      <c r="C240" s="11">
        <f t="shared" si="99"/>
        <v>3461.17</v>
      </c>
      <c r="D240" s="11">
        <f t="shared" si="100"/>
        <v>2843.12279969867</v>
      </c>
      <c r="E240" s="11">
        <f t="shared" si="101"/>
        <v>618.04720030133024</v>
      </c>
      <c r="F240" s="9">
        <f t="shared" si="111"/>
        <v>84823.146746589307</v>
      </c>
      <c r="G240" s="10">
        <f t="shared" si="102"/>
        <v>6.7599999999999993E-2</v>
      </c>
      <c r="H240" s="10">
        <f t="shared" si="103"/>
        <v>1.7000000000000001E-2</v>
      </c>
      <c r="I240" s="49">
        <f t="shared" si="104"/>
        <v>8.4599999999999995E-2</v>
      </c>
      <c r="J240" s="11">
        <f t="shared" si="105"/>
        <v>20</v>
      </c>
      <c r="K240" s="11">
        <f>IF(B240&lt;&gt;"",IF($B$16=listy!$K$8,'RZĄDOWY PROGRAM'!$F$3*'RZĄDOWY PROGRAM'!$F$15,F239*$F$15),"")</f>
        <v>50</v>
      </c>
      <c r="L240" s="11">
        <f t="shared" si="112"/>
        <v>70</v>
      </c>
      <c r="N240" s="55">
        <f t="shared" si="125"/>
        <v>51196</v>
      </c>
      <c r="O240" s="8">
        <f t="shared" si="113"/>
        <v>213</v>
      </c>
      <c r="P240" s="8"/>
      <c r="Q240" s="33">
        <f>IF(O240&lt;&gt;"",ROUND(IF($F$11="raty równe",-PMT(W240/12,$F$4-O239+SUM($P$28:P240),T239,2),R240+S240),2),"")</f>
        <v>3461.17</v>
      </c>
      <c r="R240" s="11">
        <f>IF(O240&lt;&gt;"",IF($F$11="raty malejące",T239/($F$4-O239+SUM($P$28:P240)),IF(Q240-S240&gt;T239,T239,Q240-S240)),"")</f>
        <v>2687.7403032883503</v>
      </c>
      <c r="S240" s="11">
        <f t="shared" si="127"/>
        <v>773.42969671164963</v>
      </c>
      <c r="T240" s="9">
        <f t="shared" si="114"/>
        <v>107018.59965581089</v>
      </c>
      <c r="U240" s="10">
        <f t="shared" si="106"/>
        <v>6.7599999999999993E-2</v>
      </c>
      <c r="V240" s="10">
        <f t="shared" si="107"/>
        <v>1.7000000000000001E-2</v>
      </c>
      <c r="W240" s="49">
        <f t="shared" si="115"/>
        <v>8.4599999999999995E-2</v>
      </c>
      <c r="X240" s="11">
        <f t="shared" si="108"/>
        <v>20</v>
      </c>
      <c r="Y240" s="11">
        <f>IF(O240&lt;&gt;"",IF($B$16=listy!$K$8,'RZĄDOWY PROGRAM'!$F$3*'RZĄDOWY PROGRAM'!$F$15,T239*$F$15),"")</f>
        <v>50</v>
      </c>
      <c r="Z240" s="11">
        <f t="shared" si="116"/>
        <v>70</v>
      </c>
      <c r="AB240" s="8">
        <f t="shared" si="117"/>
        <v>213</v>
      </c>
      <c r="AC240" s="8"/>
      <c r="AD240" s="33">
        <f>IF(AB240&lt;&gt;"",ROUND(IF($F$11="raty równe",-PMT(W240/12,$F$4-AB239+SUM($AC$28:AC240),AG239,2),AE240+AF240),2),"")</f>
        <v>3227.7</v>
      </c>
      <c r="AE240" s="11">
        <f>IF(AB240&lt;&gt;"",IF($F$11="raty malejące",AG239/($F$4-AB239+SUM($AC$28:AC239)),MIN(AD240-AF240,AG239)),"")</f>
        <v>2506.4441408521529</v>
      </c>
      <c r="AF240" s="11">
        <f t="shared" si="128"/>
        <v>721.25585914784688</v>
      </c>
      <c r="AG240" s="9">
        <f t="shared" si="126"/>
        <v>99799.351482955914</v>
      </c>
      <c r="AH240" s="11"/>
      <c r="AI240" s="33">
        <f>IF(AB240&lt;&gt;"",ROUND(IF($F$11="raty równe",-PMT(W240/12,($F$4-AB239+SUM($AC$27:AC239)),AG239,2),AG239/($F$4-AB239+SUM($AC$27:AC239))+AG239*W240/12),2),"")</f>
        <v>3227.7</v>
      </c>
      <c r="AJ240" s="33">
        <f t="shared" si="118"/>
        <v>233.47000000000025</v>
      </c>
      <c r="AK240" s="33">
        <f t="shared" si="119"/>
        <v>68658.522544947162</v>
      </c>
      <c r="AL240" s="33">
        <f>IF(AB240&lt;&gt;"",AK240-SUM($AJ$28:AJ240),"")</f>
        <v>20602.172544947236</v>
      </c>
      <c r="AM240" s="11">
        <f t="shared" si="120"/>
        <v>20</v>
      </c>
      <c r="AN240" s="11">
        <f>IF(AB240&lt;&gt;"",IF($B$16=listy!$K$8,'RZĄDOWY PROGRAM'!$F$3*'RZĄDOWY PROGRAM'!$F$15,AG239*$F$15),"")</f>
        <v>50</v>
      </c>
      <c r="AO240" s="11">
        <f t="shared" si="121"/>
        <v>70</v>
      </c>
      <c r="AQ240" s="49">
        <f t="shared" si="109"/>
        <v>0.05</v>
      </c>
      <c r="AR240" s="18">
        <f t="shared" si="110"/>
        <v>4.0741237836483535E-3</v>
      </c>
      <c r="AS240" s="11">
        <f t="shared" si="122"/>
        <v>0</v>
      </c>
      <c r="AT240" s="11">
        <f t="shared" si="123"/>
        <v>54546.317492640643</v>
      </c>
      <c r="AU240" s="11">
        <f>IF(AB240&lt;&gt;"",AT240-SUM($AS$28:AS240),"")</f>
        <v>26856.917492640638</v>
      </c>
    </row>
    <row r="241" spans="1:47" ht="14.5" x14ac:dyDescent="0.35">
      <c r="A241" s="76">
        <f t="shared" si="124"/>
        <v>51227</v>
      </c>
      <c r="B241" s="8">
        <f t="shared" si="98"/>
        <v>214</v>
      </c>
      <c r="C241" s="11">
        <f t="shared" si="99"/>
        <v>3461.18</v>
      </c>
      <c r="D241" s="11">
        <f t="shared" si="100"/>
        <v>2863.1768154365454</v>
      </c>
      <c r="E241" s="11">
        <f t="shared" si="101"/>
        <v>598.00318456345451</v>
      </c>
      <c r="F241" s="9">
        <f t="shared" si="111"/>
        <v>81959.969931152766</v>
      </c>
      <c r="G241" s="10">
        <f t="shared" si="102"/>
        <v>6.7599999999999993E-2</v>
      </c>
      <c r="H241" s="10">
        <f t="shared" si="103"/>
        <v>1.7000000000000001E-2</v>
      </c>
      <c r="I241" s="49">
        <f t="shared" si="104"/>
        <v>8.4599999999999995E-2</v>
      </c>
      <c r="J241" s="11">
        <f t="shared" si="105"/>
        <v>20</v>
      </c>
      <c r="K241" s="11">
        <f>IF(B241&lt;&gt;"",IF($B$16=listy!$K$8,'RZĄDOWY PROGRAM'!$F$3*'RZĄDOWY PROGRAM'!$F$15,F240*$F$15),"")</f>
        <v>50</v>
      </c>
      <c r="L241" s="11">
        <f t="shared" si="112"/>
        <v>70</v>
      </c>
      <c r="N241" s="55">
        <f t="shared" si="125"/>
        <v>51227</v>
      </c>
      <c r="O241" s="8">
        <f t="shared" si="113"/>
        <v>214</v>
      </c>
      <c r="P241" s="8"/>
      <c r="Q241" s="33">
        <f>IF(O241&lt;&gt;"",ROUND(IF($F$11="raty równe",-PMT(W241/12,$F$4-O240+SUM($P$28:P241),T240,2),R241+S241),2),"")</f>
        <v>3461.18</v>
      </c>
      <c r="R241" s="11">
        <f>IF(O241&lt;&gt;"",IF($F$11="raty malejące",T240/($F$4-O240+SUM($P$28:P241)),IF(Q241-S241&gt;T240,T240,Q241-S241)),"")</f>
        <v>2706.6988724265329</v>
      </c>
      <c r="S241" s="11">
        <f t="shared" si="127"/>
        <v>754.48112757346678</v>
      </c>
      <c r="T241" s="9">
        <f t="shared" si="114"/>
        <v>104311.90078338435</v>
      </c>
      <c r="U241" s="10">
        <f t="shared" si="106"/>
        <v>6.7599999999999993E-2</v>
      </c>
      <c r="V241" s="10">
        <f t="shared" si="107"/>
        <v>1.7000000000000001E-2</v>
      </c>
      <c r="W241" s="49">
        <f t="shared" si="115"/>
        <v>8.4599999999999995E-2</v>
      </c>
      <c r="X241" s="11">
        <f t="shared" si="108"/>
        <v>20</v>
      </c>
      <c r="Y241" s="11">
        <f>IF(O241&lt;&gt;"",IF($B$16=listy!$K$8,'RZĄDOWY PROGRAM'!$F$3*'RZĄDOWY PROGRAM'!$F$15,T240*$F$15),"")</f>
        <v>50</v>
      </c>
      <c r="Z241" s="11">
        <f t="shared" si="116"/>
        <v>70</v>
      </c>
      <c r="AB241" s="8">
        <f t="shared" si="117"/>
        <v>214</v>
      </c>
      <c r="AC241" s="8"/>
      <c r="AD241" s="33">
        <f>IF(AB241&lt;&gt;"",ROUND(IF($F$11="raty równe",-PMT(W241/12,$F$4-AB240+SUM($AC$28:AC241),AG240,2),AE241+AF241),2),"")</f>
        <v>3227.7</v>
      </c>
      <c r="AE241" s="11">
        <f>IF(AB241&lt;&gt;"",IF($F$11="raty malejące",AG240/($F$4-AB240+SUM($AC$28:AC240)),MIN(AD241-AF241,AG240)),"")</f>
        <v>2524.1145720451605</v>
      </c>
      <c r="AF241" s="11">
        <f t="shared" si="128"/>
        <v>703.58542795483925</v>
      </c>
      <c r="AG241" s="9">
        <f t="shared" si="126"/>
        <v>97275.236910910753</v>
      </c>
      <c r="AH241" s="11"/>
      <c r="AI241" s="33">
        <f>IF(AB241&lt;&gt;"",ROUND(IF($F$11="raty równe",-PMT(W241/12,($F$4-AB240+SUM($AC$27:AC240)),AG240,2),AG240/($F$4-AB240+SUM($AC$27:AC240))+AG240*W241/12),2),"")</f>
        <v>3227.7</v>
      </c>
      <c r="AJ241" s="33">
        <f t="shared" si="118"/>
        <v>233.48000000000002</v>
      </c>
      <c r="AK241" s="33">
        <f t="shared" si="119"/>
        <v>69118.578433864081</v>
      </c>
      <c r="AL241" s="33">
        <f>IF(AB241&lt;&gt;"",AK241-SUM($AJ$28:AJ241),"")</f>
        <v>20828.748433864152</v>
      </c>
      <c r="AM241" s="11">
        <f t="shared" si="120"/>
        <v>20</v>
      </c>
      <c r="AN241" s="11">
        <f>IF(AB241&lt;&gt;"",IF($B$16=listy!$K$8,'RZĄDOWY PROGRAM'!$F$3*'RZĄDOWY PROGRAM'!$F$15,AG240*$F$15),"")</f>
        <v>50</v>
      </c>
      <c r="AO241" s="11">
        <f t="shared" si="121"/>
        <v>70</v>
      </c>
      <c r="AQ241" s="49">
        <f t="shared" si="109"/>
        <v>0.05</v>
      </c>
      <c r="AR241" s="18">
        <f t="shared" si="110"/>
        <v>4.0741237836483535E-3</v>
      </c>
      <c r="AS241" s="11">
        <f t="shared" si="122"/>
        <v>0</v>
      </c>
      <c r="AT241" s="11">
        <f t="shared" si="123"/>
        <v>54726.322536660475</v>
      </c>
      <c r="AU241" s="11">
        <f>IF(AB241&lt;&gt;"",AT241-SUM($AS$28:AS241),"")</f>
        <v>27036.92253666047</v>
      </c>
    </row>
    <row r="242" spans="1:47" ht="14.5" x14ac:dyDescent="0.35">
      <c r="A242" s="76">
        <f t="shared" si="124"/>
        <v>51257</v>
      </c>
      <c r="B242" s="8">
        <f t="shared" si="98"/>
        <v>215</v>
      </c>
      <c r="C242" s="11">
        <f t="shared" si="99"/>
        <v>3461.17</v>
      </c>
      <c r="D242" s="11">
        <f t="shared" si="100"/>
        <v>2883.3522119853733</v>
      </c>
      <c r="E242" s="11">
        <f t="shared" si="101"/>
        <v>577.8177880146269</v>
      </c>
      <c r="F242" s="9">
        <f t="shared" si="111"/>
        <v>79076.617719167392</v>
      </c>
      <c r="G242" s="10">
        <f t="shared" si="102"/>
        <v>6.7599999999999993E-2</v>
      </c>
      <c r="H242" s="10">
        <f t="shared" si="103"/>
        <v>1.7000000000000001E-2</v>
      </c>
      <c r="I242" s="49">
        <f t="shared" si="104"/>
        <v>8.4599999999999995E-2</v>
      </c>
      <c r="J242" s="11">
        <f t="shared" si="105"/>
        <v>20</v>
      </c>
      <c r="K242" s="11">
        <f>IF(B242&lt;&gt;"",IF($B$16=listy!$K$8,'RZĄDOWY PROGRAM'!$F$3*'RZĄDOWY PROGRAM'!$F$15,F241*$F$15),"")</f>
        <v>50</v>
      </c>
      <c r="L242" s="11">
        <f t="shared" si="112"/>
        <v>70</v>
      </c>
      <c r="N242" s="55">
        <f t="shared" si="125"/>
        <v>51257</v>
      </c>
      <c r="O242" s="8">
        <f t="shared" si="113"/>
        <v>215</v>
      </c>
      <c r="P242" s="8"/>
      <c r="Q242" s="33">
        <f>IF(O242&lt;&gt;"",ROUND(IF($F$11="raty równe",-PMT(W242/12,$F$4-O241+SUM($P$28:P242),T241,2),R242+S242),2),"")</f>
        <v>3461.17</v>
      </c>
      <c r="R242" s="11">
        <f>IF(O242&lt;&gt;"",IF($F$11="raty malejące",T241/($F$4-O241+SUM($P$28:P242)),IF(Q242-S242&gt;T241,T241,Q242-S242)),"")</f>
        <v>2725.7710994771405</v>
      </c>
      <c r="S242" s="11">
        <f t="shared" si="127"/>
        <v>735.39890052285955</v>
      </c>
      <c r="T242" s="9">
        <f t="shared" si="114"/>
        <v>101586.1296839072</v>
      </c>
      <c r="U242" s="10">
        <f t="shared" si="106"/>
        <v>6.7599999999999993E-2</v>
      </c>
      <c r="V242" s="10">
        <f t="shared" si="107"/>
        <v>1.7000000000000001E-2</v>
      </c>
      <c r="W242" s="49">
        <f t="shared" si="115"/>
        <v>8.4599999999999995E-2</v>
      </c>
      <c r="X242" s="11">
        <f t="shared" si="108"/>
        <v>20</v>
      </c>
      <c r="Y242" s="11">
        <f>IF(O242&lt;&gt;"",IF($B$16=listy!$K$8,'RZĄDOWY PROGRAM'!$F$3*'RZĄDOWY PROGRAM'!$F$15,T241*$F$15),"")</f>
        <v>50</v>
      </c>
      <c r="Z242" s="11">
        <f t="shared" si="116"/>
        <v>70</v>
      </c>
      <c r="AB242" s="8">
        <f t="shared" si="117"/>
        <v>215</v>
      </c>
      <c r="AC242" s="8"/>
      <c r="AD242" s="33">
        <f>IF(AB242&lt;&gt;"",ROUND(IF($F$11="raty równe",-PMT(W242/12,$F$4-AB241+SUM($AC$28:AC242),AG241,2),AE242+AF242),2),"")</f>
        <v>3227.69</v>
      </c>
      <c r="AE242" s="11">
        <f>IF(AB242&lt;&gt;"",IF($F$11="raty malejące",AG241/($F$4-AB241+SUM($AC$28:AC241)),MIN(AD242-AF242,AG241)),"")</f>
        <v>2541.8995797780794</v>
      </c>
      <c r="AF242" s="11">
        <f t="shared" si="128"/>
        <v>685.79042022192073</v>
      </c>
      <c r="AG242" s="9">
        <f t="shared" si="126"/>
        <v>94733.337331132672</v>
      </c>
      <c r="AH242" s="11"/>
      <c r="AI242" s="33">
        <f>IF(AB242&lt;&gt;"",ROUND(IF($F$11="raty równe",-PMT(W242/12,($F$4-AB241+SUM($AC$27:AC241)),AG241,2),AG241/($F$4-AB241+SUM($AC$27:AC241))+AG241*W242/12),2),"")</f>
        <v>3227.69</v>
      </c>
      <c r="AJ242" s="33">
        <f t="shared" si="118"/>
        <v>233.48000000000002</v>
      </c>
      <c r="AK242" s="33">
        <f t="shared" si="119"/>
        <v>69580.152525738464</v>
      </c>
      <c r="AL242" s="33">
        <f>IF(AB242&lt;&gt;"",AK242-SUM($AJ$28:AJ242),"")</f>
        <v>21056.842525738532</v>
      </c>
      <c r="AM242" s="11">
        <f t="shared" si="120"/>
        <v>20</v>
      </c>
      <c r="AN242" s="11">
        <f>IF(AB242&lt;&gt;"",IF($B$16=listy!$K$8,'RZĄDOWY PROGRAM'!$F$3*'RZĄDOWY PROGRAM'!$F$15,AG241*$F$15),"")</f>
        <v>50</v>
      </c>
      <c r="AO242" s="11">
        <f t="shared" si="121"/>
        <v>70</v>
      </c>
      <c r="AQ242" s="49">
        <f t="shared" si="109"/>
        <v>0.05</v>
      </c>
      <c r="AR242" s="18">
        <f t="shared" si="110"/>
        <v>4.0741237836483535E-3</v>
      </c>
      <c r="AS242" s="11">
        <f t="shared" si="122"/>
        <v>0</v>
      </c>
      <c r="AT242" s="11">
        <f t="shared" si="123"/>
        <v>54906.921604573436</v>
      </c>
      <c r="AU242" s="11">
        <f>IF(AB242&lt;&gt;"",AT242-SUM($AS$28:AS242),"")</f>
        <v>27217.521604573431</v>
      </c>
    </row>
    <row r="243" spans="1:47" ht="14.5" x14ac:dyDescent="0.35">
      <c r="A243" s="76">
        <f t="shared" si="124"/>
        <v>51288</v>
      </c>
      <c r="B243" s="8">
        <f t="shared" si="98"/>
        <v>216</v>
      </c>
      <c r="C243" s="11">
        <f t="shared" si="99"/>
        <v>3461.18</v>
      </c>
      <c r="D243" s="11">
        <f t="shared" si="100"/>
        <v>2903.6898450798699</v>
      </c>
      <c r="E243" s="11">
        <f t="shared" si="101"/>
        <v>557.49015492013007</v>
      </c>
      <c r="F243" s="9">
        <f t="shared" si="111"/>
        <v>76172.927874087516</v>
      </c>
      <c r="G243" s="10">
        <f t="shared" si="102"/>
        <v>6.7599999999999993E-2</v>
      </c>
      <c r="H243" s="10">
        <f t="shared" si="103"/>
        <v>1.7000000000000001E-2</v>
      </c>
      <c r="I243" s="49">
        <f t="shared" si="104"/>
        <v>8.4599999999999995E-2</v>
      </c>
      <c r="J243" s="11">
        <f t="shared" si="105"/>
        <v>20</v>
      </c>
      <c r="K243" s="11">
        <f>IF(B243&lt;&gt;"",IF($B$16=listy!$K$8,'RZĄDOWY PROGRAM'!$F$3*'RZĄDOWY PROGRAM'!$F$15,F242*$F$15),"")</f>
        <v>50</v>
      </c>
      <c r="L243" s="11">
        <f t="shared" si="112"/>
        <v>70</v>
      </c>
      <c r="N243" s="55">
        <f t="shared" si="125"/>
        <v>51288</v>
      </c>
      <c r="O243" s="8">
        <f t="shared" si="113"/>
        <v>216</v>
      </c>
      <c r="P243" s="8"/>
      <c r="Q243" s="33">
        <f>IF(O243&lt;&gt;"",ROUND(IF($F$11="raty równe",-PMT(W243/12,$F$4-O242+SUM($P$28:P243),T242,2),R243+S243),2),"")</f>
        <v>3461.18</v>
      </c>
      <c r="R243" s="11">
        <f>IF(O243&lt;&gt;"",IF($F$11="raty malejące",T242/($F$4-O242+SUM($P$28:P243)),IF(Q243-S243&gt;T242,T242,Q243-S243)),"")</f>
        <v>2744.9977857284539</v>
      </c>
      <c r="S243" s="11">
        <f t="shared" si="127"/>
        <v>716.18221427154583</v>
      </c>
      <c r="T243" s="9">
        <f t="shared" si="114"/>
        <v>98841.131898178748</v>
      </c>
      <c r="U243" s="10">
        <f t="shared" si="106"/>
        <v>6.7599999999999993E-2</v>
      </c>
      <c r="V243" s="10">
        <f t="shared" si="107"/>
        <v>1.7000000000000001E-2</v>
      </c>
      <c r="W243" s="49">
        <f t="shared" si="115"/>
        <v>8.4599999999999995E-2</v>
      </c>
      <c r="X243" s="11">
        <f t="shared" si="108"/>
        <v>20</v>
      </c>
      <c r="Y243" s="11">
        <f>IF(O243&lt;&gt;"",IF($B$16=listy!$K$8,'RZĄDOWY PROGRAM'!$F$3*'RZĄDOWY PROGRAM'!$F$15,T242*$F$15),"")</f>
        <v>50</v>
      </c>
      <c r="Z243" s="11">
        <f t="shared" si="116"/>
        <v>70</v>
      </c>
      <c r="AB243" s="8">
        <f t="shared" si="117"/>
        <v>216</v>
      </c>
      <c r="AC243" s="8"/>
      <c r="AD243" s="33">
        <f>IF(AB243&lt;&gt;"",ROUND(IF($F$11="raty równe",-PMT(W243/12,$F$4-AB242+SUM($AC$28:AC243),AG242,2),AE243+AF243),2),"")</f>
        <v>3227.69</v>
      </c>
      <c r="AE243" s="11">
        <f>IF(AB243&lt;&gt;"",IF($F$11="raty malejące",AG242/($F$4-AB242+SUM($AC$28:AC242)),MIN(AD243-AF243,AG242)),"")</f>
        <v>2559.8199718155147</v>
      </c>
      <c r="AF243" s="11">
        <f t="shared" si="128"/>
        <v>667.87002818448525</v>
      </c>
      <c r="AG243" s="9">
        <f t="shared" si="126"/>
        <v>92173.517359317164</v>
      </c>
      <c r="AH243" s="11"/>
      <c r="AI243" s="33">
        <f>IF(AB243&lt;&gt;"",ROUND(IF($F$11="raty równe",-PMT(W243/12,($F$4-AB242+SUM($AC$27:AC242)),AG242,2),AG242/($F$4-AB242+SUM($AC$27:AC242))+AG242*W243/12),2),"")</f>
        <v>3227.69</v>
      </c>
      <c r="AJ243" s="33">
        <f t="shared" si="118"/>
        <v>233.48999999999978</v>
      </c>
      <c r="AK243" s="33">
        <f t="shared" si="119"/>
        <v>70043.259830701209</v>
      </c>
      <c r="AL243" s="33">
        <f>IF(AB243&lt;&gt;"",AK243-SUM($AJ$28:AJ243),"")</f>
        <v>21286.459830701278</v>
      </c>
      <c r="AM243" s="11">
        <f t="shared" si="120"/>
        <v>20</v>
      </c>
      <c r="AN243" s="11">
        <f>IF(AB243&lt;&gt;"",IF($B$16=listy!$K$8,'RZĄDOWY PROGRAM'!$F$3*'RZĄDOWY PROGRAM'!$F$15,AG242*$F$15),"")</f>
        <v>50</v>
      </c>
      <c r="AO243" s="11">
        <f t="shared" si="121"/>
        <v>70</v>
      </c>
      <c r="AQ243" s="49">
        <f t="shared" si="109"/>
        <v>0.05</v>
      </c>
      <c r="AR243" s="18">
        <f t="shared" si="110"/>
        <v>4.0741237836483535E-3</v>
      </c>
      <c r="AS243" s="11">
        <f t="shared" si="122"/>
        <v>0</v>
      </c>
      <c r="AT243" s="11">
        <f t="shared" si="123"/>
        <v>55088.116656682287</v>
      </c>
      <c r="AU243" s="11">
        <f>IF(AB243&lt;&gt;"",AT243-SUM($AS$28:AS243),"")</f>
        <v>27398.716656682282</v>
      </c>
    </row>
    <row r="244" spans="1:47" ht="14.5" x14ac:dyDescent="0.35">
      <c r="A244" s="76">
        <f t="shared" si="124"/>
        <v>51318</v>
      </c>
      <c r="B244" s="8">
        <f t="shared" si="98"/>
        <v>217</v>
      </c>
      <c r="C244" s="11">
        <f t="shared" si="99"/>
        <v>3461.17</v>
      </c>
      <c r="D244" s="11">
        <f t="shared" si="100"/>
        <v>2924.1508584876829</v>
      </c>
      <c r="E244" s="11">
        <f t="shared" si="101"/>
        <v>537.01914151231699</v>
      </c>
      <c r="F244" s="9">
        <f t="shared" si="111"/>
        <v>73248.77701559983</v>
      </c>
      <c r="G244" s="10">
        <f t="shared" si="102"/>
        <v>6.7599999999999993E-2</v>
      </c>
      <c r="H244" s="10">
        <f t="shared" si="103"/>
        <v>1.7000000000000001E-2</v>
      </c>
      <c r="I244" s="49">
        <f t="shared" si="104"/>
        <v>8.4599999999999995E-2</v>
      </c>
      <c r="J244" s="11">
        <f t="shared" si="105"/>
        <v>20</v>
      </c>
      <c r="K244" s="11">
        <f>IF(B244&lt;&gt;"",IF($B$16=listy!$K$8,'RZĄDOWY PROGRAM'!$F$3*'RZĄDOWY PROGRAM'!$F$15,F243*$F$15),"")</f>
        <v>50</v>
      </c>
      <c r="L244" s="11">
        <f t="shared" si="112"/>
        <v>70</v>
      </c>
      <c r="N244" s="55">
        <f t="shared" si="125"/>
        <v>51318</v>
      </c>
      <c r="O244" s="8">
        <f t="shared" si="113"/>
        <v>217</v>
      </c>
      <c r="P244" s="8"/>
      <c r="Q244" s="33">
        <f>IF(O244&lt;&gt;"",ROUND(IF($F$11="raty równe",-PMT(W244/12,$F$4-O243+SUM($P$28:P244),T243,2),R244+S244),2),"")</f>
        <v>3461.17</v>
      </c>
      <c r="R244" s="11">
        <f>IF(O244&lt;&gt;"",IF($F$11="raty malejące",T243/($F$4-O243+SUM($P$28:P244)),IF(Q244-S244&gt;T243,T243,Q244-S244)),"")</f>
        <v>2764.3400201178401</v>
      </c>
      <c r="S244" s="11">
        <f t="shared" si="127"/>
        <v>696.82997988216005</v>
      </c>
      <c r="T244" s="9">
        <f t="shared" si="114"/>
        <v>96076.791878060903</v>
      </c>
      <c r="U244" s="10">
        <f t="shared" si="106"/>
        <v>6.7599999999999993E-2</v>
      </c>
      <c r="V244" s="10">
        <f t="shared" si="107"/>
        <v>1.7000000000000001E-2</v>
      </c>
      <c r="W244" s="49">
        <f t="shared" si="115"/>
        <v>8.4599999999999995E-2</v>
      </c>
      <c r="X244" s="11">
        <f t="shared" si="108"/>
        <v>20</v>
      </c>
      <c r="Y244" s="11">
        <f>IF(O244&lt;&gt;"",IF($B$16=listy!$K$8,'RZĄDOWY PROGRAM'!$F$3*'RZĄDOWY PROGRAM'!$F$15,T243*$F$15),"")</f>
        <v>50</v>
      </c>
      <c r="Z244" s="11">
        <f t="shared" si="116"/>
        <v>70</v>
      </c>
      <c r="AB244" s="8">
        <f t="shared" si="117"/>
        <v>217</v>
      </c>
      <c r="AC244" s="8"/>
      <c r="AD244" s="33">
        <f>IF(AB244&lt;&gt;"",ROUND(IF($F$11="raty równe",-PMT(W244/12,$F$4-AB243+SUM($AC$28:AC244),AG243,2),AE244+AF244),2),"")</f>
        <v>3227.7</v>
      </c>
      <c r="AE244" s="11">
        <f>IF(AB244&lt;&gt;"",IF($F$11="raty malejące",AG243/($F$4-AB243+SUM($AC$28:AC243)),MIN(AD244-AF244,AG243)),"")</f>
        <v>2577.8767026168139</v>
      </c>
      <c r="AF244" s="11">
        <f t="shared" si="128"/>
        <v>649.82329738318595</v>
      </c>
      <c r="AG244" s="9">
        <f t="shared" si="126"/>
        <v>89595.640656700343</v>
      </c>
      <c r="AH244" s="11"/>
      <c r="AI244" s="33">
        <f>IF(AB244&lt;&gt;"",ROUND(IF($F$11="raty równe",-PMT(W244/12,($F$4-AB243+SUM($AC$27:AC243)),AG243,2),AG243/($F$4-AB243+SUM($AC$27:AC243))+AG243*W244/12),2),"")</f>
        <v>3227.7</v>
      </c>
      <c r="AJ244" s="33">
        <f t="shared" si="118"/>
        <v>233.47000000000025</v>
      </c>
      <c r="AK244" s="33">
        <f t="shared" si="119"/>
        <v>70507.875408417225</v>
      </c>
      <c r="AL244" s="33">
        <f>IF(AB244&lt;&gt;"",AK244-SUM($AJ$28:AJ244),"")</f>
        <v>21517.605408417294</v>
      </c>
      <c r="AM244" s="11">
        <f t="shared" si="120"/>
        <v>20</v>
      </c>
      <c r="AN244" s="11">
        <f>IF(AB244&lt;&gt;"",IF($B$16=listy!$K$8,'RZĄDOWY PROGRAM'!$F$3*'RZĄDOWY PROGRAM'!$F$15,AG243*$F$15),"")</f>
        <v>50</v>
      </c>
      <c r="AO244" s="11">
        <f t="shared" si="121"/>
        <v>70</v>
      </c>
      <c r="AQ244" s="49">
        <f t="shared" si="109"/>
        <v>0.05</v>
      </c>
      <c r="AR244" s="18">
        <f t="shared" si="110"/>
        <v>4.0741237836483535E-3</v>
      </c>
      <c r="AS244" s="11">
        <f t="shared" si="122"/>
        <v>0</v>
      </c>
      <c r="AT244" s="11">
        <f t="shared" si="123"/>
        <v>55269.909659758865</v>
      </c>
      <c r="AU244" s="11">
        <f>IF(AB244&lt;&gt;"",AT244-SUM($AS$28:AS244),"")</f>
        <v>27580.50965975886</v>
      </c>
    </row>
    <row r="245" spans="1:47" ht="14.5" x14ac:dyDescent="0.35">
      <c r="A245" s="76">
        <f t="shared" si="124"/>
        <v>51349</v>
      </c>
      <c r="B245" s="8">
        <f t="shared" si="98"/>
        <v>218</v>
      </c>
      <c r="C245" s="11">
        <f t="shared" si="99"/>
        <v>3461.18</v>
      </c>
      <c r="D245" s="11">
        <f t="shared" si="100"/>
        <v>2944.7761220400212</v>
      </c>
      <c r="E245" s="11">
        <f t="shared" si="101"/>
        <v>516.40387795997879</v>
      </c>
      <c r="F245" s="9">
        <f t="shared" si="111"/>
        <v>70304.000893559802</v>
      </c>
      <c r="G245" s="10">
        <f t="shared" si="102"/>
        <v>6.7599999999999993E-2</v>
      </c>
      <c r="H245" s="10">
        <f t="shared" si="103"/>
        <v>1.7000000000000001E-2</v>
      </c>
      <c r="I245" s="49">
        <f t="shared" si="104"/>
        <v>8.4599999999999995E-2</v>
      </c>
      <c r="J245" s="11">
        <f t="shared" si="105"/>
        <v>20</v>
      </c>
      <c r="K245" s="11">
        <f>IF(B245&lt;&gt;"",IF($B$16=listy!$K$8,'RZĄDOWY PROGRAM'!$F$3*'RZĄDOWY PROGRAM'!$F$15,F244*$F$15),"")</f>
        <v>50</v>
      </c>
      <c r="L245" s="11">
        <f t="shared" si="112"/>
        <v>70</v>
      </c>
      <c r="N245" s="55">
        <f t="shared" si="125"/>
        <v>51349</v>
      </c>
      <c r="O245" s="8">
        <f t="shared" si="113"/>
        <v>218</v>
      </c>
      <c r="P245" s="8"/>
      <c r="Q245" s="33">
        <f>IF(O245&lt;&gt;"",ROUND(IF($F$11="raty równe",-PMT(W245/12,$F$4-O244+SUM($P$28:P245),T244,2),R245+S245),2),"")</f>
        <v>3461.18</v>
      </c>
      <c r="R245" s="11">
        <f>IF(O245&lt;&gt;"",IF($F$11="raty malejące",T244/($F$4-O244+SUM($P$28:P245)),IF(Q245-S245&gt;T244,T244,Q245-S245)),"")</f>
        <v>2783.8386172596706</v>
      </c>
      <c r="S245" s="11">
        <f t="shared" si="127"/>
        <v>677.34138274032932</v>
      </c>
      <c r="T245" s="9">
        <f t="shared" si="114"/>
        <v>93292.953260801238</v>
      </c>
      <c r="U245" s="10">
        <f t="shared" si="106"/>
        <v>6.7599999999999993E-2</v>
      </c>
      <c r="V245" s="10">
        <f t="shared" si="107"/>
        <v>1.7000000000000001E-2</v>
      </c>
      <c r="W245" s="49">
        <f t="shared" si="115"/>
        <v>8.4599999999999995E-2</v>
      </c>
      <c r="X245" s="11">
        <f t="shared" si="108"/>
        <v>20</v>
      </c>
      <c r="Y245" s="11">
        <f>IF(O245&lt;&gt;"",IF($B$16=listy!$K$8,'RZĄDOWY PROGRAM'!$F$3*'RZĄDOWY PROGRAM'!$F$15,T244*$F$15),"")</f>
        <v>50</v>
      </c>
      <c r="Z245" s="11">
        <f t="shared" si="116"/>
        <v>70</v>
      </c>
      <c r="AB245" s="8">
        <f t="shared" si="117"/>
        <v>218</v>
      </c>
      <c r="AC245" s="8"/>
      <c r="AD245" s="33">
        <f>IF(AB245&lt;&gt;"",ROUND(IF($F$11="raty równe",-PMT(W245/12,$F$4-AB244+SUM($AC$28:AC245),AG244,2),AE245+AF245),2),"")</f>
        <v>3227.7</v>
      </c>
      <c r="AE245" s="11">
        <f>IF(AB245&lt;&gt;"",IF($F$11="raty malejące",AG244/($F$4-AB244+SUM($AC$28:AC244)),MIN(AD245-AF245,AG244)),"")</f>
        <v>2596.0507333702626</v>
      </c>
      <c r="AF245" s="11">
        <f t="shared" si="128"/>
        <v>631.64926662973733</v>
      </c>
      <c r="AG245" s="9">
        <f t="shared" si="126"/>
        <v>86999.589923330088</v>
      </c>
      <c r="AH245" s="11"/>
      <c r="AI245" s="33">
        <f>IF(AB245&lt;&gt;"",ROUND(IF($F$11="raty równe",-PMT(W245/12,($F$4-AB244+SUM($AC$27:AC244)),AG244,2),AG244/($F$4-AB244+SUM($AC$27:AC244))+AG244*W245/12),2),"")</f>
        <v>3227.7</v>
      </c>
      <c r="AJ245" s="33">
        <f t="shared" si="118"/>
        <v>233.48000000000002</v>
      </c>
      <c r="AK245" s="33">
        <f t="shared" si="119"/>
        <v>70974.034236247346</v>
      </c>
      <c r="AL245" s="33">
        <f>IF(AB245&lt;&gt;"",AK245-SUM($AJ$28:AJ245),"")</f>
        <v>21750.284236247411</v>
      </c>
      <c r="AM245" s="11">
        <f t="shared" si="120"/>
        <v>20</v>
      </c>
      <c r="AN245" s="11">
        <f>IF(AB245&lt;&gt;"",IF($B$16=listy!$K$8,'RZĄDOWY PROGRAM'!$F$3*'RZĄDOWY PROGRAM'!$F$15,AG244*$F$15),"")</f>
        <v>50</v>
      </c>
      <c r="AO245" s="11">
        <f t="shared" si="121"/>
        <v>70</v>
      </c>
      <c r="AQ245" s="49">
        <f t="shared" si="109"/>
        <v>0.05</v>
      </c>
      <c r="AR245" s="18">
        <f t="shared" si="110"/>
        <v>4.0741237836483535E-3</v>
      </c>
      <c r="AS245" s="11">
        <f t="shared" si="122"/>
        <v>0</v>
      </c>
      <c r="AT245" s="11">
        <f t="shared" si="123"/>
        <v>55452.302587065453</v>
      </c>
      <c r="AU245" s="11">
        <f>IF(AB245&lt;&gt;"",AT245-SUM($AS$28:AS245),"")</f>
        <v>27762.902587065448</v>
      </c>
    </row>
    <row r="246" spans="1:47" ht="14.5" x14ac:dyDescent="0.35">
      <c r="A246" s="76">
        <f t="shared" si="124"/>
        <v>51380</v>
      </c>
      <c r="B246" s="8">
        <f t="shared" si="98"/>
        <v>219</v>
      </c>
      <c r="C246" s="11">
        <f t="shared" si="99"/>
        <v>3461.17</v>
      </c>
      <c r="D246" s="11">
        <f t="shared" si="100"/>
        <v>2965.5267937004037</v>
      </c>
      <c r="E246" s="11">
        <f t="shared" si="101"/>
        <v>495.64320629959656</v>
      </c>
      <c r="F246" s="9">
        <f t="shared" si="111"/>
        <v>67338.474099859392</v>
      </c>
      <c r="G246" s="10">
        <f t="shared" si="102"/>
        <v>6.7599999999999993E-2</v>
      </c>
      <c r="H246" s="10">
        <f t="shared" si="103"/>
        <v>1.7000000000000001E-2</v>
      </c>
      <c r="I246" s="49">
        <f t="shared" si="104"/>
        <v>8.4599999999999995E-2</v>
      </c>
      <c r="J246" s="11">
        <f t="shared" si="105"/>
        <v>20</v>
      </c>
      <c r="K246" s="11">
        <f>IF(B246&lt;&gt;"",IF($B$16=listy!$K$8,'RZĄDOWY PROGRAM'!$F$3*'RZĄDOWY PROGRAM'!$F$15,F245*$F$15),"")</f>
        <v>50</v>
      </c>
      <c r="L246" s="11">
        <f t="shared" si="112"/>
        <v>70</v>
      </c>
      <c r="N246" s="55">
        <f t="shared" si="125"/>
        <v>51380</v>
      </c>
      <c r="O246" s="8">
        <f t="shared" si="113"/>
        <v>219</v>
      </c>
      <c r="P246" s="8"/>
      <c r="Q246" s="33">
        <f>IF(O246&lt;&gt;"",ROUND(IF($F$11="raty równe",-PMT(W246/12,$F$4-O245+SUM($P$28:P246),T245,2),R246+S246),2),"")</f>
        <v>3461.17</v>
      </c>
      <c r="R246" s="11">
        <f>IF(O246&lt;&gt;"",IF($F$11="raty malejące",T245/($F$4-O245+SUM($P$28:P246)),IF(Q246-S246&gt;T245,T245,Q246-S246)),"")</f>
        <v>2803.4546795113515</v>
      </c>
      <c r="S246" s="11">
        <f t="shared" si="127"/>
        <v>657.71532048864867</v>
      </c>
      <c r="T246" s="9">
        <f t="shared" si="114"/>
        <v>90489.498581289881</v>
      </c>
      <c r="U246" s="10">
        <f t="shared" si="106"/>
        <v>6.7599999999999993E-2</v>
      </c>
      <c r="V246" s="10">
        <f t="shared" si="107"/>
        <v>1.7000000000000001E-2</v>
      </c>
      <c r="W246" s="49">
        <f t="shared" si="115"/>
        <v>8.4599999999999995E-2</v>
      </c>
      <c r="X246" s="11">
        <f t="shared" si="108"/>
        <v>20</v>
      </c>
      <c r="Y246" s="11">
        <f>IF(O246&lt;&gt;"",IF($B$16=listy!$K$8,'RZĄDOWY PROGRAM'!$F$3*'RZĄDOWY PROGRAM'!$F$15,T245*$F$15),"")</f>
        <v>50</v>
      </c>
      <c r="Z246" s="11">
        <f t="shared" si="116"/>
        <v>70</v>
      </c>
      <c r="AB246" s="8">
        <f t="shared" si="117"/>
        <v>219</v>
      </c>
      <c r="AC246" s="8"/>
      <c r="AD246" s="33">
        <f>IF(AB246&lt;&gt;"",ROUND(IF($F$11="raty równe",-PMT(W246/12,$F$4-AB245+SUM($AC$28:AC246),AG245,2),AE246+AF246),2),"")</f>
        <v>3227.69</v>
      </c>
      <c r="AE246" s="11">
        <f>IF(AB246&lt;&gt;"",IF($F$11="raty malejące",AG245/($F$4-AB245+SUM($AC$28:AC245)),MIN(AD246-AF246,AG245)),"")</f>
        <v>2614.3428910405228</v>
      </c>
      <c r="AF246" s="11">
        <f t="shared" si="128"/>
        <v>613.34710895947705</v>
      </c>
      <c r="AG246" s="9">
        <f t="shared" si="126"/>
        <v>84385.247032289568</v>
      </c>
      <c r="AH246" s="11"/>
      <c r="AI246" s="33">
        <f>IF(AB246&lt;&gt;"",ROUND(IF($F$11="raty równe",-PMT(W246/12,($F$4-AB245+SUM($AC$27:AC245)),AG245,2),AG245/($F$4-AB245+SUM($AC$27:AC245))+AG245*W246/12),2),"")</f>
        <v>3227.69</v>
      </c>
      <c r="AJ246" s="33">
        <f t="shared" si="118"/>
        <v>233.48000000000002</v>
      </c>
      <c r="AK246" s="33">
        <f t="shared" si="119"/>
        <v>71441.731406979074</v>
      </c>
      <c r="AL246" s="33">
        <f>IF(AB246&lt;&gt;"",AK246-SUM($AJ$28:AJ246),"")</f>
        <v>21984.501406979136</v>
      </c>
      <c r="AM246" s="11">
        <f t="shared" si="120"/>
        <v>20</v>
      </c>
      <c r="AN246" s="11">
        <f>IF(AB246&lt;&gt;"",IF($B$16=listy!$K$8,'RZĄDOWY PROGRAM'!$F$3*'RZĄDOWY PROGRAM'!$F$15,AG245*$F$15),"")</f>
        <v>50</v>
      </c>
      <c r="AO246" s="11">
        <f t="shared" si="121"/>
        <v>70</v>
      </c>
      <c r="AQ246" s="49">
        <f t="shared" si="109"/>
        <v>0.05</v>
      </c>
      <c r="AR246" s="18">
        <f t="shared" si="110"/>
        <v>4.0741237836483535E-3</v>
      </c>
      <c r="AS246" s="11">
        <f t="shared" si="122"/>
        <v>0</v>
      </c>
      <c r="AT246" s="11">
        <f t="shared" si="123"/>
        <v>55635.297418376154</v>
      </c>
      <c r="AU246" s="11">
        <f>IF(AB246&lt;&gt;"",AT246-SUM($AS$28:AS246),"")</f>
        <v>27945.897418376149</v>
      </c>
    </row>
    <row r="247" spans="1:47" ht="14.5" x14ac:dyDescent="0.35">
      <c r="A247" s="76">
        <f t="shared" si="124"/>
        <v>51410</v>
      </c>
      <c r="B247" s="8">
        <f t="shared" si="98"/>
        <v>220</v>
      </c>
      <c r="C247" s="11">
        <f t="shared" si="99"/>
        <v>3461.18</v>
      </c>
      <c r="D247" s="11">
        <f t="shared" si="100"/>
        <v>2986.443757595991</v>
      </c>
      <c r="E247" s="11">
        <f t="shared" si="101"/>
        <v>474.73624240400869</v>
      </c>
      <c r="F247" s="9">
        <f t="shared" si="111"/>
        <v>64352.030342263402</v>
      </c>
      <c r="G247" s="10">
        <f t="shared" si="102"/>
        <v>6.7599999999999993E-2</v>
      </c>
      <c r="H247" s="10">
        <f t="shared" si="103"/>
        <v>1.7000000000000001E-2</v>
      </c>
      <c r="I247" s="49">
        <f t="shared" si="104"/>
        <v>8.4599999999999995E-2</v>
      </c>
      <c r="J247" s="11">
        <f t="shared" si="105"/>
        <v>20</v>
      </c>
      <c r="K247" s="11">
        <f>IF(B247&lt;&gt;"",IF($B$16=listy!$K$8,'RZĄDOWY PROGRAM'!$F$3*'RZĄDOWY PROGRAM'!$F$15,F246*$F$15),"")</f>
        <v>50</v>
      </c>
      <c r="L247" s="11">
        <f t="shared" si="112"/>
        <v>70</v>
      </c>
      <c r="N247" s="55">
        <f t="shared" si="125"/>
        <v>51410</v>
      </c>
      <c r="O247" s="8">
        <f t="shared" si="113"/>
        <v>220</v>
      </c>
      <c r="P247" s="8"/>
      <c r="Q247" s="33">
        <f>IF(O247&lt;&gt;"",ROUND(IF($F$11="raty równe",-PMT(W247/12,$F$4-O246+SUM($P$28:P247),T246,2),R247+S247),2),"")</f>
        <v>3461.18</v>
      </c>
      <c r="R247" s="11">
        <f>IF(O247&lt;&gt;"",IF($F$11="raty malejące",T246/($F$4-O246+SUM($P$28:P247)),IF(Q247-S247&gt;T246,T246,Q247-S247)),"")</f>
        <v>2823.2290350019061</v>
      </c>
      <c r="S247" s="11">
        <f t="shared" si="127"/>
        <v>637.95096499809358</v>
      </c>
      <c r="T247" s="9">
        <f t="shared" si="114"/>
        <v>87666.269546287978</v>
      </c>
      <c r="U247" s="10">
        <f t="shared" si="106"/>
        <v>6.7599999999999993E-2</v>
      </c>
      <c r="V247" s="10">
        <f t="shared" si="107"/>
        <v>1.7000000000000001E-2</v>
      </c>
      <c r="W247" s="49">
        <f t="shared" si="115"/>
        <v>8.4599999999999995E-2</v>
      </c>
      <c r="X247" s="11">
        <f t="shared" si="108"/>
        <v>20</v>
      </c>
      <c r="Y247" s="11">
        <f>IF(O247&lt;&gt;"",IF($B$16=listy!$K$8,'RZĄDOWY PROGRAM'!$F$3*'RZĄDOWY PROGRAM'!$F$15,T246*$F$15),"")</f>
        <v>50</v>
      </c>
      <c r="Z247" s="11">
        <f t="shared" si="116"/>
        <v>70</v>
      </c>
      <c r="AB247" s="8">
        <f t="shared" si="117"/>
        <v>220</v>
      </c>
      <c r="AC247" s="8"/>
      <c r="AD247" s="33">
        <f>IF(AB247&lt;&gt;"",ROUND(IF($F$11="raty równe",-PMT(W247/12,$F$4-AB246+SUM($AC$28:AC247),AG246,2),AE247+AF247),2),"")</f>
        <v>3227.69</v>
      </c>
      <c r="AE247" s="11">
        <f>IF(AB247&lt;&gt;"",IF($F$11="raty malejące",AG246/($F$4-AB246+SUM($AC$28:AC246)),MIN(AD247-AF247,AG246)),"")</f>
        <v>2632.7740084223587</v>
      </c>
      <c r="AF247" s="11">
        <f t="shared" si="128"/>
        <v>594.91599157764142</v>
      </c>
      <c r="AG247" s="9">
        <f t="shared" si="126"/>
        <v>81752.473023867205</v>
      </c>
      <c r="AH247" s="11"/>
      <c r="AI247" s="33">
        <f>IF(AB247&lt;&gt;"",ROUND(IF($F$11="raty równe",-PMT(W247/12,($F$4-AB246+SUM($AC$27:AC246)),AG246,2),AG246/($F$4-AB246+SUM($AC$27:AC246))+AG246*W247/12),2),"")</f>
        <v>3227.69</v>
      </c>
      <c r="AJ247" s="33">
        <f t="shared" si="118"/>
        <v>233.48999999999978</v>
      </c>
      <c r="AK247" s="33">
        <f t="shared" si="119"/>
        <v>71910.981997205934</v>
      </c>
      <c r="AL247" s="33">
        <f>IF(AB247&lt;&gt;"",AK247-SUM($AJ$28:AJ247),"")</f>
        <v>22220.261997205998</v>
      </c>
      <c r="AM247" s="11">
        <f t="shared" si="120"/>
        <v>20</v>
      </c>
      <c r="AN247" s="11">
        <f>IF(AB247&lt;&gt;"",IF($B$16=listy!$K$8,'RZĄDOWY PROGRAM'!$F$3*'RZĄDOWY PROGRAM'!$F$15,AG246*$F$15),"")</f>
        <v>50</v>
      </c>
      <c r="AO247" s="11">
        <f t="shared" si="121"/>
        <v>70</v>
      </c>
      <c r="AQ247" s="49">
        <f t="shared" si="109"/>
        <v>0.05</v>
      </c>
      <c r="AR247" s="18">
        <f t="shared" si="110"/>
        <v>4.0741237836483535E-3</v>
      </c>
      <c r="AS247" s="11">
        <f t="shared" si="122"/>
        <v>0</v>
      </c>
      <c r="AT247" s="11">
        <f t="shared" si="123"/>
        <v>55818.896139998425</v>
      </c>
      <c r="AU247" s="11">
        <f>IF(AB247&lt;&gt;"",AT247-SUM($AS$28:AS247),"")</f>
        <v>28129.49613999842</v>
      </c>
    </row>
    <row r="248" spans="1:47" ht="14.5" x14ac:dyDescent="0.35">
      <c r="A248" s="76">
        <f t="shared" si="124"/>
        <v>51441</v>
      </c>
      <c r="B248" s="8">
        <f t="shared" si="98"/>
        <v>221</v>
      </c>
      <c r="C248" s="11">
        <f t="shared" si="99"/>
        <v>3461.17</v>
      </c>
      <c r="D248" s="11">
        <f t="shared" si="100"/>
        <v>3007.4881860870432</v>
      </c>
      <c r="E248" s="11">
        <f t="shared" si="101"/>
        <v>453.68181391295701</v>
      </c>
      <c r="F248" s="9">
        <f t="shared" si="111"/>
        <v>61344.542156176358</v>
      </c>
      <c r="G248" s="10">
        <f t="shared" si="102"/>
        <v>6.7599999999999993E-2</v>
      </c>
      <c r="H248" s="10">
        <f t="shared" si="103"/>
        <v>1.7000000000000001E-2</v>
      </c>
      <c r="I248" s="49">
        <f t="shared" si="104"/>
        <v>8.4599999999999995E-2</v>
      </c>
      <c r="J248" s="11">
        <f t="shared" si="105"/>
        <v>20</v>
      </c>
      <c r="K248" s="11">
        <f>IF(B248&lt;&gt;"",IF($B$16=listy!$K$8,'RZĄDOWY PROGRAM'!$F$3*'RZĄDOWY PROGRAM'!$F$15,F247*$F$15),"")</f>
        <v>50</v>
      </c>
      <c r="L248" s="11">
        <f t="shared" si="112"/>
        <v>70</v>
      </c>
      <c r="N248" s="55">
        <f t="shared" si="125"/>
        <v>51441</v>
      </c>
      <c r="O248" s="8">
        <f t="shared" si="113"/>
        <v>221</v>
      </c>
      <c r="P248" s="8"/>
      <c r="Q248" s="33">
        <f>IF(O248&lt;&gt;"",ROUND(IF($F$11="raty równe",-PMT(W248/12,$F$4-O247+SUM($P$28:P248),T247,2),R248+S248),2),"")</f>
        <v>3461.17</v>
      </c>
      <c r="R248" s="11">
        <f>IF(O248&lt;&gt;"",IF($F$11="raty malejące",T247/($F$4-O247+SUM($P$28:P248)),IF(Q248-S248&gt;T247,T247,Q248-S248)),"")</f>
        <v>2843.12279969867</v>
      </c>
      <c r="S248" s="11">
        <f t="shared" si="127"/>
        <v>618.04720030133024</v>
      </c>
      <c r="T248" s="9">
        <f t="shared" si="114"/>
        <v>84823.146746589307</v>
      </c>
      <c r="U248" s="10">
        <f t="shared" si="106"/>
        <v>6.7599999999999993E-2</v>
      </c>
      <c r="V248" s="10">
        <f t="shared" si="107"/>
        <v>1.7000000000000001E-2</v>
      </c>
      <c r="W248" s="49">
        <f t="shared" si="115"/>
        <v>8.4599999999999995E-2</v>
      </c>
      <c r="X248" s="11">
        <f t="shared" si="108"/>
        <v>20</v>
      </c>
      <c r="Y248" s="11">
        <f>IF(O248&lt;&gt;"",IF($B$16=listy!$K$8,'RZĄDOWY PROGRAM'!$F$3*'RZĄDOWY PROGRAM'!$F$15,T247*$F$15),"")</f>
        <v>50</v>
      </c>
      <c r="Z248" s="11">
        <f t="shared" si="116"/>
        <v>70</v>
      </c>
      <c r="AB248" s="8">
        <f t="shared" si="117"/>
        <v>221</v>
      </c>
      <c r="AC248" s="8"/>
      <c r="AD248" s="33">
        <f>IF(AB248&lt;&gt;"",ROUND(IF($F$11="raty równe",-PMT(W248/12,$F$4-AB247+SUM($AC$28:AC248),AG247,2),AE248+AF248),2),"")</f>
        <v>3227.7</v>
      </c>
      <c r="AE248" s="11">
        <f>IF(AB248&lt;&gt;"",IF($F$11="raty malejące",AG247/($F$4-AB247+SUM($AC$28:AC247)),MIN(AD248-AF248,AG247)),"")</f>
        <v>2651.3450651817361</v>
      </c>
      <c r="AF248" s="11">
        <f t="shared" si="128"/>
        <v>576.35493481826381</v>
      </c>
      <c r="AG248" s="9">
        <f t="shared" si="126"/>
        <v>79101.127958685465</v>
      </c>
      <c r="AH248" s="11"/>
      <c r="AI248" s="33">
        <f>IF(AB248&lt;&gt;"",ROUND(IF($F$11="raty równe",-PMT(W248/12,($F$4-AB247+SUM($AC$27:AC247)),AG247,2),AG247/($F$4-AB247+SUM($AC$27:AC247))+AG247*W248/12),2),"")</f>
        <v>3227.7</v>
      </c>
      <c r="AJ248" s="33">
        <f t="shared" si="118"/>
        <v>233.47000000000025</v>
      </c>
      <c r="AK248" s="33">
        <f t="shared" si="119"/>
        <v>72381.761133274806</v>
      </c>
      <c r="AL248" s="33">
        <f>IF(AB248&lt;&gt;"",AK248-SUM($AJ$28:AJ248),"")</f>
        <v>22457.571133274869</v>
      </c>
      <c r="AM248" s="11">
        <f t="shared" si="120"/>
        <v>20</v>
      </c>
      <c r="AN248" s="11">
        <f>IF(AB248&lt;&gt;"",IF($B$16=listy!$K$8,'RZĄDOWY PROGRAM'!$F$3*'RZĄDOWY PROGRAM'!$F$15,AG247*$F$15),"")</f>
        <v>50</v>
      </c>
      <c r="AO248" s="11">
        <f t="shared" si="121"/>
        <v>70</v>
      </c>
      <c r="AQ248" s="49">
        <f t="shared" si="109"/>
        <v>0.05</v>
      </c>
      <c r="AR248" s="18">
        <f t="shared" si="110"/>
        <v>4.0741237836483535E-3</v>
      </c>
      <c r="AS248" s="11">
        <f t="shared" si="122"/>
        <v>0</v>
      </c>
      <c r="AT248" s="11">
        <f t="shared" si="123"/>
        <v>56003.10074479461</v>
      </c>
      <c r="AU248" s="11">
        <f>IF(AB248&lt;&gt;"",AT248-SUM($AS$28:AS248),"")</f>
        <v>28313.700744794605</v>
      </c>
    </row>
    <row r="249" spans="1:47" ht="14.5" x14ac:dyDescent="0.35">
      <c r="A249" s="76">
        <f t="shared" si="124"/>
        <v>51471</v>
      </c>
      <c r="B249" s="8">
        <f t="shared" si="98"/>
        <v>222</v>
      </c>
      <c r="C249" s="11">
        <f t="shared" si="99"/>
        <v>3461.18</v>
      </c>
      <c r="D249" s="11">
        <f t="shared" si="100"/>
        <v>3028.7009777989565</v>
      </c>
      <c r="E249" s="11">
        <f t="shared" si="101"/>
        <v>432.47902220104328</v>
      </c>
      <c r="F249" s="9">
        <f t="shared" si="111"/>
        <v>58315.841178377399</v>
      </c>
      <c r="G249" s="10">
        <f t="shared" si="102"/>
        <v>6.7599999999999993E-2</v>
      </c>
      <c r="H249" s="10">
        <f t="shared" si="103"/>
        <v>1.7000000000000001E-2</v>
      </c>
      <c r="I249" s="49">
        <f t="shared" si="104"/>
        <v>8.4599999999999995E-2</v>
      </c>
      <c r="J249" s="11">
        <f t="shared" si="105"/>
        <v>20</v>
      </c>
      <c r="K249" s="11">
        <f>IF(B249&lt;&gt;"",IF($B$16=listy!$K$8,'RZĄDOWY PROGRAM'!$F$3*'RZĄDOWY PROGRAM'!$F$15,F248*$F$15),"")</f>
        <v>50</v>
      </c>
      <c r="L249" s="11">
        <f t="shared" si="112"/>
        <v>70</v>
      </c>
      <c r="N249" s="55">
        <f t="shared" si="125"/>
        <v>51471</v>
      </c>
      <c r="O249" s="8">
        <f t="shared" si="113"/>
        <v>222</v>
      </c>
      <c r="P249" s="8"/>
      <c r="Q249" s="33">
        <f>IF(O249&lt;&gt;"",ROUND(IF($F$11="raty równe",-PMT(W249/12,$F$4-O248+SUM($P$28:P249),T248,2),R249+S249),2),"")</f>
        <v>3461.18</v>
      </c>
      <c r="R249" s="11">
        <f>IF(O249&lt;&gt;"",IF($F$11="raty malejące",T248/($F$4-O248+SUM($P$28:P249)),IF(Q249-S249&gt;T248,T248,Q249-S249)),"")</f>
        <v>2863.1768154365454</v>
      </c>
      <c r="S249" s="11">
        <f t="shared" si="127"/>
        <v>598.00318456345451</v>
      </c>
      <c r="T249" s="9">
        <f t="shared" si="114"/>
        <v>81959.969931152766</v>
      </c>
      <c r="U249" s="10">
        <f t="shared" si="106"/>
        <v>6.7599999999999993E-2</v>
      </c>
      <c r="V249" s="10">
        <f t="shared" si="107"/>
        <v>1.7000000000000001E-2</v>
      </c>
      <c r="W249" s="49">
        <f t="shared" si="115"/>
        <v>8.4599999999999995E-2</v>
      </c>
      <c r="X249" s="11">
        <f t="shared" si="108"/>
        <v>20</v>
      </c>
      <c r="Y249" s="11">
        <f>IF(O249&lt;&gt;"",IF($B$16=listy!$K$8,'RZĄDOWY PROGRAM'!$F$3*'RZĄDOWY PROGRAM'!$F$15,T248*$F$15),"")</f>
        <v>50</v>
      </c>
      <c r="Z249" s="11">
        <f t="shared" si="116"/>
        <v>70</v>
      </c>
      <c r="AB249" s="8">
        <f t="shared" si="117"/>
        <v>222</v>
      </c>
      <c r="AC249" s="8"/>
      <c r="AD249" s="33">
        <f>IF(AB249&lt;&gt;"",ROUND(IF($F$11="raty równe",-PMT(W249/12,$F$4-AB248+SUM($AC$28:AC249),AG248,2),AE249+AF249),2),"")</f>
        <v>3227.7</v>
      </c>
      <c r="AE249" s="11">
        <f>IF(AB249&lt;&gt;"",IF($F$11="raty malejące",AG248/($F$4-AB248+SUM($AC$28:AC248)),MIN(AD249-AF249,AG248)),"")</f>
        <v>2670.0370478912673</v>
      </c>
      <c r="AF249" s="11">
        <f t="shared" si="128"/>
        <v>557.6629521087325</v>
      </c>
      <c r="AG249" s="9">
        <f t="shared" si="126"/>
        <v>76431.090910794199</v>
      </c>
      <c r="AH249" s="11"/>
      <c r="AI249" s="33">
        <f>IF(AB249&lt;&gt;"",ROUND(IF($F$11="raty równe",-PMT(W249/12,($F$4-AB248+SUM($AC$27:AC248)),AG248,2),AG248/($F$4-AB248+SUM($AC$27:AC248))+AG248*W249/12),2),"")</f>
        <v>3227.7</v>
      </c>
      <c r="AJ249" s="33">
        <f t="shared" si="118"/>
        <v>233.48000000000002</v>
      </c>
      <c r="AK249" s="33">
        <f t="shared" si="119"/>
        <v>72854.1038594485</v>
      </c>
      <c r="AL249" s="33">
        <f>IF(AB249&lt;&gt;"",AK249-SUM($AJ$28:AJ249),"")</f>
        <v>22696.43385944856</v>
      </c>
      <c r="AM249" s="11">
        <f t="shared" si="120"/>
        <v>20</v>
      </c>
      <c r="AN249" s="11">
        <f>IF(AB249&lt;&gt;"",IF($B$16=listy!$K$8,'RZĄDOWY PROGRAM'!$F$3*'RZĄDOWY PROGRAM'!$F$15,AG248*$F$15),"")</f>
        <v>50</v>
      </c>
      <c r="AO249" s="11">
        <f t="shared" si="121"/>
        <v>70</v>
      </c>
      <c r="AQ249" s="49">
        <f t="shared" si="109"/>
        <v>0.05</v>
      </c>
      <c r="AR249" s="18">
        <f t="shared" si="110"/>
        <v>4.0741237836483535E-3</v>
      </c>
      <c r="AS249" s="11">
        <f t="shared" si="122"/>
        <v>0</v>
      </c>
      <c r="AT249" s="11">
        <f t="shared" si="123"/>
        <v>56187.913232203573</v>
      </c>
      <c r="AU249" s="11">
        <f>IF(AB249&lt;&gt;"",AT249-SUM($AS$28:AS249),"")</f>
        <v>28498.513232203568</v>
      </c>
    </row>
    <row r="250" spans="1:47" ht="14.5" x14ac:dyDescent="0.35">
      <c r="A250" s="76">
        <f t="shared" si="124"/>
        <v>51502</v>
      </c>
      <c r="B250" s="8">
        <f t="shared" si="98"/>
        <v>223</v>
      </c>
      <c r="C250" s="11">
        <f t="shared" si="99"/>
        <v>3461.17</v>
      </c>
      <c r="D250" s="11">
        <f t="shared" si="100"/>
        <v>3050.0433196924396</v>
      </c>
      <c r="E250" s="11">
        <f t="shared" si="101"/>
        <v>411.12668030756066</v>
      </c>
      <c r="F250" s="9">
        <f t="shared" si="111"/>
        <v>55265.797858684957</v>
      </c>
      <c r="G250" s="10">
        <f t="shared" si="102"/>
        <v>6.7599999999999993E-2</v>
      </c>
      <c r="H250" s="10">
        <f t="shared" si="103"/>
        <v>1.7000000000000001E-2</v>
      </c>
      <c r="I250" s="49">
        <f t="shared" si="104"/>
        <v>8.4599999999999995E-2</v>
      </c>
      <c r="J250" s="11">
        <f t="shared" si="105"/>
        <v>20</v>
      </c>
      <c r="K250" s="11">
        <f>IF(B250&lt;&gt;"",IF($B$16=listy!$K$8,'RZĄDOWY PROGRAM'!$F$3*'RZĄDOWY PROGRAM'!$F$15,F249*$F$15),"")</f>
        <v>50</v>
      </c>
      <c r="L250" s="11">
        <f t="shared" si="112"/>
        <v>70</v>
      </c>
      <c r="N250" s="55">
        <f t="shared" si="125"/>
        <v>51502</v>
      </c>
      <c r="O250" s="8">
        <f t="shared" si="113"/>
        <v>223</v>
      </c>
      <c r="P250" s="8"/>
      <c r="Q250" s="33">
        <f>IF(O250&lt;&gt;"",ROUND(IF($F$11="raty równe",-PMT(W250/12,$F$4-O249+SUM($P$28:P250),T249,2),R250+S250),2),"")</f>
        <v>3461.17</v>
      </c>
      <c r="R250" s="11">
        <f>IF(O250&lt;&gt;"",IF($F$11="raty malejące",T249/($F$4-O249+SUM($P$28:P250)),IF(Q250-S250&gt;T249,T249,Q250-S250)),"")</f>
        <v>2883.3522119853733</v>
      </c>
      <c r="S250" s="11">
        <f t="shared" si="127"/>
        <v>577.8177880146269</v>
      </c>
      <c r="T250" s="9">
        <f t="shared" si="114"/>
        <v>79076.617719167392</v>
      </c>
      <c r="U250" s="10">
        <f t="shared" si="106"/>
        <v>6.7599999999999993E-2</v>
      </c>
      <c r="V250" s="10">
        <f t="shared" si="107"/>
        <v>1.7000000000000001E-2</v>
      </c>
      <c r="W250" s="49">
        <f t="shared" si="115"/>
        <v>8.4599999999999995E-2</v>
      </c>
      <c r="X250" s="11">
        <f t="shared" si="108"/>
        <v>20</v>
      </c>
      <c r="Y250" s="11">
        <f>IF(O250&lt;&gt;"",IF($B$16=listy!$K$8,'RZĄDOWY PROGRAM'!$F$3*'RZĄDOWY PROGRAM'!$F$15,T249*$F$15),"")</f>
        <v>50</v>
      </c>
      <c r="Z250" s="11">
        <f t="shared" si="116"/>
        <v>70</v>
      </c>
      <c r="AB250" s="8">
        <f t="shared" si="117"/>
        <v>223</v>
      </c>
      <c r="AC250" s="8"/>
      <c r="AD250" s="33">
        <f>IF(AB250&lt;&gt;"",ROUND(IF($F$11="raty równe",-PMT(W250/12,$F$4-AB249+SUM($AC$28:AC250),AG249,2),AE250+AF250),2),"")</f>
        <v>3227.69</v>
      </c>
      <c r="AE250" s="11">
        <f>IF(AB250&lt;&gt;"",IF($F$11="raty malejące",AG249/($F$4-AB249+SUM($AC$28:AC249)),MIN(AD250-AF250,AG249)),"")</f>
        <v>2688.850809078901</v>
      </c>
      <c r="AF250" s="11">
        <f t="shared" si="128"/>
        <v>538.83919092109909</v>
      </c>
      <c r="AG250" s="9">
        <f t="shared" si="126"/>
        <v>73742.240101715302</v>
      </c>
      <c r="AH250" s="11"/>
      <c r="AI250" s="33">
        <f>IF(AB250&lt;&gt;"",ROUND(IF($F$11="raty równe",-PMT(W250/12,($F$4-AB249+SUM($AC$27:AC249)),AG249,2),AG249/($F$4-AB249+SUM($AC$27:AC249))+AG249*W250/12),2),"")</f>
        <v>3227.69</v>
      </c>
      <c r="AJ250" s="33">
        <f t="shared" si="118"/>
        <v>233.48000000000002</v>
      </c>
      <c r="AK250" s="33">
        <f t="shared" si="119"/>
        <v>73328.005335637325</v>
      </c>
      <c r="AL250" s="33">
        <f>IF(AB250&lt;&gt;"",AK250-SUM($AJ$28:AJ250),"")</f>
        <v>22936.855335637381</v>
      </c>
      <c r="AM250" s="11">
        <f t="shared" si="120"/>
        <v>20</v>
      </c>
      <c r="AN250" s="11">
        <f>IF(AB250&lt;&gt;"",IF($B$16=listy!$K$8,'RZĄDOWY PROGRAM'!$F$3*'RZĄDOWY PROGRAM'!$F$15,AG249*$F$15),"")</f>
        <v>50</v>
      </c>
      <c r="AO250" s="11">
        <f t="shared" si="121"/>
        <v>70</v>
      </c>
      <c r="AQ250" s="49">
        <f t="shared" si="109"/>
        <v>0.05</v>
      </c>
      <c r="AR250" s="18">
        <f t="shared" si="110"/>
        <v>4.0741237836483535E-3</v>
      </c>
      <c r="AS250" s="11">
        <f t="shared" si="122"/>
        <v>0</v>
      </c>
      <c r="AT250" s="11">
        <f t="shared" si="123"/>
        <v>56373.335608262416</v>
      </c>
      <c r="AU250" s="11">
        <f>IF(AB250&lt;&gt;"",AT250-SUM($AS$28:AS250),"")</f>
        <v>28683.935608262411</v>
      </c>
    </row>
    <row r="251" spans="1:47" ht="14.5" x14ac:dyDescent="0.35">
      <c r="A251" s="76">
        <f t="shared" si="124"/>
        <v>51533</v>
      </c>
      <c r="B251" s="8">
        <f t="shared" si="98"/>
        <v>224</v>
      </c>
      <c r="C251" s="11">
        <f t="shared" si="99"/>
        <v>3461.18</v>
      </c>
      <c r="D251" s="11">
        <f t="shared" si="100"/>
        <v>3071.556125096271</v>
      </c>
      <c r="E251" s="11">
        <f t="shared" si="101"/>
        <v>389.6238749037289</v>
      </c>
      <c r="F251" s="9">
        <f t="shared" si="111"/>
        <v>52194.241733588686</v>
      </c>
      <c r="G251" s="10">
        <f t="shared" si="102"/>
        <v>6.7599999999999993E-2</v>
      </c>
      <c r="H251" s="10">
        <f t="shared" si="103"/>
        <v>1.7000000000000001E-2</v>
      </c>
      <c r="I251" s="49">
        <f t="shared" si="104"/>
        <v>8.4599999999999995E-2</v>
      </c>
      <c r="J251" s="11">
        <f t="shared" si="105"/>
        <v>20</v>
      </c>
      <c r="K251" s="11">
        <f>IF(B251&lt;&gt;"",IF($B$16=listy!$K$8,'RZĄDOWY PROGRAM'!$F$3*'RZĄDOWY PROGRAM'!$F$15,F250*$F$15),"")</f>
        <v>50</v>
      </c>
      <c r="L251" s="11">
        <f t="shared" si="112"/>
        <v>70</v>
      </c>
      <c r="N251" s="55">
        <f t="shared" si="125"/>
        <v>51533</v>
      </c>
      <c r="O251" s="8">
        <f t="shared" si="113"/>
        <v>224</v>
      </c>
      <c r="P251" s="8"/>
      <c r="Q251" s="33">
        <f>IF(O251&lt;&gt;"",ROUND(IF($F$11="raty równe",-PMT(W251/12,$F$4-O250+SUM($P$28:P251),T250,2),R251+S251),2),"")</f>
        <v>3461.18</v>
      </c>
      <c r="R251" s="11">
        <f>IF(O251&lt;&gt;"",IF($F$11="raty malejące",T250/($F$4-O250+SUM($P$28:P251)),IF(Q251-S251&gt;T250,T250,Q251-S251)),"")</f>
        <v>2903.6898450798699</v>
      </c>
      <c r="S251" s="11">
        <f t="shared" si="127"/>
        <v>557.49015492013007</v>
      </c>
      <c r="T251" s="9">
        <f t="shared" si="114"/>
        <v>76172.927874087516</v>
      </c>
      <c r="U251" s="10">
        <f t="shared" si="106"/>
        <v>6.7599999999999993E-2</v>
      </c>
      <c r="V251" s="10">
        <f t="shared" si="107"/>
        <v>1.7000000000000001E-2</v>
      </c>
      <c r="W251" s="49">
        <f t="shared" si="115"/>
        <v>8.4599999999999995E-2</v>
      </c>
      <c r="X251" s="11">
        <f t="shared" si="108"/>
        <v>20</v>
      </c>
      <c r="Y251" s="11">
        <f>IF(O251&lt;&gt;"",IF($B$16=listy!$K$8,'RZĄDOWY PROGRAM'!$F$3*'RZĄDOWY PROGRAM'!$F$15,T250*$F$15),"")</f>
        <v>50</v>
      </c>
      <c r="Z251" s="11">
        <f t="shared" si="116"/>
        <v>70</v>
      </c>
      <c r="AB251" s="8">
        <f t="shared" si="117"/>
        <v>224</v>
      </c>
      <c r="AC251" s="8"/>
      <c r="AD251" s="33">
        <f>IF(AB251&lt;&gt;"",ROUND(IF($F$11="raty równe",-PMT(W251/12,$F$4-AB250+SUM($AC$28:AC251),AG250,2),AE251+AF251),2),"")</f>
        <v>3227.69</v>
      </c>
      <c r="AE251" s="11">
        <f>IF(AB251&lt;&gt;"",IF($F$11="raty malejące",AG250/($F$4-AB250+SUM($AC$28:AC250)),MIN(AD251-AF251,AG250)),"")</f>
        <v>2707.8072072829073</v>
      </c>
      <c r="AF251" s="11">
        <f t="shared" si="128"/>
        <v>519.88279271709291</v>
      </c>
      <c r="AG251" s="9">
        <f t="shared" si="126"/>
        <v>71034.432894432393</v>
      </c>
      <c r="AH251" s="11"/>
      <c r="AI251" s="33">
        <f>IF(AB251&lt;&gt;"",ROUND(IF($F$11="raty równe",-PMT(W251/12,($F$4-AB250+SUM($AC$27:AC250)),AG250,2),AG250/($F$4-AB250+SUM($AC$27:AC250))+AG250*W251/12),2),"")</f>
        <v>3227.69</v>
      </c>
      <c r="AJ251" s="33">
        <f t="shared" si="118"/>
        <v>233.48999999999978</v>
      </c>
      <c r="AK251" s="33">
        <f t="shared" si="119"/>
        <v>73803.480705779119</v>
      </c>
      <c r="AL251" s="33">
        <f>IF(AB251&lt;&gt;"",AK251-SUM($AJ$28:AJ251),"")</f>
        <v>23178.840705779177</v>
      </c>
      <c r="AM251" s="11">
        <f t="shared" si="120"/>
        <v>20</v>
      </c>
      <c r="AN251" s="11">
        <f>IF(AB251&lt;&gt;"",IF($B$16=listy!$K$8,'RZĄDOWY PROGRAM'!$F$3*'RZĄDOWY PROGRAM'!$F$15,AG250*$F$15),"")</f>
        <v>50</v>
      </c>
      <c r="AO251" s="11">
        <f t="shared" si="121"/>
        <v>70</v>
      </c>
      <c r="AQ251" s="49">
        <f t="shared" si="109"/>
        <v>0.05</v>
      </c>
      <c r="AR251" s="18">
        <f t="shared" si="110"/>
        <v>4.0741237836483535E-3</v>
      </c>
      <c r="AS251" s="11">
        <f t="shared" si="122"/>
        <v>0</v>
      </c>
      <c r="AT251" s="11">
        <f t="shared" si="123"/>
        <v>56559.369885628235</v>
      </c>
      <c r="AU251" s="11">
        <f>IF(AB251&lt;&gt;"",AT251-SUM($AS$28:AS251),"")</f>
        <v>28869.96988562823</v>
      </c>
    </row>
    <row r="252" spans="1:47" ht="14.5" x14ac:dyDescent="0.35">
      <c r="A252" s="76">
        <f t="shared" si="124"/>
        <v>51561</v>
      </c>
      <c r="B252" s="8">
        <f t="shared" si="98"/>
        <v>225</v>
      </c>
      <c r="C252" s="11">
        <f t="shared" si="99"/>
        <v>3461.17</v>
      </c>
      <c r="D252" s="11">
        <f t="shared" si="100"/>
        <v>3093.2005957781998</v>
      </c>
      <c r="E252" s="11">
        <f t="shared" si="101"/>
        <v>367.96940422180023</v>
      </c>
      <c r="F252" s="9">
        <f t="shared" si="111"/>
        <v>49101.041137810484</v>
      </c>
      <c r="G252" s="10">
        <f t="shared" si="102"/>
        <v>6.7599999999999993E-2</v>
      </c>
      <c r="H252" s="10">
        <f t="shared" si="103"/>
        <v>1.7000000000000001E-2</v>
      </c>
      <c r="I252" s="49">
        <f t="shared" si="104"/>
        <v>8.4599999999999995E-2</v>
      </c>
      <c r="J252" s="11">
        <f t="shared" si="105"/>
        <v>20</v>
      </c>
      <c r="K252" s="11">
        <f>IF(B252&lt;&gt;"",IF($B$16=listy!$K$8,'RZĄDOWY PROGRAM'!$F$3*'RZĄDOWY PROGRAM'!$F$15,F251*$F$15),"")</f>
        <v>50</v>
      </c>
      <c r="L252" s="11">
        <f t="shared" si="112"/>
        <v>70</v>
      </c>
      <c r="N252" s="55">
        <f t="shared" si="125"/>
        <v>51561</v>
      </c>
      <c r="O252" s="8">
        <f t="shared" si="113"/>
        <v>225</v>
      </c>
      <c r="P252" s="8"/>
      <c r="Q252" s="33">
        <f>IF(O252&lt;&gt;"",ROUND(IF($F$11="raty równe",-PMT(W252/12,$F$4-O251+SUM($P$28:P252),T251,2),R252+S252),2),"")</f>
        <v>3461.17</v>
      </c>
      <c r="R252" s="11">
        <f>IF(O252&lt;&gt;"",IF($F$11="raty malejące",T251/($F$4-O251+SUM($P$28:P252)),IF(Q252-S252&gt;T251,T251,Q252-S252)),"")</f>
        <v>2924.1508584876829</v>
      </c>
      <c r="S252" s="11">
        <f t="shared" si="127"/>
        <v>537.01914151231699</v>
      </c>
      <c r="T252" s="9">
        <f t="shared" si="114"/>
        <v>73248.77701559983</v>
      </c>
      <c r="U252" s="10">
        <f t="shared" si="106"/>
        <v>6.7599999999999993E-2</v>
      </c>
      <c r="V252" s="10">
        <f t="shared" si="107"/>
        <v>1.7000000000000001E-2</v>
      </c>
      <c r="W252" s="49">
        <f t="shared" si="115"/>
        <v>8.4599999999999995E-2</v>
      </c>
      <c r="X252" s="11">
        <f t="shared" si="108"/>
        <v>20</v>
      </c>
      <c r="Y252" s="11">
        <f>IF(O252&lt;&gt;"",IF($B$16=listy!$K$8,'RZĄDOWY PROGRAM'!$F$3*'RZĄDOWY PROGRAM'!$F$15,T251*$F$15),"")</f>
        <v>50</v>
      </c>
      <c r="Z252" s="11">
        <f t="shared" si="116"/>
        <v>70</v>
      </c>
      <c r="AB252" s="8">
        <f t="shared" si="117"/>
        <v>225</v>
      </c>
      <c r="AC252" s="8"/>
      <c r="AD252" s="33">
        <f>IF(AB252&lt;&gt;"",ROUND(IF($F$11="raty równe",-PMT(W252/12,$F$4-AB251+SUM($AC$28:AC252),AG251,2),AE252+AF252),2),"")</f>
        <v>3227.7</v>
      </c>
      <c r="AE252" s="11">
        <f>IF(AB252&lt;&gt;"",IF($F$11="raty malejące",AG251/($F$4-AB251+SUM($AC$28:AC251)),MIN(AD252-AF252,AG251)),"")</f>
        <v>2726.9072480942514</v>
      </c>
      <c r="AF252" s="11">
        <f t="shared" si="128"/>
        <v>500.79275190574839</v>
      </c>
      <c r="AG252" s="9">
        <f t="shared" si="126"/>
        <v>68307.525646338137</v>
      </c>
      <c r="AH252" s="11"/>
      <c r="AI252" s="33">
        <f>IF(AB252&lt;&gt;"",ROUND(IF($F$11="raty równe",-PMT(W252/12,($F$4-AB251+SUM($AC$27:AC251)),AG251,2),AG251/($F$4-AB251+SUM($AC$27:AC251))+AG251*W252/12),2),"")</f>
        <v>3227.7</v>
      </c>
      <c r="AJ252" s="33">
        <f t="shared" si="118"/>
        <v>233.47000000000025</v>
      </c>
      <c r="AK252" s="33">
        <f t="shared" si="119"/>
        <v>74280.505163787268</v>
      </c>
      <c r="AL252" s="33">
        <f>IF(AB252&lt;&gt;"",AK252-SUM($AJ$28:AJ252),"")</f>
        <v>23422.395163787325</v>
      </c>
      <c r="AM252" s="11">
        <f t="shared" si="120"/>
        <v>20</v>
      </c>
      <c r="AN252" s="11">
        <f>IF(AB252&lt;&gt;"",IF($B$16=listy!$K$8,'RZĄDOWY PROGRAM'!$F$3*'RZĄDOWY PROGRAM'!$F$15,AG251*$F$15),"")</f>
        <v>50</v>
      </c>
      <c r="AO252" s="11">
        <f t="shared" si="121"/>
        <v>70</v>
      </c>
      <c r="AQ252" s="49">
        <f t="shared" si="109"/>
        <v>0.05</v>
      </c>
      <c r="AR252" s="18">
        <f t="shared" si="110"/>
        <v>4.0741237836483535E-3</v>
      </c>
      <c r="AS252" s="11">
        <f t="shared" si="122"/>
        <v>0</v>
      </c>
      <c r="AT252" s="11">
        <f t="shared" si="123"/>
        <v>56746.018083599993</v>
      </c>
      <c r="AU252" s="11">
        <f>IF(AB252&lt;&gt;"",AT252-SUM($AS$28:AS252),"")</f>
        <v>29056.618083599988</v>
      </c>
    </row>
    <row r="253" spans="1:47" ht="14.5" x14ac:dyDescent="0.35">
      <c r="A253" s="76">
        <f t="shared" si="124"/>
        <v>51592</v>
      </c>
      <c r="B253" s="8">
        <f t="shared" si="98"/>
        <v>226</v>
      </c>
      <c r="C253" s="11">
        <f t="shared" si="99"/>
        <v>3461.18</v>
      </c>
      <c r="D253" s="11">
        <f t="shared" si="100"/>
        <v>3115.0176599784359</v>
      </c>
      <c r="E253" s="11">
        <f t="shared" si="101"/>
        <v>346.16234002156392</v>
      </c>
      <c r="F253" s="9">
        <f t="shared" si="111"/>
        <v>45986.023477832045</v>
      </c>
      <c r="G253" s="10">
        <f t="shared" si="102"/>
        <v>6.7599999999999993E-2</v>
      </c>
      <c r="H253" s="10">
        <f t="shared" si="103"/>
        <v>1.7000000000000001E-2</v>
      </c>
      <c r="I253" s="49">
        <f t="shared" si="104"/>
        <v>8.4599999999999995E-2</v>
      </c>
      <c r="J253" s="11">
        <f t="shared" si="105"/>
        <v>20</v>
      </c>
      <c r="K253" s="11">
        <f>IF(B253&lt;&gt;"",IF($B$16=listy!$K$8,'RZĄDOWY PROGRAM'!$F$3*'RZĄDOWY PROGRAM'!$F$15,F252*$F$15),"")</f>
        <v>50</v>
      </c>
      <c r="L253" s="11">
        <f t="shared" si="112"/>
        <v>70</v>
      </c>
      <c r="N253" s="55">
        <f t="shared" si="125"/>
        <v>51592</v>
      </c>
      <c r="O253" s="8">
        <f t="shared" si="113"/>
        <v>226</v>
      </c>
      <c r="P253" s="8"/>
      <c r="Q253" s="33">
        <f>IF(O253&lt;&gt;"",ROUND(IF($F$11="raty równe",-PMT(W253/12,$F$4-O252+SUM($P$28:P253),T252,2),R253+S253),2),"")</f>
        <v>3461.18</v>
      </c>
      <c r="R253" s="11">
        <f>IF(O253&lt;&gt;"",IF($F$11="raty malejące",T252/($F$4-O252+SUM($P$28:P253)),IF(Q253-S253&gt;T252,T252,Q253-S253)),"")</f>
        <v>2944.7761220400212</v>
      </c>
      <c r="S253" s="11">
        <f t="shared" si="127"/>
        <v>516.40387795997879</v>
      </c>
      <c r="T253" s="9">
        <f t="shared" si="114"/>
        <v>70304.000893559802</v>
      </c>
      <c r="U253" s="10">
        <f t="shared" si="106"/>
        <v>6.7599999999999993E-2</v>
      </c>
      <c r="V253" s="10">
        <f t="shared" si="107"/>
        <v>1.7000000000000001E-2</v>
      </c>
      <c r="W253" s="49">
        <f t="shared" si="115"/>
        <v>8.4599999999999995E-2</v>
      </c>
      <c r="X253" s="11">
        <f t="shared" si="108"/>
        <v>20</v>
      </c>
      <c r="Y253" s="11">
        <f>IF(O253&lt;&gt;"",IF($B$16=listy!$K$8,'RZĄDOWY PROGRAM'!$F$3*'RZĄDOWY PROGRAM'!$F$15,T252*$F$15),"")</f>
        <v>50</v>
      </c>
      <c r="Z253" s="11">
        <f t="shared" si="116"/>
        <v>70</v>
      </c>
      <c r="AB253" s="8">
        <f t="shared" si="117"/>
        <v>226</v>
      </c>
      <c r="AC253" s="8"/>
      <c r="AD253" s="33">
        <f>IF(AB253&lt;&gt;"",ROUND(IF($F$11="raty równe",-PMT(W253/12,$F$4-AB252+SUM($AC$28:AC253),AG252,2),AE253+AF253),2),"")</f>
        <v>3227.7</v>
      </c>
      <c r="AE253" s="11">
        <f>IF(AB253&lt;&gt;"",IF($F$11="raty malejące",AG252/($F$4-AB252+SUM($AC$28:AC252)),MIN(AD253-AF253,AG252)),"")</f>
        <v>2746.131944193316</v>
      </c>
      <c r="AF253" s="11">
        <f t="shared" si="128"/>
        <v>481.56805580668384</v>
      </c>
      <c r="AG253" s="9">
        <f t="shared" si="126"/>
        <v>65561.393702144822</v>
      </c>
      <c r="AH253" s="11"/>
      <c r="AI253" s="33">
        <f>IF(AB253&lt;&gt;"",ROUND(IF($F$11="raty równe",-PMT(W253/12,($F$4-AB252+SUM($AC$27:AC252)),AG252,2),AG252/($F$4-AB252+SUM($AC$27:AC252))+AG252*W253/12),2),"")</f>
        <v>3227.7</v>
      </c>
      <c r="AJ253" s="33">
        <f t="shared" si="118"/>
        <v>233.48000000000002</v>
      </c>
      <c r="AK253" s="33">
        <f t="shared" si="119"/>
        <v>74759.113821714112</v>
      </c>
      <c r="AL253" s="33">
        <f>IF(AB253&lt;&gt;"",AK253-SUM($AJ$28:AJ253),"")</f>
        <v>23667.523821714167</v>
      </c>
      <c r="AM253" s="11">
        <f t="shared" si="120"/>
        <v>20</v>
      </c>
      <c r="AN253" s="11">
        <f>IF(AB253&lt;&gt;"",IF($B$16=listy!$K$8,'RZĄDOWY PROGRAM'!$F$3*'RZĄDOWY PROGRAM'!$F$15,AG252*$F$15),"")</f>
        <v>50</v>
      </c>
      <c r="AO253" s="11">
        <f t="shared" si="121"/>
        <v>70</v>
      </c>
      <c r="AQ253" s="49">
        <f t="shared" si="109"/>
        <v>0.05</v>
      </c>
      <c r="AR253" s="18">
        <f t="shared" si="110"/>
        <v>4.0741237836483535E-3</v>
      </c>
      <c r="AS253" s="11">
        <f t="shared" si="122"/>
        <v>0</v>
      </c>
      <c r="AT253" s="11">
        <f t="shared" si="123"/>
        <v>56933.282228140401</v>
      </c>
      <c r="AU253" s="11">
        <f>IF(AB253&lt;&gt;"",AT253-SUM($AS$28:AS253),"")</f>
        <v>29243.882228140395</v>
      </c>
    </row>
    <row r="254" spans="1:47" ht="14.5" x14ac:dyDescent="0.35">
      <c r="A254" s="76">
        <f t="shared" si="124"/>
        <v>51622</v>
      </c>
      <c r="B254" s="8">
        <f t="shared" si="98"/>
        <v>227</v>
      </c>
      <c r="C254" s="11">
        <f t="shared" si="99"/>
        <v>3461.17</v>
      </c>
      <c r="D254" s="11">
        <f t="shared" si="100"/>
        <v>3136.9685344812842</v>
      </c>
      <c r="E254" s="11">
        <f t="shared" si="101"/>
        <v>324.20146551871591</v>
      </c>
      <c r="F254" s="9">
        <f t="shared" si="111"/>
        <v>42849.054943350762</v>
      </c>
      <c r="G254" s="10">
        <f t="shared" si="102"/>
        <v>6.7599999999999993E-2</v>
      </c>
      <c r="H254" s="10">
        <f t="shared" si="103"/>
        <v>1.7000000000000001E-2</v>
      </c>
      <c r="I254" s="49">
        <f t="shared" si="104"/>
        <v>8.4599999999999995E-2</v>
      </c>
      <c r="J254" s="11">
        <f t="shared" si="105"/>
        <v>20</v>
      </c>
      <c r="K254" s="11">
        <f>IF(B254&lt;&gt;"",IF($B$16=listy!$K$8,'RZĄDOWY PROGRAM'!$F$3*'RZĄDOWY PROGRAM'!$F$15,F253*$F$15),"")</f>
        <v>50</v>
      </c>
      <c r="L254" s="11">
        <f t="shared" si="112"/>
        <v>70</v>
      </c>
      <c r="N254" s="55">
        <f t="shared" si="125"/>
        <v>51622</v>
      </c>
      <c r="O254" s="8">
        <f t="shared" si="113"/>
        <v>227</v>
      </c>
      <c r="P254" s="8"/>
      <c r="Q254" s="33">
        <f>IF(O254&lt;&gt;"",ROUND(IF($F$11="raty równe",-PMT(W254/12,$F$4-O253+SUM($P$28:P254),T253,2),R254+S254),2),"")</f>
        <v>3461.17</v>
      </c>
      <c r="R254" s="11">
        <f>IF(O254&lt;&gt;"",IF($F$11="raty malejące",T253/($F$4-O253+SUM($P$28:P254)),IF(Q254-S254&gt;T253,T253,Q254-S254)),"")</f>
        <v>2965.5267937004037</v>
      </c>
      <c r="S254" s="11">
        <f t="shared" si="127"/>
        <v>495.64320629959656</v>
      </c>
      <c r="T254" s="9">
        <f t="shared" si="114"/>
        <v>67338.474099859392</v>
      </c>
      <c r="U254" s="10">
        <f t="shared" si="106"/>
        <v>6.7599999999999993E-2</v>
      </c>
      <c r="V254" s="10">
        <f t="shared" si="107"/>
        <v>1.7000000000000001E-2</v>
      </c>
      <c r="W254" s="49">
        <f t="shared" si="115"/>
        <v>8.4599999999999995E-2</v>
      </c>
      <c r="X254" s="11">
        <f t="shared" si="108"/>
        <v>20</v>
      </c>
      <c r="Y254" s="11">
        <f>IF(O254&lt;&gt;"",IF($B$16=listy!$K$8,'RZĄDOWY PROGRAM'!$F$3*'RZĄDOWY PROGRAM'!$F$15,T253*$F$15),"")</f>
        <v>50</v>
      </c>
      <c r="Z254" s="11">
        <f t="shared" si="116"/>
        <v>70</v>
      </c>
      <c r="AB254" s="8">
        <f t="shared" si="117"/>
        <v>227</v>
      </c>
      <c r="AC254" s="8"/>
      <c r="AD254" s="33">
        <f>IF(AB254&lt;&gt;"",ROUND(IF($F$11="raty równe",-PMT(W254/12,$F$4-AB253+SUM($AC$28:AC254),AG253,2),AE254+AF254),2),"")</f>
        <v>3227.69</v>
      </c>
      <c r="AE254" s="11">
        <f>IF(AB254&lt;&gt;"",IF($F$11="raty malejące",AG253/($F$4-AB253+SUM($AC$28:AC253)),MIN(AD254-AF254,AG253)),"")</f>
        <v>2765.4821743998791</v>
      </c>
      <c r="AF254" s="11">
        <f t="shared" si="128"/>
        <v>462.20782560012094</v>
      </c>
      <c r="AG254" s="9">
        <f t="shared" si="126"/>
        <v>62795.911527744945</v>
      </c>
      <c r="AH254" s="11"/>
      <c r="AI254" s="33">
        <f>IF(AB254&lt;&gt;"",ROUND(IF($F$11="raty równe",-PMT(W254/12,($F$4-AB253+SUM($AC$27:AC253)),AG253,2),AG253/($F$4-AB253+SUM($AC$27:AC253))+AG253*W254/12),2),"")</f>
        <v>3227.69</v>
      </c>
      <c r="AJ254" s="33">
        <f t="shared" si="118"/>
        <v>233.48000000000002</v>
      </c>
      <c r="AK254" s="33">
        <f t="shared" si="119"/>
        <v>75239.301907483183</v>
      </c>
      <c r="AL254" s="33">
        <f>IF(AB254&lt;&gt;"",AK254-SUM($AJ$28:AJ254),"")</f>
        <v>23914.231907483234</v>
      </c>
      <c r="AM254" s="11">
        <f t="shared" si="120"/>
        <v>20</v>
      </c>
      <c r="AN254" s="11">
        <f>IF(AB254&lt;&gt;"",IF($B$16=listy!$K$8,'RZĄDOWY PROGRAM'!$F$3*'RZĄDOWY PROGRAM'!$F$15,AG253*$F$15),"")</f>
        <v>50</v>
      </c>
      <c r="AO254" s="11">
        <f t="shared" si="121"/>
        <v>70</v>
      </c>
      <c r="AQ254" s="49">
        <f t="shared" si="109"/>
        <v>0.05</v>
      </c>
      <c r="AR254" s="18">
        <f t="shared" si="110"/>
        <v>4.0741237836483535E-3</v>
      </c>
      <c r="AS254" s="11">
        <f t="shared" si="122"/>
        <v>0</v>
      </c>
      <c r="AT254" s="11">
        <f t="shared" si="123"/>
        <v>57121.164351897933</v>
      </c>
      <c r="AU254" s="11">
        <f>IF(AB254&lt;&gt;"",AT254-SUM($AS$28:AS254),"")</f>
        <v>29431.764351897928</v>
      </c>
    </row>
    <row r="255" spans="1:47" ht="14.5" x14ac:dyDescent="0.35">
      <c r="A255" s="76">
        <f t="shared" si="124"/>
        <v>51653</v>
      </c>
      <c r="B255" s="8">
        <f t="shared" si="98"/>
        <v>228</v>
      </c>
      <c r="C255" s="11">
        <f t="shared" si="99"/>
        <v>3461.18</v>
      </c>
      <c r="D255" s="11">
        <f t="shared" si="100"/>
        <v>3159.0941626493768</v>
      </c>
      <c r="E255" s="11">
        <f t="shared" si="101"/>
        <v>302.08583735062285</v>
      </c>
      <c r="F255" s="9">
        <f t="shared" si="111"/>
        <v>39689.960780701382</v>
      </c>
      <c r="G255" s="10">
        <f t="shared" si="102"/>
        <v>6.7599999999999993E-2</v>
      </c>
      <c r="H255" s="10">
        <f t="shared" si="103"/>
        <v>1.7000000000000001E-2</v>
      </c>
      <c r="I255" s="49">
        <f t="shared" si="104"/>
        <v>8.4599999999999995E-2</v>
      </c>
      <c r="J255" s="11">
        <f t="shared" si="105"/>
        <v>20</v>
      </c>
      <c r="K255" s="11">
        <f>IF(B255&lt;&gt;"",IF($B$16=listy!$K$8,'RZĄDOWY PROGRAM'!$F$3*'RZĄDOWY PROGRAM'!$F$15,F254*$F$15),"")</f>
        <v>50</v>
      </c>
      <c r="L255" s="11">
        <f t="shared" si="112"/>
        <v>70</v>
      </c>
      <c r="N255" s="55">
        <f t="shared" si="125"/>
        <v>51653</v>
      </c>
      <c r="O255" s="8">
        <f t="shared" si="113"/>
        <v>228</v>
      </c>
      <c r="P255" s="8"/>
      <c r="Q255" s="33">
        <f>IF(O255&lt;&gt;"",ROUND(IF($F$11="raty równe",-PMT(W255/12,$F$4-O254+SUM($P$28:P255),T254,2),R255+S255),2),"")</f>
        <v>3461.18</v>
      </c>
      <c r="R255" s="11">
        <f>IF(O255&lt;&gt;"",IF($F$11="raty malejące",T254/($F$4-O254+SUM($P$28:P255)),IF(Q255-S255&gt;T254,T254,Q255-S255)),"")</f>
        <v>2986.443757595991</v>
      </c>
      <c r="S255" s="11">
        <f t="shared" si="127"/>
        <v>474.73624240400869</v>
      </c>
      <c r="T255" s="9">
        <f t="shared" si="114"/>
        <v>64352.030342263402</v>
      </c>
      <c r="U255" s="10">
        <f t="shared" si="106"/>
        <v>6.7599999999999993E-2</v>
      </c>
      <c r="V255" s="10">
        <f t="shared" si="107"/>
        <v>1.7000000000000001E-2</v>
      </c>
      <c r="W255" s="49">
        <f t="shared" si="115"/>
        <v>8.4599999999999995E-2</v>
      </c>
      <c r="X255" s="11">
        <f t="shared" si="108"/>
        <v>20</v>
      </c>
      <c r="Y255" s="11">
        <f>IF(O255&lt;&gt;"",IF($B$16=listy!$K$8,'RZĄDOWY PROGRAM'!$F$3*'RZĄDOWY PROGRAM'!$F$15,T254*$F$15),"")</f>
        <v>50</v>
      </c>
      <c r="Z255" s="11">
        <f t="shared" si="116"/>
        <v>70</v>
      </c>
      <c r="AB255" s="8">
        <f t="shared" si="117"/>
        <v>228</v>
      </c>
      <c r="AC255" s="8"/>
      <c r="AD255" s="33">
        <f>IF(AB255&lt;&gt;"",ROUND(IF($F$11="raty równe",-PMT(W255/12,$F$4-AB254+SUM($AC$28:AC255),AG254,2),AE255+AF255),2),"")</f>
        <v>3227.69</v>
      </c>
      <c r="AE255" s="11">
        <f>IF(AB255&lt;&gt;"",IF($F$11="raty malejące",AG254/($F$4-AB254+SUM($AC$28:AC254)),MIN(AD255-AF255,AG254)),"")</f>
        <v>2784.9788237293983</v>
      </c>
      <c r="AF255" s="11">
        <f t="shared" si="128"/>
        <v>442.71117627060181</v>
      </c>
      <c r="AG255" s="9">
        <f t="shared" si="126"/>
        <v>60010.932704015548</v>
      </c>
      <c r="AH255" s="11"/>
      <c r="AI255" s="33">
        <f>IF(AB255&lt;&gt;"",ROUND(IF($F$11="raty równe",-PMT(W255/12,($F$4-AB254+SUM($AC$27:AC254)),AG254,2),AG254/($F$4-AB254+SUM($AC$27:AC254))+AG254*W255/12),2),"")</f>
        <v>3227.69</v>
      </c>
      <c r="AJ255" s="33">
        <f t="shared" si="118"/>
        <v>233.48999999999978</v>
      </c>
      <c r="AK255" s="33">
        <f t="shared" si="119"/>
        <v>75721.084633269958</v>
      </c>
      <c r="AL255" s="33">
        <f>IF(AB255&lt;&gt;"",AK255-SUM($AJ$28:AJ255),"")</f>
        <v>24162.524633270012</v>
      </c>
      <c r="AM255" s="11">
        <f t="shared" si="120"/>
        <v>20</v>
      </c>
      <c r="AN255" s="11">
        <f>IF(AB255&lt;&gt;"",IF($B$16=listy!$K$8,'RZĄDOWY PROGRAM'!$F$3*'RZĄDOWY PROGRAM'!$F$15,AG254*$F$15),"")</f>
        <v>50</v>
      </c>
      <c r="AO255" s="11">
        <f t="shared" si="121"/>
        <v>70</v>
      </c>
      <c r="AQ255" s="49">
        <f t="shared" si="109"/>
        <v>0.05</v>
      </c>
      <c r="AR255" s="18">
        <f t="shared" si="110"/>
        <v>4.0741237836483535E-3</v>
      </c>
      <c r="AS255" s="11">
        <f t="shared" si="122"/>
        <v>0</v>
      </c>
      <c r="AT255" s="11">
        <f t="shared" si="123"/>
        <v>57309.666494228892</v>
      </c>
      <c r="AU255" s="11">
        <f>IF(AB255&lt;&gt;"",AT255-SUM($AS$28:AS255),"")</f>
        <v>29620.266494228887</v>
      </c>
    </row>
    <row r="256" spans="1:47" ht="14.5" x14ac:dyDescent="0.35">
      <c r="A256" s="76">
        <f t="shared" si="124"/>
        <v>51683</v>
      </c>
      <c r="B256" s="8">
        <f t="shared" si="98"/>
        <v>229</v>
      </c>
      <c r="C256" s="11">
        <f t="shared" si="99"/>
        <v>3461.17</v>
      </c>
      <c r="D256" s="11">
        <f t="shared" si="100"/>
        <v>3181.3557764960551</v>
      </c>
      <c r="E256" s="11">
        <f t="shared" si="101"/>
        <v>279.81422350394473</v>
      </c>
      <c r="F256" s="9">
        <f t="shared" si="111"/>
        <v>36508.605004205325</v>
      </c>
      <c r="G256" s="10">
        <f t="shared" si="102"/>
        <v>6.7599999999999993E-2</v>
      </c>
      <c r="H256" s="10">
        <f t="shared" si="103"/>
        <v>1.7000000000000001E-2</v>
      </c>
      <c r="I256" s="49">
        <f t="shared" si="104"/>
        <v>8.4599999999999995E-2</v>
      </c>
      <c r="J256" s="11">
        <f t="shared" si="105"/>
        <v>20</v>
      </c>
      <c r="K256" s="11">
        <f>IF(B256&lt;&gt;"",IF($B$16=listy!$K$8,'RZĄDOWY PROGRAM'!$F$3*'RZĄDOWY PROGRAM'!$F$15,F255*$F$15),"")</f>
        <v>50</v>
      </c>
      <c r="L256" s="11">
        <f t="shared" si="112"/>
        <v>70</v>
      </c>
      <c r="N256" s="55">
        <f t="shared" si="125"/>
        <v>51683</v>
      </c>
      <c r="O256" s="8">
        <f t="shared" si="113"/>
        <v>229</v>
      </c>
      <c r="P256" s="8"/>
      <c r="Q256" s="33">
        <f>IF(O256&lt;&gt;"",ROUND(IF($F$11="raty równe",-PMT(W256/12,$F$4-O255+SUM($P$28:P256),T255,2),R256+S256),2),"")</f>
        <v>3461.17</v>
      </c>
      <c r="R256" s="11">
        <f>IF(O256&lt;&gt;"",IF($F$11="raty malejące",T255/($F$4-O255+SUM($P$28:P256)),IF(Q256-S256&gt;T255,T255,Q256-S256)),"")</f>
        <v>3007.4881860870432</v>
      </c>
      <c r="S256" s="11">
        <f t="shared" si="127"/>
        <v>453.68181391295701</v>
      </c>
      <c r="T256" s="9">
        <f t="shared" si="114"/>
        <v>61344.542156176358</v>
      </c>
      <c r="U256" s="10">
        <f t="shared" si="106"/>
        <v>6.7599999999999993E-2</v>
      </c>
      <c r="V256" s="10">
        <f t="shared" si="107"/>
        <v>1.7000000000000001E-2</v>
      </c>
      <c r="W256" s="49">
        <f t="shared" si="115"/>
        <v>8.4599999999999995E-2</v>
      </c>
      <c r="X256" s="11">
        <f t="shared" si="108"/>
        <v>20</v>
      </c>
      <c r="Y256" s="11">
        <f>IF(O256&lt;&gt;"",IF($B$16=listy!$K$8,'RZĄDOWY PROGRAM'!$F$3*'RZĄDOWY PROGRAM'!$F$15,T255*$F$15),"")</f>
        <v>50</v>
      </c>
      <c r="Z256" s="11">
        <f t="shared" si="116"/>
        <v>70</v>
      </c>
      <c r="AB256" s="8">
        <f t="shared" si="117"/>
        <v>229</v>
      </c>
      <c r="AC256" s="8"/>
      <c r="AD256" s="33">
        <f>IF(AB256&lt;&gt;"",ROUND(IF($F$11="raty równe",-PMT(W256/12,$F$4-AB255+SUM($AC$28:AC256),AG255,2),AE256+AF256),2),"")</f>
        <v>3227.7</v>
      </c>
      <c r="AE256" s="11">
        <f>IF(AB256&lt;&gt;"",IF($F$11="raty malejące",AG255/($F$4-AB255+SUM($AC$28:AC255)),MIN(AD256-AF256,AG255)),"")</f>
        <v>2804.6229244366905</v>
      </c>
      <c r="AF256" s="11">
        <f t="shared" si="128"/>
        <v>423.07707556330956</v>
      </c>
      <c r="AG256" s="9">
        <f t="shared" si="126"/>
        <v>57206.309779578856</v>
      </c>
      <c r="AH256" s="11"/>
      <c r="AI256" s="33">
        <f>IF(AB256&lt;&gt;"",ROUND(IF($F$11="raty równe",-PMT(W256/12,($F$4-AB255+SUM($AC$27:AC255)),AG255,2),AG255/($F$4-AB255+SUM($AC$27:AC255))+AG255*W256/12),2),"")</f>
        <v>3227.7</v>
      </c>
      <c r="AJ256" s="33">
        <f t="shared" si="118"/>
        <v>233.47000000000025</v>
      </c>
      <c r="AK256" s="33">
        <f t="shared" si="119"/>
        <v>76204.437261450686</v>
      </c>
      <c r="AL256" s="33">
        <f>IF(AB256&lt;&gt;"",AK256-SUM($AJ$28:AJ256),"")</f>
        <v>24412.407261450739</v>
      </c>
      <c r="AM256" s="11">
        <f t="shared" si="120"/>
        <v>20</v>
      </c>
      <c r="AN256" s="11">
        <f>IF(AB256&lt;&gt;"",IF($B$16=listy!$K$8,'RZĄDOWY PROGRAM'!$F$3*'RZĄDOWY PROGRAM'!$F$15,AG255*$F$15),"")</f>
        <v>50</v>
      </c>
      <c r="AO256" s="11">
        <f t="shared" si="121"/>
        <v>70</v>
      </c>
      <c r="AQ256" s="49">
        <f t="shared" si="109"/>
        <v>0.05</v>
      </c>
      <c r="AR256" s="18">
        <f t="shared" si="110"/>
        <v>4.0741237836483535E-3</v>
      </c>
      <c r="AS256" s="11">
        <f t="shared" si="122"/>
        <v>0</v>
      </c>
      <c r="AT256" s="11">
        <f t="shared" si="123"/>
        <v>57498.790701219536</v>
      </c>
      <c r="AU256" s="11">
        <f>IF(AB256&lt;&gt;"",AT256-SUM($AS$28:AS256),"")</f>
        <v>29809.39070121953</v>
      </c>
    </row>
    <row r="257" spans="1:47" ht="14.5" x14ac:dyDescent="0.35">
      <c r="A257" s="76">
        <f t="shared" si="124"/>
        <v>51714</v>
      </c>
      <c r="B257" s="8">
        <f t="shared" si="98"/>
        <v>230</v>
      </c>
      <c r="C257" s="11">
        <f t="shared" si="99"/>
        <v>3461.18</v>
      </c>
      <c r="D257" s="11">
        <f t="shared" si="100"/>
        <v>3203.7943347203523</v>
      </c>
      <c r="E257" s="11">
        <f t="shared" si="101"/>
        <v>257.38566527964753</v>
      </c>
      <c r="F257" s="9">
        <f t="shared" si="111"/>
        <v>33304.81066948497</v>
      </c>
      <c r="G257" s="10">
        <f t="shared" si="102"/>
        <v>6.7599999999999993E-2</v>
      </c>
      <c r="H257" s="10">
        <f t="shared" si="103"/>
        <v>1.7000000000000001E-2</v>
      </c>
      <c r="I257" s="49">
        <f t="shared" si="104"/>
        <v>8.4599999999999995E-2</v>
      </c>
      <c r="J257" s="11">
        <f t="shared" si="105"/>
        <v>20</v>
      </c>
      <c r="K257" s="11">
        <f>IF(B257&lt;&gt;"",IF($B$16=listy!$K$8,'RZĄDOWY PROGRAM'!$F$3*'RZĄDOWY PROGRAM'!$F$15,F256*$F$15),"")</f>
        <v>50</v>
      </c>
      <c r="L257" s="11">
        <f t="shared" si="112"/>
        <v>70</v>
      </c>
      <c r="N257" s="55">
        <f t="shared" si="125"/>
        <v>51714</v>
      </c>
      <c r="O257" s="8">
        <f t="shared" si="113"/>
        <v>230</v>
      </c>
      <c r="P257" s="8"/>
      <c r="Q257" s="33">
        <f>IF(O257&lt;&gt;"",ROUND(IF($F$11="raty równe",-PMT(W257/12,$F$4-O256+SUM($P$28:P257),T256,2),R257+S257),2),"")</f>
        <v>3461.18</v>
      </c>
      <c r="R257" s="11">
        <f>IF(O257&lt;&gt;"",IF($F$11="raty malejące",T256/($F$4-O256+SUM($P$28:P257)),IF(Q257-S257&gt;T256,T256,Q257-S257)),"")</f>
        <v>3028.7009777989565</v>
      </c>
      <c r="S257" s="11">
        <f t="shared" si="127"/>
        <v>432.47902220104328</v>
      </c>
      <c r="T257" s="9">
        <f t="shared" si="114"/>
        <v>58315.841178377399</v>
      </c>
      <c r="U257" s="10">
        <f t="shared" si="106"/>
        <v>6.7599999999999993E-2</v>
      </c>
      <c r="V257" s="10">
        <f t="shared" si="107"/>
        <v>1.7000000000000001E-2</v>
      </c>
      <c r="W257" s="49">
        <f t="shared" si="115"/>
        <v>8.4599999999999995E-2</v>
      </c>
      <c r="X257" s="11">
        <f t="shared" si="108"/>
        <v>20</v>
      </c>
      <c r="Y257" s="11">
        <f>IF(O257&lt;&gt;"",IF($B$16=listy!$K$8,'RZĄDOWY PROGRAM'!$F$3*'RZĄDOWY PROGRAM'!$F$15,T256*$F$15),"")</f>
        <v>50</v>
      </c>
      <c r="Z257" s="11">
        <f t="shared" si="116"/>
        <v>70</v>
      </c>
      <c r="AB257" s="8">
        <f t="shared" si="117"/>
        <v>230</v>
      </c>
      <c r="AC257" s="8"/>
      <c r="AD257" s="33">
        <f>IF(AB257&lt;&gt;"",ROUND(IF($F$11="raty równe",-PMT(W257/12,$F$4-AB256+SUM($AC$28:AC257),AG256,2),AE257+AF257),2),"")</f>
        <v>3227.7</v>
      </c>
      <c r="AE257" s="11">
        <f>IF(AB257&lt;&gt;"",IF($F$11="raty malejące",AG256/($F$4-AB256+SUM($AC$28:AC256)),MIN(AD257-AF257,AG256)),"")</f>
        <v>2824.395516053969</v>
      </c>
      <c r="AF257" s="11">
        <f t="shared" si="128"/>
        <v>403.30448394603087</v>
      </c>
      <c r="AG257" s="9">
        <f t="shared" si="126"/>
        <v>54381.914263524886</v>
      </c>
      <c r="AH257" s="11"/>
      <c r="AI257" s="33">
        <f>IF(AB257&lt;&gt;"",ROUND(IF($F$11="raty równe",-PMT(W257/12,($F$4-AB256+SUM($AC$27:AC256)),AG256,2),AG256/($F$4-AB256+SUM($AC$27:AC256))+AG256*W257/12),2),"")</f>
        <v>3227.7</v>
      </c>
      <c r="AJ257" s="33">
        <f t="shared" si="118"/>
        <v>233.48000000000002</v>
      </c>
      <c r="AK257" s="33">
        <f t="shared" si="119"/>
        <v>76689.394972766473</v>
      </c>
      <c r="AL257" s="33">
        <f>IF(AB257&lt;&gt;"",AK257-SUM($AJ$28:AJ257),"")</f>
        <v>24663.884972766522</v>
      </c>
      <c r="AM257" s="11">
        <f t="shared" si="120"/>
        <v>20</v>
      </c>
      <c r="AN257" s="11">
        <f>IF(AB257&lt;&gt;"",IF($B$16=listy!$K$8,'RZĄDOWY PROGRAM'!$F$3*'RZĄDOWY PROGRAM'!$F$15,AG256*$F$15),"")</f>
        <v>50</v>
      </c>
      <c r="AO257" s="11">
        <f t="shared" si="121"/>
        <v>70</v>
      </c>
      <c r="AQ257" s="49">
        <f t="shared" si="109"/>
        <v>0.05</v>
      </c>
      <c r="AR257" s="18">
        <f t="shared" si="110"/>
        <v>4.0741237836483535E-3</v>
      </c>
      <c r="AS257" s="11">
        <f t="shared" si="122"/>
        <v>0</v>
      </c>
      <c r="AT257" s="11">
        <f t="shared" si="123"/>
        <v>57688.539025708291</v>
      </c>
      <c r="AU257" s="11">
        <f>IF(AB257&lt;&gt;"",AT257-SUM($AS$28:AS257),"")</f>
        <v>29999.139025708286</v>
      </c>
    </row>
    <row r="258" spans="1:47" ht="14.5" x14ac:dyDescent="0.35">
      <c r="A258" s="76">
        <f t="shared" si="124"/>
        <v>51745</v>
      </c>
      <c r="B258" s="8">
        <f t="shared" si="98"/>
        <v>231</v>
      </c>
      <c r="C258" s="11">
        <f t="shared" si="99"/>
        <v>3461.17</v>
      </c>
      <c r="D258" s="11">
        <f t="shared" si="100"/>
        <v>3226.3710847801312</v>
      </c>
      <c r="E258" s="11">
        <f t="shared" si="101"/>
        <v>234.79891521986903</v>
      </c>
      <c r="F258" s="9">
        <f t="shared" si="111"/>
        <v>30078.43958470484</v>
      </c>
      <c r="G258" s="10">
        <f t="shared" si="102"/>
        <v>6.7599999999999993E-2</v>
      </c>
      <c r="H258" s="10">
        <f t="shared" si="103"/>
        <v>1.7000000000000001E-2</v>
      </c>
      <c r="I258" s="49">
        <f t="shared" si="104"/>
        <v>8.4599999999999995E-2</v>
      </c>
      <c r="J258" s="11">
        <f t="shared" si="105"/>
        <v>20</v>
      </c>
      <c r="K258" s="11">
        <f>IF(B258&lt;&gt;"",IF($B$16=listy!$K$8,'RZĄDOWY PROGRAM'!$F$3*'RZĄDOWY PROGRAM'!$F$15,F257*$F$15),"")</f>
        <v>50</v>
      </c>
      <c r="L258" s="11">
        <f t="shared" si="112"/>
        <v>70</v>
      </c>
      <c r="N258" s="55">
        <f t="shared" si="125"/>
        <v>51745</v>
      </c>
      <c r="O258" s="8">
        <f t="shared" si="113"/>
        <v>231</v>
      </c>
      <c r="P258" s="8"/>
      <c r="Q258" s="33">
        <f>IF(O258&lt;&gt;"",ROUND(IF($F$11="raty równe",-PMT(W258/12,$F$4-O257+SUM($P$28:P258),T257,2),R258+S258),2),"")</f>
        <v>3461.17</v>
      </c>
      <c r="R258" s="11">
        <f>IF(O258&lt;&gt;"",IF($F$11="raty malejące",T257/($F$4-O257+SUM($P$28:P258)),IF(Q258-S258&gt;T257,T257,Q258-S258)),"")</f>
        <v>3050.0433196924396</v>
      </c>
      <c r="S258" s="11">
        <f t="shared" si="127"/>
        <v>411.12668030756066</v>
      </c>
      <c r="T258" s="9">
        <f t="shared" si="114"/>
        <v>55265.797858684957</v>
      </c>
      <c r="U258" s="10">
        <f t="shared" si="106"/>
        <v>6.7599999999999993E-2</v>
      </c>
      <c r="V258" s="10">
        <f t="shared" si="107"/>
        <v>1.7000000000000001E-2</v>
      </c>
      <c r="W258" s="49">
        <f t="shared" si="115"/>
        <v>8.4599999999999995E-2</v>
      </c>
      <c r="X258" s="11">
        <f t="shared" si="108"/>
        <v>20</v>
      </c>
      <c r="Y258" s="11">
        <f>IF(O258&lt;&gt;"",IF($B$16=listy!$K$8,'RZĄDOWY PROGRAM'!$F$3*'RZĄDOWY PROGRAM'!$F$15,T257*$F$15),"")</f>
        <v>50</v>
      </c>
      <c r="Z258" s="11">
        <f t="shared" si="116"/>
        <v>70</v>
      </c>
      <c r="AB258" s="8">
        <f t="shared" si="117"/>
        <v>231</v>
      </c>
      <c r="AC258" s="8"/>
      <c r="AD258" s="33">
        <f>IF(AB258&lt;&gt;"",ROUND(IF($F$11="raty równe",-PMT(W258/12,$F$4-AB257+SUM($AC$28:AC258),AG257,2),AE258+AF258),2),"")</f>
        <v>3227.69</v>
      </c>
      <c r="AE258" s="11">
        <f>IF(AB258&lt;&gt;"",IF($F$11="raty malejące",AG257/($F$4-AB257+SUM($AC$28:AC257)),MIN(AD258-AF258,AG257)),"")</f>
        <v>2844.2975044421496</v>
      </c>
      <c r="AF258" s="11">
        <f t="shared" si="128"/>
        <v>383.39249555785045</v>
      </c>
      <c r="AG258" s="9">
        <f t="shared" si="126"/>
        <v>51537.616759082739</v>
      </c>
      <c r="AH258" s="11"/>
      <c r="AI258" s="33">
        <f>IF(AB258&lt;&gt;"",ROUND(IF($F$11="raty równe",-PMT(W258/12,($F$4-AB257+SUM($AC$27:AC257)),AG257,2),AG257/($F$4-AB257+SUM($AC$27:AC257))+AG257*W258/12),2),"")</f>
        <v>3227.69</v>
      </c>
      <c r="AJ258" s="33">
        <f t="shared" si="118"/>
        <v>233.48000000000002</v>
      </c>
      <c r="AK258" s="33">
        <f t="shared" si="119"/>
        <v>77175.953064056317</v>
      </c>
      <c r="AL258" s="33">
        <f>IF(AB258&lt;&gt;"",AK258-SUM($AJ$28:AJ258),"")</f>
        <v>24916.963064056363</v>
      </c>
      <c r="AM258" s="11">
        <f t="shared" si="120"/>
        <v>20</v>
      </c>
      <c r="AN258" s="11">
        <f>IF(AB258&lt;&gt;"",IF($B$16=listy!$K$8,'RZĄDOWY PROGRAM'!$F$3*'RZĄDOWY PROGRAM'!$F$15,AG257*$F$15),"")</f>
        <v>50</v>
      </c>
      <c r="AO258" s="11">
        <f t="shared" si="121"/>
        <v>70</v>
      </c>
      <c r="AQ258" s="49">
        <f t="shared" si="109"/>
        <v>0.05</v>
      </c>
      <c r="AR258" s="18">
        <f t="shared" si="110"/>
        <v>4.0741237836483535E-3</v>
      </c>
      <c r="AS258" s="11">
        <f t="shared" si="122"/>
        <v>0</v>
      </c>
      <c r="AT258" s="11">
        <f t="shared" si="123"/>
        <v>57878.913527308025</v>
      </c>
      <c r="AU258" s="11">
        <f>IF(AB258&lt;&gt;"",AT258-SUM($AS$28:AS258),"")</f>
        <v>30189.51352730802</v>
      </c>
    </row>
    <row r="259" spans="1:47" ht="14.5" x14ac:dyDescent="0.35">
      <c r="A259" s="76">
        <f t="shared" si="124"/>
        <v>51775</v>
      </c>
      <c r="B259" s="8">
        <f t="shared" si="98"/>
        <v>232</v>
      </c>
      <c r="C259" s="11">
        <f t="shared" si="99"/>
        <v>3461.18</v>
      </c>
      <c r="D259" s="11">
        <f t="shared" si="100"/>
        <v>3249.1270009278305</v>
      </c>
      <c r="E259" s="11">
        <f t="shared" si="101"/>
        <v>212.05299907216911</v>
      </c>
      <c r="F259" s="9">
        <f t="shared" si="111"/>
        <v>26829.312583777009</v>
      </c>
      <c r="G259" s="10">
        <f t="shared" si="102"/>
        <v>6.7599999999999993E-2</v>
      </c>
      <c r="H259" s="10">
        <f t="shared" si="103"/>
        <v>1.7000000000000001E-2</v>
      </c>
      <c r="I259" s="49">
        <f t="shared" si="104"/>
        <v>8.4599999999999995E-2</v>
      </c>
      <c r="J259" s="11">
        <f t="shared" si="105"/>
        <v>20</v>
      </c>
      <c r="K259" s="11">
        <f>IF(B259&lt;&gt;"",IF($B$16=listy!$K$8,'RZĄDOWY PROGRAM'!$F$3*'RZĄDOWY PROGRAM'!$F$15,F258*$F$15),"")</f>
        <v>50</v>
      </c>
      <c r="L259" s="11">
        <f t="shared" si="112"/>
        <v>70</v>
      </c>
      <c r="N259" s="55">
        <f t="shared" si="125"/>
        <v>51775</v>
      </c>
      <c r="O259" s="8">
        <f t="shared" si="113"/>
        <v>232</v>
      </c>
      <c r="P259" s="8"/>
      <c r="Q259" s="33">
        <f>IF(O259&lt;&gt;"",ROUND(IF($F$11="raty równe",-PMT(W259/12,$F$4-O258+SUM($P$28:P259),T258,2),R259+S259),2),"")</f>
        <v>3461.18</v>
      </c>
      <c r="R259" s="11">
        <f>IF(O259&lt;&gt;"",IF($F$11="raty malejące",T258/($F$4-O258+SUM($P$28:P259)),IF(Q259-S259&gt;T258,T258,Q259-S259)),"")</f>
        <v>3071.556125096271</v>
      </c>
      <c r="S259" s="11">
        <f t="shared" si="127"/>
        <v>389.6238749037289</v>
      </c>
      <c r="T259" s="9">
        <f t="shared" si="114"/>
        <v>52194.241733588686</v>
      </c>
      <c r="U259" s="10">
        <f t="shared" si="106"/>
        <v>6.7599999999999993E-2</v>
      </c>
      <c r="V259" s="10">
        <f t="shared" si="107"/>
        <v>1.7000000000000001E-2</v>
      </c>
      <c r="W259" s="49">
        <f t="shared" si="115"/>
        <v>8.4599999999999995E-2</v>
      </c>
      <c r="X259" s="11">
        <f t="shared" si="108"/>
        <v>20</v>
      </c>
      <c r="Y259" s="11">
        <f>IF(O259&lt;&gt;"",IF($B$16=listy!$K$8,'RZĄDOWY PROGRAM'!$F$3*'RZĄDOWY PROGRAM'!$F$15,T258*$F$15),"")</f>
        <v>50</v>
      </c>
      <c r="Z259" s="11">
        <f t="shared" si="116"/>
        <v>70</v>
      </c>
      <c r="AB259" s="8">
        <f t="shared" si="117"/>
        <v>232</v>
      </c>
      <c r="AC259" s="8"/>
      <c r="AD259" s="33">
        <f>IF(AB259&lt;&gt;"",ROUND(IF($F$11="raty równe",-PMT(W259/12,$F$4-AB258+SUM($AC$28:AC259),AG258,2),AE259+AF259),2),"")</f>
        <v>3227.69</v>
      </c>
      <c r="AE259" s="11">
        <f>IF(AB259&lt;&gt;"",IF($F$11="raty malejące",AG258/($F$4-AB258+SUM($AC$28:AC258)),MIN(AD259-AF259,AG258)),"")</f>
        <v>2864.349801848467</v>
      </c>
      <c r="AF259" s="11">
        <f t="shared" si="128"/>
        <v>363.34019815153329</v>
      </c>
      <c r="AG259" s="9">
        <f t="shared" si="126"/>
        <v>48673.266957234271</v>
      </c>
      <c r="AH259" s="11"/>
      <c r="AI259" s="33">
        <f>IF(AB259&lt;&gt;"",ROUND(IF($F$11="raty równe",-PMT(W259/12,($F$4-AB258+SUM($AC$27:AC258)),AG258,2),AG258/($F$4-AB258+SUM($AC$27:AC258))+AG258*W259/12),2),"")</f>
        <v>3227.69</v>
      </c>
      <c r="AJ259" s="33">
        <f t="shared" si="118"/>
        <v>233.48999999999978</v>
      </c>
      <c r="AK259" s="33">
        <f t="shared" si="119"/>
        <v>77664.126816638556</v>
      </c>
      <c r="AL259" s="33">
        <f>IF(AB259&lt;&gt;"",AK259-SUM($AJ$28:AJ259),"")</f>
        <v>25171.646816638604</v>
      </c>
      <c r="AM259" s="11">
        <f t="shared" si="120"/>
        <v>20</v>
      </c>
      <c r="AN259" s="11">
        <f>IF(AB259&lt;&gt;"",IF($B$16=listy!$K$8,'RZĄDOWY PROGRAM'!$F$3*'RZĄDOWY PROGRAM'!$F$15,AG258*$F$15),"")</f>
        <v>50</v>
      </c>
      <c r="AO259" s="11">
        <f t="shared" si="121"/>
        <v>70</v>
      </c>
      <c r="AQ259" s="49">
        <f t="shared" si="109"/>
        <v>0.05</v>
      </c>
      <c r="AR259" s="18">
        <f t="shared" si="110"/>
        <v>4.0741237836483535E-3</v>
      </c>
      <c r="AS259" s="11">
        <f t="shared" si="122"/>
        <v>0</v>
      </c>
      <c r="AT259" s="11">
        <f t="shared" si="123"/>
        <v>58069.916272428425</v>
      </c>
      <c r="AU259" s="11">
        <f>IF(AB259&lt;&gt;"",AT259-SUM($AS$28:AS259),"")</f>
        <v>30380.51627242842</v>
      </c>
    </row>
    <row r="260" spans="1:47" ht="14.5" x14ac:dyDescent="0.35">
      <c r="A260" s="76">
        <f t="shared" si="124"/>
        <v>51806</v>
      </c>
      <c r="B260" s="8">
        <f t="shared" si="98"/>
        <v>233</v>
      </c>
      <c r="C260" s="11">
        <f t="shared" si="99"/>
        <v>3461.17</v>
      </c>
      <c r="D260" s="11">
        <f t="shared" si="100"/>
        <v>3272.0233462843721</v>
      </c>
      <c r="E260" s="11">
        <f t="shared" si="101"/>
        <v>189.14665371562788</v>
      </c>
      <c r="F260" s="9">
        <f t="shared" si="111"/>
        <v>23557.289237492638</v>
      </c>
      <c r="G260" s="10">
        <f t="shared" si="102"/>
        <v>6.7599999999999993E-2</v>
      </c>
      <c r="H260" s="10">
        <f t="shared" si="103"/>
        <v>1.7000000000000001E-2</v>
      </c>
      <c r="I260" s="49">
        <f t="shared" si="104"/>
        <v>8.4599999999999995E-2</v>
      </c>
      <c r="J260" s="11">
        <f t="shared" si="105"/>
        <v>20</v>
      </c>
      <c r="K260" s="11">
        <f>IF(B260&lt;&gt;"",IF($B$16=listy!$K$8,'RZĄDOWY PROGRAM'!$F$3*'RZĄDOWY PROGRAM'!$F$15,F259*$F$15),"")</f>
        <v>50</v>
      </c>
      <c r="L260" s="11">
        <f t="shared" si="112"/>
        <v>70</v>
      </c>
      <c r="N260" s="55">
        <f t="shared" si="125"/>
        <v>51806</v>
      </c>
      <c r="O260" s="8">
        <f t="shared" si="113"/>
        <v>233</v>
      </c>
      <c r="P260" s="8"/>
      <c r="Q260" s="33">
        <f>IF(O260&lt;&gt;"",ROUND(IF($F$11="raty równe",-PMT(W260/12,$F$4-O259+SUM($P$28:P260),T259,2),R260+S260),2),"")</f>
        <v>3461.17</v>
      </c>
      <c r="R260" s="11">
        <f>IF(O260&lt;&gt;"",IF($F$11="raty malejące",T259/($F$4-O259+SUM($P$28:P260)),IF(Q260-S260&gt;T259,T259,Q260-S260)),"")</f>
        <v>3093.2005957781998</v>
      </c>
      <c r="S260" s="11">
        <f t="shared" si="127"/>
        <v>367.96940422180023</v>
      </c>
      <c r="T260" s="9">
        <f t="shared" si="114"/>
        <v>49101.041137810484</v>
      </c>
      <c r="U260" s="10">
        <f t="shared" si="106"/>
        <v>6.7599999999999993E-2</v>
      </c>
      <c r="V260" s="10">
        <f t="shared" si="107"/>
        <v>1.7000000000000001E-2</v>
      </c>
      <c r="W260" s="49">
        <f t="shared" si="115"/>
        <v>8.4599999999999995E-2</v>
      </c>
      <c r="X260" s="11">
        <f t="shared" si="108"/>
        <v>20</v>
      </c>
      <c r="Y260" s="11">
        <f>IF(O260&lt;&gt;"",IF($B$16=listy!$K$8,'RZĄDOWY PROGRAM'!$F$3*'RZĄDOWY PROGRAM'!$F$15,T259*$F$15),"")</f>
        <v>50</v>
      </c>
      <c r="Z260" s="11">
        <f t="shared" si="116"/>
        <v>70</v>
      </c>
      <c r="AB260" s="8">
        <f t="shared" si="117"/>
        <v>233</v>
      </c>
      <c r="AC260" s="8"/>
      <c r="AD260" s="33">
        <f>IF(AB260&lt;&gt;"",ROUND(IF($F$11="raty równe",-PMT(W260/12,$F$4-AB259+SUM($AC$28:AC260),AG259,2),AE260+AF260),2),"")</f>
        <v>3227.7</v>
      </c>
      <c r="AE260" s="11">
        <f>IF(AB260&lt;&gt;"",IF($F$11="raty malejące",AG259/($F$4-AB259+SUM($AC$28:AC259)),MIN(AD260-AF260,AG259)),"")</f>
        <v>2884.5534679514981</v>
      </c>
      <c r="AF260" s="11">
        <f t="shared" si="128"/>
        <v>343.14653204850157</v>
      </c>
      <c r="AG260" s="9">
        <f t="shared" si="126"/>
        <v>45788.713489282774</v>
      </c>
      <c r="AH260" s="11"/>
      <c r="AI260" s="33">
        <f>IF(AB260&lt;&gt;"",ROUND(IF($F$11="raty równe",-PMT(W260/12,($F$4-AB259+SUM($AC$27:AC259)),AG259,2),AG259/($F$4-AB259+SUM($AC$27:AC259))+AG259*W260/12),2),"")</f>
        <v>3227.7</v>
      </c>
      <c r="AJ260" s="33">
        <f t="shared" si="118"/>
        <v>233.47000000000025</v>
      </c>
      <c r="AK260" s="33">
        <f t="shared" si="119"/>
        <v>78153.891562260513</v>
      </c>
      <c r="AL260" s="33">
        <f>IF(AB260&lt;&gt;"",AK260-SUM($AJ$28:AJ260),"")</f>
        <v>25427.941562260559</v>
      </c>
      <c r="AM260" s="11">
        <f t="shared" si="120"/>
        <v>20</v>
      </c>
      <c r="AN260" s="11">
        <f>IF(AB260&lt;&gt;"",IF($B$16=listy!$K$8,'RZĄDOWY PROGRAM'!$F$3*'RZĄDOWY PROGRAM'!$F$15,AG259*$F$15),"")</f>
        <v>50</v>
      </c>
      <c r="AO260" s="11">
        <f t="shared" si="121"/>
        <v>70</v>
      </c>
      <c r="AQ260" s="49">
        <f t="shared" si="109"/>
        <v>0.05</v>
      </c>
      <c r="AR260" s="18">
        <f t="shared" si="110"/>
        <v>4.0741237836483535E-3</v>
      </c>
      <c r="AS260" s="11">
        <f t="shared" si="122"/>
        <v>0</v>
      </c>
      <c r="AT260" s="11">
        <f t="shared" si="123"/>
        <v>58261.549334298397</v>
      </c>
      <c r="AU260" s="11">
        <f>IF(AB260&lt;&gt;"",AT260-SUM($AS$28:AS260),"")</f>
        <v>30572.149334298392</v>
      </c>
    </row>
    <row r="261" spans="1:47" ht="14.5" x14ac:dyDescent="0.35">
      <c r="A261" s="76">
        <f t="shared" si="124"/>
        <v>51836</v>
      </c>
      <c r="B261" s="8">
        <f t="shared" si="98"/>
        <v>234</v>
      </c>
      <c r="C261" s="11">
        <f t="shared" si="99"/>
        <v>3461.18</v>
      </c>
      <c r="D261" s="11">
        <f t="shared" si="100"/>
        <v>3295.1011108756766</v>
      </c>
      <c r="E261" s="11">
        <f t="shared" si="101"/>
        <v>166.07888912432307</v>
      </c>
      <c r="F261" s="9">
        <f t="shared" si="111"/>
        <v>20262.188126616962</v>
      </c>
      <c r="G261" s="10">
        <f t="shared" si="102"/>
        <v>6.7599999999999993E-2</v>
      </c>
      <c r="H261" s="10">
        <f t="shared" si="103"/>
        <v>1.7000000000000001E-2</v>
      </c>
      <c r="I261" s="49">
        <f t="shared" si="104"/>
        <v>8.4599999999999995E-2</v>
      </c>
      <c r="J261" s="11">
        <f t="shared" si="105"/>
        <v>20</v>
      </c>
      <c r="K261" s="11">
        <f>IF(B261&lt;&gt;"",IF($B$16=listy!$K$8,'RZĄDOWY PROGRAM'!$F$3*'RZĄDOWY PROGRAM'!$F$15,F260*$F$15),"")</f>
        <v>50</v>
      </c>
      <c r="L261" s="11">
        <f t="shared" si="112"/>
        <v>70</v>
      </c>
      <c r="N261" s="55">
        <f t="shared" si="125"/>
        <v>51836</v>
      </c>
      <c r="O261" s="8">
        <f t="shared" si="113"/>
        <v>234</v>
      </c>
      <c r="P261" s="8"/>
      <c r="Q261" s="33">
        <f>IF(O261&lt;&gt;"",ROUND(IF($F$11="raty równe",-PMT(W261/12,$F$4-O260+SUM($P$28:P261),T260,2),R261+S261),2),"")</f>
        <v>3461.18</v>
      </c>
      <c r="R261" s="11">
        <f>IF(O261&lt;&gt;"",IF($F$11="raty malejące",T260/($F$4-O260+SUM($P$28:P261)),IF(Q261-S261&gt;T260,T260,Q261-S261)),"")</f>
        <v>3115.0176599784359</v>
      </c>
      <c r="S261" s="11">
        <f t="shared" si="127"/>
        <v>346.16234002156392</v>
      </c>
      <c r="T261" s="9">
        <f t="shared" si="114"/>
        <v>45986.023477832045</v>
      </c>
      <c r="U261" s="10">
        <f t="shared" si="106"/>
        <v>6.7599999999999993E-2</v>
      </c>
      <c r="V261" s="10">
        <f t="shared" si="107"/>
        <v>1.7000000000000001E-2</v>
      </c>
      <c r="W261" s="49">
        <f t="shared" si="115"/>
        <v>8.4599999999999995E-2</v>
      </c>
      <c r="X261" s="11">
        <f t="shared" si="108"/>
        <v>20</v>
      </c>
      <c r="Y261" s="11">
        <f>IF(O261&lt;&gt;"",IF($B$16=listy!$K$8,'RZĄDOWY PROGRAM'!$F$3*'RZĄDOWY PROGRAM'!$F$15,T260*$F$15),"")</f>
        <v>50</v>
      </c>
      <c r="Z261" s="11">
        <f t="shared" si="116"/>
        <v>70</v>
      </c>
      <c r="AB261" s="8">
        <f t="shared" si="117"/>
        <v>234</v>
      </c>
      <c r="AC261" s="8"/>
      <c r="AD261" s="33">
        <f>IF(AB261&lt;&gt;"",ROUND(IF($F$11="raty równe",-PMT(W261/12,$F$4-AB260+SUM($AC$28:AC261),AG260,2),AE261+AF261),2),"")</f>
        <v>3227.7</v>
      </c>
      <c r="AE261" s="11">
        <f>IF(AB261&lt;&gt;"",IF($F$11="raty malejące",AG260/($F$4-AB260+SUM($AC$28:AC260)),MIN(AD261-AF261,AG260)),"")</f>
        <v>2904.8895699005561</v>
      </c>
      <c r="AF261" s="11">
        <f t="shared" si="128"/>
        <v>322.81043009944352</v>
      </c>
      <c r="AG261" s="9">
        <f t="shared" si="126"/>
        <v>42883.823919382216</v>
      </c>
      <c r="AH261" s="11"/>
      <c r="AI261" s="33">
        <f>IF(AB261&lt;&gt;"",ROUND(IF($F$11="raty równe",-PMT(W261/12,($F$4-AB260+SUM($AC$27:AC260)),AG260,2),AG260/($F$4-AB260+SUM($AC$27:AC260))+AG260*W261/12),2),"")</f>
        <v>3227.7</v>
      </c>
      <c r="AJ261" s="33">
        <f t="shared" si="118"/>
        <v>233.48000000000002</v>
      </c>
      <c r="AK261" s="33">
        <f t="shared" si="119"/>
        <v>78645.282551263284</v>
      </c>
      <c r="AL261" s="33">
        <f>IF(AB261&lt;&gt;"",AK261-SUM($AJ$28:AJ261),"")</f>
        <v>25685.852551263328</v>
      </c>
      <c r="AM261" s="11">
        <f t="shared" si="120"/>
        <v>20</v>
      </c>
      <c r="AN261" s="11">
        <f>IF(AB261&lt;&gt;"",IF($B$16=listy!$K$8,'RZĄDOWY PROGRAM'!$F$3*'RZĄDOWY PROGRAM'!$F$15,AG260*$F$15),"")</f>
        <v>50</v>
      </c>
      <c r="AO261" s="11">
        <f t="shared" si="121"/>
        <v>70</v>
      </c>
      <c r="AQ261" s="49">
        <f t="shared" si="109"/>
        <v>0.05</v>
      </c>
      <c r="AR261" s="18">
        <f t="shared" si="110"/>
        <v>4.0741237836483535E-3</v>
      </c>
      <c r="AS261" s="11">
        <f t="shared" si="122"/>
        <v>0</v>
      </c>
      <c r="AT261" s="11">
        <f t="shared" si="123"/>
        <v>58453.814792988604</v>
      </c>
      <c r="AU261" s="11">
        <f>IF(AB261&lt;&gt;"",AT261-SUM($AS$28:AS261),"")</f>
        <v>30764.414792988598</v>
      </c>
    </row>
    <row r="262" spans="1:47" ht="14.5" x14ac:dyDescent="0.35">
      <c r="A262" s="76">
        <f t="shared" si="124"/>
        <v>51867</v>
      </c>
      <c r="B262" s="8">
        <f t="shared" si="98"/>
        <v>235</v>
      </c>
      <c r="C262" s="11">
        <f t="shared" si="99"/>
        <v>3461.17</v>
      </c>
      <c r="D262" s="11">
        <f t="shared" si="100"/>
        <v>3318.3215737073506</v>
      </c>
      <c r="E262" s="11">
        <f t="shared" si="101"/>
        <v>142.84842629264958</v>
      </c>
      <c r="F262" s="9">
        <f t="shared" si="111"/>
        <v>16943.866552909611</v>
      </c>
      <c r="G262" s="10">
        <f t="shared" si="102"/>
        <v>6.7599999999999993E-2</v>
      </c>
      <c r="H262" s="10">
        <f t="shared" si="103"/>
        <v>1.7000000000000001E-2</v>
      </c>
      <c r="I262" s="49">
        <f t="shared" si="104"/>
        <v>8.4599999999999995E-2</v>
      </c>
      <c r="J262" s="11">
        <f t="shared" si="105"/>
        <v>20</v>
      </c>
      <c r="K262" s="11">
        <f>IF(B262&lt;&gt;"",IF($B$16=listy!$K$8,'RZĄDOWY PROGRAM'!$F$3*'RZĄDOWY PROGRAM'!$F$15,F261*$F$15),"")</f>
        <v>50</v>
      </c>
      <c r="L262" s="11">
        <f t="shared" si="112"/>
        <v>70</v>
      </c>
      <c r="N262" s="55">
        <f t="shared" si="125"/>
        <v>51867</v>
      </c>
      <c r="O262" s="8">
        <f t="shared" si="113"/>
        <v>235</v>
      </c>
      <c r="P262" s="8"/>
      <c r="Q262" s="33">
        <f>IF(O262&lt;&gt;"",ROUND(IF($F$11="raty równe",-PMT(W262/12,$F$4-O261+SUM($P$28:P262),T261,2),R262+S262),2),"")</f>
        <v>3461.17</v>
      </c>
      <c r="R262" s="11">
        <f>IF(O262&lt;&gt;"",IF($F$11="raty malejące",T261/($F$4-O261+SUM($P$28:P262)),IF(Q262-S262&gt;T261,T261,Q262-S262)),"")</f>
        <v>3136.9685344812842</v>
      </c>
      <c r="S262" s="11">
        <f t="shared" si="127"/>
        <v>324.20146551871591</v>
      </c>
      <c r="T262" s="9">
        <f t="shared" si="114"/>
        <v>42849.054943350762</v>
      </c>
      <c r="U262" s="10">
        <f t="shared" si="106"/>
        <v>6.7599999999999993E-2</v>
      </c>
      <c r="V262" s="10">
        <f t="shared" si="107"/>
        <v>1.7000000000000001E-2</v>
      </c>
      <c r="W262" s="49">
        <f t="shared" si="115"/>
        <v>8.4599999999999995E-2</v>
      </c>
      <c r="X262" s="11">
        <f t="shared" si="108"/>
        <v>20</v>
      </c>
      <c r="Y262" s="11">
        <f>IF(O262&lt;&gt;"",IF($B$16=listy!$K$8,'RZĄDOWY PROGRAM'!$F$3*'RZĄDOWY PROGRAM'!$F$15,T261*$F$15),"")</f>
        <v>50</v>
      </c>
      <c r="Z262" s="11">
        <f t="shared" si="116"/>
        <v>70</v>
      </c>
      <c r="AB262" s="8">
        <f t="shared" si="117"/>
        <v>235</v>
      </c>
      <c r="AC262" s="8"/>
      <c r="AD262" s="33">
        <f>IF(AB262&lt;&gt;"",ROUND(IF($F$11="raty równe",-PMT(W262/12,$F$4-AB261+SUM($AC$28:AC262),AG261,2),AE262+AF262),2),"")</f>
        <v>3227.69</v>
      </c>
      <c r="AE262" s="11">
        <f>IF(AB262&lt;&gt;"",IF($F$11="raty malejące",AG261/($F$4-AB261+SUM($AC$28:AC261)),MIN(AD262-AF262,AG261)),"")</f>
        <v>2925.3590413683555</v>
      </c>
      <c r="AF262" s="11">
        <f t="shared" si="128"/>
        <v>302.33095863164459</v>
      </c>
      <c r="AG262" s="9">
        <f t="shared" si="126"/>
        <v>39958.46487801386</v>
      </c>
      <c r="AH262" s="11"/>
      <c r="AI262" s="33">
        <f>IF(AB262&lt;&gt;"",ROUND(IF($F$11="raty równe",-PMT(W262/12,($F$4-AB261+SUM($AC$27:AC261)),AG261,2),AG261/($F$4-AB261+SUM($AC$27:AC261))+AG261*W262/12),2),"")</f>
        <v>3227.69</v>
      </c>
      <c r="AJ262" s="33">
        <f t="shared" si="118"/>
        <v>233.48000000000002</v>
      </c>
      <c r="AK262" s="33">
        <f t="shared" si="119"/>
        <v>79138.295150315491</v>
      </c>
      <c r="AL262" s="33">
        <f>IF(AB262&lt;&gt;"",AK262-SUM($AJ$28:AJ262),"")</f>
        <v>25945.385150315531</v>
      </c>
      <c r="AM262" s="11">
        <f t="shared" si="120"/>
        <v>20</v>
      </c>
      <c r="AN262" s="11">
        <f>IF(AB262&lt;&gt;"",IF($B$16=listy!$K$8,'RZĄDOWY PROGRAM'!$F$3*'RZĄDOWY PROGRAM'!$F$15,AG261*$F$15),"")</f>
        <v>50</v>
      </c>
      <c r="AO262" s="11">
        <f t="shared" si="121"/>
        <v>70</v>
      </c>
      <c r="AQ262" s="49">
        <f t="shared" si="109"/>
        <v>0.05</v>
      </c>
      <c r="AR262" s="18">
        <f t="shared" si="110"/>
        <v>4.0741237836483535E-3</v>
      </c>
      <c r="AS262" s="11">
        <f t="shared" si="122"/>
        <v>0</v>
      </c>
      <c r="AT262" s="11">
        <f t="shared" si="123"/>
        <v>58646.714735434005</v>
      </c>
      <c r="AU262" s="11">
        <f>IF(AB262&lt;&gt;"",AT262-SUM($AS$28:AS262),"")</f>
        <v>30957.314735434</v>
      </c>
    </row>
    <row r="263" spans="1:47" ht="14.5" x14ac:dyDescent="0.35">
      <c r="A263" s="76">
        <f t="shared" si="124"/>
        <v>51898</v>
      </c>
      <c r="B263" s="8">
        <f t="shared" si="98"/>
        <v>236</v>
      </c>
      <c r="C263" s="11">
        <f t="shared" si="99"/>
        <v>3461.18</v>
      </c>
      <c r="D263" s="11">
        <f t="shared" si="100"/>
        <v>3341.7257408019873</v>
      </c>
      <c r="E263" s="11">
        <f t="shared" si="101"/>
        <v>119.45425919801274</v>
      </c>
      <c r="F263" s="9">
        <f t="shared" si="111"/>
        <v>13602.140812107624</v>
      </c>
      <c r="G263" s="10">
        <f t="shared" si="102"/>
        <v>6.7599999999999993E-2</v>
      </c>
      <c r="H263" s="10">
        <f t="shared" si="103"/>
        <v>1.7000000000000001E-2</v>
      </c>
      <c r="I263" s="49">
        <f t="shared" si="104"/>
        <v>8.4599999999999995E-2</v>
      </c>
      <c r="J263" s="11">
        <f t="shared" si="105"/>
        <v>20</v>
      </c>
      <c r="K263" s="11">
        <f>IF(B263&lt;&gt;"",IF($B$16=listy!$K$8,'RZĄDOWY PROGRAM'!$F$3*'RZĄDOWY PROGRAM'!$F$15,F262*$F$15),"")</f>
        <v>50</v>
      </c>
      <c r="L263" s="11">
        <f t="shared" si="112"/>
        <v>70</v>
      </c>
      <c r="N263" s="55">
        <f t="shared" si="125"/>
        <v>51898</v>
      </c>
      <c r="O263" s="8">
        <f t="shared" si="113"/>
        <v>236</v>
      </c>
      <c r="P263" s="8"/>
      <c r="Q263" s="33">
        <f>IF(O263&lt;&gt;"",ROUND(IF($F$11="raty równe",-PMT(W263/12,$F$4-O262+SUM($P$28:P263),T262,2),R263+S263),2),"")</f>
        <v>3461.18</v>
      </c>
      <c r="R263" s="11">
        <f>IF(O263&lt;&gt;"",IF($F$11="raty malejące",T262/($F$4-O262+SUM($P$28:P263)),IF(Q263-S263&gt;T262,T262,Q263-S263)),"")</f>
        <v>3159.0941626493768</v>
      </c>
      <c r="S263" s="11">
        <f t="shared" si="127"/>
        <v>302.08583735062285</v>
      </c>
      <c r="T263" s="9">
        <f t="shared" si="114"/>
        <v>39689.960780701382</v>
      </c>
      <c r="U263" s="10">
        <f t="shared" si="106"/>
        <v>6.7599999999999993E-2</v>
      </c>
      <c r="V263" s="10">
        <f t="shared" si="107"/>
        <v>1.7000000000000001E-2</v>
      </c>
      <c r="W263" s="49">
        <f t="shared" si="115"/>
        <v>8.4599999999999995E-2</v>
      </c>
      <c r="X263" s="11">
        <f t="shared" si="108"/>
        <v>20</v>
      </c>
      <c r="Y263" s="11">
        <f>IF(O263&lt;&gt;"",IF($B$16=listy!$K$8,'RZĄDOWY PROGRAM'!$F$3*'RZĄDOWY PROGRAM'!$F$15,T262*$F$15),"")</f>
        <v>50</v>
      </c>
      <c r="Z263" s="11">
        <f t="shared" si="116"/>
        <v>70</v>
      </c>
      <c r="AB263" s="8">
        <f t="shared" si="117"/>
        <v>236</v>
      </c>
      <c r="AC263" s="8"/>
      <c r="AD263" s="33">
        <f>IF(AB263&lt;&gt;"",ROUND(IF($F$11="raty równe",-PMT(W263/12,$F$4-AB262+SUM($AC$28:AC263),AG262,2),AE263+AF263),2),"")</f>
        <v>3227.69</v>
      </c>
      <c r="AE263" s="11">
        <f>IF(AB263&lt;&gt;"",IF($F$11="raty malejące",AG262/($F$4-AB262+SUM($AC$28:AC262)),MIN(AD263-AF263,AG262)),"")</f>
        <v>2945.9828226100026</v>
      </c>
      <c r="AF263" s="11">
        <f t="shared" si="128"/>
        <v>281.7071773899977</v>
      </c>
      <c r="AG263" s="9">
        <f t="shared" si="126"/>
        <v>37012.48205540386</v>
      </c>
      <c r="AH263" s="11"/>
      <c r="AI263" s="33">
        <f>IF(AB263&lt;&gt;"",ROUND(IF($F$11="raty równe",-PMT(W263/12,($F$4-AB262+SUM($AC$27:AC262)),AG262,2),AG262/($F$4-AB262+SUM($AC$27:AC262))+AG262*W263/12),2),"")</f>
        <v>3227.69</v>
      </c>
      <c r="AJ263" s="33">
        <f t="shared" si="118"/>
        <v>233.48999999999978</v>
      </c>
      <c r="AK263" s="33">
        <f t="shared" si="119"/>
        <v>79632.944710795622</v>
      </c>
      <c r="AL263" s="33">
        <f>IF(AB263&lt;&gt;"",AK263-SUM($AJ$28:AJ263),"")</f>
        <v>26206.544710795664</v>
      </c>
      <c r="AM263" s="11">
        <f t="shared" si="120"/>
        <v>20</v>
      </c>
      <c r="AN263" s="11">
        <f>IF(AB263&lt;&gt;"",IF($B$16=listy!$K$8,'RZĄDOWY PROGRAM'!$F$3*'RZĄDOWY PROGRAM'!$F$15,AG262*$F$15),"")</f>
        <v>50</v>
      </c>
      <c r="AO263" s="11">
        <f t="shared" si="121"/>
        <v>70</v>
      </c>
      <c r="AQ263" s="49">
        <f t="shared" si="109"/>
        <v>0.05</v>
      </c>
      <c r="AR263" s="18">
        <f t="shared" si="110"/>
        <v>4.0741237836483535E-3</v>
      </c>
      <c r="AS263" s="11">
        <f t="shared" si="122"/>
        <v>0</v>
      </c>
      <c r="AT263" s="11">
        <f t="shared" si="123"/>
        <v>58840.251255456547</v>
      </c>
      <c r="AU263" s="11">
        <f>IF(AB263&lt;&gt;"",AT263-SUM($AS$28:AS263),"")</f>
        <v>31150.851255456542</v>
      </c>
    </row>
    <row r="264" spans="1:47" ht="14.5" x14ac:dyDescent="0.35">
      <c r="A264" s="76">
        <f t="shared" si="124"/>
        <v>51926</v>
      </c>
      <c r="B264" s="8">
        <f t="shared" si="98"/>
        <v>237</v>
      </c>
      <c r="C264" s="11">
        <f t="shared" si="99"/>
        <v>3461.17</v>
      </c>
      <c r="D264" s="11">
        <f t="shared" si="100"/>
        <v>3365.2749072746415</v>
      </c>
      <c r="E264" s="11">
        <f t="shared" si="101"/>
        <v>95.895092725358737</v>
      </c>
      <c r="F264" s="9">
        <f t="shared" si="111"/>
        <v>10236.865904832983</v>
      </c>
      <c r="G264" s="10">
        <f t="shared" si="102"/>
        <v>6.7599999999999993E-2</v>
      </c>
      <c r="H264" s="10">
        <f t="shared" si="103"/>
        <v>1.7000000000000001E-2</v>
      </c>
      <c r="I264" s="49">
        <f t="shared" si="104"/>
        <v>8.4599999999999995E-2</v>
      </c>
      <c r="J264" s="11">
        <f t="shared" si="105"/>
        <v>20</v>
      </c>
      <c r="K264" s="11">
        <f>IF(B264&lt;&gt;"",IF($B$16=listy!$K$8,'RZĄDOWY PROGRAM'!$F$3*'RZĄDOWY PROGRAM'!$F$15,F263*$F$15),"")</f>
        <v>50</v>
      </c>
      <c r="L264" s="11">
        <f t="shared" si="112"/>
        <v>70</v>
      </c>
      <c r="N264" s="55">
        <f t="shared" si="125"/>
        <v>51926</v>
      </c>
      <c r="O264" s="8">
        <f t="shared" si="113"/>
        <v>237</v>
      </c>
      <c r="P264" s="8"/>
      <c r="Q264" s="33">
        <f>IF(O264&lt;&gt;"",ROUND(IF($F$11="raty równe",-PMT(W264/12,$F$4-O263+SUM($P$28:P264),T263,2),R264+S264),2),"")</f>
        <v>3461.17</v>
      </c>
      <c r="R264" s="11">
        <f>IF(O264&lt;&gt;"",IF($F$11="raty malejące",T263/($F$4-O263+SUM($P$28:P264)),IF(Q264-S264&gt;T263,T263,Q264-S264)),"")</f>
        <v>3181.3557764960551</v>
      </c>
      <c r="S264" s="11">
        <f t="shared" si="127"/>
        <v>279.81422350394473</v>
      </c>
      <c r="T264" s="9">
        <f t="shared" si="114"/>
        <v>36508.605004205325</v>
      </c>
      <c r="U264" s="10">
        <f t="shared" si="106"/>
        <v>6.7599999999999993E-2</v>
      </c>
      <c r="V264" s="10">
        <f t="shared" si="107"/>
        <v>1.7000000000000001E-2</v>
      </c>
      <c r="W264" s="49">
        <f t="shared" si="115"/>
        <v>8.4599999999999995E-2</v>
      </c>
      <c r="X264" s="11">
        <f t="shared" si="108"/>
        <v>20</v>
      </c>
      <c r="Y264" s="11">
        <f>IF(O264&lt;&gt;"",IF($B$16=listy!$K$8,'RZĄDOWY PROGRAM'!$F$3*'RZĄDOWY PROGRAM'!$F$15,T263*$F$15),"")</f>
        <v>50</v>
      </c>
      <c r="Z264" s="11">
        <f t="shared" si="116"/>
        <v>70</v>
      </c>
      <c r="AB264" s="8">
        <f t="shared" si="117"/>
        <v>237</v>
      </c>
      <c r="AC264" s="8"/>
      <c r="AD264" s="33">
        <f>IF(AB264&lt;&gt;"",ROUND(IF($F$11="raty równe",-PMT(W264/12,$F$4-AB263+SUM($AC$28:AC264),AG263,2),AE264+AF264),2),"")</f>
        <v>3227.7</v>
      </c>
      <c r="AE264" s="11">
        <f>IF(AB264&lt;&gt;"",IF($F$11="raty malejące",AG263/($F$4-AB263+SUM($AC$28:AC263)),MIN(AD264-AF264,AG263)),"")</f>
        <v>2966.7620015094026</v>
      </c>
      <c r="AF264" s="11">
        <f t="shared" si="128"/>
        <v>260.93799849059718</v>
      </c>
      <c r="AG264" s="9">
        <f t="shared" si="126"/>
        <v>34045.72005389446</v>
      </c>
      <c r="AH264" s="11"/>
      <c r="AI264" s="33">
        <f>IF(AB264&lt;&gt;"",ROUND(IF($F$11="raty równe",-PMT(W264/12,($F$4-AB263+SUM($AC$27:AC263)),AG263,2),AG263/($F$4-AB263+SUM($AC$27:AC263))+AG263*W264/12),2),"")</f>
        <v>3227.7</v>
      </c>
      <c r="AJ264" s="33">
        <f t="shared" si="118"/>
        <v>233.47000000000025</v>
      </c>
      <c r="AK264" s="33">
        <f t="shared" si="119"/>
        <v>80129.206634742266</v>
      </c>
      <c r="AL264" s="33">
        <f>IF(AB264&lt;&gt;"",AK264-SUM($AJ$28:AJ264),"")</f>
        <v>26469.336634742307</v>
      </c>
      <c r="AM264" s="11">
        <f t="shared" si="120"/>
        <v>20</v>
      </c>
      <c r="AN264" s="11">
        <f>IF(AB264&lt;&gt;"",IF($B$16=listy!$K$8,'RZĄDOWY PROGRAM'!$F$3*'RZĄDOWY PROGRAM'!$F$15,AG263*$F$15),"")</f>
        <v>50</v>
      </c>
      <c r="AO264" s="11">
        <f t="shared" si="121"/>
        <v>70</v>
      </c>
      <c r="AQ264" s="49">
        <f t="shared" si="109"/>
        <v>0.05</v>
      </c>
      <c r="AR264" s="18">
        <f t="shared" si="110"/>
        <v>4.0741237836483535E-3</v>
      </c>
      <c r="AS264" s="11">
        <f t="shared" si="122"/>
        <v>0</v>
      </c>
      <c r="AT264" s="11">
        <f t="shared" si="123"/>
        <v>59034.426453787863</v>
      </c>
      <c r="AU264" s="11">
        <f>IF(AB264&lt;&gt;"",AT264-SUM($AS$28:AS264),"")</f>
        <v>31345.026453787857</v>
      </c>
    </row>
    <row r="265" spans="1:47" ht="14.5" x14ac:dyDescent="0.35">
      <c r="A265" s="76">
        <f t="shared" si="124"/>
        <v>51957</v>
      </c>
      <c r="B265" s="8">
        <f t="shared" si="98"/>
        <v>238</v>
      </c>
      <c r="C265" s="11">
        <f t="shared" si="99"/>
        <v>3461.18</v>
      </c>
      <c r="D265" s="11">
        <f t="shared" si="100"/>
        <v>3389.0100953709275</v>
      </c>
      <c r="E265" s="11">
        <f t="shared" si="101"/>
        <v>72.169904629072519</v>
      </c>
      <c r="F265" s="9">
        <f t="shared" si="111"/>
        <v>6847.8558094620548</v>
      </c>
      <c r="G265" s="10">
        <f t="shared" si="102"/>
        <v>6.7599999999999993E-2</v>
      </c>
      <c r="H265" s="10">
        <f t="shared" si="103"/>
        <v>1.7000000000000001E-2</v>
      </c>
      <c r="I265" s="49">
        <f t="shared" si="104"/>
        <v>8.4599999999999995E-2</v>
      </c>
      <c r="J265" s="11">
        <f t="shared" si="105"/>
        <v>20</v>
      </c>
      <c r="K265" s="11">
        <f>IF(B265&lt;&gt;"",IF($B$16=listy!$K$8,'RZĄDOWY PROGRAM'!$F$3*'RZĄDOWY PROGRAM'!$F$15,F264*$F$15),"")</f>
        <v>50</v>
      </c>
      <c r="L265" s="11">
        <f t="shared" si="112"/>
        <v>70</v>
      </c>
      <c r="N265" s="55">
        <f t="shared" si="125"/>
        <v>51957</v>
      </c>
      <c r="O265" s="8">
        <f t="shared" si="113"/>
        <v>238</v>
      </c>
      <c r="P265" s="8"/>
      <c r="Q265" s="33">
        <f>IF(O265&lt;&gt;"",ROUND(IF($F$11="raty równe",-PMT(W265/12,$F$4-O264+SUM($P$28:P265),T264,2),R265+S265),2),"")</f>
        <v>3461.18</v>
      </c>
      <c r="R265" s="11">
        <f>IF(O265&lt;&gt;"",IF($F$11="raty malejące",T264/($F$4-O264+SUM($P$28:P265)),IF(Q265-S265&gt;T264,T264,Q265-S265)),"")</f>
        <v>3203.7943347203523</v>
      </c>
      <c r="S265" s="11">
        <f t="shared" si="127"/>
        <v>257.38566527964753</v>
      </c>
      <c r="T265" s="9">
        <f t="shared" si="114"/>
        <v>33304.81066948497</v>
      </c>
      <c r="U265" s="10">
        <f t="shared" si="106"/>
        <v>6.7599999999999993E-2</v>
      </c>
      <c r="V265" s="10">
        <f t="shared" si="107"/>
        <v>1.7000000000000001E-2</v>
      </c>
      <c r="W265" s="49">
        <f t="shared" si="115"/>
        <v>8.4599999999999995E-2</v>
      </c>
      <c r="X265" s="11">
        <f t="shared" si="108"/>
        <v>20</v>
      </c>
      <c r="Y265" s="11">
        <f>IF(O265&lt;&gt;"",IF($B$16=listy!$K$8,'RZĄDOWY PROGRAM'!$F$3*'RZĄDOWY PROGRAM'!$F$15,T264*$F$15),"")</f>
        <v>50</v>
      </c>
      <c r="Z265" s="11">
        <f t="shared" si="116"/>
        <v>70</v>
      </c>
      <c r="AB265" s="8">
        <f t="shared" si="117"/>
        <v>238</v>
      </c>
      <c r="AC265" s="8"/>
      <c r="AD265" s="33">
        <f>IF(AB265&lt;&gt;"",ROUND(IF($F$11="raty równe",-PMT(W265/12,$F$4-AB264+SUM($AC$28:AC265),AG264,2),AE265+AF265),2),"")</f>
        <v>3227.7</v>
      </c>
      <c r="AE265" s="11">
        <f>IF(AB265&lt;&gt;"",IF($F$11="raty malejące",AG264/($F$4-AB264+SUM($AC$28:AC264)),MIN(AD265-AF265,AG264)),"")</f>
        <v>2987.6776736200441</v>
      </c>
      <c r="AF265" s="11">
        <f t="shared" si="128"/>
        <v>240.0223263799559</v>
      </c>
      <c r="AG265" s="9">
        <f t="shared" si="126"/>
        <v>31058.042380274415</v>
      </c>
      <c r="AH265" s="11"/>
      <c r="AI265" s="33">
        <f>IF(AB265&lt;&gt;"",ROUND(IF($F$11="raty równe",-PMT(W265/12,($F$4-AB264+SUM($AC$27:AC264)),AG264,2),AG264/($F$4-AB264+SUM($AC$27:AC264))+AG264*W265/12),2),"")</f>
        <v>3227.7</v>
      </c>
      <c r="AJ265" s="33">
        <f t="shared" si="118"/>
        <v>233.48000000000002</v>
      </c>
      <c r="AK265" s="33">
        <f t="shared" si="119"/>
        <v>80627.116243019802</v>
      </c>
      <c r="AL265" s="33">
        <f>IF(AB265&lt;&gt;"",AK265-SUM($AJ$28:AJ265),"")</f>
        <v>26733.76624301984</v>
      </c>
      <c r="AM265" s="11">
        <f t="shared" si="120"/>
        <v>20</v>
      </c>
      <c r="AN265" s="11">
        <f>IF(AB265&lt;&gt;"",IF($B$16=listy!$K$8,'RZĄDOWY PROGRAM'!$F$3*'RZĄDOWY PROGRAM'!$F$15,AG264*$F$15),"")</f>
        <v>50</v>
      </c>
      <c r="AO265" s="11">
        <f t="shared" si="121"/>
        <v>70</v>
      </c>
      <c r="AQ265" s="49">
        <f t="shared" si="109"/>
        <v>0.05</v>
      </c>
      <c r="AR265" s="18">
        <f t="shared" si="110"/>
        <v>4.0741237836483535E-3</v>
      </c>
      <c r="AS265" s="11">
        <f t="shared" si="122"/>
        <v>0</v>
      </c>
      <c r="AT265" s="11">
        <f t="shared" si="123"/>
        <v>59229.242438092093</v>
      </c>
      <c r="AU265" s="11">
        <f>IF(AB265&lt;&gt;"",AT265-SUM($AS$28:AS265),"")</f>
        <v>31539.842438092088</v>
      </c>
    </row>
    <row r="266" spans="1:47" ht="14.5" x14ac:dyDescent="0.35">
      <c r="A266" s="76">
        <f t="shared" si="124"/>
        <v>51987</v>
      </c>
      <c r="B266" s="8">
        <f t="shared" si="98"/>
        <v>239</v>
      </c>
      <c r="C266" s="11">
        <f t="shared" si="99"/>
        <v>3461.17</v>
      </c>
      <c r="D266" s="11">
        <f t="shared" si="100"/>
        <v>3412.8926165432927</v>
      </c>
      <c r="E266" s="11">
        <f t="shared" si="101"/>
        <v>48.27738345670749</v>
      </c>
      <c r="F266" s="9">
        <f t="shared" si="111"/>
        <v>3434.9631929187622</v>
      </c>
      <c r="G266" s="10">
        <f t="shared" si="102"/>
        <v>6.7599999999999993E-2</v>
      </c>
      <c r="H266" s="10">
        <f t="shared" si="103"/>
        <v>1.7000000000000001E-2</v>
      </c>
      <c r="I266" s="49">
        <f t="shared" si="104"/>
        <v>8.4599999999999995E-2</v>
      </c>
      <c r="J266" s="11">
        <f t="shared" si="105"/>
        <v>20</v>
      </c>
      <c r="K266" s="11">
        <f>IF(B266&lt;&gt;"",IF($B$16=listy!$K$8,'RZĄDOWY PROGRAM'!$F$3*'RZĄDOWY PROGRAM'!$F$15,F265*$F$15),"")</f>
        <v>50</v>
      </c>
      <c r="L266" s="11">
        <f t="shared" si="112"/>
        <v>70</v>
      </c>
      <c r="N266" s="55">
        <f t="shared" si="125"/>
        <v>51987</v>
      </c>
      <c r="O266" s="8">
        <f t="shared" si="113"/>
        <v>239</v>
      </c>
      <c r="P266" s="8"/>
      <c r="Q266" s="33">
        <f>IF(O266&lt;&gt;"",ROUND(IF($F$11="raty równe",-PMT(W266/12,$F$4-O265+SUM($P$28:P266),T265,2),R266+S266),2),"")</f>
        <v>3461.17</v>
      </c>
      <c r="R266" s="11">
        <f>IF(O266&lt;&gt;"",IF($F$11="raty malejące",T265/($F$4-O265+SUM($P$28:P266)),IF(Q266-S266&gt;T265,T265,Q266-S266)),"")</f>
        <v>3226.3710847801312</v>
      </c>
      <c r="S266" s="11">
        <f t="shared" si="127"/>
        <v>234.79891521986903</v>
      </c>
      <c r="T266" s="9">
        <f t="shared" si="114"/>
        <v>30078.43958470484</v>
      </c>
      <c r="U266" s="10">
        <f t="shared" si="106"/>
        <v>6.7599999999999993E-2</v>
      </c>
      <c r="V266" s="10">
        <f t="shared" si="107"/>
        <v>1.7000000000000001E-2</v>
      </c>
      <c r="W266" s="49">
        <f t="shared" si="115"/>
        <v>8.4599999999999995E-2</v>
      </c>
      <c r="X266" s="11">
        <f t="shared" si="108"/>
        <v>20</v>
      </c>
      <c r="Y266" s="11">
        <f>IF(O266&lt;&gt;"",IF($B$16=listy!$K$8,'RZĄDOWY PROGRAM'!$F$3*'RZĄDOWY PROGRAM'!$F$15,T265*$F$15),"")</f>
        <v>50</v>
      </c>
      <c r="Z266" s="11">
        <f t="shared" si="116"/>
        <v>70</v>
      </c>
      <c r="AB266" s="8">
        <f t="shared" si="117"/>
        <v>239</v>
      </c>
      <c r="AC266" s="8"/>
      <c r="AD266" s="33">
        <f>IF(AB266&lt;&gt;"",ROUND(IF($F$11="raty równe",-PMT(W266/12,$F$4-AB265+SUM($AC$28:AC266),AG265,2),AE266+AF266),2),"")</f>
        <v>3227.69</v>
      </c>
      <c r="AE266" s="11">
        <f>IF(AB266&lt;&gt;"",IF($F$11="raty malejące",AG265/($F$4-AB265+SUM($AC$28:AC265)),MIN(AD266-AF266,AG265)),"")</f>
        <v>3008.7308012190656</v>
      </c>
      <c r="AF266" s="11">
        <f t="shared" si="128"/>
        <v>218.9591987809346</v>
      </c>
      <c r="AG266" s="9">
        <f t="shared" si="126"/>
        <v>28049.311579055349</v>
      </c>
      <c r="AH266" s="11"/>
      <c r="AI266" s="33">
        <f>IF(AB266&lt;&gt;"",ROUND(IF($F$11="raty równe",-PMT(W266/12,($F$4-AB265+SUM($AC$27:AC265)),AG265,2),AG265/($F$4-AB265+SUM($AC$27:AC265))+AG265*W266/12),2),"")</f>
        <v>3227.69</v>
      </c>
      <c r="AJ266" s="33">
        <f t="shared" si="118"/>
        <v>233.48000000000002</v>
      </c>
      <c r="AK266" s="33">
        <f t="shared" si="119"/>
        <v>81126.66897305286</v>
      </c>
      <c r="AL266" s="33">
        <f>IF(AB266&lt;&gt;"",AK266-SUM($AJ$28:AJ266),"")</f>
        <v>26999.838973052894</v>
      </c>
      <c r="AM266" s="11">
        <f t="shared" si="120"/>
        <v>20</v>
      </c>
      <c r="AN266" s="11">
        <f>IF(AB266&lt;&gt;"",IF($B$16=listy!$K$8,'RZĄDOWY PROGRAM'!$F$3*'RZĄDOWY PROGRAM'!$F$15,AG265*$F$15),"")</f>
        <v>50</v>
      </c>
      <c r="AO266" s="11">
        <f t="shared" si="121"/>
        <v>70</v>
      </c>
      <c r="AQ266" s="49">
        <f t="shared" si="109"/>
        <v>0.05</v>
      </c>
      <c r="AR266" s="18">
        <f t="shared" si="110"/>
        <v>4.0741237836483535E-3</v>
      </c>
      <c r="AS266" s="11">
        <f t="shared" si="122"/>
        <v>0</v>
      </c>
      <c r="AT266" s="11">
        <f t="shared" si="123"/>
        <v>59424.701322988745</v>
      </c>
      <c r="AU266" s="11">
        <f>IF(AB266&lt;&gt;"",AT266-SUM($AS$28:AS266),"")</f>
        <v>31735.30132298874</v>
      </c>
    </row>
    <row r="267" spans="1:47" ht="14.5" x14ac:dyDescent="0.35">
      <c r="A267" s="76">
        <f t="shared" si="124"/>
        <v>52018</v>
      </c>
      <c r="B267" s="8">
        <f t="shared" si="98"/>
        <v>240</v>
      </c>
      <c r="C267" s="11">
        <f t="shared" si="99"/>
        <v>3461.18</v>
      </c>
      <c r="D267" s="11">
        <f t="shared" si="100"/>
        <v>3434.9631929187622</v>
      </c>
      <c r="E267" s="11">
        <f t="shared" si="101"/>
        <v>24.216490510077275</v>
      </c>
      <c r="F267" s="9">
        <f t="shared" si="111"/>
        <v>0</v>
      </c>
      <c r="G267" s="10">
        <f t="shared" si="102"/>
        <v>6.7599999999999993E-2</v>
      </c>
      <c r="H267" s="10">
        <f t="shared" si="103"/>
        <v>1.7000000000000001E-2</v>
      </c>
      <c r="I267" s="49">
        <f t="shared" si="104"/>
        <v>8.4599999999999995E-2</v>
      </c>
      <c r="J267" s="11">
        <f t="shared" si="105"/>
        <v>20</v>
      </c>
      <c r="K267" s="11">
        <f>IF(B267&lt;&gt;"",IF($B$16=listy!$K$8,'RZĄDOWY PROGRAM'!$F$3*'RZĄDOWY PROGRAM'!$F$15,F266*$F$15),"")</f>
        <v>50</v>
      </c>
      <c r="L267" s="11">
        <f t="shared" si="112"/>
        <v>70</v>
      </c>
      <c r="N267" s="55">
        <f t="shared" si="125"/>
        <v>52018</v>
      </c>
      <c r="O267" s="8">
        <f t="shared" si="113"/>
        <v>240</v>
      </c>
      <c r="P267" s="8"/>
      <c r="Q267" s="33">
        <f>IF(O267&lt;&gt;"",ROUND(IF($F$11="raty równe",-PMT(W267/12,$F$4-O266+SUM($P$28:P267),T266,2),R267+S267),2),"")</f>
        <v>3461.18</v>
      </c>
      <c r="R267" s="11">
        <f>IF(O267&lt;&gt;"",IF($F$11="raty malejące",T266/($F$4-O266+SUM($P$28:P267)),IF(Q267-S267&gt;T266,T266,Q267-S267)),"")</f>
        <v>3249.1270009278305</v>
      </c>
      <c r="S267" s="11">
        <f t="shared" ref="S267:S275" si="129">IF(O267&lt;&gt;"",T266*W267/12,"")</f>
        <v>212.05299907216911</v>
      </c>
      <c r="T267" s="9">
        <f>IF(O267&lt;&gt;"",T266-R267,"")</f>
        <v>26829.312583777009</v>
      </c>
      <c r="U267" s="10">
        <f t="shared" ref="U267:U275" si="130">IF(O267&lt;&gt;"",$F$5,"")</f>
        <v>6.7599999999999993E-2</v>
      </c>
      <c r="V267" s="10">
        <f t="shared" ref="V267:V275" si="131">IF(O267&lt;&gt;"",$F$6,"")</f>
        <v>1.7000000000000001E-2</v>
      </c>
      <c r="W267" s="49">
        <f t="shared" si="115"/>
        <v>8.4599999999999995E-2</v>
      </c>
      <c r="X267" s="11">
        <f t="shared" si="108"/>
        <v>20</v>
      </c>
      <c r="Y267" s="11">
        <f>IF(O267&lt;&gt;"",IF($B$16=listy!$K$8,'RZĄDOWY PROGRAM'!$F$3*'RZĄDOWY PROGRAM'!$F$15,T266*$F$15),"")</f>
        <v>50</v>
      </c>
      <c r="Z267" s="11">
        <f t="shared" ref="Z267:Z275" si="132">IF(O267&lt;&gt;"",X267+Y267,"")</f>
        <v>70</v>
      </c>
      <c r="AB267" s="8">
        <f t="shared" si="117"/>
        <v>240</v>
      </c>
      <c r="AC267" s="8"/>
      <c r="AD267" s="33">
        <f>IF(AB267&lt;&gt;"",ROUND(IF($F$11="raty równe",-PMT(W267/12,$F$4-AB266+SUM($AC$28:AC267),AG266,2),AE267+AF267),2),"")</f>
        <v>3227.69</v>
      </c>
      <c r="AE267" s="11">
        <f>IF(AB267&lt;&gt;"",IF($F$11="raty malejące",AG266/($F$4-AB266+SUM($AC$28:AC266)),MIN(AD267-AF267,AG266)),"")</f>
        <v>3029.94235336766</v>
      </c>
      <c r="AF267" s="11">
        <f t="shared" si="128"/>
        <v>197.74764663234021</v>
      </c>
      <c r="AG267" s="9">
        <f t="shared" si="126"/>
        <v>25019.369225687689</v>
      </c>
      <c r="AH267" s="11"/>
      <c r="AI267" s="33">
        <f>IF(AB267&lt;&gt;"",ROUND(IF($F$11="raty równe",-PMT(W267/12,($F$4-AB266+SUM($AC$27:AC266)),AG266,2),AG266/($F$4-AB266+SUM($AC$27:AC266))+AG266*W267/12),2),"")</f>
        <v>3227.69</v>
      </c>
      <c r="AJ267" s="33">
        <f t="shared" si="118"/>
        <v>233.48999999999978</v>
      </c>
      <c r="AK267" s="33">
        <f t="shared" si="119"/>
        <v>81627.880247209396</v>
      </c>
      <c r="AL267" s="33">
        <f>IF(AB267&lt;&gt;"",AK267-SUM($AJ$28:AJ267),"")</f>
        <v>27267.560247209432</v>
      </c>
      <c r="AM267" s="11">
        <f t="shared" si="120"/>
        <v>20</v>
      </c>
      <c r="AN267" s="11">
        <f>IF(AB267&lt;&gt;"",IF($B$16=listy!$K$8,'RZĄDOWY PROGRAM'!$F$3*'RZĄDOWY PROGRAM'!$F$15,AG266*$F$15),"")</f>
        <v>50</v>
      </c>
      <c r="AO267" s="11">
        <f t="shared" si="121"/>
        <v>70</v>
      </c>
      <c r="AQ267" s="49">
        <f t="shared" si="109"/>
        <v>0.05</v>
      </c>
      <c r="AR267" s="18">
        <f t="shared" si="110"/>
        <v>4.0741237836483535E-3</v>
      </c>
      <c r="AS267" s="11">
        <f t="shared" si="122"/>
        <v>0</v>
      </c>
      <c r="AT267" s="11">
        <f t="shared" si="123"/>
        <v>59620.805230075661</v>
      </c>
      <c r="AU267" s="11">
        <f>IF(AB267&lt;&gt;"",AT267-SUM($AS$28:AS267),"")</f>
        <v>31931.405230075656</v>
      </c>
    </row>
    <row r="268" spans="1:47" ht="14.5" x14ac:dyDescent="0.35">
      <c r="A268" s="76" t="str">
        <f t="shared" ref="A268:A331" si="133">IF(B268&lt;&gt;"",EDATE(A267,1),"")</f>
        <v/>
      </c>
      <c r="B268" s="8" t="str">
        <f t="shared" si="98"/>
        <v/>
      </c>
      <c r="C268" s="11" t="str">
        <f t="shared" ref="C268:C331" si="134">IF(B268&lt;&gt;"",ROUND(IF($F$11="raty równe",-PMT(I268/12,$F$4-B267,F267,2),D268+E268),2),"")</f>
        <v/>
      </c>
      <c r="D268" s="11" t="str">
        <f t="shared" ref="D268:D331" si="135">IF(B268&lt;&gt;"",IF($F$11="raty malejące",F267/($F$4-B267),IF(C268-E268&gt;F267,F267,C268-E268)),"")</f>
        <v/>
      </c>
      <c r="E268" s="11" t="str">
        <f t="shared" ref="E268:E331" si="136">IF(B268&lt;&gt;"",F267*I268/12,"")</f>
        <v/>
      </c>
      <c r="F268" s="9" t="str">
        <f t="shared" ref="F268:F331" si="137">IF(B268&lt;&gt;"",F267-D268,"")</f>
        <v/>
      </c>
      <c r="G268" s="10" t="str">
        <f t="shared" ref="G268:G331" si="138">IF(B268&lt;&gt;"",$F$5,"")</f>
        <v/>
      </c>
      <c r="H268" s="10" t="str">
        <f t="shared" ref="H268:H331" si="139">IF(B268&lt;&gt;"",$F$6,"")</f>
        <v/>
      </c>
      <c r="I268" s="49" t="str">
        <f t="shared" ref="I268:I331" si="140">IF($B268&lt;&gt;"",IF(AND($F$8="TAK",$B268&lt;=$F$9),$F$10,G268+H268),"")</f>
        <v/>
      </c>
      <c r="J268" s="11" t="str">
        <f t="shared" ref="J268:J331" si="141">IF(B268&lt;=$F$4,$F$14,"")</f>
        <v/>
      </c>
      <c r="K268" s="11" t="str">
        <f>IF(B268&lt;&gt;"",IF($B$16=listy!$K$8,'RZĄDOWY PROGRAM'!$F$3*'RZĄDOWY PROGRAM'!$F$15,F267*$F$15),"")</f>
        <v/>
      </c>
      <c r="L268" s="11" t="str">
        <f t="shared" ref="L268:L331" si="142">IF(B268&lt;&gt;"",J268+K268,"")</f>
        <v/>
      </c>
      <c r="N268" s="55">
        <f t="shared" si="125"/>
        <v>52048</v>
      </c>
      <c r="O268" s="8">
        <f t="shared" si="113"/>
        <v>241</v>
      </c>
      <c r="P268" s="8"/>
      <c r="Q268" s="33">
        <f>IF(O268&lt;&gt;"",ROUND(IF($F$11="raty równe",-PMT(W268/12,$F$4-O267+SUM($P$28:P268),T267,2),R268+S268),2),"")</f>
        <v>3461.17</v>
      </c>
      <c r="R268" s="11">
        <f>IF(O268&lt;&gt;"",IF($F$11="raty malejące",T267/($F$4-O267+SUM($P$28:P268)),IF(Q268-S268&gt;T267,T267,Q268-S268)),"")</f>
        <v>3272.0233462843721</v>
      </c>
      <c r="S268" s="11">
        <f t="shared" si="129"/>
        <v>189.14665371562788</v>
      </c>
      <c r="T268" s="9">
        <f t="shared" ref="T268:T275" si="143">IF(O268&lt;&gt;"",T267-R268,"")</f>
        <v>23557.289237492638</v>
      </c>
      <c r="U268" s="10">
        <f t="shared" si="130"/>
        <v>6.7599999999999993E-2</v>
      </c>
      <c r="V268" s="10">
        <f t="shared" si="131"/>
        <v>1.7000000000000001E-2</v>
      </c>
      <c r="W268" s="49">
        <f t="shared" si="115"/>
        <v>8.4599999999999995E-2</v>
      </c>
      <c r="X268" s="11">
        <f t="shared" si="108"/>
        <v>20</v>
      </c>
      <c r="Y268" s="11">
        <f>IF(O268&lt;&gt;"",IF($B$16=listy!$K$8,'RZĄDOWY PROGRAM'!$F$3*'RZĄDOWY PROGRAM'!$F$15,T267*$F$15),"")</f>
        <v>50</v>
      </c>
      <c r="Z268" s="11">
        <f t="shared" si="132"/>
        <v>70</v>
      </c>
      <c r="AB268" s="8">
        <f t="shared" si="117"/>
        <v>241</v>
      </c>
      <c r="AC268" s="8"/>
      <c r="AD268" s="33">
        <f>IF(AB268&lt;&gt;"",ROUND(IF($F$11="raty równe",-PMT(W268/12,$F$4-AB267+SUM($AC$28:AC268),AG267,2),AE268+AF268),2),"")</f>
        <v>3227.7</v>
      </c>
      <c r="AE268" s="11">
        <f>IF(AB268&lt;&gt;"",IF($F$11="raty malejące",AG267/($F$4-AB267+SUM($AC$28:AC267)),MIN(AD268-AF268,AG267)),"")</f>
        <v>3051.3134469589017</v>
      </c>
      <c r="AF268" s="11">
        <f t="shared" si="128"/>
        <v>176.38655304109818</v>
      </c>
      <c r="AG268" s="9">
        <f t="shared" si="126"/>
        <v>21968.055778728787</v>
      </c>
      <c r="AH268" s="11"/>
      <c r="AI268" s="33">
        <f>IF(AB268&lt;&gt;"",ROUND(IF($F$11="raty równe",-PMT(W268/12,($F$4-AB267+SUM($AC$27:AC267)),AG267,2),AG267/($F$4-AB267+SUM($AC$27:AC267))+AG267*W268/12),2),"")</f>
        <v>3227.7</v>
      </c>
      <c r="AJ268" s="33">
        <f t="shared" si="118"/>
        <v>-3227.7</v>
      </c>
      <c r="AK268" s="33">
        <f t="shared" si="119"/>
        <v>78669.555538751796</v>
      </c>
      <c r="AL268" s="33">
        <f>IF(AB268&lt;&gt;"",AK268-SUM($AJ$28:AJ268),"")</f>
        <v>27536.93553875183</v>
      </c>
      <c r="AM268" s="11">
        <f t="shared" si="120"/>
        <v>20</v>
      </c>
      <c r="AN268" s="11">
        <f>IF(AB268&lt;&gt;"",IF($B$16=listy!$K$8,'RZĄDOWY PROGRAM'!$F$3*'RZĄDOWY PROGRAM'!$F$15,AG267*$F$15),"")</f>
        <v>50</v>
      </c>
      <c r="AO268" s="11">
        <f t="shared" si="121"/>
        <v>70</v>
      </c>
      <c r="AQ268" s="49">
        <f t="shared" si="109"/>
        <v>0.05</v>
      </c>
      <c r="AR268" s="18">
        <f t="shared" si="110"/>
        <v>4.0741237836483535E-3</v>
      </c>
      <c r="AS268" s="11">
        <f t="shared" si="122"/>
        <v>0</v>
      </c>
      <c r="AT268" s="11">
        <f t="shared" si="123"/>
        <v>59817.556287952037</v>
      </c>
      <c r="AU268" s="11">
        <f>IF(AB268&lt;&gt;"",AT268-SUM($AS$28:AS268),"")</f>
        <v>32128.156287952032</v>
      </c>
    </row>
    <row r="269" spans="1:47" ht="14.5" x14ac:dyDescent="0.35">
      <c r="A269" s="76" t="str">
        <f t="shared" si="133"/>
        <v/>
      </c>
      <c r="B269" s="8" t="str">
        <f t="shared" si="98"/>
        <v/>
      </c>
      <c r="C269" s="11" t="str">
        <f t="shared" si="134"/>
        <v/>
      </c>
      <c r="D269" s="11" t="str">
        <f t="shared" si="135"/>
        <v/>
      </c>
      <c r="E269" s="11" t="str">
        <f t="shared" si="136"/>
        <v/>
      </c>
      <c r="F269" s="9" t="str">
        <f t="shared" si="137"/>
        <v/>
      </c>
      <c r="G269" s="10" t="str">
        <f t="shared" si="138"/>
        <v/>
      </c>
      <c r="H269" s="10" t="str">
        <f t="shared" si="139"/>
        <v/>
      </c>
      <c r="I269" s="49" t="str">
        <f t="shared" si="140"/>
        <v/>
      </c>
      <c r="J269" s="11" t="str">
        <f t="shared" si="141"/>
        <v/>
      </c>
      <c r="K269" s="11" t="str">
        <f>IF(B269&lt;&gt;"",IF($B$16=listy!$K$8,'RZĄDOWY PROGRAM'!$F$3*'RZĄDOWY PROGRAM'!$F$15,F268*$F$15),"")</f>
        <v/>
      </c>
      <c r="L269" s="11" t="str">
        <f t="shared" si="142"/>
        <v/>
      </c>
      <c r="N269" s="55">
        <f t="shared" si="125"/>
        <v>52079</v>
      </c>
      <c r="O269" s="8">
        <f t="shared" si="113"/>
        <v>242</v>
      </c>
      <c r="P269" s="8"/>
      <c r="Q269" s="33">
        <f>IF(O269&lt;&gt;"",ROUND(IF($F$11="raty równe",-PMT(W269/12,$F$4-O268+SUM($P$28:P269),T268,2),R269+S269),2),"")</f>
        <v>3461.18</v>
      </c>
      <c r="R269" s="11">
        <f>IF(O269&lt;&gt;"",IF($F$11="raty malejące",T268/($F$4-O268+SUM($P$28:P269)),IF(Q269-S269&gt;T268,T268,Q269-S269)),"")</f>
        <v>3295.1011108756766</v>
      </c>
      <c r="S269" s="11">
        <f t="shared" si="129"/>
        <v>166.07888912432307</v>
      </c>
      <c r="T269" s="9">
        <f t="shared" si="143"/>
        <v>20262.188126616962</v>
      </c>
      <c r="U269" s="10">
        <f t="shared" si="130"/>
        <v>6.7599999999999993E-2</v>
      </c>
      <c r="V269" s="10">
        <f t="shared" si="131"/>
        <v>1.7000000000000001E-2</v>
      </c>
      <c r="W269" s="49">
        <f t="shared" si="115"/>
        <v>8.4599999999999995E-2</v>
      </c>
      <c r="X269" s="11">
        <f t="shared" si="108"/>
        <v>20</v>
      </c>
      <c r="Y269" s="11">
        <f>IF(O269&lt;&gt;"",IF($B$16=listy!$K$8,'RZĄDOWY PROGRAM'!$F$3*'RZĄDOWY PROGRAM'!$F$15,T268*$F$15),"")</f>
        <v>50</v>
      </c>
      <c r="Z269" s="11">
        <f t="shared" si="132"/>
        <v>70</v>
      </c>
      <c r="AB269" s="8">
        <f t="shared" si="117"/>
        <v>242</v>
      </c>
      <c r="AC269" s="8"/>
      <c r="AD269" s="33">
        <f>IF(AB269&lt;&gt;"",ROUND(IF($F$11="raty równe",-PMT(W269/12,$F$4-AB268+SUM($AC$28:AC269),AG268,2),AE269+AF269),2),"")</f>
        <v>3227.7</v>
      </c>
      <c r="AE269" s="11">
        <f>IF(AB269&lt;&gt;"",IF($F$11="raty malejące",AG268/($F$4-AB268+SUM($AC$28:AC268)),MIN(AD269-AF269,AG268)),"")</f>
        <v>3072.8252067599619</v>
      </c>
      <c r="AF269" s="11">
        <f t="shared" si="128"/>
        <v>154.87479324003795</v>
      </c>
      <c r="AG269" s="9">
        <f t="shared" si="126"/>
        <v>18895.230571968827</v>
      </c>
      <c r="AH269" s="11"/>
      <c r="AI269" s="33">
        <f>IF(AB269&lt;&gt;"",ROUND(IF($F$11="raty równe",-PMT(W269/12,($F$4-AB268+SUM($AC$27:AC268)),AG268,2),AG268/($F$4-AB268+SUM($AC$27:AC268))+AG268*W269/12),2),"")</f>
        <v>3227.7</v>
      </c>
      <c r="AJ269" s="33">
        <f t="shared" si="118"/>
        <v>-3227.7</v>
      </c>
      <c r="AK269" s="33">
        <f t="shared" si="119"/>
        <v>75701.468239640075</v>
      </c>
      <c r="AL269" s="33">
        <f>IF(AB269&lt;&gt;"",AK269-SUM($AJ$28:AJ269),"")</f>
        <v>27796.548239640106</v>
      </c>
      <c r="AM269" s="11">
        <f t="shared" si="120"/>
        <v>20</v>
      </c>
      <c r="AN269" s="11">
        <f>IF(AB269&lt;&gt;"",IF($B$16=listy!$K$8,'RZĄDOWY PROGRAM'!$F$3*'RZĄDOWY PROGRAM'!$F$15,AG268*$F$15),"")</f>
        <v>50</v>
      </c>
      <c r="AO269" s="11">
        <f t="shared" si="121"/>
        <v>70</v>
      </c>
      <c r="AQ269" s="49">
        <f t="shared" si="109"/>
        <v>0.05</v>
      </c>
      <c r="AR269" s="18">
        <f t="shared" si="110"/>
        <v>4.0741237836483535E-3</v>
      </c>
      <c r="AS269" s="11">
        <f t="shared" si="122"/>
        <v>0</v>
      </c>
      <c r="AT269" s="11">
        <f t="shared" si="123"/>
        <v>60014.956632241534</v>
      </c>
      <c r="AU269" s="11">
        <f>IF(AB269&lt;&gt;"",AT269-SUM($AS$28:AS269),"")</f>
        <v>32325.556632241529</v>
      </c>
    </row>
    <row r="270" spans="1:47" ht="14.5" x14ac:dyDescent="0.35">
      <c r="A270" s="76" t="str">
        <f t="shared" si="133"/>
        <v/>
      </c>
      <c r="B270" s="8" t="str">
        <f t="shared" si="98"/>
        <v/>
      </c>
      <c r="C270" s="11" t="str">
        <f t="shared" si="134"/>
        <v/>
      </c>
      <c r="D270" s="11" t="str">
        <f t="shared" si="135"/>
        <v/>
      </c>
      <c r="E270" s="11" t="str">
        <f t="shared" si="136"/>
        <v/>
      </c>
      <c r="F270" s="9" t="str">
        <f t="shared" si="137"/>
        <v/>
      </c>
      <c r="G270" s="10" t="str">
        <f t="shared" si="138"/>
        <v/>
      </c>
      <c r="H270" s="10" t="str">
        <f t="shared" si="139"/>
        <v/>
      </c>
      <c r="I270" s="49" t="str">
        <f t="shared" si="140"/>
        <v/>
      </c>
      <c r="J270" s="11" t="str">
        <f t="shared" si="141"/>
        <v/>
      </c>
      <c r="K270" s="11" t="str">
        <f>IF(B270&lt;&gt;"",IF($B$16=listy!$K$8,'RZĄDOWY PROGRAM'!$F$3*'RZĄDOWY PROGRAM'!$F$15,F269*$F$15),"")</f>
        <v/>
      </c>
      <c r="L270" s="11" t="str">
        <f t="shared" si="142"/>
        <v/>
      </c>
      <c r="N270" s="55">
        <f t="shared" si="125"/>
        <v>52110</v>
      </c>
      <c r="O270" s="8">
        <f t="shared" si="113"/>
        <v>243</v>
      </c>
      <c r="P270" s="8"/>
      <c r="Q270" s="33">
        <f>IF(O270&lt;&gt;"",ROUND(IF($F$11="raty równe",-PMT(W270/12,$F$4-O269+SUM($P$28:P270),T269,2),R270+S270),2),"")</f>
        <v>3461.17</v>
      </c>
      <c r="R270" s="11">
        <f>IF(O270&lt;&gt;"",IF($F$11="raty malejące",T269/($F$4-O269+SUM($P$28:P270)),IF(Q270-S270&gt;T269,T269,Q270-S270)),"")</f>
        <v>3318.3215737073506</v>
      </c>
      <c r="S270" s="11">
        <f t="shared" si="129"/>
        <v>142.84842629264958</v>
      </c>
      <c r="T270" s="9">
        <f t="shared" si="143"/>
        <v>16943.866552909611</v>
      </c>
      <c r="U270" s="10">
        <f t="shared" si="130"/>
        <v>6.7599999999999993E-2</v>
      </c>
      <c r="V270" s="10">
        <f t="shared" si="131"/>
        <v>1.7000000000000001E-2</v>
      </c>
      <c r="W270" s="49">
        <f t="shared" si="115"/>
        <v>8.4599999999999995E-2</v>
      </c>
      <c r="X270" s="11">
        <f t="shared" si="108"/>
        <v>20</v>
      </c>
      <c r="Y270" s="11">
        <f>IF(O270&lt;&gt;"",IF($B$16=listy!$K$8,'RZĄDOWY PROGRAM'!$F$3*'RZĄDOWY PROGRAM'!$F$15,T269*$F$15),"")</f>
        <v>50</v>
      </c>
      <c r="Z270" s="11">
        <f t="shared" si="132"/>
        <v>70</v>
      </c>
      <c r="AB270" s="8">
        <f t="shared" si="117"/>
        <v>243</v>
      </c>
      <c r="AC270" s="8"/>
      <c r="AD270" s="33">
        <f>IF(AB270&lt;&gt;"",ROUND(IF($F$11="raty równe",-PMT(W270/12,$F$4-AB269+SUM($AC$28:AC270),AG269,2),AE270+AF270),2),"")</f>
        <v>3227.69</v>
      </c>
      <c r="AE270" s="11">
        <f>IF(AB270&lt;&gt;"",IF($F$11="raty malejące",AG269/($F$4-AB269+SUM($AC$28:AC269)),MIN(AD270-AF270,AG269)),"")</f>
        <v>3094.4786244676197</v>
      </c>
      <c r="AF270" s="11">
        <f t="shared" si="128"/>
        <v>133.21137553238023</v>
      </c>
      <c r="AG270" s="9">
        <f t="shared" si="126"/>
        <v>15800.751947501207</v>
      </c>
      <c r="AH270" s="11"/>
      <c r="AI270" s="33">
        <f>IF(AB270&lt;&gt;"",ROUND(IF($F$11="raty równe",-PMT(W270/12,($F$4-AB269+SUM($AC$27:AC269)),AG269,2),AG269/($F$4-AB269+SUM($AC$27:AC269))+AG269*W270/12),2),"")</f>
        <v>3227.69</v>
      </c>
      <c r="AJ270" s="33">
        <f t="shared" si="118"/>
        <v>-3227.69</v>
      </c>
      <c r="AK270" s="33">
        <f t="shared" si="119"/>
        <v>72723.596132931969</v>
      </c>
      <c r="AL270" s="33">
        <f>IF(AB270&lt;&gt;"",AK270-SUM($AJ$28:AJ270),"")</f>
        <v>28046.366132932002</v>
      </c>
      <c r="AM270" s="11">
        <f t="shared" si="120"/>
        <v>20</v>
      </c>
      <c r="AN270" s="11">
        <f>IF(AB270&lt;&gt;"",IF($B$16=listy!$K$8,'RZĄDOWY PROGRAM'!$F$3*'RZĄDOWY PROGRAM'!$F$15,AG269*$F$15),"")</f>
        <v>50</v>
      </c>
      <c r="AO270" s="11">
        <f t="shared" si="121"/>
        <v>70</v>
      </c>
      <c r="AQ270" s="49">
        <f t="shared" si="109"/>
        <v>0.05</v>
      </c>
      <c r="AR270" s="18">
        <f t="shared" si="110"/>
        <v>4.0741237836483535E-3</v>
      </c>
      <c r="AS270" s="11">
        <f t="shared" si="122"/>
        <v>0</v>
      </c>
      <c r="AT270" s="11">
        <f t="shared" si="123"/>
        <v>60213.008405615466</v>
      </c>
      <c r="AU270" s="11">
        <f>IF(AB270&lt;&gt;"",AT270-SUM($AS$28:AS270),"")</f>
        <v>32523.608405615461</v>
      </c>
    </row>
    <row r="271" spans="1:47" ht="14.5" x14ac:dyDescent="0.35">
      <c r="A271" s="76" t="str">
        <f t="shared" si="133"/>
        <v/>
      </c>
      <c r="B271" s="8" t="str">
        <f t="shared" si="98"/>
        <v/>
      </c>
      <c r="C271" s="11" t="str">
        <f t="shared" si="134"/>
        <v/>
      </c>
      <c r="D271" s="11" t="str">
        <f t="shared" si="135"/>
        <v/>
      </c>
      <c r="E271" s="11" t="str">
        <f t="shared" si="136"/>
        <v/>
      </c>
      <c r="F271" s="9" t="str">
        <f t="shared" si="137"/>
        <v/>
      </c>
      <c r="G271" s="10" t="str">
        <f t="shared" si="138"/>
        <v/>
      </c>
      <c r="H271" s="10" t="str">
        <f t="shared" si="139"/>
        <v/>
      </c>
      <c r="I271" s="49" t="str">
        <f t="shared" si="140"/>
        <v/>
      </c>
      <c r="J271" s="11" t="str">
        <f t="shared" si="141"/>
        <v/>
      </c>
      <c r="K271" s="11" t="str">
        <f>IF(B271&lt;&gt;"",IF($B$16=listy!$K$8,'RZĄDOWY PROGRAM'!$F$3*'RZĄDOWY PROGRAM'!$F$15,F270*$F$15),"")</f>
        <v/>
      </c>
      <c r="L271" s="11" t="str">
        <f t="shared" si="142"/>
        <v/>
      </c>
      <c r="N271" s="55">
        <f t="shared" si="125"/>
        <v>52140</v>
      </c>
      <c r="O271" s="8">
        <f t="shared" si="113"/>
        <v>244</v>
      </c>
      <c r="P271" s="8"/>
      <c r="Q271" s="33">
        <f>IF(O271&lt;&gt;"",ROUND(IF($F$11="raty równe",-PMT(W271/12,$F$4-O270+SUM($P$28:P271),T270,2),R271+S271),2),"")</f>
        <v>3461.18</v>
      </c>
      <c r="R271" s="11">
        <f>IF(O271&lt;&gt;"",IF($F$11="raty malejące",T270/($F$4-O270+SUM($P$28:P271)),IF(Q271-S271&gt;T270,T270,Q271-S271)),"")</f>
        <v>3341.7257408019873</v>
      </c>
      <c r="S271" s="11">
        <f t="shared" si="129"/>
        <v>119.45425919801274</v>
      </c>
      <c r="T271" s="9">
        <f t="shared" si="143"/>
        <v>13602.140812107624</v>
      </c>
      <c r="U271" s="10">
        <f t="shared" si="130"/>
        <v>6.7599999999999993E-2</v>
      </c>
      <c r="V271" s="10">
        <f t="shared" si="131"/>
        <v>1.7000000000000001E-2</v>
      </c>
      <c r="W271" s="49">
        <f t="shared" si="115"/>
        <v>8.4599999999999995E-2</v>
      </c>
      <c r="X271" s="11">
        <f t="shared" si="108"/>
        <v>20</v>
      </c>
      <c r="Y271" s="11">
        <f>IF(O271&lt;&gt;"",IF($B$16=listy!$K$8,'RZĄDOWY PROGRAM'!$F$3*'RZĄDOWY PROGRAM'!$F$15,T270*$F$15),"")</f>
        <v>50</v>
      </c>
      <c r="Z271" s="11">
        <f t="shared" si="132"/>
        <v>70</v>
      </c>
      <c r="AB271" s="8">
        <f t="shared" si="117"/>
        <v>244</v>
      </c>
      <c r="AC271" s="8"/>
      <c r="AD271" s="33">
        <f>IF(AB271&lt;&gt;"",ROUND(IF($F$11="raty równe",-PMT(W271/12,$F$4-AB270+SUM($AC$28:AC271),AG270,2),AE271+AF271),2),"")</f>
        <v>3227.69</v>
      </c>
      <c r="AE271" s="11">
        <f>IF(AB271&lt;&gt;"",IF($F$11="raty malejące",AG270/($F$4-AB270+SUM($AC$28:AC270)),MIN(AD271-AF271,AG270)),"")</f>
        <v>3116.2946987701166</v>
      </c>
      <c r="AF271" s="11">
        <f t="shared" si="128"/>
        <v>111.3953012298835</v>
      </c>
      <c r="AG271" s="9">
        <f t="shared" si="126"/>
        <v>12684.457248731091</v>
      </c>
      <c r="AH271" s="11"/>
      <c r="AI271" s="33">
        <f>IF(AB271&lt;&gt;"",ROUND(IF($F$11="raty równe",-PMT(W271/12,($F$4-AB270+SUM($AC$27:AC270)),AG270,2),AG270/($F$4-AB270+SUM($AC$27:AC270))+AG270*W271/12),2),"")</f>
        <v>3227.69</v>
      </c>
      <c r="AJ271" s="33">
        <f t="shared" si="118"/>
        <v>-3227.69</v>
      </c>
      <c r="AK271" s="33">
        <f t="shared" si="119"/>
        <v>69735.896928368442</v>
      </c>
      <c r="AL271" s="33">
        <f>IF(AB271&lt;&gt;"",AK271-SUM($AJ$28:AJ271),"")</f>
        <v>28286.356928368477</v>
      </c>
      <c r="AM271" s="11">
        <f t="shared" si="120"/>
        <v>20</v>
      </c>
      <c r="AN271" s="11">
        <f>IF(AB271&lt;&gt;"",IF($B$16=listy!$K$8,'RZĄDOWY PROGRAM'!$F$3*'RZĄDOWY PROGRAM'!$F$15,AG270*$F$15),"")</f>
        <v>50</v>
      </c>
      <c r="AO271" s="11">
        <f t="shared" si="121"/>
        <v>70</v>
      </c>
      <c r="AQ271" s="49">
        <f t="shared" si="109"/>
        <v>0.05</v>
      </c>
      <c r="AR271" s="18">
        <f t="shared" si="110"/>
        <v>4.0741237836483535E-3</v>
      </c>
      <c r="AS271" s="11">
        <f t="shared" si="122"/>
        <v>0</v>
      </c>
      <c r="AT271" s="11">
        <f t="shared" si="123"/>
        <v>60411.71375781604</v>
      </c>
      <c r="AU271" s="11">
        <f>IF(AB271&lt;&gt;"",AT271-SUM($AS$28:AS271),"")</f>
        <v>32722.313757816035</v>
      </c>
    </row>
    <row r="272" spans="1:47" ht="14.5" x14ac:dyDescent="0.35">
      <c r="A272" s="76" t="str">
        <f t="shared" si="133"/>
        <v/>
      </c>
      <c r="B272" s="8" t="str">
        <f t="shared" si="98"/>
        <v/>
      </c>
      <c r="C272" s="11" t="str">
        <f t="shared" si="134"/>
        <v/>
      </c>
      <c r="D272" s="11" t="str">
        <f t="shared" si="135"/>
        <v/>
      </c>
      <c r="E272" s="11" t="str">
        <f t="shared" si="136"/>
        <v/>
      </c>
      <c r="F272" s="9" t="str">
        <f t="shared" si="137"/>
        <v/>
      </c>
      <c r="G272" s="10" t="str">
        <f t="shared" si="138"/>
        <v/>
      </c>
      <c r="H272" s="10" t="str">
        <f t="shared" si="139"/>
        <v/>
      </c>
      <c r="I272" s="49" t="str">
        <f t="shared" si="140"/>
        <v/>
      </c>
      <c r="J272" s="11" t="str">
        <f t="shared" si="141"/>
        <v/>
      </c>
      <c r="K272" s="11" t="str">
        <f>IF(B272&lt;&gt;"",IF($B$16=listy!$K$8,'RZĄDOWY PROGRAM'!$F$3*'RZĄDOWY PROGRAM'!$F$15,F271*$F$15),"")</f>
        <v/>
      </c>
      <c r="L272" s="11" t="str">
        <f t="shared" si="142"/>
        <v/>
      </c>
      <c r="N272" s="55">
        <f t="shared" si="125"/>
        <v>52171</v>
      </c>
      <c r="O272" s="8">
        <f t="shared" si="113"/>
        <v>245</v>
      </c>
      <c r="P272" s="8"/>
      <c r="Q272" s="33">
        <f>IF(O272&lt;&gt;"",ROUND(IF($F$11="raty równe",-PMT(W272/12,$F$4-O271+SUM($P$28:P272),T271,2),R272+S272),2),"")</f>
        <v>3461.17</v>
      </c>
      <c r="R272" s="11">
        <f>IF(O272&lt;&gt;"",IF($F$11="raty malejące",T271/($F$4-O271+SUM($P$28:P272)),IF(Q272-S272&gt;T271,T271,Q272-S272)),"")</f>
        <v>3365.2749072746415</v>
      </c>
      <c r="S272" s="11">
        <f t="shared" si="129"/>
        <v>95.895092725358737</v>
      </c>
      <c r="T272" s="9">
        <f t="shared" si="143"/>
        <v>10236.865904832983</v>
      </c>
      <c r="U272" s="10">
        <f t="shared" si="130"/>
        <v>6.7599999999999993E-2</v>
      </c>
      <c r="V272" s="10">
        <f t="shared" si="131"/>
        <v>1.7000000000000001E-2</v>
      </c>
      <c r="W272" s="49">
        <f t="shared" si="115"/>
        <v>8.4599999999999995E-2</v>
      </c>
      <c r="X272" s="11">
        <f t="shared" si="108"/>
        <v>20</v>
      </c>
      <c r="Y272" s="11">
        <f>IF(O272&lt;&gt;"",IF($B$16=listy!$K$8,'RZĄDOWY PROGRAM'!$F$3*'RZĄDOWY PROGRAM'!$F$15,T271*$F$15),"")</f>
        <v>50</v>
      </c>
      <c r="Z272" s="11">
        <f t="shared" si="132"/>
        <v>70</v>
      </c>
      <c r="AB272" s="8">
        <f t="shared" si="117"/>
        <v>245</v>
      </c>
      <c r="AC272" s="8"/>
      <c r="AD272" s="33">
        <f>IF(AB272&lt;&gt;"",ROUND(IF($F$11="raty równe",-PMT(W272/12,$F$4-AB271+SUM($AC$28:AC272),AG271,2),AE272+AF272),2),"")</f>
        <v>3227.7</v>
      </c>
      <c r="AE272" s="11">
        <f>IF(AB272&lt;&gt;"",IF($F$11="raty malejące",AG271/($F$4-AB271+SUM($AC$28:AC271)),MIN(AD272-AF272,AG271)),"")</f>
        <v>3138.2745763964458</v>
      </c>
      <c r="AF272" s="11">
        <f t="shared" si="128"/>
        <v>89.425423603554179</v>
      </c>
      <c r="AG272" s="9">
        <f t="shared" si="126"/>
        <v>9546.1826723346458</v>
      </c>
      <c r="AH272" s="11"/>
      <c r="AI272" s="33">
        <f>IF(AB272&lt;&gt;"",ROUND(IF($F$11="raty równe",-PMT(W272/12,($F$4-AB271+SUM($AC$27:AC271)),AG271,2),AG271/($F$4-AB271+SUM($AC$27:AC271))+AG271*W272/12),2),"")</f>
        <v>3227.7</v>
      </c>
      <c r="AJ272" s="33">
        <f t="shared" si="118"/>
        <v>-3227.7</v>
      </c>
      <c r="AK272" s="33">
        <f t="shared" si="119"/>
        <v>66738.328196130882</v>
      </c>
      <c r="AL272" s="33">
        <f>IF(AB272&lt;&gt;"",AK272-SUM($AJ$28:AJ272),"")</f>
        <v>28516.488196130915</v>
      </c>
      <c r="AM272" s="11">
        <f t="shared" si="120"/>
        <v>20</v>
      </c>
      <c r="AN272" s="11">
        <f>IF(AB272&lt;&gt;"",IF($B$16=listy!$K$8,'RZĄDOWY PROGRAM'!$F$3*'RZĄDOWY PROGRAM'!$F$15,AG271*$F$15),"")</f>
        <v>50</v>
      </c>
      <c r="AO272" s="11">
        <f t="shared" si="121"/>
        <v>70</v>
      </c>
      <c r="AQ272" s="49">
        <f t="shared" si="109"/>
        <v>0.05</v>
      </c>
      <c r="AR272" s="18">
        <f t="shared" si="110"/>
        <v>4.0741237836483535E-3</v>
      </c>
      <c r="AS272" s="11">
        <f t="shared" si="122"/>
        <v>0</v>
      </c>
      <c r="AT272" s="11">
        <f t="shared" si="123"/>
        <v>60611.074845679694</v>
      </c>
      <c r="AU272" s="11">
        <f>IF(AB272&lt;&gt;"",AT272-SUM($AS$28:AS272),"")</f>
        <v>32921.674845679692</v>
      </c>
    </row>
    <row r="273" spans="1:47" ht="14.5" x14ac:dyDescent="0.35">
      <c r="A273" s="76" t="str">
        <f t="shared" si="133"/>
        <v/>
      </c>
      <c r="B273" s="8" t="str">
        <f t="shared" si="98"/>
        <v/>
      </c>
      <c r="C273" s="11" t="str">
        <f t="shared" si="134"/>
        <v/>
      </c>
      <c r="D273" s="11" t="str">
        <f t="shared" si="135"/>
        <v/>
      </c>
      <c r="E273" s="11" t="str">
        <f t="shared" si="136"/>
        <v/>
      </c>
      <c r="F273" s="9" t="str">
        <f t="shared" si="137"/>
        <v/>
      </c>
      <c r="G273" s="10" t="str">
        <f t="shared" si="138"/>
        <v/>
      </c>
      <c r="H273" s="10" t="str">
        <f t="shared" si="139"/>
        <v/>
      </c>
      <c r="I273" s="49" t="str">
        <f t="shared" si="140"/>
        <v/>
      </c>
      <c r="J273" s="11" t="str">
        <f t="shared" si="141"/>
        <v/>
      </c>
      <c r="K273" s="11" t="str">
        <f>IF(B273&lt;&gt;"",IF($B$16=listy!$K$8,'RZĄDOWY PROGRAM'!$F$3*'RZĄDOWY PROGRAM'!$F$15,F272*$F$15),"")</f>
        <v/>
      </c>
      <c r="L273" s="11" t="str">
        <f t="shared" si="142"/>
        <v/>
      </c>
      <c r="N273" s="55">
        <f t="shared" si="125"/>
        <v>52201</v>
      </c>
      <c r="O273" s="8">
        <f t="shared" si="113"/>
        <v>246</v>
      </c>
      <c r="P273" s="8"/>
      <c r="Q273" s="33">
        <f>IF(O273&lt;&gt;"",ROUND(IF($F$11="raty równe",-PMT(W273/12,$F$4-O272+SUM($P$28:P273),T272,2),R273+S273),2),"")</f>
        <v>3461.18</v>
      </c>
      <c r="R273" s="11">
        <f>IF(O273&lt;&gt;"",IF($F$11="raty malejące",T272/($F$4-O272+SUM($P$28:P273)),IF(Q273-S273&gt;T272,T272,Q273-S273)),"")</f>
        <v>3389.0100953709275</v>
      </c>
      <c r="S273" s="11">
        <f t="shared" si="129"/>
        <v>72.169904629072519</v>
      </c>
      <c r="T273" s="9">
        <f t="shared" si="143"/>
        <v>6847.8558094620548</v>
      </c>
      <c r="U273" s="10">
        <f t="shared" si="130"/>
        <v>6.7599999999999993E-2</v>
      </c>
      <c r="V273" s="10">
        <f t="shared" si="131"/>
        <v>1.7000000000000001E-2</v>
      </c>
      <c r="W273" s="49">
        <f t="shared" si="115"/>
        <v>8.4599999999999995E-2</v>
      </c>
      <c r="X273" s="11">
        <f t="shared" si="108"/>
        <v>20</v>
      </c>
      <c r="Y273" s="11">
        <f>IF(O273&lt;&gt;"",IF($B$16=listy!$K$8,'RZĄDOWY PROGRAM'!$F$3*'RZĄDOWY PROGRAM'!$F$15,T272*$F$15),"")</f>
        <v>50</v>
      </c>
      <c r="Z273" s="11">
        <f t="shared" si="132"/>
        <v>70</v>
      </c>
      <c r="AB273" s="8">
        <f t="shared" si="117"/>
        <v>246</v>
      </c>
      <c r="AC273" s="8"/>
      <c r="AD273" s="33">
        <f>IF(AB273&lt;&gt;"",ROUND(IF($F$11="raty równe",-PMT(W273/12,$F$4-AB272+SUM($AC$28:AC273),AG272,2),AE273+AF273),2),"")</f>
        <v>3227.7</v>
      </c>
      <c r="AE273" s="11">
        <f>IF(AB273&lt;&gt;"",IF($F$11="raty malejące",AG272/($F$4-AB272+SUM($AC$28:AC272)),MIN(AD273-AF273,AG272)),"")</f>
        <v>3160.3994121600404</v>
      </c>
      <c r="AF273" s="11">
        <f t="shared" si="128"/>
        <v>67.300587839959249</v>
      </c>
      <c r="AG273" s="9">
        <f t="shared" si="126"/>
        <v>6385.7832601746049</v>
      </c>
      <c r="AH273" s="11"/>
      <c r="AI273" s="33">
        <f>IF(AB273&lt;&gt;"",ROUND(IF($F$11="raty równe",-PMT(W273/12,($F$4-AB272+SUM($AC$27:AC272)),AG272,2),AG272/($F$4-AB272+SUM($AC$27:AC272))+AG272*W273/12),2),"")</f>
        <v>3227.7</v>
      </c>
      <c r="AJ273" s="33">
        <f t="shared" si="118"/>
        <v>-3227.7</v>
      </c>
      <c r="AK273" s="33">
        <f t="shared" si="119"/>
        <v>63730.867366380568</v>
      </c>
      <c r="AL273" s="33">
        <f>IF(AB273&lt;&gt;"",AK273-SUM($AJ$28:AJ273),"")</f>
        <v>28736.727366380597</v>
      </c>
      <c r="AM273" s="11">
        <f t="shared" si="120"/>
        <v>20</v>
      </c>
      <c r="AN273" s="11">
        <f>IF(AB273&lt;&gt;"",IF($B$16=listy!$K$8,'RZĄDOWY PROGRAM'!$F$3*'RZĄDOWY PROGRAM'!$F$15,AG272*$F$15),"")</f>
        <v>50</v>
      </c>
      <c r="AO273" s="11">
        <f t="shared" si="121"/>
        <v>70</v>
      </c>
      <c r="AQ273" s="49">
        <f t="shared" si="109"/>
        <v>0.05</v>
      </c>
      <c r="AR273" s="18">
        <f t="shared" si="110"/>
        <v>4.0741237836483535E-3</v>
      </c>
      <c r="AS273" s="11">
        <f t="shared" si="122"/>
        <v>0</v>
      </c>
      <c r="AT273" s="11">
        <f t="shared" si="123"/>
        <v>60811.093833160528</v>
      </c>
      <c r="AU273" s="11">
        <f>IF(AB273&lt;&gt;"",AT273-SUM($AS$28:AS273),"")</f>
        <v>33121.69383316052</v>
      </c>
    </row>
    <row r="274" spans="1:47" ht="14.5" x14ac:dyDescent="0.35">
      <c r="A274" s="76" t="str">
        <f t="shared" si="133"/>
        <v/>
      </c>
      <c r="B274" s="8" t="str">
        <f t="shared" si="98"/>
        <v/>
      </c>
      <c r="C274" s="11" t="str">
        <f t="shared" si="134"/>
        <v/>
      </c>
      <c r="D274" s="11" t="str">
        <f t="shared" si="135"/>
        <v/>
      </c>
      <c r="E274" s="11" t="str">
        <f t="shared" si="136"/>
        <v/>
      </c>
      <c r="F274" s="9" t="str">
        <f t="shared" si="137"/>
        <v/>
      </c>
      <c r="G274" s="10" t="str">
        <f t="shared" si="138"/>
        <v/>
      </c>
      <c r="H274" s="10" t="str">
        <f t="shared" si="139"/>
        <v/>
      </c>
      <c r="I274" s="49" t="str">
        <f t="shared" si="140"/>
        <v/>
      </c>
      <c r="J274" s="11" t="str">
        <f t="shared" si="141"/>
        <v/>
      </c>
      <c r="K274" s="11" t="str">
        <f>IF(B274&lt;&gt;"",IF($B$16=listy!$K$8,'RZĄDOWY PROGRAM'!$F$3*'RZĄDOWY PROGRAM'!$F$15,F273*$F$15),"")</f>
        <v/>
      </c>
      <c r="L274" s="11" t="str">
        <f t="shared" si="142"/>
        <v/>
      </c>
      <c r="N274" s="55">
        <f t="shared" si="125"/>
        <v>52232</v>
      </c>
      <c r="O274" s="8">
        <f t="shared" si="113"/>
        <v>247</v>
      </c>
      <c r="P274" s="8"/>
      <c r="Q274" s="33">
        <f>IF(O274&lt;&gt;"",ROUND(IF($F$11="raty równe",-PMT(W274/12,$F$4-O273+SUM($P$28:P274),T273,2),R274+S274),2),"")</f>
        <v>3461.17</v>
      </c>
      <c r="R274" s="11">
        <f>IF(O274&lt;&gt;"",IF($F$11="raty malejące",T273/($F$4-O273+SUM($P$28:P274)),IF(Q274-S274&gt;T273,T273,Q274-S274)),"")</f>
        <v>3412.8926165432927</v>
      </c>
      <c r="S274" s="11">
        <f t="shared" si="129"/>
        <v>48.27738345670749</v>
      </c>
      <c r="T274" s="9">
        <f t="shared" si="143"/>
        <v>3434.9631929187622</v>
      </c>
      <c r="U274" s="10">
        <f t="shared" si="130"/>
        <v>6.7599999999999993E-2</v>
      </c>
      <c r="V274" s="10">
        <f t="shared" si="131"/>
        <v>1.7000000000000001E-2</v>
      </c>
      <c r="W274" s="49">
        <f t="shared" si="115"/>
        <v>8.4599999999999995E-2</v>
      </c>
      <c r="X274" s="11">
        <f t="shared" si="108"/>
        <v>20</v>
      </c>
      <c r="Y274" s="11">
        <f>IF(O274&lt;&gt;"",IF($B$16=listy!$K$8,'RZĄDOWY PROGRAM'!$F$3*'RZĄDOWY PROGRAM'!$F$15,T273*$F$15),"")</f>
        <v>50</v>
      </c>
      <c r="Z274" s="11">
        <f t="shared" si="132"/>
        <v>70</v>
      </c>
      <c r="AB274" s="8">
        <f t="shared" si="117"/>
        <v>247</v>
      </c>
      <c r="AC274" s="8"/>
      <c r="AD274" s="33">
        <f>IF(AB274&lt;&gt;"",ROUND(IF($F$11="raty równe",-PMT(W274/12,$F$4-AB273+SUM($AC$28:AC274),AG273,2),AE274+AF274),2),"")</f>
        <v>3227.69</v>
      </c>
      <c r="AE274" s="11">
        <f>IF(AB274&lt;&gt;"",IF($F$11="raty malejące",AG273/($F$4-AB273+SUM($AC$28:AC273)),MIN(AD274-AF274,AG273)),"")</f>
        <v>3182.6702280157692</v>
      </c>
      <c r="AF274" s="11">
        <f t="shared" si="128"/>
        <v>45.019771984230964</v>
      </c>
      <c r="AG274" s="9">
        <f t="shared" si="126"/>
        <v>3203.1130321588357</v>
      </c>
      <c r="AH274" s="11"/>
      <c r="AI274" s="33">
        <f>IF(AB274&lt;&gt;"",ROUND(IF($F$11="raty równe",-PMT(W274/12,($F$4-AB273+SUM($AC$27:AC273)),AG273,2),AG273/($F$4-AB273+SUM($AC$27:AC273))+AG273*W274/12),2),"")</f>
        <v>3227.69</v>
      </c>
      <c r="AJ274" s="33">
        <f t="shared" si="118"/>
        <v>-3227.69</v>
      </c>
      <c r="AK274" s="33">
        <f t="shared" si="119"/>
        <v>60713.491794797395</v>
      </c>
      <c r="AL274" s="33">
        <f>IF(AB274&lt;&gt;"",AK274-SUM($AJ$28:AJ274),"")</f>
        <v>28947.041794797424</v>
      </c>
      <c r="AM274" s="11">
        <f t="shared" si="120"/>
        <v>20</v>
      </c>
      <c r="AN274" s="11">
        <f>IF(AB274&lt;&gt;"",IF($B$16=listy!$K$8,'RZĄDOWY PROGRAM'!$F$3*'RZĄDOWY PROGRAM'!$F$15,AG273*$F$15),"")</f>
        <v>50</v>
      </c>
      <c r="AO274" s="11">
        <f t="shared" si="121"/>
        <v>70</v>
      </c>
      <c r="AQ274" s="49">
        <f t="shared" si="109"/>
        <v>0.05</v>
      </c>
      <c r="AR274" s="18">
        <f t="shared" si="110"/>
        <v>4.0741237836483535E-3</v>
      </c>
      <c r="AS274" s="11">
        <f t="shared" si="122"/>
        <v>0</v>
      </c>
      <c r="AT274" s="11">
        <f t="shared" si="123"/>
        <v>61011.772891353765</v>
      </c>
      <c r="AU274" s="11">
        <f>IF(AB274&lt;&gt;"",AT274-SUM($AS$28:AS274),"")</f>
        <v>33322.372891353763</v>
      </c>
    </row>
    <row r="275" spans="1:47" ht="14.5" x14ac:dyDescent="0.35">
      <c r="A275" s="76" t="str">
        <f t="shared" si="133"/>
        <v/>
      </c>
      <c r="B275" s="8" t="str">
        <f t="shared" si="98"/>
        <v/>
      </c>
      <c r="C275" s="11" t="str">
        <f t="shared" si="134"/>
        <v/>
      </c>
      <c r="D275" s="11" t="str">
        <f t="shared" si="135"/>
        <v/>
      </c>
      <c r="E275" s="11" t="str">
        <f t="shared" si="136"/>
        <v/>
      </c>
      <c r="F275" s="9" t="str">
        <f t="shared" si="137"/>
        <v/>
      </c>
      <c r="G275" s="10" t="str">
        <f t="shared" si="138"/>
        <v/>
      </c>
      <c r="H275" s="10" t="str">
        <f t="shared" si="139"/>
        <v/>
      </c>
      <c r="I275" s="49" t="str">
        <f t="shared" si="140"/>
        <v/>
      </c>
      <c r="J275" s="11" t="str">
        <f t="shared" si="141"/>
        <v/>
      </c>
      <c r="K275" s="11" t="str">
        <f>IF(B275&lt;&gt;"",IF($B$16=listy!$K$8,'RZĄDOWY PROGRAM'!$F$3*'RZĄDOWY PROGRAM'!$F$15,F274*$F$15),"")</f>
        <v/>
      </c>
      <c r="L275" s="11" t="str">
        <f t="shared" si="142"/>
        <v/>
      </c>
      <c r="N275" s="55">
        <f t="shared" si="125"/>
        <v>52263</v>
      </c>
      <c r="O275" s="8">
        <f t="shared" si="113"/>
        <v>248</v>
      </c>
      <c r="P275" s="8"/>
      <c r="Q275" s="33">
        <f>IF(O275&lt;&gt;"",ROUND(IF($F$11="raty równe",-PMT(W275/12,$F$4-O274+SUM($P$28:P275),T274,2),R275+S275),2),"")</f>
        <v>3461.18</v>
      </c>
      <c r="R275" s="11">
        <f>IF(O275&lt;&gt;"",IF($F$11="raty malejące",T274/($F$4-O274+SUM($P$28:P275)),IF(Q275-S275&gt;T274,T274,Q275-S275)),"")</f>
        <v>3434.9631929187622</v>
      </c>
      <c r="S275" s="11">
        <f t="shared" si="129"/>
        <v>24.216490510077275</v>
      </c>
      <c r="T275" s="9">
        <f t="shared" si="143"/>
        <v>0</v>
      </c>
      <c r="U275" s="10">
        <f t="shared" si="130"/>
        <v>6.7599999999999993E-2</v>
      </c>
      <c r="V275" s="10">
        <f t="shared" si="131"/>
        <v>1.7000000000000001E-2</v>
      </c>
      <c r="W275" s="49">
        <f t="shared" si="115"/>
        <v>8.4599999999999995E-2</v>
      </c>
      <c r="X275" s="11">
        <f t="shared" si="108"/>
        <v>20</v>
      </c>
      <c r="Y275" s="11">
        <f>IF(O275&lt;&gt;"",IF($B$16=listy!$K$8,'RZĄDOWY PROGRAM'!$F$3*'RZĄDOWY PROGRAM'!$F$15,T274*$F$15),"")</f>
        <v>50</v>
      </c>
      <c r="Z275" s="11">
        <f t="shared" si="132"/>
        <v>70</v>
      </c>
      <c r="AB275" s="8">
        <f t="shared" si="117"/>
        <v>248</v>
      </c>
      <c r="AC275" s="8"/>
      <c r="AD275" s="33">
        <f>IF(AB275&lt;&gt;"",ROUND(IF($F$11="raty równe",-PMT(W275/12,$F$4-AB274+SUM($AC$28:AC275),AG274,2),AE275+AF275),2),"")</f>
        <v>3227.69</v>
      </c>
      <c r="AE275" s="11">
        <f>IF(AB275&lt;&gt;"",IF($F$11="raty malejące",AG274/($F$4-AB274+SUM($AC$28:AC274)),MIN(AD275-AF275,AG274)),"")</f>
        <v>3203.1130321588357</v>
      </c>
      <c r="AF275" s="11">
        <f t="shared" si="128"/>
        <v>22.581946876719794</v>
      </c>
      <c r="AG275" s="9">
        <f t="shared" si="126"/>
        <v>0</v>
      </c>
      <c r="AH275" s="11"/>
      <c r="AI275" s="33">
        <f>IF(AB275&lt;&gt;"",ROUND(IF($F$11="raty równe",-PMT(W275/12,($F$4-AB274+SUM($AC$27:AC274)),AG274,2),AG274/($F$4-AB274+SUM($AC$27:AC274))+AG274*W275/12),2),"")</f>
        <v>3227.69</v>
      </c>
      <c r="AJ275" s="33">
        <f t="shared" si="118"/>
        <v>-3227.69</v>
      </c>
      <c r="AK275" s="33">
        <f t="shared" si="119"/>
        <v>57686.158762334104</v>
      </c>
      <c r="AL275" s="33">
        <f>IF(AB275&lt;&gt;"",AK275-SUM($AJ$28:AJ275),"")</f>
        <v>29147.398762334131</v>
      </c>
      <c r="AM275" s="11">
        <f t="shared" si="120"/>
        <v>20</v>
      </c>
      <c r="AN275" s="11">
        <f>IF(AB275&lt;&gt;"",IF($B$16=listy!$K$8,'RZĄDOWY PROGRAM'!$F$3*'RZĄDOWY PROGRAM'!$F$15,AG274*$F$15),"")</f>
        <v>50</v>
      </c>
      <c r="AO275" s="11">
        <f t="shared" si="121"/>
        <v>70</v>
      </c>
      <c r="AQ275" s="49">
        <f t="shared" si="109"/>
        <v>0.05</v>
      </c>
      <c r="AR275" s="18">
        <f t="shared" si="110"/>
        <v>4.0741237836483535E-3</v>
      </c>
      <c r="AS275" s="11">
        <f t="shared" si="122"/>
        <v>0</v>
      </c>
      <c r="AT275" s="11">
        <f t="shared" si="123"/>
        <v>61213.114198519332</v>
      </c>
      <c r="AU275" s="11">
        <f>IF(AB275&lt;&gt;"",AT275-SUM($AS$28:AS275),"")</f>
        <v>33523.71419851933</v>
      </c>
    </row>
    <row r="276" spans="1:47" ht="14.5" x14ac:dyDescent="0.35">
      <c r="A276" s="76" t="str">
        <f t="shared" si="133"/>
        <v/>
      </c>
      <c r="B276" s="8" t="str">
        <f t="shared" si="98"/>
        <v/>
      </c>
      <c r="C276" s="11" t="str">
        <f t="shared" si="134"/>
        <v/>
      </c>
      <c r="D276" s="11" t="str">
        <f t="shared" si="135"/>
        <v/>
      </c>
      <c r="E276" s="11" t="str">
        <f t="shared" si="136"/>
        <v/>
      </c>
      <c r="F276" s="9" t="str">
        <f t="shared" si="137"/>
        <v/>
      </c>
      <c r="G276" s="10" t="str">
        <f t="shared" si="138"/>
        <v/>
      </c>
      <c r="H276" s="10" t="str">
        <f t="shared" si="139"/>
        <v/>
      </c>
      <c r="I276" s="49" t="str">
        <f t="shared" si="140"/>
        <v/>
      </c>
      <c r="J276" s="11" t="str">
        <f t="shared" si="141"/>
        <v/>
      </c>
      <c r="K276" s="11" t="str">
        <f>IF(B276&lt;&gt;"",IF($B$16=listy!$K$8,'RZĄDOWY PROGRAM'!$F$3*'RZĄDOWY PROGRAM'!$F$15,F275*$F$15),"")</f>
        <v/>
      </c>
      <c r="L276" s="11" t="str">
        <f t="shared" si="142"/>
        <v/>
      </c>
      <c r="N276" s="55" t="str">
        <f t="shared" ref="N276:N339" si="144">IF(O276&lt;&gt;"",EDATE(N275,1),"")</f>
        <v/>
      </c>
      <c r="O276" s="8" t="str">
        <f t="shared" si="113"/>
        <v/>
      </c>
      <c r="P276" s="8"/>
      <c r="Q276" s="33" t="str">
        <f>IF(O276&lt;&gt;"",ROUND(IF($F$11="raty równe",-PMT(W276/12,$F$4-O275+SUM($P$28:P276),T275,2),R276+S276),2),"")</f>
        <v/>
      </c>
      <c r="R276" s="11" t="str">
        <f>IF(O276&lt;&gt;"",IF($F$11="raty malejące",T275/($F$4-O275+SUM($P$28:P276)),IF(Q276-S276&gt;T275,T275,Q276-S276)),"")</f>
        <v/>
      </c>
      <c r="S276" s="11" t="str">
        <f t="shared" ref="S276:S339" si="145">IF(O276&lt;&gt;"",T275*W276/12,"")</f>
        <v/>
      </c>
      <c r="T276" s="9" t="str">
        <f t="shared" ref="T276:T339" si="146">IF(O276&lt;&gt;"",T275-R276,"")</f>
        <v/>
      </c>
      <c r="U276" s="10" t="str">
        <f t="shared" ref="U276:U339" si="147">IF(O276&lt;&gt;"",$F$5,"")</f>
        <v/>
      </c>
      <c r="V276" s="10" t="str">
        <f t="shared" ref="V276:V339" si="148">IF(O276&lt;&gt;"",$F$6,"")</f>
        <v/>
      </c>
      <c r="W276" s="49" t="str">
        <f t="shared" ref="W276:W339" si="149">IF(O276&lt;&gt;"",IF(AND($F$8="TAK",$B276&lt;=$F$9),$F$10,U276+V276),"")</f>
        <v/>
      </c>
      <c r="X276" s="11" t="str">
        <f t="shared" ref="X276:X339" si="150">IF(O276&lt;&gt;"",$F$14,"")</f>
        <v/>
      </c>
      <c r="Y276" s="11" t="str">
        <f>IF(O276&lt;&gt;"",IF($B$16=listy!$K$8,'RZĄDOWY PROGRAM'!$F$3*'RZĄDOWY PROGRAM'!$F$15,T275*$F$15),"")</f>
        <v/>
      </c>
      <c r="Z276" s="11" t="str">
        <f t="shared" ref="Z276:Z339" si="151">IF(O276&lt;&gt;"",X276+Y276,"")</f>
        <v/>
      </c>
      <c r="AB276" s="8" t="str">
        <f t="shared" ref="AB276:AB339" si="152">IFERROR(IF(AG275&gt;0,AB275+1,""),"")</f>
        <v/>
      </c>
      <c r="AC276" s="8"/>
      <c r="AD276" s="33" t="str">
        <f>IF(AB276&lt;&gt;"",ROUND(IF($F$11="raty równe",-PMT(W276/12,$F$4-AB275+SUM($AC$28:AC276),AG275,2),AE276+AF276),2),"")</f>
        <v/>
      </c>
      <c r="AE276" s="11" t="str">
        <f>IF(AB276&lt;&gt;"",IF($F$11="raty malejące",AG275/($F$4-AB275+SUM($AC$28:AC275)),MIN(AD276-AF276,AG275)),"")</f>
        <v/>
      </c>
      <c r="AF276" s="11" t="str">
        <f t="shared" ref="AF276:AF339" si="153">IF(AB276&lt;&gt;"",AG275*W276/12,"")</f>
        <v/>
      </c>
      <c r="AG276" s="9" t="str">
        <f t="shared" ref="AG276:AG339" si="154">IF(AB276&lt;&gt;"",IF(AH276&lt;&gt;"",AG275-AE276-AH276,AG275-AE276),"")</f>
        <v/>
      </c>
      <c r="AH276" s="11"/>
      <c r="AI276" s="33" t="str">
        <f>IF(AB276&lt;&gt;"",ROUND(IF($F$11="raty równe",-PMT(W276/12,($F$4-AB275+SUM($AC$27:AC275)),AG275,2),AG275/($F$4-AB275+SUM($AC$27:AC275))+AG275*W276/12),2),"")</f>
        <v/>
      </c>
      <c r="AJ276" s="33" t="str">
        <f t="shared" ref="AJ276:AJ339" si="155">IF(AB276&lt;&gt;"",IF(B276&lt;&gt;"",C276-AD276-AH276,-(AD276+AH276)),"")</f>
        <v/>
      </c>
      <c r="AK276" s="33" t="str">
        <f t="shared" ref="AK276:AK339" si="156">IF(AB276&lt;&gt;"",IF($F$21="co miesiąc",AK275*(1+(1-$F$20)*AR276)+AJ276,(AK275*(1+AR276)+AJ276)),"")</f>
        <v/>
      </c>
      <c r="AL276" s="33" t="str">
        <f>IF(AB276&lt;&gt;"",AK276-SUM($AJ$28:AJ276),"")</f>
        <v/>
      </c>
      <c r="AM276" s="11" t="str">
        <f t="shared" ref="AM276:AM339" si="157">IF(AB276&lt;&gt;"",$F$14,"")</f>
        <v/>
      </c>
      <c r="AN276" s="11" t="str">
        <f>IF(AB276&lt;&gt;"",IF($B$16=listy!$K$8,'RZĄDOWY PROGRAM'!$F$3*'RZĄDOWY PROGRAM'!$F$15,AG275*$F$15),"")</f>
        <v/>
      </c>
      <c r="AO276" s="11" t="str">
        <f t="shared" ref="AO276:AO339" si="158">IF(AD276&lt;&gt;"",AM276+AN276,"")</f>
        <v/>
      </c>
      <c r="AQ276" s="49" t="str">
        <f t="shared" ref="AQ276:AQ339" si="159">IF(AB276&lt;&gt;"",$F$19,"")</f>
        <v/>
      </c>
      <c r="AR276" s="18" t="str">
        <f t="shared" ref="AR276:AR339" si="160">IF(AB276&lt;&gt;"",(1+AQ276)^(1/12)-1,"")</f>
        <v/>
      </c>
      <c r="AS276" s="11" t="str">
        <f t="shared" ref="AS276:AS339" si="161">IF(AB276&lt;&gt;"",IF(A276&lt;&gt;"",C276-Q276,0),"")</f>
        <v/>
      </c>
      <c r="AT276" s="11" t="str">
        <f t="shared" ref="AT276:AT339" si="162">IF(AB276&lt;&gt;"",IF($F$21="co miesiąc",AT275*(1+(1-$F$20)*AR276)+AS276,(AT275*(1+AR276)+AS276)),"")</f>
        <v/>
      </c>
      <c r="AU276" s="11" t="str">
        <f>IF(AB276&lt;&gt;"",AT276-SUM($AS$28:AS276),"")</f>
        <v/>
      </c>
    </row>
    <row r="277" spans="1:47" ht="14.5" x14ac:dyDescent="0.35">
      <c r="A277" s="76" t="str">
        <f t="shared" si="133"/>
        <v/>
      </c>
      <c r="B277" s="8" t="str">
        <f t="shared" si="98"/>
        <v/>
      </c>
      <c r="C277" s="11" t="str">
        <f t="shared" si="134"/>
        <v/>
      </c>
      <c r="D277" s="11" t="str">
        <f t="shared" si="135"/>
        <v/>
      </c>
      <c r="E277" s="11" t="str">
        <f t="shared" si="136"/>
        <v/>
      </c>
      <c r="F277" s="9" t="str">
        <f t="shared" si="137"/>
        <v/>
      </c>
      <c r="G277" s="10" t="str">
        <f t="shared" si="138"/>
        <v/>
      </c>
      <c r="H277" s="10" t="str">
        <f t="shared" si="139"/>
        <v/>
      </c>
      <c r="I277" s="49" t="str">
        <f t="shared" si="140"/>
        <v/>
      </c>
      <c r="J277" s="11" t="str">
        <f t="shared" si="141"/>
        <v/>
      </c>
      <c r="K277" s="11" t="str">
        <f>IF(B277&lt;&gt;"",IF($B$16=listy!$K$8,'RZĄDOWY PROGRAM'!$F$3*'RZĄDOWY PROGRAM'!$F$15,F276*$F$15),"")</f>
        <v/>
      </c>
      <c r="L277" s="11" t="str">
        <f t="shared" si="142"/>
        <v/>
      </c>
      <c r="N277" s="55" t="str">
        <f t="shared" si="144"/>
        <v/>
      </c>
      <c r="O277" s="8" t="str">
        <f t="shared" si="113"/>
        <v/>
      </c>
      <c r="P277" s="8"/>
      <c r="Q277" s="33" t="str">
        <f>IF(O277&lt;&gt;"",ROUND(IF($F$11="raty równe",-PMT(W277/12,$F$4-O276+SUM($P$28:P277),T276,2),R277+S277),2),"")</f>
        <v/>
      </c>
      <c r="R277" s="11" t="str">
        <f>IF(O277&lt;&gt;"",IF($F$11="raty malejące",T276/($F$4-O276+SUM($P$28:P277)),IF(Q277-S277&gt;T276,T276,Q277-S277)),"")</f>
        <v/>
      </c>
      <c r="S277" s="11" t="str">
        <f t="shared" si="145"/>
        <v/>
      </c>
      <c r="T277" s="9" t="str">
        <f t="shared" si="146"/>
        <v/>
      </c>
      <c r="U277" s="10" t="str">
        <f t="shared" si="147"/>
        <v/>
      </c>
      <c r="V277" s="10" t="str">
        <f t="shared" si="148"/>
        <v/>
      </c>
      <c r="W277" s="49" t="str">
        <f t="shared" si="149"/>
        <v/>
      </c>
      <c r="X277" s="11" t="str">
        <f t="shared" si="150"/>
        <v/>
      </c>
      <c r="Y277" s="11" t="str">
        <f>IF(O277&lt;&gt;"",IF($B$16=listy!$K$8,'RZĄDOWY PROGRAM'!$F$3*'RZĄDOWY PROGRAM'!$F$15,T276*$F$15),"")</f>
        <v/>
      </c>
      <c r="Z277" s="11" t="str">
        <f t="shared" si="151"/>
        <v/>
      </c>
      <c r="AB277" s="8" t="str">
        <f t="shared" si="152"/>
        <v/>
      </c>
      <c r="AC277" s="8"/>
      <c r="AD277" s="33" t="str">
        <f>IF(AB277&lt;&gt;"",ROUND(IF($F$11="raty równe",-PMT(W277/12,$F$4-AB276+SUM($AC$28:AC277),AG276,2),AE277+AF277),2),"")</f>
        <v/>
      </c>
      <c r="AE277" s="11" t="str">
        <f>IF(AB277&lt;&gt;"",IF($F$11="raty malejące",AG276/($F$4-AB276+SUM($AC$28:AC276)),MIN(AD277-AF277,AG276)),"")</f>
        <v/>
      </c>
      <c r="AF277" s="11" t="str">
        <f t="shared" si="153"/>
        <v/>
      </c>
      <c r="AG277" s="9" t="str">
        <f t="shared" si="154"/>
        <v/>
      </c>
      <c r="AH277" s="11"/>
      <c r="AI277" s="33" t="str">
        <f>IF(AB277&lt;&gt;"",ROUND(IF($F$11="raty równe",-PMT(W277/12,($F$4-AB276+SUM($AC$27:AC276)),AG276,2),AG276/($F$4-AB276+SUM($AC$27:AC276))+AG276*W277/12),2),"")</f>
        <v/>
      </c>
      <c r="AJ277" s="33" t="str">
        <f t="shared" si="155"/>
        <v/>
      </c>
      <c r="AK277" s="33" t="str">
        <f t="shared" si="156"/>
        <v/>
      </c>
      <c r="AL277" s="33" t="str">
        <f>IF(AB277&lt;&gt;"",AK277-SUM($AJ$28:AJ277),"")</f>
        <v/>
      </c>
      <c r="AM277" s="11" t="str">
        <f t="shared" si="157"/>
        <v/>
      </c>
      <c r="AN277" s="11" t="str">
        <f>IF(AB277&lt;&gt;"",IF($B$16=listy!$K$8,'RZĄDOWY PROGRAM'!$F$3*'RZĄDOWY PROGRAM'!$F$15,AG276*$F$15),"")</f>
        <v/>
      </c>
      <c r="AO277" s="11" t="str">
        <f t="shared" si="158"/>
        <v/>
      </c>
      <c r="AQ277" s="49" t="str">
        <f t="shared" si="159"/>
        <v/>
      </c>
      <c r="AR277" s="18" t="str">
        <f t="shared" si="160"/>
        <v/>
      </c>
      <c r="AS277" s="11" t="str">
        <f t="shared" si="161"/>
        <v/>
      </c>
      <c r="AT277" s="11" t="str">
        <f t="shared" si="162"/>
        <v/>
      </c>
      <c r="AU277" s="11" t="str">
        <f>IF(AB277&lt;&gt;"",AT277-SUM($AS$28:AS277),"")</f>
        <v/>
      </c>
    </row>
    <row r="278" spans="1:47" ht="14.5" x14ac:dyDescent="0.35">
      <c r="A278" s="76" t="str">
        <f t="shared" si="133"/>
        <v/>
      </c>
      <c r="B278" s="8" t="str">
        <f t="shared" si="98"/>
        <v/>
      </c>
      <c r="C278" s="11" t="str">
        <f t="shared" si="134"/>
        <v/>
      </c>
      <c r="D278" s="11" t="str">
        <f t="shared" si="135"/>
        <v/>
      </c>
      <c r="E278" s="11" t="str">
        <f t="shared" si="136"/>
        <v/>
      </c>
      <c r="F278" s="9" t="str">
        <f t="shared" si="137"/>
        <v/>
      </c>
      <c r="G278" s="10" t="str">
        <f t="shared" si="138"/>
        <v/>
      </c>
      <c r="H278" s="10" t="str">
        <f t="shared" si="139"/>
        <v/>
      </c>
      <c r="I278" s="49" t="str">
        <f t="shared" si="140"/>
        <v/>
      </c>
      <c r="J278" s="11" t="str">
        <f t="shared" si="141"/>
        <v/>
      </c>
      <c r="K278" s="11" t="str">
        <f>IF(B278&lt;&gt;"",IF($B$16=listy!$K$8,'RZĄDOWY PROGRAM'!$F$3*'RZĄDOWY PROGRAM'!$F$15,F277*$F$15),"")</f>
        <v/>
      </c>
      <c r="L278" s="11" t="str">
        <f t="shared" si="142"/>
        <v/>
      </c>
      <c r="N278" s="55" t="str">
        <f t="shared" si="144"/>
        <v/>
      </c>
      <c r="O278" s="8" t="str">
        <f t="shared" si="113"/>
        <v/>
      </c>
      <c r="P278" s="8"/>
      <c r="Q278" s="33" t="str">
        <f>IF(O278&lt;&gt;"",ROUND(IF($F$11="raty równe",-PMT(W278/12,$F$4-O277+SUM($P$28:P278),T277,2),R278+S278),2),"")</f>
        <v/>
      </c>
      <c r="R278" s="11" t="str">
        <f>IF(O278&lt;&gt;"",IF($F$11="raty malejące",T277/($F$4-O277+SUM($P$28:P278)),IF(Q278-S278&gt;T277,T277,Q278-S278)),"")</f>
        <v/>
      </c>
      <c r="S278" s="11" t="str">
        <f t="shared" si="145"/>
        <v/>
      </c>
      <c r="T278" s="9" t="str">
        <f t="shared" si="146"/>
        <v/>
      </c>
      <c r="U278" s="10" t="str">
        <f t="shared" si="147"/>
        <v/>
      </c>
      <c r="V278" s="10" t="str">
        <f t="shared" si="148"/>
        <v/>
      </c>
      <c r="W278" s="49" t="str">
        <f t="shared" si="149"/>
        <v/>
      </c>
      <c r="X278" s="11" t="str">
        <f t="shared" si="150"/>
        <v/>
      </c>
      <c r="Y278" s="11" t="str">
        <f>IF(O278&lt;&gt;"",IF($B$16=listy!$K$8,'RZĄDOWY PROGRAM'!$F$3*'RZĄDOWY PROGRAM'!$F$15,T277*$F$15),"")</f>
        <v/>
      </c>
      <c r="Z278" s="11" t="str">
        <f t="shared" si="151"/>
        <v/>
      </c>
      <c r="AB278" s="8" t="str">
        <f t="shared" si="152"/>
        <v/>
      </c>
      <c r="AC278" s="8"/>
      <c r="AD278" s="33" t="str">
        <f>IF(AB278&lt;&gt;"",ROUND(IF($F$11="raty równe",-PMT(W278/12,$F$4-AB277+SUM($AC$28:AC278),AG277,2),AE278+AF278),2),"")</f>
        <v/>
      </c>
      <c r="AE278" s="11" t="str">
        <f>IF(AB278&lt;&gt;"",IF($F$11="raty malejące",AG277/($F$4-AB277+SUM($AC$28:AC277)),MIN(AD278-AF278,AG277)),"")</f>
        <v/>
      </c>
      <c r="AF278" s="11" t="str">
        <f t="shared" si="153"/>
        <v/>
      </c>
      <c r="AG278" s="9" t="str">
        <f t="shared" si="154"/>
        <v/>
      </c>
      <c r="AH278" s="11"/>
      <c r="AI278" s="33" t="str">
        <f>IF(AB278&lt;&gt;"",ROUND(IF($F$11="raty równe",-PMT(W278/12,($F$4-AB277+SUM($AC$27:AC277)),AG277,2),AG277/($F$4-AB277+SUM($AC$27:AC277))+AG277*W278/12),2),"")</f>
        <v/>
      </c>
      <c r="AJ278" s="33" t="str">
        <f t="shared" si="155"/>
        <v/>
      </c>
      <c r="AK278" s="33" t="str">
        <f t="shared" si="156"/>
        <v/>
      </c>
      <c r="AL278" s="33" t="str">
        <f>IF(AB278&lt;&gt;"",AK278-SUM($AJ$28:AJ278),"")</f>
        <v/>
      </c>
      <c r="AM278" s="11" t="str">
        <f t="shared" si="157"/>
        <v/>
      </c>
      <c r="AN278" s="11" t="str">
        <f>IF(AB278&lt;&gt;"",IF($B$16=listy!$K$8,'RZĄDOWY PROGRAM'!$F$3*'RZĄDOWY PROGRAM'!$F$15,AG277*$F$15),"")</f>
        <v/>
      </c>
      <c r="AO278" s="11" t="str">
        <f t="shared" si="158"/>
        <v/>
      </c>
      <c r="AQ278" s="49" t="str">
        <f t="shared" si="159"/>
        <v/>
      </c>
      <c r="AR278" s="18" t="str">
        <f t="shared" si="160"/>
        <v/>
      </c>
      <c r="AS278" s="11" t="str">
        <f t="shared" si="161"/>
        <v/>
      </c>
      <c r="AT278" s="11" t="str">
        <f t="shared" si="162"/>
        <v/>
      </c>
      <c r="AU278" s="11" t="str">
        <f>IF(AB278&lt;&gt;"",AT278-SUM($AS$28:AS278),"")</f>
        <v/>
      </c>
    </row>
    <row r="279" spans="1:47" ht="14.5" x14ac:dyDescent="0.35">
      <c r="A279" s="76" t="str">
        <f t="shared" si="133"/>
        <v/>
      </c>
      <c r="B279" s="8" t="str">
        <f t="shared" si="98"/>
        <v/>
      </c>
      <c r="C279" s="11" t="str">
        <f t="shared" si="134"/>
        <v/>
      </c>
      <c r="D279" s="11" t="str">
        <f t="shared" si="135"/>
        <v/>
      </c>
      <c r="E279" s="11" t="str">
        <f t="shared" si="136"/>
        <v/>
      </c>
      <c r="F279" s="9" t="str">
        <f t="shared" si="137"/>
        <v/>
      </c>
      <c r="G279" s="10" t="str">
        <f t="shared" si="138"/>
        <v/>
      </c>
      <c r="H279" s="10" t="str">
        <f t="shared" si="139"/>
        <v/>
      </c>
      <c r="I279" s="49" t="str">
        <f t="shared" si="140"/>
        <v/>
      </c>
      <c r="J279" s="11" t="str">
        <f t="shared" si="141"/>
        <v/>
      </c>
      <c r="K279" s="11" t="str">
        <f>IF(B279&lt;&gt;"",IF($B$16=listy!$K$8,'RZĄDOWY PROGRAM'!$F$3*'RZĄDOWY PROGRAM'!$F$15,F278*$F$15),"")</f>
        <v/>
      </c>
      <c r="L279" s="11" t="str">
        <f t="shared" si="142"/>
        <v/>
      </c>
      <c r="N279" s="55" t="str">
        <f t="shared" si="144"/>
        <v/>
      </c>
      <c r="O279" s="8" t="str">
        <f t="shared" si="113"/>
        <v/>
      </c>
      <c r="P279" s="8"/>
      <c r="Q279" s="33" t="str">
        <f>IF(O279&lt;&gt;"",ROUND(IF($F$11="raty równe",-PMT(W279/12,$F$4-O278+SUM($P$28:P279),T278,2),R279+S279),2),"")</f>
        <v/>
      </c>
      <c r="R279" s="11" t="str">
        <f>IF(O279&lt;&gt;"",IF($F$11="raty malejące",T278/($F$4-O278+SUM($P$28:P279)),IF(Q279-S279&gt;T278,T278,Q279-S279)),"")</f>
        <v/>
      </c>
      <c r="S279" s="11" t="str">
        <f t="shared" si="145"/>
        <v/>
      </c>
      <c r="T279" s="9" t="str">
        <f t="shared" si="146"/>
        <v/>
      </c>
      <c r="U279" s="10" t="str">
        <f t="shared" si="147"/>
        <v/>
      </c>
      <c r="V279" s="10" t="str">
        <f t="shared" si="148"/>
        <v/>
      </c>
      <c r="W279" s="49" t="str">
        <f t="shared" si="149"/>
        <v/>
      </c>
      <c r="X279" s="11" t="str">
        <f t="shared" si="150"/>
        <v/>
      </c>
      <c r="Y279" s="11" t="str">
        <f>IF(O279&lt;&gt;"",IF($B$16=listy!$K$8,'RZĄDOWY PROGRAM'!$F$3*'RZĄDOWY PROGRAM'!$F$15,T278*$F$15),"")</f>
        <v/>
      </c>
      <c r="Z279" s="11" t="str">
        <f t="shared" si="151"/>
        <v/>
      </c>
      <c r="AB279" s="8" t="str">
        <f t="shared" si="152"/>
        <v/>
      </c>
      <c r="AC279" s="8"/>
      <c r="AD279" s="33" t="str">
        <f>IF(AB279&lt;&gt;"",ROUND(IF($F$11="raty równe",-PMT(W279/12,$F$4-AB278+SUM($AC$28:AC279),AG278,2),AE279+AF279),2),"")</f>
        <v/>
      </c>
      <c r="AE279" s="11" t="str">
        <f>IF(AB279&lt;&gt;"",IF($F$11="raty malejące",AG278/($F$4-AB278+SUM($AC$28:AC278)),MIN(AD279-AF279,AG278)),"")</f>
        <v/>
      </c>
      <c r="AF279" s="11" t="str">
        <f t="shared" si="153"/>
        <v/>
      </c>
      <c r="AG279" s="9" t="str">
        <f t="shared" si="154"/>
        <v/>
      </c>
      <c r="AH279" s="11"/>
      <c r="AI279" s="33" t="str">
        <f>IF(AB279&lt;&gt;"",ROUND(IF($F$11="raty równe",-PMT(W279/12,($F$4-AB278+SUM($AC$27:AC278)),AG278,2),AG278/($F$4-AB278+SUM($AC$27:AC278))+AG278*W279/12),2),"")</f>
        <v/>
      </c>
      <c r="AJ279" s="33" t="str">
        <f t="shared" si="155"/>
        <v/>
      </c>
      <c r="AK279" s="33" t="str">
        <f t="shared" si="156"/>
        <v/>
      </c>
      <c r="AL279" s="33" t="str">
        <f>IF(AB279&lt;&gt;"",AK279-SUM($AJ$28:AJ279),"")</f>
        <v/>
      </c>
      <c r="AM279" s="11" t="str">
        <f t="shared" si="157"/>
        <v/>
      </c>
      <c r="AN279" s="11" t="str">
        <f>IF(AB279&lt;&gt;"",IF($B$16=listy!$K$8,'RZĄDOWY PROGRAM'!$F$3*'RZĄDOWY PROGRAM'!$F$15,AG278*$F$15),"")</f>
        <v/>
      </c>
      <c r="AO279" s="11" t="str">
        <f t="shared" si="158"/>
        <v/>
      </c>
      <c r="AQ279" s="49" t="str">
        <f t="shared" si="159"/>
        <v/>
      </c>
      <c r="AR279" s="18" t="str">
        <f t="shared" si="160"/>
        <v/>
      </c>
      <c r="AS279" s="11" t="str">
        <f t="shared" si="161"/>
        <v/>
      </c>
      <c r="AT279" s="11" t="str">
        <f t="shared" si="162"/>
        <v/>
      </c>
      <c r="AU279" s="11" t="str">
        <f>IF(AB279&lt;&gt;"",AT279-SUM($AS$28:AS279),"")</f>
        <v/>
      </c>
    </row>
    <row r="280" spans="1:47" ht="14.5" x14ac:dyDescent="0.35">
      <c r="A280" s="76" t="str">
        <f t="shared" si="133"/>
        <v/>
      </c>
      <c r="B280" s="8" t="str">
        <f t="shared" si="98"/>
        <v/>
      </c>
      <c r="C280" s="11" t="str">
        <f t="shared" si="134"/>
        <v/>
      </c>
      <c r="D280" s="11" t="str">
        <f t="shared" si="135"/>
        <v/>
      </c>
      <c r="E280" s="11" t="str">
        <f t="shared" si="136"/>
        <v/>
      </c>
      <c r="F280" s="9" t="str">
        <f t="shared" si="137"/>
        <v/>
      </c>
      <c r="G280" s="10" t="str">
        <f t="shared" si="138"/>
        <v/>
      </c>
      <c r="H280" s="10" t="str">
        <f t="shared" si="139"/>
        <v/>
      </c>
      <c r="I280" s="49" t="str">
        <f t="shared" si="140"/>
        <v/>
      </c>
      <c r="J280" s="11" t="str">
        <f t="shared" si="141"/>
        <v/>
      </c>
      <c r="K280" s="11" t="str">
        <f>IF(B280&lt;&gt;"",IF($B$16=listy!$K$8,'RZĄDOWY PROGRAM'!$F$3*'RZĄDOWY PROGRAM'!$F$15,F279*$F$15),"")</f>
        <v/>
      </c>
      <c r="L280" s="11" t="str">
        <f t="shared" si="142"/>
        <v/>
      </c>
      <c r="N280" s="55" t="str">
        <f t="shared" si="144"/>
        <v/>
      </c>
      <c r="O280" s="8" t="str">
        <f t="shared" si="113"/>
        <v/>
      </c>
      <c r="P280" s="8"/>
      <c r="Q280" s="33" t="str">
        <f>IF(O280&lt;&gt;"",ROUND(IF($F$11="raty równe",-PMT(W280/12,$F$4-O279+SUM($P$28:P280),T279,2),R280+S280),2),"")</f>
        <v/>
      </c>
      <c r="R280" s="11" t="str">
        <f>IF(O280&lt;&gt;"",IF($F$11="raty malejące",T279/($F$4-O279+SUM($P$28:P280)),IF(Q280-S280&gt;T279,T279,Q280-S280)),"")</f>
        <v/>
      </c>
      <c r="S280" s="11" t="str">
        <f t="shared" si="145"/>
        <v/>
      </c>
      <c r="T280" s="9" t="str">
        <f t="shared" si="146"/>
        <v/>
      </c>
      <c r="U280" s="10" t="str">
        <f t="shared" si="147"/>
        <v/>
      </c>
      <c r="V280" s="10" t="str">
        <f t="shared" si="148"/>
        <v/>
      </c>
      <c r="W280" s="49" t="str">
        <f t="shared" si="149"/>
        <v/>
      </c>
      <c r="X280" s="11" t="str">
        <f t="shared" si="150"/>
        <v/>
      </c>
      <c r="Y280" s="11" t="str">
        <f>IF(O280&lt;&gt;"",IF($B$16=listy!$K$8,'RZĄDOWY PROGRAM'!$F$3*'RZĄDOWY PROGRAM'!$F$15,T279*$F$15),"")</f>
        <v/>
      </c>
      <c r="Z280" s="11" t="str">
        <f t="shared" si="151"/>
        <v/>
      </c>
      <c r="AB280" s="8" t="str">
        <f t="shared" si="152"/>
        <v/>
      </c>
      <c r="AC280" s="8"/>
      <c r="AD280" s="33" t="str">
        <f>IF(AB280&lt;&gt;"",ROUND(IF($F$11="raty równe",-PMT(W280/12,$F$4-AB279+SUM($AC$28:AC280),AG279,2),AE280+AF280),2),"")</f>
        <v/>
      </c>
      <c r="AE280" s="11" t="str">
        <f>IF(AB280&lt;&gt;"",IF($F$11="raty malejące",AG279/($F$4-AB279+SUM($AC$28:AC279)),MIN(AD280-AF280,AG279)),"")</f>
        <v/>
      </c>
      <c r="AF280" s="11" t="str">
        <f t="shared" si="153"/>
        <v/>
      </c>
      <c r="AG280" s="9" t="str">
        <f t="shared" si="154"/>
        <v/>
      </c>
      <c r="AH280" s="11"/>
      <c r="AI280" s="33" t="str">
        <f>IF(AB280&lt;&gt;"",ROUND(IF($F$11="raty równe",-PMT(W280/12,($F$4-AB279+SUM($AC$27:AC279)),AG279,2),AG279/($F$4-AB279+SUM($AC$27:AC279))+AG279*W280/12),2),"")</f>
        <v/>
      </c>
      <c r="AJ280" s="33" t="str">
        <f t="shared" si="155"/>
        <v/>
      </c>
      <c r="AK280" s="33" t="str">
        <f t="shared" si="156"/>
        <v/>
      </c>
      <c r="AL280" s="33" t="str">
        <f>IF(AB280&lt;&gt;"",AK280-SUM($AJ$28:AJ280),"")</f>
        <v/>
      </c>
      <c r="AM280" s="11" t="str">
        <f t="shared" si="157"/>
        <v/>
      </c>
      <c r="AN280" s="11" t="str">
        <f>IF(AB280&lt;&gt;"",IF($B$16=listy!$K$8,'RZĄDOWY PROGRAM'!$F$3*'RZĄDOWY PROGRAM'!$F$15,AG279*$F$15),"")</f>
        <v/>
      </c>
      <c r="AO280" s="11" t="str">
        <f t="shared" si="158"/>
        <v/>
      </c>
      <c r="AQ280" s="49" t="str">
        <f t="shared" si="159"/>
        <v/>
      </c>
      <c r="AR280" s="18" t="str">
        <f t="shared" si="160"/>
        <v/>
      </c>
      <c r="AS280" s="11" t="str">
        <f t="shared" si="161"/>
        <v/>
      </c>
      <c r="AT280" s="11" t="str">
        <f t="shared" si="162"/>
        <v/>
      </c>
      <c r="AU280" s="11" t="str">
        <f>IF(AB280&lt;&gt;"",AT280-SUM($AS$28:AS280),"")</f>
        <v/>
      </c>
    </row>
    <row r="281" spans="1:47" ht="14.5" x14ac:dyDescent="0.35">
      <c r="A281" s="76" t="str">
        <f t="shared" si="133"/>
        <v/>
      </c>
      <c r="B281" s="8" t="str">
        <f t="shared" si="98"/>
        <v/>
      </c>
      <c r="C281" s="11" t="str">
        <f t="shared" si="134"/>
        <v/>
      </c>
      <c r="D281" s="11" t="str">
        <f t="shared" si="135"/>
        <v/>
      </c>
      <c r="E281" s="11" t="str">
        <f t="shared" si="136"/>
        <v/>
      </c>
      <c r="F281" s="9" t="str">
        <f t="shared" si="137"/>
        <v/>
      </c>
      <c r="G281" s="10" t="str">
        <f t="shared" si="138"/>
        <v/>
      </c>
      <c r="H281" s="10" t="str">
        <f t="shared" si="139"/>
        <v/>
      </c>
      <c r="I281" s="49" t="str">
        <f t="shared" si="140"/>
        <v/>
      </c>
      <c r="J281" s="11" t="str">
        <f t="shared" si="141"/>
        <v/>
      </c>
      <c r="K281" s="11" t="str">
        <f>IF(B281&lt;&gt;"",IF($B$16=listy!$K$8,'RZĄDOWY PROGRAM'!$F$3*'RZĄDOWY PROGRAM'!$F$15,F280*$F$15),"")</f>
        <v/>
      </c>
      <c r="L281" s="11" t="str">
        <f t="shared" si="142"/>
        <v/>
      </c>
      <c r="N281" s="55" t="str">
        <f t="shared" si="144"/>
        <v/>
      </c>
      <c r="O281" s="8" t="str">
        <f t="shared" si="113"/>
        <v/>
      </c>
      <c r="P281" s="8"/>
      <c r="Q281" s="33" t="str">
        <f>IF(O281&lt;&gt;"",ROUND(IF($F$11="raty równe",-PMT(W281/12,$F$4-O280+SUM($P$28:P281),T280,2),R281+S281),2),"")</f>
        <v/>
      </c>
      <c r="R281" s="11" t="str">
        <f>IF(O281&lt;&gt;"",IF($F$11="raty malejące",T280/($F$4-O280+SUM($P$28:P281)),IF(Q281-S281&gt;T280,T280,Q281-S281)),"")</f>
        <v/>
      </c>
      <c r="S281" s="11" t="str">
        <f t="shared" si="145"/>
        <v/>
      </c>
      <c r="T281" s="9" t="str">
        <f t="shared" si="146"/>
        <v/>
      </c>
      <c r="U281" s="10" t="str">
        <f t="shared" si="147"/>
        <v/>
      </c>
      <c r="V281" s="10" t="str">
        <f t="shared" si="148"/>
        <v/>
      </c>
      <c r="W281" s="49" t="str">
        <f t="shared" si="149"/>
        <v/>
      </c>
      <c r="X281" s="11" t="str">
        <f t="shared" si="150"/>
        <v/>
      </c>
      <c r="Y281" s="11" t="str">
        <f>IF(O281&lt;&gt;"",IF($B$16=listy!$K$8,'RZĄDOWY PROGRAM'!$F$3*'RZĄDOWY PROGRAM'!$F$15,T280*$F$15),"")</f>
        <v/>
      </c>
      <c r="Z281" s="11" t="str">
        <f t="shared" si="151"/>
        <v/>
      </c>
      <c r="AB281" s="8" t="str">
        <f t="shared" si="152"/>
        <v/>
      </c>
      <c r="AC281" s="8"/>
      <c r="AD281" s="33" t="str">
        <f>IF(AB281&lt;&gt;"",ROUND(IF($F$11="raty równe",-PMT(W281/12,$F$4-AB280+SUM($AC$28:AC281),AG280,2),AE281+AF281),2),"")</f>
        <v/>
      </c>
      <c r="AE281" s="11" t="str">
        <f>IF(AB281&lt;&gt;"",IF($F$11="raty malejące",AG280/($F$4-AB280+SUM($AC$28:AC280)),MIN(AD281-AF281,AG280)),"")</f>
        <v/>
      </c>
      <c r="AF281" s="11" t="str">
        <f t="shared" si="153"/>
        <v/>
      </c>
      <c r="AG281" s="9" t="str">
        <f t="shared" si="154"/>
        <v/>
      </c>
      <c r="AH281" s="11"/>
      <c r="AI281" s="33" t="str">
        <f>IF(AB281&lt;&gt;"",ROUND(IF($F$11="raty równe",-PMT(W281/12,($F$4-AB280+SUM($AC$27:AC280)),AG280,2),AG280/($F$4-AB280+SUM($AC$27:AC280))+AG280*W281/12),2),"")</f>
        <v/>
      </c>
      <c r="AJ281" s="33" t="str">
        <f t="shared" si="155"/>
        <v/>
      </c>
      <c r="AK281" s="33" t="str">
        <f t="shared" si="156"/>
        <v/>
      </c>
      <c r="AL281" s="33" t="str">
        <f>IF(AB281&lt;&gt;"",AK281-SUM($AJ$28:AJ281),"")</f>
        <v/>
      </c>
      <c r="AM281" s="11" t="str">
        <f t="shared" si="157"/>
        <v/>
      </c>
      <c r="AN281" s="11" t="str">
        <f>IF(AB281&lt;&gt;"",IF($B$16=listy!$K$8,'RZĄDOWY PROGRAM'!$F$3*'RZĄDOWY PROGRAM'!$F$15,AG280*$F$15),"")</f>
        <v/>
      </c>
      <c r="AO281" s="11" t="str">
        <f t="shared" si="158"/>
        <v/>
      </c>
      <c r="AQ281" s="49" t="str">
        <f t="shared" si="159"/>
        <v/>
      </c>
      <c r="AR281" s="18" t="str">
        <f t="shared" si="160"/>
        <v/>
      </c>
      <c r="AS281" s="11" t="str">
        <f t="shared" si="161"/>
        <v/>
      </c>
      <c r="AT281" s="11" t="str">
        <f t="shared" si="162"/>
        <v/>
      </c>
      <c r="AU281" s="11" t="str">
        <f>IF(AB281&lt;&gt;"",AT281-SUM($AS$28:AS281),"")</f>
        <v/>
      </c>
    </row>
    <row r="282" spans="1:47" ht="14.5" x14ac:dyDescent="0.35">
      <c r="A282" s="76" t="str">
        <f t="shared" si="133"/>
        <v/>
      </c>
      <c r="B282" s="8" t="str">
        <f t="shared" si="98"/>
        <v/>
      </c>
      <c r="C282" s="11" t="str">
        <f t="shared" si="134"/>
        <v/>
      </c>
      <c r="D282" s="11" t="str">
        <f t="shared" si="135"/>
        <v/>
      </c>
      <c r="E282" s="11" t="str">
        <f t="shared" si="136"/>
        <v/>
      </c>
      <c r="F282" s="9" t="str">
        <f t="shared" si="137"/>
        <v/>
      </c>
      <c r="G282" s="10" t="str">
        <f t="shared" si="138"/>
        <v/>
      </c>
      <c r="H282" s="10" t="str">
        <f t="shared" si="139"/>
        <v/>
      </c>
      <c r="I282" s="49" t="str">
        <f t="shared" si="140"/>
        <v/>
      </c>
      <c r="J282" s="11" t="str">
        <f t="shared" si="141"/>
        <v/>
      </c>
      <c r="K282" s="11" t="str">
        <f>IF(B282&lt;&gt;"",IF($B$16=listy!$K$8,'RZĄDOWY PROGRAM'!$F$3*'RZĄDOWY PROGRAM'!$F$15,F281*$F$15),"")</f>
        <v/>
      </c>
      <c r="L282" s="11" t="str">
        <f t="shared" si="142"/>
        <v/>
      </c>
      <c r="N282" s="55" t="str">
        <f t="shared" si="144"/>
        <v/>
      </c>
      <c r="O282" s="8" t="str">
        <f t="shared" si="113"/>
        <v/>
      </c>
      <c r="P282" s="8"/>
      <c r="Q282" s="33" t="str">
        <f>IF(O282&lt;&gt;"",ROUND(IF($F$11="raty równe",-PMT(W282/12,$F$4-O281+SUM($P$28:P282),T281,2),R282+S282),2),"")</f>
        <v/>
      </c>
      <c r="R282" s="11" t="str">
        <f>IF(O282&lt;&gt;"",IF($F$11="raty malejące",T281/($F$4-O281+SUM($P$28:P282)),IF(Q282-S282&gt;T281,T281,Q282-S282)),"")</f>
        <v/>
      </c>
      <c r="S282" s="11" t="str">
        <f t="shared" si="145"/>
        <v/>
      </c>
      <c r="T282" s="9" t="str">
        <f t="shared" si="146"/>
        <v/>
      </c>
      <c r="U282" s="10" t="str">
        <f t="shared" si="147"/>
        <v/>
      </c>
      <c r="V282" s="10" t="str">
        <f t="shared" si="148"/>
        <v/>
      </c>
      <c r="W282" s="49" t="str">
        <f t="shared" si="149"/>
        <v/>
      </c>
      <c r="X282" s="11" t="str">
        <f t="shared" si="150"/>
        <v/>
      </c>
      <c r="Y282" s="11" t="str">
        <f>IF(O282&lt;&gt;"",IF($B$16=listy!$K$8,'RZĄDOWY PROGRAM'!$F$3*'RZĄDOWY PROGRAM'!$F$15,T281*$F$15),"")</f>
        <v/>
      </c>
      <c r="Z282" s="11" t="str">
        <f t="shared" si="151"/>
        <v/>
      </c>
      <c r="AB282" s="8" t="str">
        <f t="shared" si="152"/>
        <v/>
      </c>
      <c r="AC282" s="8"/>
      <c r="AD282" s="33" t="str">
        <f>IF(AB282&lt;&gt;"",ROUND(IF($F$11="raty równe",-PMT(W282/12,$F$4-AB281+SUM($AC$28:AC282),AG281,2),AE282+AF282),2),"")</f>
        <v/>
      </c>
      <c r="AE282" s="11" t="str">
        <f>IF(AB282&lt;&gt;"",IF($F$11="raty malejące",AG281/($F$4-AB281+SUM($AC$28:AC281)),MIN(AD282-AF282,AG281)),"")</f>
        <v/>
      </c>
      <c r="AF282" s="11" t="str">
        <f t="shared" si="153"/>
        <v/>
      </c>
      <c r="AG282" s="9" t="str">
        <f t="shared" si="154"/>
        <v/>
      </c>
      <c r="AH282" s="11"/>
      <c r="AI282" s="33" t="str">
        <f>IF(AB282&lt;&gt;"",ROUND(IF($F$11="raty równe",-PMT(W282/12,($F$4-AB281+SUM($AC$27:AC281)),AG281,2),AG281/($F$4-AB281+SUM($AC$27:AC281))+AG281*W282/12),2),"")</f>
        <v/>
      </c>
      <c r="AJ282" s="33" t="str">
        <f t="shared" si="155"/>
        <v/>
      </c>
      <c r="AK282" s="33" t="str">
        <f t="shared" si="156"/>
        <v/>
      </c>
      <c r="AL282" s="33" t="str">
        <f>IF(AB282&lt;&gt;"",AK282-SUM($AJ$28:AJ282),"")</f>
        <v/>
      </c>
      <c r="AM282" s="11" t="str">
        <f t="shared" si="157"/>
        <v/>
      </c>
      <c r="AN282" s="11" t="str">
        <f>IF(AB282&lt;&gt;"",IF($B$16=listy!$K$8,'RZĄDOWY PROGRAM'!$F$3*'RZĄDOWY PROGRAM'!$F$15,AG281*$F$15),"")</f>
        <v/>
      </c>
      <c r="AO282" s="11" t="str">
        <f t="shared" si="158"/>
        <v/>
      </c>
      <c r="AQ282" s="49" t="str">
        <f t="shared" si="159"/>
        <v/>
      </c>
      <c r="AR282" s="18" t="str">
        <f t="shared" si="160"/>
        <v/>
      </c>
      <c r="AS282" s="11" t="str">
        <f t="shared" si="161"/>
        <v/>
      </c>
      <c r="AT282" s="11" t="str">
        <f t="shared" si="162"/>
        <v/>
      </c>
      <c r="AU282" s="11" t="str">
        <f>IF(AB282&lt;&gt;"",AT282-SUM($AS$28:AS282),"")</f>
        <v/>
      </c>
    </row>
    <row r="283" spans="1:47" ht="14.5" x14ac:dyDescent="0.35">
      <c r="A283" s="76" t="str">
        <f t="shared" si="133"/>
        <v/>
      </c>
      <c r="B283" s="8" t="str">
        <f t="shared" si="98"/>
        <v/>
      </c>
      <c r="C283" s="11" t="str">
        <f t="shared" si="134"/>
        <v/>
      </c>
      <c r="D283" s="11" t="str">
        <f t="shared" si="135"/>
        <v/>
      </c>
      <c r="E283" s="11" t="str">
        <f t="shared" si="136"/>
        <v/>
      </c>
      <c r="F283" s="9" t="str">
        <f t="shared" si="137"/>
        <v/>
      </c>
      <c r="G283" s="10" t="str">
        <f t="shared" si="138"/>
        <v/>
      </c>
      <c r="H283" s="10" t="str">
        <f t="shared" si="139"/>
        <v/>
      </c>
      <c r="I283" s="49" t="str">
        <f t="shared" si="140"/>
        <v/>
      </c>
      <c r="J283" s="11" t="str">
        <f t="shared" si="141"/>
        <v/>
      </c>
      <c r="K283" s="11" t="str">
        <f>IF(B283&lt;&gt;"",IF($B$16=listy!$K$8,'RZĄDOWY PROGRAM'!$F$3*'RZĄDOWY PROGRAM'!$F$15,F282*$F$15),"")</f>
        <v/>
      </c>
      <c r="L283" s="11" t="str">
        <f t="shared" si="142"/>
        <v/>
      </c>
      <c r="N283" s="55" t="str">
        <f t="shared" si="144"/>
        <v/>
      </c>
      <c r="O283" s="8" t="str">
        <f t="shared" si="113"/>
        <v/>
      </c>
      <c r="P283" s="8"/>
      <c r="Q283" s="33" t="str">
        <f>IF(O283&lt;&gt;"",ROUND(IF($F$11="raty równe",-PMT(W283/12,$F$4-O282+SUM($P$28:P283),T282,2),R283+S283),2),"")</f>
        <v/>
      </c>
      <c r="R283" s="11" t="str">
        <f>IF(O283&lt;&gt;"",IF($F$11="raty malejące",T282/($F$4-O282+SUM($P$28:P283)),IF(Q283-S283&gt;T282,T282,Q283-S283)),"")</f>
        <v/>
      </c>
      <c r="S283" s="11" t="str">
        <f t="shared" si="145"/>
        <v/>
      </c>
      <c r="T283" s="9" t="str">
        <f t="shared" si="146"/>
        <v/>
      </c>
      <c r="U283" s="10" t="str">
        <f t="shared" si="147"/>
        <v/>
      </c>
      <c r="V283" s="10" t="str">
        <f t="shared" si="148"/>
        <v/>
      </c>
      <c r="W283" s="49" t="str">
        <f t="shared" si="149"/>
        <v/>
      </c>
      <c r="X283" s="11" t="str">
        <f t="shared" si="150"/>
        <v/>
      </c>
      <c r="Y283" s="11" t="str">
        <f>IF(O283&lt;&gt;"",IF($B$16=listy!$K$8,'RZĄDOWY PROGRAM'!$F$3*'RZĄDOWY PROGRAM'!$F$15,T282*$F$15),"")</f>
        <v/>
      </c>
      <c r="Z283" s="11" t="str">
        <f t="shared" si="151"/>
        <v/>
      </c>
      <c r="AB283" s="8" t="str">
        <f t="shared" si="152"/>
        <v/>
      </c>
      <c r="AC283" s="8"/>
      <c r="AD283" s="33" t="str">
        <f>IF(AB283&lt;&gt;"",ROUND(IF($F$11="raty równe",-PMT(W283/12,$F$4-AB282+SUM($AC$28:AC283),AG282,2),AE283+AF283),2),"")</f>
        <v/>
      </c>
      <c r="AE283" s="11" t="str">
        <f>IF(AB283&lt;&gt;"",IF($F$11="raty malejące",AG282/($F$4-AB282+SUM($AC$28:AC282)),MIN(AD283-AF283,AG282)),"")</f>
        <v/>
      </c>
      <c r="AF283" s="11" t="str">
        <f t="shared" si="153"/>
        <v/>
      </c>
      <c r="AG283" s="9" t="str">
        <f t="shared" si="154"/>
        <v/>
      </c>
      <c r="AH283" s="11"/>
      <c r="AI283" s="33" t="str">
        <f>IF(AB283&lt;&gt;"",ROUND(IF($F$11="raty równe",-PMT(W283/12,($F$4-AB282+SUM($AC$27:AC282)),AG282,2),AG282/($F$4-AB282+SUM($AC$27:AC282))+AG282*W283/12),2),"")</f>
        <v/>
      </c>
      <c r="AJ283" s="33" t="str">
        <f t="shared" si="155"/>
        <v/>
      </c>
      <c r="AK283" s="33" t="str">
        <f t="shared" si="156"/>
        <v/>
      </c>
      <c r="AL283" s="33" t="str">
        <f>IF(AB283&lt;&gt;"",AK283-SUM($AJ$28:AJ283),"")</f>
        <v/>
      </c>
      <c r="AM283" s="11" t="str">
        <f t="shared" si="157"/>
        <v/>
      </c>
      <c r="AN283" s="11" t="str">
        <f>IF(AB283&lt;&gt;"",IF($B$16=listy!$K$8,'RZĄDOWY PROGRAM'!$F$3*'RZĄDOWY PROGRAM'!$F$15,AG282*$F$15),"")</f>
        <v/>
      </c>
      <c r="AO283" s="11" t="str">
        <f t="shared" si="158"/>
        <v/>
      </c>
      <c r="AQ283" s="49" t="str">
        <f t="shared" si="159"/>
        <v/>
      </c>
      <c r="AR283" s="18" t="str">
        <f t="shared" si="160"/>
        <v/>
      </c>
      <c r="AS283" s="11" t="str">
        <f t="shared" si="161"/>
        <v/>
      </c>
      <c r="AT283" s="11" t="str">
        <f t="shared" si="162"/>
        <v/>
      </c>
      <c r="AU283" s="11" t="str">
        <f>IF(AB283&lt;&gt;"",AT283-SUM($AS$28:AS283),"")</f>
        <v/>
      </c>
    </row>
    <row r="284" spans="1:47" ht="14.5" x14ac:dyDescent="0.35">
      <c r="A284" s="76" t="str">
        <f t="shared" si="133"/>
        <v/>
      </c>
      <c r="B284" s="8" t="str">
        <f t="shared" ref="B284:B347" si="163">IFERROR(IF(B283+1&lt;=$F$4,B283+1,""),"")</f>
        <v/>
      </c>
      <c r="C284" s="11" t="str">
        <f t="shared" si="134"/>
        <v/>
      </c>
      <c r="D284" s="11" t="str">
        <f t="shared" si="135"/>
        <v/>
      </c>
      <c r="E284" s="11" t="str">
        <f t="shared" si="136"/>
        <v/>
      </c>
      <c r="F284" s="9" t="str">
        <f t="shared" si="137"/>
        <v/>
      </c>
      <c r="G284" s="10" t="str">
        <f t="shared" si="138"/>
        <v/>
      </c>
      <c r="H284" s="10" t="str">
        <f t="shared" si="139"/>
        <v/>
      </c>
      <c r="I284" s="49" t="str">
        <f t="shared" si="140"/>
        <v/>
      </c>
      <c r="J284" s="11" t="str">
        <f t="shared" si="141"/>
        <v/>
      </c>
      <c r="K284" s="11" t="str">
        <f>IF(B284&lt;&gt;"",IF($B$16=listy!$K$8,'RZĄDOWY PROGRAM'!$F$3*'RZĄDOWY PROGRAM'!$F$15,F283*$F$15),"")</f>
        <v/>
      </c>
      <c r="L284" s="11" t="str">
        <f t="shared" si="142"/>
        <v/>
      </c>
      <c r="N284" s="55" t="str">
        <f t="shared" si="144"/>
        <v/>
      </c>
      <c r="O284" s="8" t="str">
        <f t="shared" si="113"/>
        <v/>
      </c>
      <c r="P284" s="8"/>
      <c r="Q284" s="33" t="str">
        <f>IF(O284&lt;&gt;"",ROUND(IF($F$11="raty równe",-PMT(W284/12,$F$4-O283+SUM($P$28:P284),T283,2),R284+S284),2),"")</f>
        <v/>
      </c>
      <c r="R284" s="11" t="str">
        <f>IF(O284&lt;&gt;"",IF($F$11="raty malejące",T283/($F$4-O283+SUM($P$28:P284)),IF(Q284-S284&gt;T283,T283,Q284-S284)),"")</f>
        <v/>
      </c>
      <c r="S284" s="11" t="str">
        <f t="shared" si="145"/>
        <v/>
      </c>
      <c r="T284" s="9" t="str">
        <f t="shared" si="146"/>
        <v/>
      </c>
      <c r="U284" s="10" t="str">
        <f t="shared" si="147"/>
        <v/>
      </c>
      <c r="V284" s="10" t="str">
        <f t="shared" si="148"/>
        <v/>
      </c>
      <c r="W284" s="49" t="str">
        <f t="shared" si="149"/>
        <v/>
      </c>
      <c r="X284" s="11" t="str">
        <f t="shared" si="150"/>
        <v/>
      </c>
      <c r="Y284" s="11" t="str">
        <f>IF(O284&lt;&gt;"",IF($B$16=listy!$K$8,'RZĄDOWY PROGRAM'!$F$3*'RZĄDOWY PROGRAM'!$F$15,T283*$F$15),"")</f>
        <v/>
      </c>
      <c r="Z284" s="11" t="str">
        <f t="shared" si="151"/>
        <v/>
      </c>
      <c r="AB284" s="8" t="str">
        <f t="shared" si="152"/>
        <v/>
      </c>
      <c r="AC284" s="8"/>
      <c r="AD284" s="33" t="str">
        <f>IF(AB284&lt;&gt;"",ROUND(IF($F$11="raty równe",-PMT(W284/12,$F$4-AB283+SUM($AC$28:AC284),AG283,2),AE284+AF284),2),"")</f>
        <v/>
      </c>
      <c r="AE284" s="11" t="str">
        <f>IF(AB284&lt;&gt;"",IF($F$11="raty malejące",AG283/($F$4-AB283+SUM($AC$28:AC283)),MIN(AD284-AF284,AG283)),"")</f>
        <v/>
      </c>
      <c r="AF284" s="11" t="str">
        <f t="shared" si="153"/>
        <v/>
      </c>
      <c r="AG284" s="9" t="str">
        <f t="shared" si="154"/>
        <v/>
      </c>
      <c r="AH284" s="11"/>
      <c r="AI284" s="33" t="str">
        <f>IF(AB284&lt;&gt;"",ROUND(IF($F$11="raty równe",-PMT(W284/12,($F$4-AB283+SUM($AC$27:AC283)),AG283,2),AG283/($F$4-AB283+SUM($AC$27:AC283))+AG283*W284/12),2),"")</f>
        <v/>
      </c>
      <c r="AJ284" s="33" t="str">
        <f t="shared" si="155"/>
        <v/>
      </c>
      <c r="AK284" s="33" t="str">
        <f t="shared" si="156"/>
        <v/>
      </c>
      <c r="AL284" s="33" t="str">
        <f>IF(AB284&lt;&gt;"",AK284-SUM($AJ$28:AJ284),"")</f>
        <v/>
      </c>
      <c r="AM284" s="11" t="str">
        <f t="shared" si="157"/>
        <v/>
      </c>
      <c r="AN284" s="11" t="str">
        <f>IF(AB284&lt;&gt;"",IF($B$16=listy!$K$8,'RZĄDOWY PROGRAM'!$F$3*'RZĄDOWY PROGRAM'!$F$15,AG283*$F$15),"")</f>
        <v/>
      </c>
      <c r="AO284" s="11" t="str">
        <f t="shared" si="158"/>
        <v/>
      </c>
      <c r="AQ284" s="49" t="str">
        <f t="shared" si="159"/>
        <v/>
      </c>
      <c r="AR284" s="18" t="str">
        <f t="shared" si="160"/>
        <v/>
      </c>
      <c r="AS284" s="11" t="str">
        <f t="shared" si="161"/>
        <v/>
      </c>
      <c r="AT284" s="11" t="str">
        <f t="shared" si="162"/>
        <v/>
      </c>
      <c r="AU284" s="11" t="str">
        <f>IF(AB284&lt;&gt;"",AT284-SUM($AS$28:AS284),"")</f>
        <v/>
      </c>
    </row>
    <row r="285" spans="1:47" ht="14.5" x14ac:dyDescent="0.35">
      <c r="A285" s="76" t="str">
        <f t="shared" si="133"/>
        <v/>
      </c>
      <c r="B285" s="8" t="str">
        <f t="shared" si="163"/>
        <v/>
      </c>
      <c r="C285" s="11" t="str">
        <f t="shared" si="134"/>
        <v/>
      </c>
      <c r="D285" s="11" t="str">
        <f t="shared" si="135"/>
        <v/>
      </c>
      <c r="E285" s="11" t="str">
        <f t="shared" si="136"/>
        <v/>
      </c>
      <c r="F285" s="9" t="str">
        <f t="shared" si="137"/>
        <v/>
      </c>
      <c r="G285" s="10" t="str">
        <f t="shared" si="138"/>
        <v/>
      </c>
      <c r="H285" s="10" t="str">
        <f t="shared" si="139"/>
        <v/>
      </c>
      <c r="I285" s="49" t="str">
        <f t="shared" si="140"/>
        <v/>
      </c>
      <c r="J285" s="11" t="str">
        <f t="shared" si="141"/>
        <v/>
      </c>
      <c r="K285" s="11" t="str">
        <f>IF(B285&lt;&gt;"",IF($B$16=listy!$K$8,'RZĄDOWY PROGRAM'!$F$3*'RZĄDOWY PROGRAM'!$F$15,F284*$F$15),"")</f>
        <v/>
      </c>
      <c r="L285" s="11" t="str">
        <f t="shared" si="142"/>
        <v/>
      </c>
      <c r="N285" s="55" t="str">
        <f t="shared" si="144"/>
        <v/>
      </c>
      <c r="O285" s="8" t="str">
        <f t="shared" ref="O285:O348" si="164">IFERROR(IF(O284+1&lt;=$F$4+8,O284+1,""),"")</f>
        <v/>
      </c>
      <c r="P285" s="8"/>
      <c r="Q285" s="33" t="str">
        <f>IF(O285&lt;&gt;"",ROUND(IF($F$11="raty równe",-PMT(W285/12,$F$4-O284+SUM($P$28:P285),T284,2),R285+S285),2),"")</f>
        <v/>
      </c>
      <c r="R285" s="11" t="str">
        <f>IF(O285&lt;&gt;"",IF($F$11="raty malejące",T284/($F$4-O284+SUM($P$28:P285)),IF(Q285-S285&gt;T284,T284,Q285-S285)),"")</f>
        <v/>
      </c>
      <c r="S285" s="11" t="str">
        <f t="shared" si="145"/>
        <v/>
      </c>
      <c r="T285" s="9" t="str">
        <f t="shared" si="146"/>
        <v/>
      </c>
      <c r="U285" s="10" t="str">
        <f t="shared" si="147"/>
        <v/>
      </c>
      <c r="V285" s="10" t="str">
        <f t="shared" si="148"/>
        <v/>
      </c>
      <c r="W285" s="49" t="str">
        <f t="shared" si="149"/>
        <v/>
      </c>
      <c r="X285" s="11" t="str">
        <f t="shared" si="150"/>
        <v/>
      </c>
      <c r="Y285" s="11" t="str">
        <f>IF(O285&lt;&gt;"",IF($B$16=listy!$K$8,'RZĄDOWY PROGRAM'!$F$3*'RZĄDOWY PROGRAM'!$F$15,T284*$F$15),"")</f>
        <v/>
      </c>
      <c r="Z285" s="11" t="str">
        <f t="shared" si="151"/>
        <v/>
      </c>
      <c r="AB285" s="8" t="str">
        <f t="shared" si="152"/>
        <v/>
      </c>
      <c r="AC285" s="8"/>
      <c r="AD285" s="33" t="str">
        <f>IF(AB285&lt;&gt;"",ROUND(IF($F$11="raty równe",-PMT(W285/12,$F$4-AB284+SUM($AC$28:AC285),AG284,2),AE285+AF285),2),"")</f>
        <v/>
      </c>
      <c r="AE285" s="11" t="str">
        <f>IF(AB285&lt;&gt;"",IF($F$11="raty malejące",AG284/($F$4-AB284+SUM($AC$28:AC284)),MIN(AD285-AF285,AG284)),"")</f>
        <v/>
      </c>
      <c r="AF285" s="11" t="str">
        <f t="shared" si="153"/>
        <v/>
      </c>
      <c r="AG285" s="9" t="str">
        <f t="shared" si="154"/>
        <v/>
      </c>
      <c r="AH285" s="11"/>
      <c r="AI285" s="33" t="str">
        <f>IF(AB285&lt;&gt;"",ROUND(IF($F$11="raty równe",-PMT(W285/12,($F$4-AB284+SUM($AC$27:AC284)),AG284,2),AG284/($F$4-AB284+SUM($AC$27:AC284))+AG284*W285/12),2),"")</f>
        <v/>
      </c>
      <c r="AJ285" s="33" t="str">
        <f t="shared" si="155"/>
        <v/>
      </c>
      <c r="AK285" s="33" t="str">
        <f t="shared" si="156"/>
        <v/>
      </c>
      <c r="AL285" s="33" t="str">
        <f>IF(AB285&lt;&gt;"",AK285-SUM($AJ$28:AJ285),"")</f>
        <v/>
      </c>
      <c r="AM285" s="11" t="str">
        <f t="shared" si="157"/>
        <v/>
      </c>
      <c r="AN285" s="11" t="str">
        <f>IF(AB285&lt;&gt;"",IF($B$16=listy!$K$8,'RZĄDOWY PROGRAM'!$F$3*'RZĄDOWY PROGRAM'!$F$15,AG284*$F$15),"")</f>
        <v/>
      </c>
      <c r="AO285" s="11" t="str">
        <f t="shared" si="158"/>
        <v/>
      </c>
      <c r="AQ285" s="49" t="str">
        <f t="shared" si="159"/>
        <v/>
      </c>
      <c r="AR285" s="18" t="str">
        <f t="shared" si="160"/>
        <v/>
      </c>
      <c r="AS285" s="11" t="str">
        <f t="shared" si="161"/>
        <v/>
      </c>
      <c r="AT285" s="11" t="str">
        <f t="shared" si="162"/>
        <v/>
      </c>
      <c r="AU285" s="11" t="str">
        <f>IF(AB285&lt;&gt;"",AT285-SUM($AS$28:AS285),"")</f>
        <v/>
      </c>
    </row>
    <row r="286" spans="1:47" ht="14.5" x14ac:dyDescent="0.35">
      <c r="A286" s="76" t="str">
        <f t="shared" si="133"/>
        <v/>
      </c>
      <c r="B286" s="8" t="str">
        <f t="shared" si="163"/>
        <v/>
      </c>
      <c r="C286" s="11" t="str">
        <f t="shared" si="134"/>
        <v/>
      </c>
      <c r="D286" s="11" t="str">
        <f t="shared" si="135"/>
        <v/>
      </c>
      <c r="E286" s="11" t="str">
        <f t="shared" si="136"/>
        <v/>
      </c>
      <c r="F286" s="9" t="str">
        <f t="shared" si="137"/>
        <v/>
      </c>
      <c r="G286" s="10" t="str">
        <f t="shared" si="138"/>
        <v/>
      </c>
      <c r="H286" s="10" t="str">
        <f t="shared" si="139"/>
        <v/>
      </c>
      <c r="I286" s="49" t="str">
        <f t="shared" si="140"/>
        <v/>
      </c>
      <c r="J286" s="11" t="str">
        <f t="shared" si="141"/>
        <v/>
      </c>
      <c r="K286" s="11" t="str">
        <f>IF(B286&lt;&gt;"",IF($B$16=listy!$K$8,'RZĄDOWY PROGRAM'!$F$3*'RZĄDOWY PROGRAM'!$F$15,F285*$F$15),"")</f>
        <v/>
      </c>
      <c r="L286" s="11" t="str">
        <f t="shared" si="142"/>
        <v/>
      </c>
      <c r="N286" s="55" t="str">
        <f t="shared" si="144"/>
        <v/>
      </c>
      <c r="O286" s="8" t="str">
        <f t="shared" si="164"/>
        <v/>
      </c>
      <c r="P286" s="8"/>
      <c r="Q286" s="33" t="str">
        <f>IF(O286&lt;&gt;"",ROUND(IF($F$11="raty równe",-PMT(W286/12,$F$4-O285+SUM($P$28:P286),T285,2),R286+S286),2),"")</f>
        <v/>
      </c>
      <c r="R286" s="11" t="str">
        <f>IF(O286&lt;&gt;"",IF($F$11="raty malejące",T285/($F$4-O285+SUM($P$28:P286)),IF(Q286-S286&gt;T285,T285,Q286-S286)),"")</f>
        <v/>
      </c>
      <c r="S286" s="11" t="str">
        <f t="shared" si="145"/>
        <v/>
      </c>
      <c r="T286" s="9" t="str">
        <f t="shared" si="146"/>
        <v/>
      </c>
      <c r="U286" s="10" t="str">
        <f t="shared" si="147"/>
        <v/>
      </c>
      <c r="V286" s="10" t="str">
        <f t="shared" si="148"/>
        <v/>
      </c>
      <c r="W286" s="49" t="str">
        <f t="shared" si="149"/>
        <v/>
      </c>
      <c r="X286" s="11" t="str">
        <f t="shared" si="150"/>
        <v/>
      </c>
      <c r="Y286" s="11" t="str">
        <f>IF(O286&lt;&gt;"",IF($B$16=listy!$K$8,'RZĄDOWY PROGRAM'!$F$3*'RZĄDOWY PROGRAM'!$F$15,T285*$F$15),"")</f>
        <v/>
      </c>
      <c r="Z286" s="11" t="str">
        <f t="shared" si="151"/>
        <v/>
      </c>
      <c r="AB286" s="8" t="str">
        <f t="shared" si="152"/>
        <v/>
      </c>
      <c r="AC286" s="8"/>
      <c r="AD286" s="33" t="str">
        <f>IF(AB286&lt;&gt;"",ROUND(IF($F$11="raty równe",-PMT(W286/12,$F$4-AB285+SUM($AC$28:AC286),AG285,2),AE286+AF286),2),"")</f>
        <v/>
      </c>
      <c r="AE286" s="11" t="str">
        <f>IF(AB286&lt;&gt;"",IF($F$11="raty malejące",AG285/($F$4-AB285+SUM($AC$28:AC285)),MIN(AD286-AF286,AG285)),"")</f>
        <v/>
      </c>
      <c r="AF286" s="11" t="str">
        <f t="shared" si="153"/>
        <v/>
      </c>
      <c r="AG286" s="9" t="str">
        <f t="shared" si="154"/>
        <v/>
      </c>
      <c r="AH286" s="11"/>
      <c r="AI286" s="33" t="str">
        <f>IF(AB286&lt;&gt;"",ROUND(IF($F$11="raty równe",-PMT(W286/12,($F$4-AB285+SUM($AC$27:AC285)),AG285,2),AG285/($F$4-AB285+SUM($AC$27:AC285))+AG285*W286/12),2),"")</f>
        <v/>
      </c>
      <c r="AJ286" s="33" t="str">
        <f t="shared" si="155"/>
        <v/>
      </c>
      <c r="AK286" s="33" t="str">
        <f t="shared" si="156"/>
        <v/>
      </c>
      <c r="AL286" s="33" t="str">
        <f>IF(AB286&lt;&gt;"",AK286-SUM($AJ$28:AJ286),"")</f>
        <v/>
      </c>
      <c r="AM286" s="11" t="str">
        <f t="shared" si="157"/>
        <v/>
      </c>
      <c r="AN286" s="11" t="str">
        <f>IF(AB286&lt;&gt;"",IF($B$16=listy!$K$8,'RZĄDOWY PROGRAM'!$F$3*'RZĄDOWY PROGRAM'!$F$15,AG285*$F$15),"")</f>
        <v/>
      </c>
      <c r="AO286" s="11" t="str">
        <f t="shared" si="158"/>
        <v/>
      </c>
      <c r="AQ286" s="49" t="str">
        <f t="shared" si="159"/>
        <v/>
      </c>
      <c r="AR286" s="18" t="str">
        <f t="shared" si="160"/>
        <v/>
      </c>
      <c r="AS286" s="11" t="str">
        <f t="shared" si="161"/>
        <v/>
      </c>
      <c r="AT286" s="11" t="str">
        <f t="shared" si="162"/>
        <v/>
      </c>
      <c r="AU286" s="11" t="str">
        <f>IF(AB286&lt;&gt;"",AT286-SUM($AS$28:AS286),"")</f>
        <v/>
      </c>
    </row>
    <row r="287" spans="1:47" ht="14.5" x14ac:dyDescent="0.35">
      <c r="A287" s="76" t="str">
        <f t="shared" si="133"/>
        <v/>
      </c>
      <c r="B287" s="8" t="str">
        <f t="shared" si="163"/>
        <v/>
      </c>
      <c r="C287" s="11" t="str">
        <f t="shared" si="134"/>
        <v/>
      </c>
      <c r="D287" s="11" t="str">
        <f t="shared" si="135"/>
        <v/>
      </c>
      <c r="E287" s="11" t="str">
        <f t="shared" si="136"/>
        <v/>
      </c>
      <c r="F287" s="9" t="str">
        <f t="shared" si="137"/>
        <v/>
      </c>
      <c r="G287" s="10" t="str">
        <f t="shared" si="138"/>
        <v/>
      </c>
      <c r="H287" s="10" t="str">
        <f t="shared" si="139"/>
        <v/>
      </c>
      <c r="I287" s="49" t="str">
        <f t="shared" si="140"/>
        <v/>
      </c>
      <c r="J287" s="11" t="str">
        <f t="shared" si="141"/>
        <v/>
      </c>
      <c r="K287" s="11" t="str">
        <f>IF(B287&lt;&gt;"",IF($B$16=listy!$K$8,'RZĄDOWY PROGRAM'!$F$3*'RZĄDOWY PROGRAM'!$F$15,F286*$F$15),"")</f>
        <v/>
      </c>
      <c r="L287" s="11" t="str">
        <f t="shared" si="142"/>
        <v/>
      </c>
      <c r="N287" s="55" t="str">
        <f t="shared" si="144"/>
        <v/>
      </c>
      <c r="O287" s="8" t="str">
        <f t="shared" si="164"/>
        <v/>
      </c>
      <c r="P287" s="8"/>
      <c r="Q287" s="33" t="str">
        <f>IF(O287&lt;&gt;"",ROUND(IF($F$11="raty równe",-PMT(W287/12,$F$4-O286+SUM($P$28:P287),T286,2),R287+S287),2),"")</f>
        <v/>
      </c>
      <c r="R287" s="11" t="str">
        <f>IF(O287&lt;&gt;"",IF($F$11="raty malejące",T286/($F$4-O286+SUM($P$28:P287)),IF(Q287-S287&gt;T286,T286,Q287-S287)),"")</f>
        <v/>
      </c>
      <c r="S287" s="11" t="str">
        <f t="shared" si="145"/>
        <v/>
      </c>
      <c r="T287" s="9" t="str">
        <f t="shared" si="146"/>
        <v/>
      </c>
      <c r="U287" s="10" t="str">
        <f t="shared" si="147"/>
        <v/>
      </c>
      <c r="V287" s="10" t="str">
        <f t="shared" si="148"/>
        <v/>
      </c>
      <c r="W287" s="49" t="str">
        <f t="shared" si="149"/>
        <v/>
      </c>
      <c r="X287" s="11" t="str">
        <f t="shared" si="150"/>
        <v/>
      </c>
      <c r="Y287" s="11" t="str">
        <f>IF(O287&lt;&gt;"",IF($B$16=listy!$K$8,'RZĄDOWY PROGRAM'!$F$3*'RZĄDOWY PROGRAM'!$F$15,T286*$F$15),"")</f>
        <v/>
      </c>
      <c r="Z287" s="11" t="str">
        <f t="shared" si="151"/>
        <v/>
      </c>
      <c r="AB287" s="8" t="str">
        <f t="shared" si="152"/>
        <v/>
      </c>
      <c r="AC287" s="8"/>
      <c r="AD287" s="33" t="str">
        <f>IF(AB287&lt;&gt;"",ROUND(IF($F$11="raty równe",-PMT(W287/12,$F$4-AB286+SUM($AC$28:AC287),AG286,2),AE287+AF287),2),"")</f>
        <v/>
      </c>
      <c r="AE287" s="11" t="str">
        <f>IF(AB287&lt;&gt;"",IF($F$11="raty malejące",AG286/($F$4-AB286+SUM($AC$28:AC286)),MIN(AD287-AF287,AG286)),"")</f>
        <v/>
      </c>
      <c r="AF287" s="11" t="str">
        <f t="shared" si="153"/>
        <v/>
      </c>
      <c r="AG287" s="9" t="str">
        <f t="shared" si="154"/>
        <v/>
      </c>
      <c r="AH287" s="11"/>
      <c r="AI287" s="33" t="str">
        <f>IF(AB287&lt;&gt;"",ROUND(IF($F$11="raty równe",-PMT(W287/12,($F$4-AB286+SUM($AC$27:AC286)),AG286,2),AG286/($F$4-AB286+SUM($AC$27:AC286))+AG286*W287/12),2),"")</f>
        <v/>
      </c>
      <c r="AJ287" s="33" t="str">
        <f t="shared" si="155"/>
        <v/>
      </c>
      <c r="AK287" s="33" t="str">
        <f t="shared" si="156"/>
        <v/>
      </c>
      <c r="AL287" s="33" t="str">
        <f>IF(AB287&lt;&gt;"",AK287-SUM($AJ$28:AJ287),"")</f>
        <v/>
      </c>
      <c r="AM287" s="11" t="str">
        <f t="shared" si="157"/>
        <v/>
      </c>
      <c r="AN287" s="11" t="str">
        <f>IF(AB287&lt;&gt;"",IF($B$16=listy!$K$8,'RZĄDOWY PROGRAM'!$F$3*'RZĄDOWY PROGRAM'!$F$15,AG286*$F$15),"")</f>
        <v/>
      </c>
      <c r="AO287" s="11" t="str">
        <f t="shared" si="158"/>
        <v/>
      </c>
      <c r="AQ287" s="49" t="str">
        <f t="shared" si="159"/>
        <v/>
      </c>
      <c r="AR287" s="18" t="str">
        <f t="shared" si="160"/>
        <v/>
      </c>
      <c r="AS287" s="11" t="str">
        <f t="shared" si="161"/>
        <v/>
      </c>
      <c r="AT287" s="11" t="str">
        <f t="shared" si="162"/>
        <v/>
      </c>
      <c r="AU287" s="11" t="str">
        <f>IF(AB287&lt;&gt;"",AT287-SUM($AS$28:AS287),"")</f>
        <v/>
      </c>
    </row>
    <row r="288" spans="1:47" ht="14.5" x14ac:dyDescent="0.35">
      <c r="A288" s="76" t="str">
        <f t="shared" si="133"/>
        <v/>
      </c>
      <c r="B288" s="8" t="str">
        <f t="shared" si="163"/>
        <v/>
      </c>
      <c r="C288" s="11" t="str">
        <f t="shared" si="134"/>
        <v/>
      </c>
      <c r="D288" s="11" t="str">
        <f t="shared" si="135"/>
        <v/>
      </c>
      <c r="E288" s="11" t="str">
        <f t="shared" si="136"/>
        <v/>
      </c>
      <c r="F288" s="9" t="str">
        <f t="shared" si="137"/>
        <v/>
      </c>
      <c r="G288" s="10" t="str">
        <f t="shared" si="138"/>
        <v/>
      </c>
      <c r="H288" s="10" t="str">
        <f t="shared" si="139"/>
        <v/>
      </c>
      <c r="I288" s="49" t="str">
        <f t="shared" si="140"/>
        <v/>
      </c>
      <c r="J288" s="11" t="str">
        <f t="shared" si="141"/>
        <v/>
      </c>
      <c r="K288" s="11" t="str">
        <f>IF(B288&lt;&gt;"",IF($B$16=listy!$K$8,'RZĄDOWY PROGRAM'!$F$3*'RZĄDOWY PROGRAM'!$F$15,F287*$F$15),"")</f>
        <v/>
      </c>
      <c r="L288" s="11" t="str">
        <f t="shared" si="142"/>
        <v/>
      </c>
      <c r="N288" s="55" t="str">
        <f t="shared" si="144"/>
        <v/>
      </c>
      <c r="O288" s="8" t="str">
        <f t="shared" si="164"/>
        <v/>
      </c>
      <c r="P288" s="8"/>
      <c r="Q288" s="33" t="str">
        <f>IF(O288&lt;&gt;"",ROUND(IF($F$11="raty równe",-PMT(W288/12,$F$4-O287+SUM($P$28:P288),T287,2),R288+S288),2),"")</f>
        <v/>
      </c>
      <c r="R288" s="11" t="str">
        <f>IF(O288&lt;&gt;"",IF($F$11="raty malejące",T287/($F$4-O287+SUM($P$28:P288)),IF(Q288-S288&gt;T287,T287,Q288-S288)),"")</f>
        <v/>
      </c>
      <c r="S288" s="11" t="str">
        <f t="shared" si="145"/>
        <v/>
      </c>
      <c r="T288" s="9" t="str">
        <f t="shared" si="146"/>
        <v/>
      </c>
      <c r="U288" s="10" t="str">
        <f t="shared" si="147"/>
        <v/>
      </c>
      <c r="V288" s="10" t="str">
        <f t="shared" si="148"/>
        <v/>
      </c>
      <c r="W288" s="49" t="str">
        <f t="shared" si="149"/>
        <v/>
      </c>
      <c r="X288" s="11" t="str">
        <f t="shared" si="150"/>
        <v/>
      </c>
      <c r="Y288" s="11" t="str">
        <f>IF(O288&lt;&gt;"",IF($B$16=listy!$K$8,'RZĄDOWY PROGRAM'!$F$3*'RZĄDOWY PROGRAM'!$F$15,T287*$F$15),"")</f>
        <v/>
      </c>
      <c r="Z288" s="11" t="str">
        <f t="shared" si="151"/>
        <v/>
      </c>
      <c r="AB288" s="8" t="str">
        <f t="shared" si="152"/>
        <v/>
      </c>
      <c r="AC288" s="8"/>
      <c r="AD288" s="33" t="str">
        <f>IF(AB288&lt;&gt;"",ROUND(IF($F$11="raty równe",-PMT(W288/12,$F$4-AB287+SUM($AC$28:AC288),AG287,2),AE288+AF288),2),"")</f>
        <v/>
      </c>
      <c r="AE288" s="11" t="str">
        <f>IF(AB288&lt;&gt;"",IF($F$11="raty malejące",AG287/($F$4-AB287+SUM($AC$28:AC287)),MIN(AD288-AF288,AG287)),"")</f>
        <v/>
      </c>
      <c r="AF288" s="11" t="str">
        <f t="shared" si="153"/>
        <v/>
      </c>
      <c r="AG288" s="9" t="str">
        <f t="shared" si="154"/>
        <v/>
      </c>
      <c r="AH288" s="11"/>
      <c r="AI288" s="33" t="str">
        <f>IF(AB288&lt;&gt;"",ROUND(IF($F$11="raty równe",-PMT(W288/12,($F$4-AB287+SUM($AC$27:AC287)),AG287,2),AG287/($F$4-AB287+SUM($AC$27:AC287))+AG287*W288/12),2),"")</f>
        <v/>
      </c>
      <c r="AJ288" s="33" t="str">
        <f t="shared" si="155"/>
        <v/>
      </c>
      <c r="AK288" s="33" t="str">
        <f t="shared" si="156"/>
        <v/>
      </c>
      <c r="AL288" s="33" t="str">
        <f>IF(AB288&lt;&gt;"",AK288-SUM($AJ$28:AJ288),"")</f>
        <v/>
      </c>
      <c r="AM288" s="11" t="str">
        <f t="shared" si="157"/>
        <v/>
      </c>
      <c r="AN288" s="11" t="str">
        <f>IF(AB288&lt;&gt;"",IF($B$16=listy!$K$8,'RZĄDOWY PROGRAM'!$F$3*'RZĄDOWY PROGRAM'!$F$15,AG287*$F$15),"")</f>
        <v/>
      </c>
      <c r="AO288" s="11" t="str">
        <f t="shared" si="158"/>
        <v/>
      </c>
      <c r="AQ288" s="49" t="str">
        <f t="shared" si="159"/>
        <v/>
      </c>
      <c r="AR288" s="18" t="str">
        <f t="shared" si="160"/>
        <v/>
      </c>
      <c r="AS288" s="11" t="str">
        <f t="shared" si="161"/>
        <v/>
      </c>
      <c r="AT288" s="11" t="str">
        <f t="shared" si="162"/>
        <v/>
      </c>
      <c r="AU288" s="11" t="str">
        <f>IF(AB288&lt;&gt;"",AT288-SUM($AS$28:AS288),"")</f>
        <v/>
      </c>
    </row>
    <row r="289" spans="1:47" ht="14.5" x14ac:dyDescent="0.35">
      <c r="A289" s="76" t="str">
        <f t="shared" si="133"/>
        <v/>
      </c>
      <c r="B289" s="8" t="str">
        <f t="shared" si="163"/>
        <v/>
      </c>
      <c r="C289" s="11" t="str">
        <f t="shared" si="134"/>
        <v/>
      </c>
      <c r="D289" s="11" t="str">
        <f t="shared" si="135"/>
        <v/>
      </c>
      <c r="E289" s="11" t="str">
        <f t="shared" si="136"/>
        <v/>
      </c>
      <c r="F289" s="9" t="str">
        <f t="shared" si="137"/>
        <v/>
      </c>
      <c r="G289" s="10" t="str">
        <f t="shared" si="138"/>
        <v/>
      </c>
      <c r="H289" s="10" t="str">
        <f t="shared" si="139"/>
        <v/>
      </c>
      <c r="I289" s="49" t="str">
        <f t="shared" si="140"/>
        <v/>
      </c>
      <c r="J289" s="11" t="str">
        <f t="shared" si="141"/>
        <v/>
      </c>
      <c r="K289" s="11" t="str">
        <f>IF(B289&lt;&gt;"",IF($B$16=listy!$K$8,'RZĄDOWY PROGRAM'!$F$3*'RZĄDOWY PROGRAM'!$F$15,F288*$F$15),"")</f>
        <v/>
      </c>
      <c r="L289" s="11" t="str">
        <f t="shared" si="142"/>
        <v/>
      </c>
      <c r="N289" s="55" t="str">
        <f t="shared" si="144"/>
        <v/>
      </c>
      <c r="O289" s="8" t="str">
        <f t="shared" si="164"/>
        <v/>
      </c>
      <c r="P289" s="8"/>
      <c r="Q289" s="33" t="str">
        <f>IF(O289&lt;&gt;"",ROUND(IF($F$11="raty równe",-PMT(W289/12,$F$4-O288+SUM($P$28:P289),T288,2),R289+S289),2),"")</f>
        <v/>
      </c>
      <c r="R289" s="11" t="str">
        <f>IF(O289&lt;&gt;"",IF($F$11="raty malejące",T288/($F$4-O288+SUM($P$28:P289)),IF(Q289-S289&gt;T288,T288,Q289-S289)),"")</f>
        <v/>
      </c>
      <c r="S289" s="11" t="str">
        <f t="shared" si="145"/>
        <v/>
      </c>
      <c r="T289" s="9" t="str">
        <f t="shared" si="146"/>
        <v/>
      </c>
      <c r="U289" s="10" t="str">
        <f t="shared" si="147"/>
        <v/>
      </c>
      <c r="V289" s="10" t="str">
        <f t="shared" si="148"/>
        <v/>
      </c>
      <c r="W289" s="49" t="str">
        <f t="shared" si="149"/>
        <v/>
      </c>
      <c r="X289" s="11" t="str">
        <f t="shared" si="150"/>
        <v/>
      </c>
      <c r="Y289" s="11" t="str">
        <f>IF(O289&lt;&gt;"",IF($B$16=listy!$K$8,'RZĄDOWY PROGRAM'!$F$3*'RZĄDOWY PROGRAM'!$F$15,T288*$F$15),"")</f>
        <v/>
      </c>
      <c r="Z289" s="11" t="str">
        <f t="shared" si="151"/>
        <v/>
      </c>
      <c r="AB289" s="8" t="str">
        <f t="shared" si="152"/>
        <v/>
      </c>
      <c r="AC289" s="8"/>
      <c r="AD289" s="33" t="str">
        <f>IF(AB289&lt;&gt;"",ROUND(IF($F$11="raty równe",-PMT(W289/12,$F$4-AB288+SUM($AC$28:AC289),AG288,2),AE289+AF289),2),"")</f>
        <v/>
      </c>
      <c r="AE289" s="11" t="str">
        <f>IF(AB289&lt;&gt;"",IF($F$11="raty malejące",AG288/($F$4-AB288+SUM($AC$28:AC288)),MIN(AD289-AF289,AG288)),"")</f>
        <v/>
      </c>
      <c r="AF289" s="11" t="str">
        <f t="shared" si="153"/>
        <v/>
      </c>
      <c r="AG289" s="9" t="str">
        <f t="shared" si="154"/>
        <v/>
      </c>
      <c r="AH289" s="11"/>
      <c r="AI289" s="33" t="str">
        <f>IF(AB289&lt;&gt;"",ROUND(IF($F$11="raty równe",-PMT(W289/12,($F$4-AB288+SUM($AC$27:AC288)),AG288,2),AG288/($F$4-AB288+SUM($AC$27:AC288))+AG288*W289/12),2),"")</f>
        <v/>
      </c>
      <c r="AJ289" s="33" t="str">
        <f t="shared" si="155"/>
        <v/>
      </c>
      <c r="AK289" s="33" t="str">
        <f t="shared" si="156"/>
        <v/>
      </c>
      <c r="AL289" s="33" t="str">
        <f>IF(AB289&lt;&gt;"",AK289-SUM($AJ$28:AJ289),"")</f>
        <v/>
      </c>
      <c r="AM289" s="11" t="str">
        <f t="shared" si="157"/>
        <v/>
      </c>
      <c r="AN289" s="11" t="str">
        <f>IF(AB289&lt;&gt;"",IF($B$16=listy!$K$8,'RZĄDOWY PROGRAM'!$F$3*'RZĄDOWY PROGRAM'!$F$15,AG288*$F$15),"")</f>
        <v/>
      </c>
      <c r="AO289" s="11" t="str">
        <f t="shared" si="158"/>
        <v/>
      </c>
      <c r="AQ289" s="49" t="str">
        <f t="shared" si="159"/>
        <v/>
      </c>
      <c r="AR289" s="18" t="str">
        <f t="shared" si="160"/>
        <v/>
      </c>
      <c r="AS289" s="11" t="str">
        <f t="shared" si="161"/>
        <v/>
      </c>
      <c r="AT289" s="11" t="str">
        <f t="shared" si="162"/>
        <v/>
      </c>
      <c r="AU289" s="11" t="str">
        <f>IF(AB289&lt;&gt;"",AT289-SUM($AS$28:AS289),"")</f>
        <v/>
      </c>
    </row>
    <row r="290" spans="1:47" ht="14.5" x14ac:dyDescent="0.35">
      <c r="A290" s="76" t="str">
        <f t="shared" si="133"/>
        <v/>
      </c>
      <c r="B290" s="8" t="str">
        <f t="shared" si="163"/>
        <v/>
      </c>
      <c r="C290" s="11" t="str">
        <f t="shared" si="134"/>
        <v/>
      </c>
      <c r="D290" s="11" t="str">
        <f t="shared" si="135"/>
        <v/>
      </c>
      <c r="E290" s="11" t="str">
        <f t="shared" si="136"/>
        <v/>
      </c>
      <c r="F290" s="9" t="str">
        <f t="shared" si="137"/>
        <v/>
      </c>
      <c r="G290" s="10" t="str">
        <f t="shared" si="138"/>
        <v/>
      </c>
      <c r="H290" s="10" t="str">
        <f t="shared" si="139"/>
        <v/>
      </c>
      <c r="I290" s="49" t="str">
        <f t="shared" si="140"/>
        <v/>
      </c>
      <c r="J290" s="11" t="str">
        <f t="shared" si="141"/>
        <v/>
      </c>
      <c r="K290" s="11" t="str">
        <f>IF(B290&lt;&gt;"",IF($B$16=listy!$K$8,'RZĄDOWY PROGRAM'!$F$3*'RZĄDOWY PROGRAM'!$F$15,F289*$F$15),"")</f>
        <v/>
      </c>
      <c r="L290" s="11" t="str">
        <f t="shared" si="142"/>
        <v/>
      </c>
      <c r="N290" s="55" t="str">
        <f t="shared" si="144"/>
        <v/>
      </c>
      <c r="O290" s="8" t="str">
        <f t="shared" si="164"/>
        <v/>
      </c>
      <c r="P290" s="8"/>
      <c r="Q290" s="33" t="str">
        <f>IF(O290&lt;&gt;"",ROUND(IF($F$11="raty równe",-PMT(W290/12,$F$4-O289+SUM($P$28:P290),T289,2),R290+S290),2),"")</f>
        <v/>
      </c>
      <c r="R290" s="11" t="str">
        <f>IF(O290&lt;&gt;"",IF($F$11="raty malejące",T289/($F$4-O289+SUM($P$28:P290)),IF(Q290-S290&gt;T289,T289,Q290-S290)),"")</f>
        <v/>
      </c>
      <c r="S290" s="11" t="str">
        <f t="shared" si="145"/>
        <v/>
      </c>
      <c r="T290" s="9" t="str">
        <f t="shared" si="146"/>
        <v/>
      </c>
      <c r="U290" s="10" t="str">
        <f t="shared" si="147"/>
        <v/>
      </c>
      <c r="V290" s="10" t="str">
        <f t="shared" si="148"/>
        <v/>
      </c>
      <c r="W290" s="49" t="str">
        <f t="shared" si="149"/>
        <v/>
      </c>
      <c r="X290" s="11" t="str">
        <f t="shared" si="150"/>
        <v/>
      </c>
      <c r="Y290" s="11" t="str">
        <f>IF(O290&lt;&gt;"",IF($B$16=listy!$K$8,'RZĄDOWY PROGRAM'!$F$3*'RZĄDOWY PROGRAM'!$F$15,T289*$F$15),"")</f>
        <v/>
      </c>
      <c r="Z290" s="11" t="str">
        <f t="shared" si="151"/>
        <v/>
      </c>
      <c r="AB290" s="8" t="str">
        <f t="shared" si="152"/>
        <v/>
      </c>
      <c r="AC290" s="8"/>
      <c r="AD290" s="33" t="str">
        <f>IF(AB290&lt;&gt;"",ROUND(IF($F$11="raty równe",-PMT(W290/12,$F$4-AB289+SUM($AC$28:AC290),AG289,2),AE290+AF290),2),"")</f>
        <v/>
      </c>
      <c r="AE290" s="11" t="str">
        <f>IF(AB290&lt;&gt;"",IF($F$11="raty malejące",AG289/($F$4-AB289+SUM($AC$28:AC289)),MIN(AD290-AF290,AG289)),"")</f>
        <v/>
      </c>
      <c r="AF290" s="11" t="str">
        <f t="shared" si="153"/>
        <v/>
      </c>
      <c r="AG290" s="9" t="str">
        <f t="shared" si="154"/>
        <v/>
      </c>
      <c r="AH290" s="11"/>
      <c r="AI290" s="33" t="str">
        <f>IF(AB290&lt;&gt;"",ROUND(IF($F$11="raty równe",-PMT(W290/12,($F$4-AB289+SUM($AC$27:AC289)),AG289,2),AG289/($F$4-AB289+SUM($AC$27:AC289))+AG289*W290/12),2),"")</f>
        <v/>
      </c>
      <c r="AJ290" s="33" t="str">
        <f t="shared" si="155"/>
        <v/>
      </c>
      <c r="AK290" s="33" t="str">
        <f t="shared" si="156"/>
        <v/>
      </c>
      <c r="AL290" s="33" t="str">
        <f>IF(AB290&lt;&gt;"",AK290-SUM($AJ$28:AJ290),"")</f>
        <v/>
      </c>
      <c r="AM290" s="11" t="str">
        <f t="shared" si="157"/>
        <v/>
      </c>
      <c r="AN290" s="11" t="str">
        <f>IF(AB290&lt;&gt;"",IF($B$16=listy!$K$8,'RZĄDOWY PROGRAM'!$F$3*'RZĄDOWY PROGRAM'!$F$15,AG289*$F$15),"")</f>
        <v/>
      </c>
      <c r="AO290" s="11" t="str">
        <f t="shared" si="158"/>
        <v/>
      </c>
      <c r="AQ290" s="49" t="str">
        <f t="shared" si="159"/>
        <v/>
      </c>
      <c r="AR290" s="18" t="str">
        <f t="shared" si="160"/>
        <v/>
      </c>
      <c r="AS290" s="11" t="str">
        <f t="shared" si="161"/>
        <v/>
      </c>
      <c r="AT290" s="11" t="str">
        <f t="shared" si="162"/>
        <v/>
      </c>
      <c r="AU290" s="11" t="str">
        <f>IF(AB290&lt;&gt;"",AT290-SUM($AS$28:AS290),"")</f>
        <v/>
      </c>
    </row>
    <row r="291" spans="1:47" ht="14.5" x14ac:dyDescent="0.35">
      <c r="A291" s="76" t="str">
        <f t="shared" si="133"/>
        <v/>
      </c>
      <c r="B291" s="8" t="str">
        <f t="shared" si="163"/>
        <v/>
      </c>
      <c r="C291" s="11" t="str">
        <f t="shared" si="134"/>
        <v/>
      </c>
      <c r="D291" s="11" t="str">
        <f t="shared" si="135"/>
        <v/>
      </c>
      <c r="E291" s="11" t="str">
        <f t="shared" si="136"/>
        <v/>
      </c>
      <c r="F291" s="9" t="str">
        <f t="shared" si="137"/>
        <v/>
      </c>
      <c r="G291" s="10" t="str">
        <f t="shared" si="138"/>
        <v/>
      </c>
      <c r="H291" s="10" t="str">
        <f t="shared" si="139"/>
        <v/>
      </c>
      <c r="I291" s="49" t="str">
        <f t="shared" si="140"/>
        <v/>
      </c>
      <c r="J291" s="11" t="str">
        <f t="shared" si="141"/>
        <v/>
      </c>
      <c r="K291" s="11" t="str">
        <f>IF(B291&lt;&gt;"",IF($B$16=listy!$K$8,'RZĄDOWY PROGRAM'!$F$3*'RZĄDOWY PROGRAM'!$F$15,F290*$F$15),"")</f>
        <v/>
      </c>
      <c r="L291" s="11" t="str">
        <f t="shared" si="142"/>
        <v/>
      </c>
      <c r="N291" s="55" t="str">
        <f t="shared" si="144"/>
        <v/>
      </c>
      <c r="O291" s="8" t="str">
        <f t="shared" si="164"/>
        <v/>
      </c>
      <c r="P291" s="8"/>
      <c r="Q291" s="33" t="str">
        <f>IF(O291&lt;&gt;"",ROUND(IF($F$11="raty równe",-PMT(W291/12,$F$4-O290+SUM($P$28:P291),T290,2),R291+S291),2),"")</f>
        <v/>
      </c>
      <c r="R291" s="11" t="str">
        <f>IF(O291&lt;&gt;"",IF($F$11="raty malejące",T290/($F$4-O290+SUM($P$28:P291)),IF(Q291-S291&gt;T290,T290,Q291-S291)),"")</f>
        <v/>
      </c>
      <c r="S291" s="11" t="str">
        <f t="shared" si="145"/>
        <v/>
      </c>
      <c r="T291" s="9" t="str">
        <f t="shared" si="146"/>
        <v/>
      </c>
      <c r="U291" s="10" t="str">
        <f t="shared" si="147"/>
        <v/>
      </c>
      <c r="V291" s="10" t="str">
        <f t="shared" si="148"/>
        <v/>
      </c>
      <c r="W291" s="49" t="str">
        <f t="shared" si="149"/>
        <v/>
      </c>
      <c r="X291" s="11" t="str">
        <f t="shared" si="150"/>
        <v/>
      </c>
      <c r="Y291" s="11" t="str">
        <f>IF(O291&lt;&gt;"",IF($B$16=listy!$K$8,'RZĄDOWY PROGRAM'!$F$3*'RZĄDOWY PROGRAM'!$F$15,T290*$F$15),"")</f>
        <v/>
      </c>
      <c r="Z291" s="11" t="str">
        <f t="shared" si="151"/>
        <v/>
      </c>
      <c r="AB291" s="8" t="str">
        <f t="shared" si="152"/>
        <v/>
      </c>
      <c r="AC291" s="8"/>
      <c r="AD291" s="33" t="str">
        <f>IF(AB291&lt;&gt;"",ROUND(IF($F$11="raty równe",-PMT(W291/12,$F$4-AB290+SUM($AC$28:AC291),AG290,2),AE291+AF291),2),"")</f>
        <v/>
      </c>
      <c r="AE291" s="11" t="str">
        <f>IF(AB291&lt;&gt;"",IF($F$11="raty malejące",AG290/($F$4-AB290+SUM($AC$28:AC290)),MIN(AD291-AF291,AG290)),"")</f>
        <v/>
      </c>
      <c r="AF291" s="11" t="str">
        <f t="shared" si="153"/>
        <v/>
      </c>
      <c r="AG291" s="9" t="str">
        <f t="shared" si="154"/>
        <v/>
      </c>
      <c r="AH291" s="11"/>
      <c r="AI291" s="33" t="str">
        <f>IF(AB291&lt;&gt;"",ROUND(IF($F$11="raty równe",-PMT(W291/12,($F$4-AB290+SUM($AC$27:AC290)),AG290,2),AG290/($F$4-AB290+SUM($AC$27:AC290))+AG290*W291/12),2),"")</f>
        <v/>
      </c>
      <c r="AJ291" s="33" t="str">
        <f t="shared" si="155"/>
        <v/>
      </c>
      <c r="AK291" s="33" t="str">
        <f t="shared" si="156"/>
        <v/>
      </c>
      <c r="AL291" s="33" t="str">
        <f>IF(AB291&lt;&gt;"",AK291-SUM($AJ$28:AJ291),"")</f>
        <v/>
      </c>
      <c r="AM291" s="11" t="str">
        <f t="shared" si="157"/>
        <v/>
      </c>
      <c r="AN291" s="11" t="str">
        <f>IF(AB291&lt;&gt;"",IF($B$16=listy!$K$8,'RZĄDOWY PROGRAM'!$F$3*'RZĄDOWY PROGRAM'!$F$15,AG290*$F$15),"")</f>
        <v/>
      </c>
      <c r="AO291" s="11" t="str">
        <f t="shared" si="158"/>
        <v/>
      </c>
      <c r="AQ291" s="49" t="str">
        <f t="shared" si="159"/>
        <v/>
      </c>
      <c r="AR291" s="18" t="str">
        <f t="shared" si="160"/>
        <v/>
      </c>
      <c r="AS291" s="11" t="str">
        <f t="shared" si="161"/>
        <v/>
      </c>
      <c r="AT291" s="11" t="str">
        <f t="shared" si="162"/>
        <v/>
      </c>
      <c r="AU291" s="11" t="str">
        <f>IF(AB291&lt;&gt;"",AT291-SUM($AS$28:AS291),"")</f>
        <v/>
      </c>
    </row>
    <row r="292" spans="1:47" ht="14.5" x14ac:dyDescent="0.35">
      <c r="A292" s="76" t="str">
        <f t="shared" si="133"/>
        <v/>
      </c>
      <c r="B292" s="8" t="str">
        <f t="shared" si="163"/>
        <v/>
      </c>
      <c r="C292" s="11" t="str">
        <f t="shared" si="134"/>
        <v/>
      </c>
      <c r="D292" s="11" t="str">
        <f t="shared" si="135"/>
        <v/>
      </c>
      <c r="E292" s="11" t="str">
        <f t="shared" si="136"/>
        <v/>
      </c>
      <c r="F292" s="9" t="str">
        <f t="shared" si="137"/>
        <v/>
      </c>
      <c r="G292" s="10" t="str">
        <f t="shared" si="138"/>
        <v/>
      </c>
      <c r="H292" s="10" t="str">
        <f t="shared" si="139"/>
        <v/>
      </c>
      <c r="I292" s="49" t="str">
        <f t="shared" si="140"/>
        <v/>
      </c>
      <c r="J292" s="11" t="str">
        <f t="shared" si="141"/>
        <v/>
      </c>
      <c r="K292" s="11" t="str">
        <f>IF(B292&lt;&gt;"",IF($B$16=listy!$K$8,'RZĄDOWY PROGRAM'!$F$3*'RZĄDOWY PROGRAM'!$F$15,F291*$F$15),"")</f>
        <v/>
      </c>
      <c r="L292" s="11" t="str">
        <f t="shared" si="142"/>
        <v/>
      </c>
      <c r="N292" s="55" t="str">
        <f t="shared" si="144"/>
        <v/>
      </c>
      <c r="O292" s="8" t="str">
        <f t="shared" si="164"/>
        <v/>
      </c>
      <c r="P292" s="8"/>
      <c r="Q292" s="33" t="str">
        <f>IF(O292&lt;&gt;"",ROUND(IF($F$11="raty równe",-PMT(W292/12,$F$4-O291+SUM($P$28:P292),T291,2),R292+S292),2),"")</f>
        <v/>
      </c>
      <c r="R292" s="11" t="str">
        <f>IF(O292&lt;&gt;"",IF($F$11="raty malejące",T291/($F$4-O291+SUM($P$28:P292)),IF(Q292-S292&gt;T291,T291,Q292-S292)),"")</f>
        <v/>
      </c>
      <c r="S292" s="11" t="str">
        <f t="shared" si="145"/>
        <v/>
      </c>
      <c r="T292" s="9" t="str">
        <f t="shared" si="146"/>
        <v/>
      </c>
      <c r="U292" s="10" t="str">
        <f t="shared" si="147"/>
        <v/>
      </c>
      <c r="V292" s="10" t="str">
        <f t="shared" si="148"/>
        <v/>
      </c>
      <c r="W292" s="49" t="str">
        <f t="shared" si="149"/>
        <v/>
      </c>
      <c r="X292" s="11" t="str">
        <f t="shared" si="150"/>
        <v/>
      </c>
      <c r="Y292" s="11" t="str">
        <f>IF(O292&lt;&gt;"",IF($B$16=listy!$K$8,'RZĄDOWY PROGRAM'!$F$3*'RZĄDOWY PROGRAM'!$F$15,T291*$F$15),"")</f>
        <v/>
      </c>
      <c r="Z292" s="11" t="str">
        <f t="shared" si="151"/>
        <v/>
      </c>
      <c r="AB292" s="8" t="str">
        <f t="shared" si="152"/>
        <v/>
      </c>
      <c r="AC292" s="8"/>
      <c r="AD292" s="33" t="str">
        <f>IF(AB292&lt;&gt;"",ROUND(IF($F$11="raty równe",-PMT(W292/12,$F$4-AB291+SUM($AC$28:AC292),AG291,2),AE292+AF292),2),"")</f>
        <v/>
      </c>
      <c r="AE292" s="11" t="str">
        <f>IF(AB292&lt;&gt;"",IF($F$11="raty malejące",AG291/($F$4-AB291+SUM($AC$28:AC291)),MIN(AD292-AF292,AG291)),"")</f>
        <v/>
      </c>
      <c r="AF292" s="11" t="str">
        <f t="shared" si="153"/>
        <v/>
      </c>
      <c r="AG292" s="9" t="str">
        <f t="shared" si="154"/>
        <v/>
      </c>
      <c r="AH292" s="11"/>
      <c r="AI292" s="33" t="str">
        <f>IF(AB292&lt;&gt;"",ROUND(IF($F$11="raty równe",-PMT(W292/12,($F$4-AB291+SUM($AC$27:AC291)),AG291,2),AG291/($F$4-AB291+SUM($AC$27:AC291))+AG291*W292/12),2),"")</f>
        <v/>
      </c>
      <c r="AJ292" s="33" t="str">
        <f t="shared" si="155"/>
        <v/>
      </c>
      <c r="AK292" s="33" t="str">
        <f t="shared" si="156"/>
        <v/>
      </c>
      <c r="AL292" s="33" t="str">
        <f>IF(AB292&lt;&gt;"",AK292-SUM($AJ$28:AJ292),"")</f>
        <v/>
      </c>
      <c r="AM292" s="11" t="str">
        <f t="shared" si="157"/>
        <v/>
      </c>
      <c r="AN292" s="11" t="str">
        <f>IF(AB292&lt;&gt;"",IF($B$16=listy!$K$8,'RZĄDOWY PROGRAM'!$F$3*'RZĄDOWY PROGRAM'!$F$15,AG291*$F$15),"")</f>
        <v/>
      </c>
      <c r="AO292" s="11" t="str">
        <f t="shared" si="158"/>
        <v/>
      </c>
      <c r="AQ292" s="49" t="str">
        <f t="shared" si="159"/>
        <v/>
      </c>
      <c r="AR292" s="18" t="str">
        <f t="shared" si="160"/>
        <v/>
      </c>
      <c r="AS292" s="11" t="str">
        <f t="shared" si="161"/>
        <v/>
      </c>
      <c r="AT292" s="11" t="str">
        <f t="shared" si="162"/>
        <v/>
      </c>
      <c r="AU292" s="11" t="str">
        <f>IF(AB292&lt;&gt;"",AT292-SUM($AS$28:AS292),"")</f>
        <v/>
      </c>
    </row>
    <row r="293" spans="1:47" ht="14.5" x14ac:dyDescent="0.35">
      <c r="A293" s="76" t="str">
        <f t="shared" si="133"/>
        <v/>
      </c>
      <c r="B293" s="8" t="str">
        <f t="shared" si="163"/>
        <v/>
      </c>
      <c r="C293" s="11" t="str">
        <f t="shared" si="134"/>
        <v/>
      </c>
      <c r="D293" s="11" t="str">
        <f t="shared" si="135"/>
        <v/>
      </c>
      <c r="E293" s="11" t="str">
        <f t="shared" si="136"/>
        <v/>
      </c>
      <c r="F293" s="9" t="str">
        <f t="shared" si="137"/>
        <v/>
      </c>
      <c r="G293" s="10" t="str">
        <f t="shared" si="138"/>
        <v/>
      </c>
      <c r="H293" s="10" t="str">
        <f t="shared" si="139"/>
        <v/>
      </c>
      <c r="I293" s="49" t="str">
        <f t="shared" si="140"/>
        <v/>
      </c>
      <c r="J293" s="11" t="str">
        <f t="shared" si="141"/>
        <v/>
      </c>
      <c r="K293" s="11" t="str">
        <f>IF(B293&lt;&gt;"",IF($B$16=listy!$K$8,'RZĄDOWY PROGRAM'!$F$3*'RZĄDOWY PROGRAM'!$F$15,F292*$F$15),"")</f>
        <v/>
      </c>
      <c r="L293" s="11" t="str">
        <f t="shared" si="142"/>
        <v/>
      </c>
      <c r="N293" s="55" t="str">
        <f t="shared" si="144"/>
        <v/>
      </c>
      <c r="O293" s="8" t="str">
        <f t="shared" si="164"/>
        <v/>
      </c>
      <c r="P293" s="8"/>
      <c r="Q293" s="33" t="str">
        <f>IF(O293&lt;&gt;"",ROUND(IF($F$11="raty równe",-PMT(W293/12,$F$4-O292+SUM($P$28:P293),T292,2),R293+S293),2),"")</f>
        <v/>
      </c>
      <c r="R293" s="11" t="str">
        <f>IF(O293&lt;&gt;"",IF($F$11="raty malejące",T292/($F$4-O292+SUM($P$28:P293)),IF(Q293-S293&gt;T292,T292,Q293-S293)),"")</f>
        <v/>
      </c>
      <c r="S293" s="11" t="str">
        <f t="shared" si="145"/>
        <v/>
      </c>
      <c r="T293" s="9" t="str">
        <f t="shared" si="146"/>
        <v/>
      </c>
      <c r="U293" s="10" t="str">
        <f t="shared" si="147"/>
        <v/>
      </c>
      <c r="V293" s="10" t="str">
        <f t="shared" si="148"/>
        <v/>
      </c>
      <c r="W293" s="49" t="str">
        <f t="shared" si="149"/>
        <v/>
      </c>
      <c r="X293" s="11" t="str">
        <f t="shared" si="150"/>
        <v/>
      </c>
      <c r="Y293" s="11" t="str">
        <f>IF(O293&lt;&gt;"",IF($B$16=listy!$K$8,'RZĄDOWY PROGRAM'!$F$3*'RZĄDOWY PROGRAM'!$F$15,T292*$F$15),"")</f>
        <v/>
      </c>
      <c r="Z293" s="11" t="str">
        <f t="shared" si="151"/>
        <v/>
      </c>
      <c r="AB293" s="8" t="str">
        <f t="shared" si="152"/>
        <v/>
      </c>
      <c r="AC293" s="8"/>
      <c r="AD293" s="33" t="str">
        <f>IF(AB293&lt;&gt;"",ROUND(IF($F$11="raty równe",-PMT(W293/12,$F$4-AB292+SUM($AC$28:AC293),AG292,2),AE293+AF293),2),"")</f>
        <v/>
      </c>
      <c r="AE293" s="11" t="str">
        <f>IF(AB293&lt;&gt;"",IF($F$11="raty malejące",AG292/($F$4-AB292+SUM($AC$28:AC292)),MIN(AD293-AF293,AG292)),"")</f>
        <v/>
      </c>
      <c r="AF293" s="11" t="str">
        <f t="shared" si="153"/>
        <v/>
      </c>
      <c r="AG293" s="9" t="str">
        <f t="shared" si="154"/>
        <v/>
      </c>
      <c r="AH293" s="11"/>
      <c r="AI293" s="33" t="str">
        <f>IF(AB293&lt;&gt;"",ROUND(IF($F$11="raty równe",-PMT(W293/12,($F$4-AB292+SUM($AC$27:AC292)),AG292,2),AG292/($F$4-AB292+SUM($AC$27:AC292))+AG292*W293/12),2),"")</f>
        <v/>
      </c>
      <c r="AJ293" s="33" t="str">
        <f t="shared" si="155"/>
        <v/>
      </c>
      <c r="AK293" s="33" t="str">
        <f t="shared" si="156"/>
        <v/>
      </c>
      <c r="AL293" s="33" t="str">
        <f>IF(AB293&lt;&gt;"",AK293-SUM($AJ$28:AJ293),"")</f>
        <v/>
      </c>
      <c r="AM293" s="11" t="str">
        <f t="shared" si="157"/>
        <v/>
      </c>
      <c r="AN293" s="11" t="str">
        <f>IF(AB293&lt;&gt;"",IF($B$16=listy!$K$8,'RZĄDOWY PROGRAM'!$F$3*'RZĄDOWY PROGRAM'!$F$15,AG292*$F$15),"")</f>
        <v/>
      </c>
      <c r="AO293" s="11" t="str">
        <f t="shared" si="158"/>
        <v/>
      </c>
      <c r="AQ293" s="49" t="str">
        <f t="shared" si="159"/>
        <v/>
      </c>
      <c r="AR293" s="18" t="str">
        <f t="shared" si="160"/>
        <v/>
      </c>
      <c r="AS293" s="11" t="str">
        <f t="shared" si="161"/>
        <v/>
      </c>
      <c r="AT293" s="11" t="str">
        <f t="shared" si="162"/>
        <v/>
      </c>
      <c r="AU293" s="11" t="str">
        <f>IF(AB293&lt;&gt;"",AT293-SUM($AS$28:AS293),"")</f>
        <v/>
      </c>
    </row>
    <row r="294" spans="1:47" ht="14.5" x14ac:dyDescent="0.35">
      <c r="A294" s="76" t="str">
        <f t="shared" si="133"/>
        <v/>
      </c>
      <c r="B294" s="8" t="str">
        <f t="shared" si="163"/>
        <v/>
      </c>
      <c r="C294" s="11" t="str">
        <f t="shared" si="134"/>
        <v/>
      </c>
      <c r="D294" s="11" t="str">
        <f t="shared" si="135"/>
        <v/>
      </c>
      <c r="E294" s="11" t="str">
        <f t="shared" si="136"/>
        <v/>
      </c>
      <c r="F294" s="9" t="str">
        <f t="shared" si="137"/>
        <v/>
      </c>
      <c r="G294" s="10" t="str">
        <f t="shared" si="138"/>
        <v/>
      </c>
      <c r="H294" s="10" t="str">
        <f t="shared" si="139"/>
        <v/>
      </c>
      <c r="I294" s="49" t="str">
        <f t="shared" si="140"/>
        <v/>
      </c>
      <c r="J294" s="11" t="str">
        <f t="shared" si="141"/>
        <v/>
      </c>
      <c r="K294" s="11" t="str">
        <f>IF(B294&lt;&gt;"",IF($B$16=listy!$K$8,'RZĄDOWY PROGRAM'!$F$3*'RZĄDOWY PROGRAM'!$F$15,F293*$F$15),"")</f>
        <v/>
      </c>
      <c r="L294" s="11" t="str">
        <f t="shared" si="142"/>
        <v/>
      </c>
      <c r="N294" s="55" t="str">
        <f t="shared" si="144"/>
        <v/>
      </c>
      <c r="O294" s="8" t="str">
        <f t="shared" si="164"/>
        <v/>
      </c>
      <c r="P294" s="8"/>
      <c r="Q294" s="33" t="str">
        <f>IF(O294&lt;&gt;"",ROUND(IF($F$11="raty równe",-PMT(W294/12,$F$4-O293+SUM($P$28:P294),T293,2),R294+S294),2),"")</f>
        <v/>
      </c>
      <c r="R294" s="11" t="str">
        <f>IF(O294&lt;&gt;"",IF($F$11="raty malejące",T293/($F$4-O293+SUM($P$28:P294)),IF(Q294-S294&gt;T293,T293,Q294-S294)),"")</f>
        <v/>
      </c>
      <c r="S294" s="11" t="str">
        <f t="shared" si="145"/>
        <v/>
      </c>
      <c r="T294" s="9" t="str">
        <f t="shared" si="146"/>
        <v/>
      </c>
      <c r="U294" s="10" t="str">
        <f t="shared" si="147"/>
        <v/>
      </c>
      <c r="V294" s="10" t="str">
        <f t="shared" si="148"/>
        <v/>
      </c>
      <c r="W294" s="49" t="str">
        <f t="shared" si="149"/>
        <v/>
      </c>
      <c r="X294" s="11" t="str">
        <f t="shared" si="150"/>
        <v/>
      </c>
      <c r="Y294" s="11" t="str">
        <f>IF(O294&lt;&gt;"",IF($B$16=listy!$K$8,'RZĄDOWY PROGRAM'!$F$3*'RZĄDOWY PROGRAM'!$F$15,T293*$F$15),"")</f>
        <v/>
      </c>
      <c r="Z294" s="11" t="str">
        <f t="shared" si="151"/>
        <v/>
      </c>
      <c r="AB294" s="8" t="str">
        <f t="shared" si="152"/>
        <v/>
      </c>
      <c r="AC294" s="8"/>
      <c r="AD294" s="33" t="str">
        <f>IF(AB294&lt;&gt;"",ROUND(IF($F$11="raty równe",-PMT(W294/12,$F$4-AB293+SUM($AC$28:AC294),AG293,2),AE294+AF294),2),"")</f>
        <v/>
      </c>
      <c r="AE294" s="11" t="str">
        <f>IF(AB294&lt;&gt;"",IF($F$11="raty malejące",AG293/($F$4-AB293+SUM($AC$28:AC293)),MIN(AD294-AF294,AG293)),"")</f>
        <v/>
      </c>
      <c r="AF294" s="11" t="str">
        <f t="shared" si="153"/>
        <v/>
      </c>
      <c r="AG294" s="9" t="str">
        <f t="shared" si="154"/>
        <v/>
      </c>
      <c r="AH294" s="11"/>
      <c r="AI294" s="33" t="str">
        <f>IF(AB294&lt;&gt;"",ROUND(IF($F$11="raty równe",-PMT(W294/12,($F$4-AB293+SUM($AC$27:AC293)),AG293,2),AG293/($F$4-AB293+SUM($AC$27:AC293))+AG293*W294/12),2),"")</f>
        <v/>
      </c>
      <c r="AJ294" s="33" t="str">
        <f t="shared" si="155"/>
        <v/>
      </c>
      <c r="AK294" s="33" t="str">
        <f t="shared" si="156"/>
        <v/>
      </c>
      <c r="AL294" s="33" t="str">
        <f>IF(AB294&lt;&gt;"",AK294-SUM($AJ$28:AJ294),"")</f>
        <v/>
      </c>
      <c r="AM294" s="11" t="str">
        <f t="shared" si="157"/>
        <v/>
      </c>
      <c r="AN294" s="11" t="str">
        <f>IF(AB294&lt;&gt;"",IF($B$16=listy!$K$8,'RZĄDOWY PROGRAM'!$F$3*'RZĄDOWY PROGRAM'!$F$15,AG293*$F$15),"")</f>
        <v/>
      </c>
      <c r="AO294" s="11" t="str">
        <f t="shared" si="158"/>
        <v/>
      </c>
      <c r="AQ294" s="49" t="str">
        <f t="shared" si="159"/>
        <v/>
      </c>
      <c r="AR294" s="18" t="str">
        <f t="shared" si="160"/>
        <v/>
      </c>
      <c r="AS294" s="11" t="str">
        <f t="shared" si="161"/>
        <v/>
      </c>
      <c r="AT294" s="11" t="str">
        <f t="shared" si="162"/>
        <v/>
      </c>
      <c r="AU294" s="11" t="str">
        <f>IF(AB294&lt;&gt;"",AT294-SUM($AS$28:AS294),"")</f>
        <v/>
      </c>
    </row>
    <row r="295" spans="1:47" ht="14.5" x14ac:dyDescent="0.35">
      <c r="A295" s="76" t="str">
        <f t="shared" si="133"/>
        <v/>
      </c>
      <c r="B295" s="8" t="str">
        <f t="shared" si="163"/>
        <v/>
      </c>
      <c r="C295" s="11" t="str">
        <f t="shared" si="134"/>
        <v/>
      </c>
      <c r="D295" s="11" t="str">
        <f t="shared" si="135"/>
        <v/>
      </c>
      <c r="E295" s="11" t="str">
        <f t="shared" si="136"/>
        <v/>
      </c>
      <c r="F295" s="9" t="str">
        <f t="shared" si="137"/>
        <v/>
      </c>
      <c r="G295" s="10" t="str">
        <f t="shared" si="138"/>
        <v/>
      </c>
      <c r="H295" s="10" t="str">
        <f t="shared" si="139"/>
        <v/>
      </c>
      <c r="I295" s="49" t="str">
        <f t="shared" si="140"/>
        <v/>
      </c>
      <c r="J295" s="11" t="str">
        <f t="shared" si="141"/>
        <v/>
      </c>
      <c r="K295" s="11" t="str">
        <f>IF(B295&lt;&gt;"",IF($B$16=listy!$K$8,'RZĄDOWY PROGRAM'!$F$3*'RZĄDOWY PROGRAM'!$F$15,F294*$F$15),"")</f>
        <v/>
      </c>
      <c r="L295" s="11" t="str">
        <f t="shared" si="142"/>
        <v/>
      </c>
      <c r="N295" s="55" t="str">
        <f t="shared" si="144"/>
        <v/>
      </c>
      <c r="O295" s="8" t="str">
        <f t="shared" si="164"/>
        <v/>
      </c>
      <c r="P295" s="8"/>
      <c r="Q295" s="33" t="str">
        <f>IF(O295&lt;&gt;"",ROUND(IF($F$11="raty równe",-PMT(W295/12,$F$4-O294+SUM($P$28:P295),T294,2),R295+S295),2),"")</f>
        <v/>
      </c>
      <c r="R295" s="11" t="str">
        <f>IF(O295&lt;&gt;"",IF($F$11="raty malejące",T294/($F$4-O294+SUM($P$28:P295)),IF(Q295-S295&gt;T294,T294,Q295-S295)),"")</f>
        <v/>
      </c>
      <c r="S295" s="11" t="str">
        <f t="shared" si="145"/>
        <v/>
      </c>
      <c r="T295" s="9" t="str">
        <f t="shared" si="146"/>
        <v/>
      </c>
      <c r="U295" s="10" t="str">
        <f t="shared" si="147"/>
        <v/>
      </c>
      <c r="V295" s="10" t="str">
        <f t="shared" si="148"/>
        <v/>
      </c>
      <c r="W295" s="49" t="str">
        <f t="shared" si="149"/>
        <v/>
      </c>
      <c r="X295" s="11" t="str">
        <f t="shared" si="150"/>
        <v/>
      </c>
      <c r="Y295" s="11" t="str">
        <f>IF(O295&lt;&gt;"",IF($B$16=listy!$K$8,'RZĄDOWY PROGRAM'!$F$3*'RZĄDOWY PROGRAM'!$F$15,T294*$F$15),"")</f>
        <v/>
      </c>
      <c r="Z295" s="11" t="str">
        <f t="shared" si="151"/>
        <v/>
      </c>
      <c r="AB295" s="8" t="str">
        <f t="shared" si="152"/>
        <v/>
      </c>
      <c r="AC295" s="8"/>
      <c r="AD295" s="33" t="str">
        <f>IF(AB295&lt;&gt;"",ROUND(IF($F$11="raty równe",-PMT(W295/12,$F$4-AB294+SUM($AC$28:AC295),AG294,2),AE295+AF295),2),"")</f>
        <v/>
      </c>
      <c r="AE295" s="11" t="str">
        <f>IF(AB295&lt;&gt;"",IF($F$11="raty malejące",AG294/($F$4-AB294+SUM($AC$28:AC294)),MIN(AD295-AF295,AG294)),"")</f>
        <v/>
      </c>
      <c r="AF295" s="11" t="str">
        <f t="shared" si="153"/>
        <v/>
      </c>
      <c r="AG295" s="9" t="str">
        <f t="shared" si="154"/>
        <v/>
      </c>
      <c r="AH295" s="11"/>
      <c r="AI295" s="33" t="str">
        <f>IF(AB295&lt;&gt;"",ROUND(IF($F$11="raty równe",-PMT(W295/12,($F$4-AB294+SUM($AC$27:AC294)),AG294,2),AG294/($F$4-AB294+SUM($AC$27:AC294))+AG294*W295/12),2),"")</f>
        <v/>
      </c>
      <c r="AJ295" s="33" t="str">
        <f t="shared" si="155"/>
        <v/>
      </c>
      <c r="AK295" s="33" t="str">
        <f t="shared" si="156"/>
        <v/>
      </c>
      <c r="AL295" s="33" t="str">
        <f>IF(AB295&lt;&gt;"",AK295-SUM($AJ$28:AJ295),"")</f>
        <v/>
      </c>
      <c r="AM295" s="11" t="str">
        <f t="shared" si="157"/>
        <v/>
      </c>
      <c r="AN295" s="11" t="str">
        <f>IF(AB295&lt;&gt;"",IF($B$16=listy!$K$8,'RZĄDOWY PROGRAM'!$F$3*'RZĄDOWY PROGRAM'!$F$15,AG294*$F$15),"")</f>
        <v/>
      </c>
      <c r="AO295" s="11" t="str">
        <f t="shared" si="158"/>
        <v/>
      </c>
      <c r="AQ295" s="49" t="str">
        <f t="shared" si="159"/>
        <v/>
      </c>
      <c r="AR295" s="18" t="str">
        <f t="shared" si="160"/>
        <v/>
      </c>
      <c r="AS295" s="11" t="str">
        <f t="shared" si="161"/>
        <v/>
      </c>
      <c r="AT295" s="11" t="str">
        <f t="shared" si="162"/>
        <v/>
      </c>
      <c r="AU295" s="11" t="str">
        <f>IF(AB295&lt;&gt;"",AT295-SUM($AS$28:AS295),"")</f>
        <v/>
      </c>
    </row>
    <row r="296" spans="1:47" ht="14.5" x14ac:dyDescent="0.35">
      <c r="A296" s="76" t="str">
        <f t="shared" si="133"/>
        <v/>
      </c>
      <c r="B296" s="8" t="str">
        <f t="shared" si="163"/>
        <v/>
      </c>
      <c r="C296" s="11" t="str">
        <f t="shared" si="134"/>
        <v/>
      </c>
      <c r="D296" s="11" t="str">
        <f t="shared" si="135"/>
        <v/>
      </c>
      <c r="E296" s="11" t="str">
        <f t="shared" si="136"/>
        <v/>
      </c>
      <c r="F296" s="9" t="str">
        <f t="shared" si="137"/>
        <v/>
      </c>
      <c r="G296" s="10" t="str">
        <f t="shared" si="138"/>
        <v/>
      </c>
      <c r="H296" s="10" t="str">
        <f t="shared" si="139"/>
        <v/>
      </c>
      <c r="I296" s="49" t="str">
        <f t="shared" si="140"/>
        <v/>
      </c>
      <c r="J296" s="11" t="str">
        <f t="shared" si="141"/>
        <v/>
      </c>
      <c r="K296" s="11" t="str">
        <f>IF(B296&lt;&gt;"",IF($B$16=listy!$K$8,'RZĄDOWY PROGRAM'!$F$3*'RZĄDOWY PROGRAM'!$F$15,F295*$F$15),"")</f>
        <v/>
      </c>
      <c r="L296" s="11" t="str">
        <f t="shared" si="142"/>
        <v/>
      </c>
      <c r="N296" s="55" t="str">
        <f t="shared" si="144"/>
        <v/>
      </c>
      <c r="O296" s="8" t="str">
        <f t="shared" si="164"/>
        <v/>
      </c>
      <c r="P296" s="8"/>
      <c r="Q296" s="33" t="str">
        <f>IF(O296&lt;&gt;"",ROUND(IF($F$11="raty równe",-PMT(W296/12,$F$4-O295+SUM($P$28:P296),T295,2),R296+S296),2),"")</f>
        <v/>
      </c>
      <c r="R296" s="11" t="str">
        <f>IF(O296&lt;&gt;"",IF($F$11="raty malejące",T295/($F$4-O295+SUM($P$28:P296)),IF(Q296-S296&gt;T295,T295,Q296-S296)),"")</f>
        <v/>
      </c>
      <c r="S296" s="11" t="str">
        <f t="shared" si="145"/>
        <v/>
      </c>
      <c r="T296" s="9" t="str">
        <f t="shared" si="146"/>
        <v/>
      </c>
      <c r="U296" s="10" t="str">
        <f t="shared" si="147"/>
        <v/>
      </c>
      <c r="V296" s="10" t="str">
        <f t="shared" si="148"/>
        <v/>
      </c>
      <c r="W296" s="49" t="str">
        <f t="shared" si="149"/>
        <v/>
      </c>
      <c r="X296" s="11" t="str">
        <f t="shared" si="150"/>
        <v/>
      </c>
      <c r="Y296" s="11" t="str">
        <f>IF(O296&lt;&gt;"",IF($B$16=listy!$K$8,'RZĄDOWY PROGRAM'!$F$3*'RZĄDOWY PROGRAM'!$F$15,T295*$F$15),"")</f>
        <v/>
      </c>
      <c r="Z296" s="11" t="str">
        <f t="shared" si="151"/>
        <v/>
      </c>
      <c r="AB296" s="8" t="str">
        <f t="shared" si="152"/>
        <v/>
      </c>
      <c r="AC296" s="8"/>
      <c r="AD296" s="33" t="str">
        <f>IF(AB296&lt;&gt;"",ROUND(IF($F$11="raty równe",-PMT(W296/12,$F$4-AB295+SUM($AC$28:AC296),AG295,2),AE296+AF296),2),"")</f>
        <v/>
      </c>
      <c r="AE296" s="11" t="str">
        <f>IF(AB296&lt;&gt;"",IF($F$11="raty malejące",AG295/($F$4-AB295+SUM($AC$28:AC295)),MIN(AD296-AF296,AG295)),"")</f>
        <v/>
      </c>
      <c r="AF296" s="11" t="str">
        <f t="shared" si="153"/>
        <v/>
      </c>
      <c r="AG296" s="9" t="str">
        <f t="shared" si="154"/>
        <v/>
      </c>
      <c r="AH296" s="11"/>
      <c r="AI296" s="33" t="str">
        <f>IF(AB296&lt;&gt;"",ROUND(IF($F$11="raty równe",-PMT(W296/12,($F$4-AB295+SUM($AC$27:AC295)),AG295,2),AG295/($F$4-AB295+SUM($AC$27:AC295))+AG295*W296/12),2),"")</f>
        <v/>
      </c>
      <c r="AJ296" s="33" t="str">
        <f t="shared" si="155"/>
        <v/>
      </c>
      <c r="AK296" s="33" t="str">
        <f t="shared" si="156"/>
        <v/>
      </c>
      <c r="AL296" s="33" t="str">
        <f>IF(AB296&lt;&gt;"",AK296-SUM($AJ$28:AJ296),"")</f>
        <v/>
      </c>
      <c r="AM296" s="11" t="str">
        <f t="shared" si="157"/>
        <v/>
      </c>
      <c r="AN296" s="11" t="str">
        <f>IF(AB296&lt;&gt;"",IF($B$16=listy!$K$8,'RZĄDOWY PROGRAM'!$F$3*'RZĄDOWY PROGRAM'!$F$15,AG295*$F$15),"")</f>
        <v/>
      </c>
      <c r="AO296" s="11" t="str">
        <f t="shared" si="158"/>
        <v/>
      </c>
      <c r="AQ296" s="49" t="str">
        <f t="shared" si="159"/>
        <v/>
      </c>
      <c r="AR296" s="18" t="str">
        <f t="shared" si="160"/>
        <v/>
      </c>
      <c r="AS296" s="11" t="str">
        <f t="shared" si="161"/>
        <v/>
      </c>
      <c r="AT296" s="11" t="str">
        <f t="shared" si="162"/>
        <v/>
      </c>
      <c r="AU296" s="11" t="str">
        <f>IF(AB296&lt;&gt;"",AT296-SUM($AS$28:AS296),"")</f>
        <v/>
      </c>
    </row>
    <row r="297" spans="1:47" ht="14.5" x14ac:dyDescent="0.35">
      <c r="A297" s="76" t="str">
        <f t="shared" si="133"/>
        <v/>
      </c>
      <c r="B297" s="8" t="str">
        <f t="shared" si="163"/>
        <v/>
      </c>
      <c r="C297" s="11" t="str">
        <f t="shared" si="134"/>
        <v/>
      </c>
      <c r="D297" s="11" t="str">
        <f t="shared" si="135"/>
        <v/>
      </c>
      <c r="E297" s="11" t="str">
        <f t="shared" si="136"/>
        <v/>
      </c>
      <c r="F297" s="9" t="str">
        <f t="shared" si="137"/>
        <v/>
      </c>
      <c r="G297" s="10" t="str">
        <f t="shared" si="138"/>
        <v/>
      </c>
      <c r="H297" s="10" t="str">
        <f t="shared" si="139"/>
        <v/>
      </c>
      <c r="I297" s="49" t="str">
        <f t="shared" si="140"/>
        <v/>
      </c>
      <c r="J297" s="11" t="str">
        <f t="shared" si="141"/>
        <v/>
      </c>
      <c r="K297" s="11" t="str">
        <f>IF(B297&lt;&gt;"",IF($B$16=listy!$K$8,'RZĄDOWY PROGRAM'!$F$3*'RZĄDOWY PROGRAM'!$F$15,F296*$F$15),"")</f>
        <v/>
      </c>
      <c r="L297" s="11" t="str">
        <f t="shared" si="142"/>
        <v/>
      </c>
      <c r="N297" s="55" t="str">
        <f t="shared" si="144"/>
        <v/>
      </c>
      <c r="O297" s="8" t="str">
        <f t="shared" si="164"/>
        <v/>
      </c>
      <c r="P297" s="8"/>
      <c r="Q297" s="33" t="str">
        <f>IF(O297&lt;&gt;"",ROUND(IF($F$11="raty równe",-PMT(W297/12,$F$4-O296+SUM($P$28:P297),T296,2),R297+S297),2),"")</f>
        <v/>
      </c>
      <c r="R297" s="11" t="str">
        <f>IF(O297&lt;&gt;"",IF($F$11="raty malejące",T296/($F$4-O296+SUM($P$28:P297)),IF(Q297-S297&gt;T296,T296,Q297-S297)),"")</f>
        <v/>
      </c>
      <c r="S297" s="11" t="str">
        <f t="shared" si="145"/>
        <v/>
      </c>
      <c r="T297" s="9" t="str">
        <f t="shared" si="146"/>
        <v/>
      </c>
      <c r="U297" s="10" t="str">
        <f t="shared" si="147"/>
        <v/>
      </c>
      <c r="V297" s="10" t="str">
        <f t="shared" si="148"/>
        <v/>
      </c>
      <c r="W297" s="49" t="str">
        <f t="shared" si="149"/>
        <v/>
      </c>
      <c r="X297" s="11" t="str">
        <f t="shared" si="150"/>
        <v/>
      </c>
      <c r="Y297" s="11" t="str">
        <f>IF(O297&lt;&gt;"",IF($B$16=listy!$K$8,'RZĄDOWY PROGRAM'!$F$3*'RZĄDOWY PROGRAM'!$F$15,T296*$F$15),"")</f>
        <v/>
      </c>
      <c r="Z297" s="11" t="str">
        <f t="shared" si="151"/>
        <v/>
      </c>
      <c r="AB297" s="8" t="str">
        <f t="shared" si="152"/>
        <v/>
      </c>
      <c r="AC297" s="8"/>
      <c r="AD297" s="33" t="str">
        <f>IF(AB297&lt;&gt;"",ROUND(IF($F$11="raty równe",-PMT(W297/12,$F$4-AB296+SUM($AC$28:AC297),AG296,2),AE297+AF297),2),"")</f>
        <v/>
      </c>
      <c r="AE297" s="11" t="str">
        <f>IF(AB297&lt;&gt;"",IF($F$11="raty malejące",AG296/($F$4-AB296+SUM($AC$28:AC296)),MIN(AD297-AF297,AG296)),"")</f>
        <v/>
      </c>
      <c r="AF297" s="11" t="str">
        <f t="shared" si="153"/>
        <v/>
      </c>
      <c r="AG297" s="9" t="str">
        <f t="shared" si="154"/>
        <v/>
      </c>
      <c r="AH297" s="11"/>
      <c r="AI297" s="33" t="str">
        <f>IF(AB297&lt;&gt;"",ROUND(IF($F$11="raty równe",-PMT(W297/12,($F$4-AB296+SUM($AC$27:AC296)),AG296,2),AG296/($F$4-AB296+SUM($AC$27:AC296))+AG296*W297/12),2),"")</f>
        <v/>
      </c>
      <c r="AJ297" s="33" t="str">
        <f t="shared" si="155"/>
        <v/>
      </c>
      <c r="AK297" s="33" t="str">
        <f t="shared" si="156"/>
        <v/>
      </c>
      <c r="AL297" s="33" t="str">
        <f>IF(AB297&lt;&gt;"",AK297-SUM($AJ$28:AJ297),"")</f>
        <v/>
      </c>
      <c r="AM297" s="11" t="str">
        <f t="shared" si="157"/>
        <v/>
      </c>
      <c r="AN297" s="11" t="str">
        <f>IF(AB297&lt;&gt;"",IF($B$16=listy!$K$8,'RZĄDOWY PROGRAM'!$F$3*'RZĄDOWY PROGRAM'!$F$15,AG296*$F$15),"")</f>
        <v/>
      </c>
      <c r="AO297" s="11" t="str">
        <f t="shared" si="158"/>
        <v/>
      </c>
      <c r="AQ297" s="49" t="str">
        <f t="shared" si="159"/>
        <v/>
      </c>
      <c r="AR297" s="18" t="str">
        <f t="shared" si="160"/>
        <v/>
      </c>
      <c r="AS297" s="11" t="str">
        <f t="shared" si="161"/>
        <v/>
      </c>
      <c r="AT297" s="11" t="str">
        <f t="shared" si="162"/>
        <v/>
      </c>
      <c r="AU297" s="11" t="str">
        <f>IF(AB297&lt;&gt;"",AT297-SUM($AS$28:AS297),"")</f>
        <v/>
      </c>
    </row>
    <row r="298" spans="1:47" ht="14.5" x14ac:dyDescent="0.35">
      <c r="A298" s="76" t="str">
        <f t="shared" si="133"/>
        <v/>
      </c>
      <c r="B298" s="8" t="str">
        <f t="shared" si="163"/>
        <v/>
      </c>
      <c r="C298" s="11" t="str">
        <f t="shared" si="134"/>
        <v/>
      </c>
      <c r="D298" s="11" t="str">
        <f t="shared" si="135"/>
        <v/>
      </c>
      <c r="E298" s="11" t="str">
        <f t="shared" si="136"/>
        <v/>
      </c>
      <c r="F298" s="9" t="str">
        <f t="shared" si="137"/>
        <v/>
      </c>
      <c r="G298" s="10" t="str">
        <f t="shared" si="138"/>
        <v/>
      </c>
      <c r="H298" s="10" t="str">
        <f t="shared" si="139"/>
        <v/>
      </c>
      <c r="I298" s="49" t="str">
        <f t="shared" si="140"/>
        <v/>
      </c>
      <c r="J298" s="11" t="str">
        <f t="shared" si="141"/>
        <v/>
      </c>
      <c r="K298" s="11" t="str">
        <f>IF(B298&lt;&gt;"",IF($B$16=listy!$K$8,'RZĄDOWY PROGRAM'!$F$3*'RZĄDOWY PROGRAM'!$F$15,F297*$F$15),"")</f>
        <v/>
      </c>
      <c r="L298" s="11" t="str">
        <f t="shared" si="142"/>
        <v/>
      </c>
      <c r="N298" s="55" t="str">
        <f t="shared" si="144"/>
        <v/>
      </c>
      <c r="O298" s="8" t="str">
        <f t="shared" si="164"/>
        <v/>
      </c>
      <c r="P298" s="8"/>
      <c r="Q298" s="33" t="str">
        <f>IF(O298&lt;&gt;"",ROUND(IF($F$11="raty równe",-PMT(W298/12,$F$4-O297+SUM($P$28:P298),T297,2),R298+S298),2),"")</f>
        <v/>
      </c>
      <c r="R298" s="11" t="str">
        <f>IF(O298&lt;&gt;"",IF($F$11="raty malejące",T297/($F$4-O297+SUM($P$28:P298)),IF(Q298-S298&gt;T297,T297,Q298-S298)),"")</f>
        <v/>
      </c>
      <c r="S298" s="11" t="str">
        <f t="shared" si="145"/>
        <v/>
      </c>
      <c r="T298" s="9" t="str">
        <f t="shared" si="146"/>
        <v/>
      </c>
      <c r="U298" s="10" t="str">
        <f t="shared" si="147"/>
        <v/>
      </c>
      <c r="V298" s="10" t="str">
        <f t="shared" si="148"/>
        <v/>
      </c>
      <c r="W298" s="49" t="str">
        <f t="shared" si="149"/>
        <v/>
      </c>
      <c r="X298" s="11" t="str">
        <f t="shared" si="150"/>
        <v/>
      </c>
      <c r="Y298" s="11" t="str">
        <f>IF(O298&lt;&gt;"",IF($B$16=listy!$K$8,'RZĄDOWY PROGRAM'!$F$3*'RZĄDOWY PROGRAM'!$F$15,T297*$F$15),"")</f>
        <v/>
      </c>
      <c r="Z298" s="11" t="str">
        <f t="shared" si="151"/>
        <v/>
      </c>
      <c r="AB298" s="8" t="str">
        <f t="shared" si="152"/>
        <v/>
      </c>
      <c r="AC298" s="8"/>
      <c r="AD298" s="33" t="str">
        <f>IF(AB298&lt;&gt;"",ROUND(IF($F$11="raty równe",-PMT(W298/12,$F$4-AB297+SUM($AC$28:AC298),AG297,2),AE298+AF298),2),"")</f>
        <v/>
      </c>
      <c r="AE298" s="11" t="str">
        <f>IF(AB298&lt;&gt;"",IF($F$11="raty malejące",AG297/($F$4-AB297+SUM($AC$28:AC297)),MIN(AD298-AF298,AG297)),"")</f>
        <v/>
      </c>
      <c r="AF298" s="11" t="str">
        <f t="shared" si="153"/>
        <v/>
      </c>
      <c r="AG298" s="9" t="str">
        <f t="shared" si="154"/>
        <v/>
      </c>
      <c r="AH298" s="11"/>
      <c r="AI298" s="33" t="str">
        <f>IF(AB298&lt;&gt;"",ROUND(IF($F$11="raty równe",-PMT(W298/12,($F$4-AB297+SUM($AC$27:AC297)),AG297,2),AG297/($F$4-AB297+SUM($AC$27:AC297))+AG297*W298/12),2),"")</f>
        <v/>
      </c>
      <c r="AJ298" s="33" t="str">
        <f t="shared" si="155"/>
        <v/>
      </c>
      <c r="AK298" s="33" t="str">
        <f t="shared" si="156"/>
        <v/>
      </c>
      <c r="AL298" s="33" t="str">
        <f>IF(AB298&lt;&gt;"",AK298-SUM($AJ$28:AJ298),"")</f>
        <v/>
      </c>
      <c r="AM298" s="11" t="str">
        <f t="shared" si="157"/>
        <v/>
      </c>
      <c r="AN298" s="11" t="str">
        <f>IF(AB298&lt;&gt;"",IF($B$16=listy!$K$8,'RZĄDOWY PROGRAM'!$F$3*'RZĄDOWY PROGRAM'!$F$15,AG297*$F$15),"")</f>
        <v/>
      </c>
      <c r="AO298" s="11" t="str">
        <f t="shared" si="158"/>
        <v/>
      </c>
      <c r="AQ298" s="49" t="str">
        <f t="shared" si="159"/>
        <v/>
      </c>
      <c r="AR298" s="18" t="str">
        <f t="shared" si="160"/>
        <v/>
      </c>
      <c r="AS298" s="11" t="str">
        <f t="shared" si="161"/>
        <v/>
      </c>
      <c r="AT298" s="11" t="str">
        <f t="shared" si="162"/>
        <v/>
      </c>
      <c r="AU298" s="11" t="str">
        <f>IF(AB298&lt;&gt;"",AT298-SUM($AS$28:AS298),"")</f>
        <v/>
      </c>
    </row>
    <row r="299" spans="1:47" ht="14.5" x14ac:dyDescent="0.35">
      <c r="A299" s="76" t="str">
        <f t="shared" si="133"/>
        <v/>
      </c>
      <c r="B299" s="8" t="str">
        <f t="shared" si="163"/>
        <v/>
      </c>
      <c r="C299" s="11" t="str">
        <f t="shared" si="134"/>
        <v/>
      </c>
      <c r="D299" s="11" t="str">
        <f t="shared" si="135"/>
        <v/>
      </c>
      <c r="E299" s="11" t="str">
        <f t="shared" si="136"/>
        <v/>
      </c>
      <c r="F299" s="9" t="str">
        <f t="shared" si="137"/>
        <v/>
      </c>
      <c r="G299" s="10" t="str">
        <f t="shared" si="138"/>
        <v/>
      </c>
      <c r="H299" s="10" t="str">
        <f t="shared" si="139"/>
        <v/>
      </c>
      <c r="I299" s="49" t="str">
        <f t="shared" si="140"/>
        <v/>
      </c>
      <c r="J299" s="11" t="str">
        <f t="shared" si="141"/>
        <v/>
      </c>
      <c r="K299" s="11" t="str">
        <f>IF(B299&lt;&gt;"",IF($B$16=listy!$K$8,'RZĄDOWY PROGRAM'!$F$3*'RZĄDOWY PROGRAM'!$F$15,F298*$F$15),"")</f>
        <v/>
      </c>
      <c r="L299" s="11" t="str">
        <f t="shared" si="142"/>
        <v/>
      </c>
      <c r="N299" s="55" t="str">
        <f t="shared" si="144"/>
        <v/>
      </c>
      <c r="O299" s="8" t="str">
        <f t="shared" si="164"/>
        <v/>
      </c>
      <c r="P299" s="8"/>
      <c r="Q299" s="33" t="str">
        <f>IF(O299&lt;&gt;"",ROUND(IF($F$11="raty równe",-PMT(W299/12,$F$4-O298+SUM($P$28:P299),T298,2),R299+S299),2),"")</f>
        <v/>
      </c>
      <c r="R299" s="11" t="str">
        <f>IF(O299&lt;&gt;"",IF($F$11="raty malejące",T298/($F$4-O298+SUM($P$28:P299)),IF(Q299-S299&gt;T298,T298,Q299-S299)),"")</f>
        <v/>
      </c>
      <c r="S299" s="11" t="str">
        <f t="shared" si="145"/>
        <v/>
      </c>
      <c r="T299" s="9" t="str">
        <f t="shared" si="146"/>
        <v/>
      </c>
      <c r="U299" s="10" t="str">
        <f t="shared" si="147"/>
        <v/>
      </c>
      <c r="V299" s="10" t="str">
        <f t="shared" si="148"/>
        <v/>
      </c>
      <c r="W299" s="49" t="str">
        <f t="shared" si="149"/>
        <v/>
      </c>
      <c r="X299" s="11" t="str">
        <f t="shared" si="150"/>
        <v/>
      </c>
      <c r="Y299" s="11" t="str">
        <f>IF(O299&lt;&gt;"",IF($B$16=listy!$K$8,'RZĄDOWY PROGRAM'!$F$3*'RZĄDOWY PROGRAM'!$F$15,T298*$F$15),"")</f>
        <v/>
      </c>
      <c r="Z299" s="11" t="str">
        <f t="shared" si="151"/>
        <v/>
      </c>
      <c r="AB299" s="8" t="str">
        <f t="shared" si="152"/>
        <v/>
      </c>
      <c r="AC299" s="8"/>
      <c r="AD299" s="33" t="str">
        <f>IF(AB299&lt;&gt;"",ROUND(IF($F$11="raty równe",-PMT(W299/12,$F$4-AB298+SUM($AC$28:AC299),AG298,2),AE299+AF299),2),"")</f>
        <v/>
      </c>
      <c r="AE299" s="11" t="str">
        <f>IF(AB299&lt;&gt;"",IF($F$11="raty malejące",AG298/($F$4-AB298+SUM($AC$28:AC298)),MIN(AD299-AF299,AG298)),"")</f>
        <v/>
      </c>
      <c r="AF299" s="11" t="str">
        <f t="shared" si="153"/>
        <v/>
      </c>
      <c r="AG299" s="9" t="str">
        <f t="shared" si="154"/>
        <v/>
      </c>
      <c r="AH299" s="11"/>
      <c r="AI299" s="33" t="str">
        <f>IF(AB299&lt;&gt;"",ROUND(IF($F$11="raty równe",-PMT(W299/12,($F$4-AB298+SUM($AC$27:AC298)),AG298,2),AG298/($F$4-AB298+SUM($AC$27:AC298))+AG298*W299/12),2),"")</f>
        <v/>
      </c>
      <c r="AJ299" s="33" t="str">
        <f t="shared" si="155"/>
        <v/>
      </c>
      <c r="AK299" s="33" t="str">
        <f t="shared" si="156"/>
        <v/>
      </c>
      <c r="AL299" s="33" t="str">
        <f>IF(AB299&lt;&gt;"",AK299-SUM($AJ$28:AJ299),"")</f>
        <v/>
      </c>
      <c r="AM299" s="11" t="str">
        <f t="shared" si="157"/>
        <v/>
      </c>
      <c r="AN299" s="11" t="str">
        <f>IF(AB299&lt;&gt;"",IF($B$16=listy!$K$8,'RZĄDOWY PROGRAM'!$F$3*'RZĄDOWY PROGRAM'!$F$15,AG298*$F$15),"")</f>
        <v/>
      </c>
      <c r="AO299" s="11" t="str">
        <f t="shared" si="158"/>
        <v/>
      </c>
      <c r="AQ299" s="49" t="str">
        <f t="shared" si="159"/>
        <v/>
      </c>
      <c r="AR299" s="18" t="str">
        <f t="shared" si="160"/>
        <v/>
      </c>
      <c r="AS299" s="11" t="str">
        <f t="shared" si="161"/>
        <v/>
      </c>
      <c r="AT299" s="11" t="str">
        <f t="shared" si="162"/>
        <v/>
      </c>
      <c r="AU299" s="11" t="str">
        <f>IF(AB299&lt;&gt;"",AT299-SUM($AS$28:AS299),"")</f>
        <v/>
      </c>
    </row>
    <row r="300" spans="1:47" ht="14.5" x14ac:dyDescent="0.35">
      <c r="A300" s="76" t="str">
        <f t="shared" si="133"/>
        <v/>
      </c>
      <c r="B300" s="8" t="str">
        <f t="shared" si="163"/>
        <v/>
      </c>
      <c r="C300" s="11" t="str">
        <f t="shared" si="134"/>
        <v/>
      </c>
      <c r="D300" s="11" t="str">
        <f t="shared" si="135"/>
        <v/>
      </c>
      <c r="E300" s="11" t="str">
        <f t="shared" si="136"/>
        <v/>
      </c>
      <c r="F300" s="9" t="str">
        <f t="shared" si="137"/>
        <v/>
      </c>
      <c r="G300" s="10" t="str">
        <f t="shared" si="138"/>
        <v/>
      </c>
      <c r="H300" s="10" t="str">
        <f t="shared" si="139"/>
        <v/>
      </c>
      <c r="I300" s="49" t="str">
        <f t="shared" si="140"/>
        <v/>
      </c>
      <c r="J300" s="11" t="str">
        <f t="shared" si="141"/>
        <v/>
      </c>
      <c r="K300" s="11" t="str">
        <f>IF(B300&lt;&gt;"",IF($B$16=listy!$K$8,'RZĄDOWY PROGRAM'!$F$3*'RZĄDOWY PROGRAM'!$F$15,F299*$F$15),"")</f>
        <v/>
      </c>
      <c r="L300" s="11" t="str">
        <f t="shared" si="142"/>
        <v/>
      </c>
      <c r="N300" s="55" t="str">
        <f t="shared" si="144"/>
        <v/>
      </c>
      <c r="O300" s="8" t="str">
        <f t="shared" si="164"/>
        <v/>
      </c>
      <c r="P300" s="8"/>
      <c r="Q300" s="33" t="str">
        <f>IF(O300&lt;&gt;"",ROUND(IF($F$11="raty równe",-PMT(W300/12,$F$4-O299+SUM($P$28:P300),T299,2),R300+S300),2),"")</f>
        <v/>
      </c>
      <c r="R300" s="11" t="str">
        <f>IF(O300&lt;&gt;"",IF($F$11="raty malejące",T299/($F$4-O299+SUM($P$28:P300)),IF(Q300-S300&gt;T299,T299,Q300-S300)),"")</f>
        <v/>
      </c>
      <c r="S300" s="11" t="str">
        <f t="shared" si="145"/>
        <v/>
      </c>
      <c r="T300" s="9" t="str">
        <f t="shared" si="146"/>
        <v/>
      </c>
      <c r="U300" s="10" t="str">
        <f t="shared" si="147"/>
        <v/>
      </c>
      <c r="V300" s="10" t="str">
        <f t="shared" si="148"/>
        <v/>
      </c>
      <c r="W300" s="49" t="str">
        <f t="shared" si="149"/>
        <v/>
      </c>
      <c r="X300" s="11" t="str">
        <f t="shared" si="150"/>
        <v/>
      </c>
      <c r="Y300" s="11" t="str">
        <f>IF(O300&lt;&gt;"",IF($B$16=listy!$K$8,'RZĄDOWY PROGRAM'!$F$3*'RZĄDOWY PROGRAM'!$F$15,T299*$F$15),"")</f>
        <v/>
      </c>
      <c r="Z300" s="11" t="str">
        <f t="shared" si="151"/>
        <v/>
      </c>
      <c r="AB300" s="8" t="str">
        <f t="shared" si="152"/>
        <v/>
      </c>
      <c r="AC300" s="8"/>
      <c r="AD300" s="33" t="str">
        <f>IF(AB300&lt;&gt;"",ROUND(IF($F$11="raty równe",-PMT(W300/12,$F$4-AB299+SUM($AC$28:AC300),AG299,2),AE300+AF300),2),"")</f>
        <v/>
      </c>
      <c r="AE300" s="11" t="str">
        <f>IF(AB300&lt;&gt;"",IF($F$11="raty malejące",AG299/($F$4-AB299+SUM($AC$28:AC299)),MIN(AD300-AF300,AG299)),"")</f>
        <v/>
      </c>
      <c r="AF300" s="11" t="str">
        <f t="shared" si="153"/>
        <v/>
      </c>
      <c r="AG300" s="9" t="str">
        <f t="shared" si="154"/>
        <v/>
      </c>
      <c r="AH300" s="11"/>
      <c r="AI300" s="33" t="str">
        <f>IF(AB300&lt;&gt;"",ROUND(IF($F$11="raty równe",-PMT(W300/12,($F$4-AB299+SUM($AC$27:AC299)),AG299,2),AG299/($F$4-AB299+SUM($AC$27:AC299))+AG299*W300/12),2),"")</f>
        <v/>
      </c>
      <c r="AJ300" s="33" t="str">
        <f t="shared" si="155"/>
        <v/>
      </c>
      <c r="AK300" s="33" t="str">
        <f t="shared" si="156"/>
        <v/>
      </c>
      <c r="AL300" s="33" t="str">
        <f>IF(AB300&lt;&gt;"",AK300-SUM($AJ$28:AJ300),"")</f>
        <v/>
      </c>
      <c r="AM300" s="11" t="str">
        <f t="shared" si="157"/>
        <v/>
      </c>
      <c r="AN300" s="11" t="str">
        <f>IF(AB300&lt;&gt;"",IF($B$16=listy!$K$8,'RZĄDOWY PROGRAM'!$F$3*'RZĄDOWY PROGRAM'!$F$15,AG299*$F$15),"")</f>
        <v/>
      </c>
      <c r="AO300" s="11" t="str">
        <f t="shared" si="158"/>
        <v/>
      </c>
      <c r="AQ300" s="49" t="str">
        <f t="shared" si="159"/>
        <v/>
      </c>
      <c r="AR300" s="18" t="str">
        <f t="shared" si="160"/>
        <v/>
      </c>
      <c r="AS300" s="11" t="str">
        <f t="shared" si="161"/>
        <v/>
      </c>
      <c r="AT300" s="11" t="str">
        <f t="shared" si="162"/>
        <v/>
      </c>
      <c r="AU300" s="11" t="str">
        <f>IF(AB300&lt;&gt;"",AT300-SUM($AS$28:AS300),"")</f>
        <v/>
      </c>
    </row>
    <row r="301" spans="1:47" ht="14.5" x14ac:dyDescent="0.35">
      <c r="A301" s="76" t="str">
        <f t="shared" si="133"/>
        <v/>
      </c>
      <c r="B301" s="8" t="str">
        <f t="shared" si="163"/>
        <v/>
      </c>
      <c r="C301" s="11" t="str">
        <f t="shared" si="134"/>
        <v/>
      </c>
      <c r="D301" s="11" t="str">
        <f t="shared" si="135"/>
        <v/>
      </c>
      <c r="E301" s="11" t="str">
        <f t="shared" si="136"/>
        <v/>
      </c>
      <c r="F301" s="9" t="str">
        <f t="shared" si="137"/>
        <v/>
      </c>
      <c r="G301" s="10" t="str">
        <f t="shared" si="138"/>
        <v/>
      </c>
      <c r="H301" s="10" t="str">
        <f t="shared" si="139"/>
        <v/>
      </c>
      <c r="I301" s="49" t="str">
        <f t="shared" si="140"/>
        <v/>
      </c>
      <c r="J301" s="11" t="str">
        <f t="shared" si="141"/>
        <v/>
      </c>
      <c r="K301" s="11" t="str">
        <f>IF(B301&lt;&gt;"",IF($B$16=listy!$K$8,'RZĄDOWY PROGRAM'!$F$3*'RZĄDOWY PROGRAM'!$F$15,F300*$F$15),"")</f>
        <v/>
      </c>
      <c r="L301" s="11" t="str">
        <f t="shared" si="142"/>
        <v/>
      </c>
      <c r="N301" s="55" t="str">
        <f t="shared" si="144"/>
        <v/>
      </c>
      <c r="O301" s="8" t="str">
        <f t="shared" si="164"/>
        <v/>
      </c>
      <c r="P301" s="8"/>
      <c r="Q301" s="33" t="str">
        <f>IF(O301&lt;&gt;"",ROUND(IF($F$11="raty równe",-PMT(W301/12,$F$4-O300+SUM($P$28:P301),T300,2),R301+S301),2),"")</f>
        <v/>
      </c>
      <c r="R301" s="11" t="str">
        <f>IF(O301&lt;&gt;"",IF($F$11="raty malejące",T300/($F$4-O300+SUM($P$28:P301)),IF(Q301-S301&gt;T300,T300,Q301-S301)),"")</f>
        <v/>
      </c>
      <c r="S301" s="11" t="str">
        <f t="shared" si="145"/>
        <v/>
      </c>
      <c r="T301" s="9" t="str">
        <f t="shared" si="146"/>
        <v/>
      </c>
      <c r="U301" s="10" t="str">
        <f t="shared" si="147"/>
        <v/>
      </c>
      <c r="V301" s="10" t="str">
        <f t="shared" si="148"/>
        <v/>
      </c>
      <c r="W301" s="49" t="str">
        <f t="shared" si="149"/>
        <v/>
      </c>
      <c r="X301" s="11" t="str">
        <f t="shared" si="150"/>
        <v/>
      </c>
      <c r="Y301" s="11" t="str">
        <f>IF(O301&lt;&gt;"",IF($B$16=listy!$K$8,'RZĄDOWY PROGRAM'!$F$3*'RZĄDOWY PROGRAM'!$F$15,T300*$F$15),"")</f>
        <v/>
      </c>
      <c r="Z301" s="11" t="str">
        <f t="shared" si="151"/>
        <v/>
      </c>
      <c r="AB301" s="8" t="str">
        <f t="shared" si="152"/>
        <v/>
      </c>
      <c r="AC301" s="8"/>
      <c r="AD301" s="33" t="str">
        <f>IF(AB301&lt;&gt;"",ROUND(IF($F$11="raty równe",-PMT(W301/12,$F$4-AB300+SUM($AC$28:AC301),AG300,2),AE301+AF301),2),"")</f>
        <v/>
      </c>
      <c r="AE301" s="11" t="str">
        <f>IF(AB301&lt;&gt;"",IF($F$11="raty malejące",AG300/($F$4-AB300+SUM($AC$28:AC300)),MIN(AD301-AF301,AG300)),"")</f>
        <v/>
      </c>
      <c r="AF301" s="11" t="str">
        <f t="shared" si="153"/>
        <v/>
      </c>
      <c r="AG301" s="9" t="str">
        <f t="shared" si="154"/>
        <v/>
      </c>
      <c r="AH301" s="11"/>
      <c r="AI301" s="33" t="str">
        <f>IF(AB301&lt;&gt;"",ROUND(IF($F$11="raty równe",-PMT(W301/12,($F$4-AB300+SUM($AC$27:AC300)),AG300,2),AG300/($F$4-AB300+SUM($AC$27:AC300))+AG300*W301/12),2),"")</f>
        <v/>
      </c>
      <c r="AJ301" s="33" t="str">
        <f t="shared" si="155"/>
        <v/>
      </c>
      <c r="AK301" s="33" t="str">
        <f t="shared" si="156"/>
        <v/>
      </c>
      <c r="AL301" s="33" t="str">
        <f>IF(AB301&lt;&gt;"",AK301-SUM($AJ$28:AJ301),"")</f>
        <v/>
      </c>
      <c r="AM301" s="11" t="str">
        <f t="shared" si="157"/>
        <v/>
      </c>
      <c r="AN301" s="11" t="str">
        <f>IF(AB301&lt;&gt;"",IF($B$16=listy!$K$8,'RZĄDOWY PROGRAM'!$F$3*'RZĄDOWY PROGRAM'!$F$15,AG300*$F$15),"")</f>
        <v/>
      </c>
      <c r="AO301" s="11" t="str">
        <f t="shared" si="158"/>
        <v/>
      </c>
      <c r="AQ301" s="49" t="str">
        <f t="shared" si="159"/>
        <v/>
      </c>
      <c r="AR301" s="18" t="str">
        <f t="shared" si="160"/>
        <v/>
      </c>
      <c r="AS301" s="11" t="str">
        <f t="shared" si="161"/>
        <v/>
      </c>
      <c r="AT301" s="11" t="str">
        <f t="shared" si="162"/>
        <v/>
      </c>
      <c r="AU301" s="11" t="str">
        <f>IF(AB301&lt;&gt;"",AT301-SUM($AS$28:AS301),"")</f>
        <v/>
      </c>
    </row>
    <row r="302" spans="1:47" ht="14.5" x14ac:dyDescent="0.35">
      <c r="A302" s="76" t="str">
        <f t="shared" si="133"/>
        <v/>
      </c>
      <c r="B302" s="8" t="str">
        <f t="shared" si="163"/>
        <v/>
      </c>
      <c r="C302" s="11" t="str">
        <f t="shared" si="134"/>
        <v/>
      </c>
      <c r="D302" s="11" t="str">
        <f t="shared" si="135"/>
        <v/>
      </c>
      <c r="E302" s="11" t="str">
        <f t="shared" si="136"/>
        <v/>
      </c>
      <c r="F302" s="9" t="str">
        <f t="shared" si="137"/>
        <v/>
      </c>
      <c r="G302" s="10" t="str">
        <f t="shared" si="138"/>
        <v/>
      </c>
      <c r="H302" s="10" t="str">
        <f t="shared" si="139"/>
        <v/>
      </c>
      <c r="I302" s="49" t="str">
        <f t="shared" si="140"/>
        <v/>
      </c>
      <c r="J302" s="11" t="str">
        <f t="shared" si="141"/>
        <v/>
      </c>
      <c r="K302" s="11" t="str">
        <f>IF(B302&lt;&gt;"",IF($B$16=listy!$K$8,'RZĄDOWY PROGRAM'!$F$3*'RZĄDOWY PROGRAM'!$F$15,F301*$F$15),"")</f>
        <v/>
      </c>
      <c r="L302" s="11" t="str">
        <f t="shared" si="142"/>
        <v/>
      </c>
      <c r="N302" s="55" t="str">
        <f t="shared" si="144"/>
        <v/>
      </c>
      <c r="O302" s="8" t="str">
        <f t="shared" si="164"/>
        <v/>
      </c>
      <c r="P302" s="8"/>
      <c r="Q302" s="33" t="str">
        <f>IF(O302&lt;&gt;"",ROUND(IF($F$11="raty równe",-PMT(W302/12,$F$4-O301+SUM($P$28:P302),T301,2),R302+S302),2),"")</f>
        <v/>
      </c>
      <c r="R302" s="11" t="str">
        <f>IF(O302&lt;&gt;"",IF($F$11="raty malejące",T301/($F$4-O301+SUM($P$28:P302)),IF(Q302-S302&gt;T301,T301,Q302-S302)),"")</f>
        <v/>
      </c>
      <c r="S302" s="11" t="str">
        <f t="shared" si="145"/>
        <v/>
      </c>
      <c r="T302" s="9" t="str">
        <f t="shared" si="146"/>
        <v/>
      </c>
      <c r="U302" s="10" t="str">
        <f t="shared" si="147"/>
        <v/>
      </c>
      <c r="V302" s="10" t="str">
        <f t="shared" si="148"/>
        <v/>
      </c>
      <c r="W302" s="49" t="str">
        <f t="shared" si="149"/>
        <v/>
      </c>
      <c r="X302" s="11" t="str">
        <f t="shared" si="150"/>
        <v/>
      </c>
      <c r="Y302" s="11" t="str">
        <f>IF(O302&lt;&gt;"",IF($B$16=listy!$K$8,'RZĄDOWY PROGRAM'!$F$3*'RZĄDOWY PROGRAM'!$F$15,T301*$F$15),"")</f>
        <v/>
      </c>
      <c r="Z302" s="11" t="str">
        <f t="shared" si="151"/>
        <v/>
      </c>
      <c r="AB302" s="8" t="str">
        <f t="shared" si="152"/>
        <v/>
      </c>
      <c r="AC302" s="8"/>
      <c r="AD302" s="33" t="str">
        <f>IF(AB302&lt;&gt;"",ROUND(IF($F$11="raty równe",-PMT(W302/12,$F$4-AB301+SUM($AC$28:AC302),AG301,2),AE302+AF302),2),"")</f>
        <v/>
      </c>
      <c r="AE302" s="11" t="str">
        <f>IF(AB302&lt;&gt;"",IF($F$11="raty malejące",AG301/($F$4-AB301+SUM($AC$28:AC301)),MIN(AD302-AF302,AG301)),"")</f>
        <v/>
      </c>
      <c r="AF302" s="11" t="str">
        <f t="shared" si="153"/>
        <v/>
      </c>
      <c r="AG302" s="9" t="str">
        <f t="shared" si="154"/>
        <v/>
      </c>
      <c r="AH302" s="11"/>
      <c r="AI302" s="33" t="str">
        <f>IF(AB302&lt;&gt;"",ROUND(IF($F$11="raty równe",-PMT(W302/12,($F$4-AB301+SUM($AC$27:AC301)),AG301,2),AG301/($F$4-AB301+SUM($AC$27:AC301))+AG301*W302/12),2),"")</f>
        <v/>
      </c>
      <c r="AJ302" s="33" t="str">
        <f t="shared" si="155"/>
        <v/>
      </c>
      <c r="AK302" s="33" t="str">
        <f t="shared" si="156"/>
        <v/>
      </c>
      <c r="AL302" s="33" t="str">
        <f>IF(AB302&lt;&gt;"",AK302-SUM($AJ$28:AJ302),"")</f>
        <v/>
      </c>
      <c r="AM302" s="11" t="str">
        <f t="shared" si="157"/>
        <v/>
      </c>
      <c r="AN302" s="11" t="str">
        <f>IF(AB302&lt;&gt;"",IF($B$16=listy!$K$8,'RZĄDOWY PROGRAM'!$F$3*'RZĄDOWY PROGRAM'!$F$15,AG301*$F$15),"")</f>
        <v/>
      </c>
      <c r="AO302" s="11" t="str">
        <f t="shared" si="158"/>
        <v/>
      </c>
      <c r="AQ302" s="49" t="str">
        <f t="shared" si="159"/>
        <v/>
      </c>
      <c r="AR302" s="18" t="str">
        <f t="shared" si="160"/>
        <v/>
      </c>
      <c r="AS302" s="11" t="str">
        <f t="shared" si="161"/>
        <v/>
      </c>
      <c r="AT302" s="11" t="str">
        <f t="shared" si="162"/>
        <v/>
      </c>
      <c r="AU302" s="11" t="str">
        <f>IF(AB302&lt;&gt;"",AT302-SUM($AS$28:AS302),"")</f>
        <v/>
      </c>
    </row>
    <row r="303" spans="1:47" ht="14.5" x14ac:dyDescent="0.35">
      <c r="A303" s="76" t="str">
        <f t="shared" si="133"/>
        <v/>
      </c>
      <c r="B303" s="8" t="str">
        <f t="shared" si="163"/>
        <v/>
      </c>
      <c r="C303" s="11" t="str">
        <f t="shared" si="134"/>
        <v/>
      </c>
      <c r="D303" s="11" t="str">
        <f t="shared" si="135"/>
        <v/>
      </c>
      <c r="E303" s="11" t="str">
        <f t="shared" si="136"/>
        <v/>
      </c>
      <c r="F303" s="9" t="str">
        <f t="shared" si="137"/>
        <v/>
      </c>
      <c r="G303" s="10" t="str">
        <f t="shared" si="138"/>
        <v/>
      </c>
      <c r="H303" s="10" t="str">
        <f t="shared" si="139"/>
        <v/>
      </c>
      <c r="I303" s="49" t="str">
        <f t="shared" si="140"/>
        <v/>
      </c>
      <c r="J303" s="11" t="str">
        <f t="shared" si="141"/>
        <v/>
      </c>
      <c r="K303" s="11" t="str">
        <f>IF(B303&lt;&gt;"",IF($B$16=listy!$K$8,'RZĄDOWY PROGRAM'!$F$3*'RZĄDOWY PROGRAM'!$F$15,F302*$F$15),"")</f>
        <v/>
      </c>
      <c r="L303" s="11" t="str">
        <f t="shared" si="142"/>
        <v/>
      </c>
      <c r="N303" s="55" t="str">
        <f t="shared" si="144"/>
        <v/>
      </c>
      <c r="O303" s="8" t="str">
        <f t="shared" si="164"/>
        <v/>
      </c>
      <c r="P303" s="8"/>
      <c r="Q303" s="33" t="str">
        <f>IF(O303&lt;&gt;"",ROUND(IF($F$11="raty równe",-PMT(W303/12,$F$4-O302+SUM($P$28:P303),T302,2),R303+S303),2),"")</f>
        <v/>
      </c>
      <c r="R303" s="11" t="str">
        <f>IF(O303&lt;&gt;"",IF($F$11="raty malejące",T302/($F$4-O302+SUM($P$28:P303)),IF(Q303-S303&gt;T302,T302,Q303-S303)),"")</f>
        <v/>
      </c>
      <c r="S303" s="11" t="str">
        <f t="shared" si="145"/>
        <v/>
      </c>
      <c r="T303" s="9" t="str">
        <f t="shared" si="146"/>
        <v/>
      </c>
      <c r="U303" s="10" t="str">
        <f t="shared" si="147"/>
        <v/>
      </c>
      <c r="V303" s="10" t="str">
        <f t="shared" si="148"/>
        <v/>
      </c>
      <c r="W303" s="49" t="str">
        <f t="shared" si="149"/>
        <v/>
      </c>
      <c r="X303" s="11" t="str">
        <f t="shared" si="150"/>
        <v/>
      </c>
      <c r="Y303" s="11" t="str">
        <f>IF(O303&lt;&gt;"",IF($B$16=listy!$K$8,'RZĄDOWY PROGRAM'!$F$3*'RZĄDOWY PROGRAM'!$F$15,T302*$F$15),"")</f>
        <v/>
      </c>
      <c r="Z303" s="11" t="str">
        <f t="shared" si="151"/>
        <v/>
      </c>
      <c r="AB303" s="8" t="str">
        <f t="shared" si="152"/>
        <v/>
      </c>
      <c r="AC303" s="8"/>
      <c r="AD303" s="33" t="str">
        <f>IF(AB303&lt;&gt;"",ROUND(IF($F$11="raty równe",-PMT(W303/12,$F$4-AB302+SUM($AC$28:AC303),AG302,2),AE303+AF303),2),"")</f>
        <v/>
      </c>
      <c r="AE303" s="11" t="str">
        <f>IF(AB303&lt;&gt;"",IF($F$11="raty malejące",AG302/($F$4-AB302+SUM($AC$28:AC302)),MIN(AD303-AF303,AG302)),"")</f>
        <v/>
      </c>
      <c r="AF303" s="11" t="str">
        <f t="shared" si="153"/>
        <v/>
      </c>
      <c r="AG303" s="9" t="str">
        <f t="shared" si="154"/>
        <v/>
      </c>
      <c r="AH303" s="11"/>
      <c r="AI303" s="33" t="str">
        <f>IF(AB303&lt;&gt;"",ROUND(IF($F$11="raty równe",-PMT(W303/12,($F$4-AB302+SUM($AC$27:AC302)),AG302,2),AG302/($F$4-AB302+SUM($AC$27:AC302))+AG302*W303/12),2),"")</f>
        <v/>
      </c>
      <c r="AJ303" s="33" t="str">
        <f t="shared" si="155"/>
        <v/>
      </c>
      <c r="AK303" s="33" t="str">
        <f t="shared" si="156"/>
        <v/>
      </c>
      <c r="AL303" s="33" t="str">
        <f>IF(AB303&lt;&gt;"",AK303-SUM($AJ$28:AJ303),"")</f>
        <v/>
      </c>
      <c r="AM303" s="11" t="str">
        <f t="shared" si="157"/>
        <v/>
      </c>
      <c r="AN303" s="11" t="str">
        <f>IF(AB303&lt;&gt;"",IF($B$16=listy!$K$8,'RZĄDOWY PROGRAM'!$F$3*'RZĄDOWY PROGRAM'!$F$15,AG302*$F$15),"")</f>
        <v/>
      </c>
      <c r="AO303" s="11" t="str">
        <f t="shared" si="158"/>
        <v/>
      </c>
      <c r="AQ303" s="49" t="str">
        <f t="shared" si="159"/>
        <v/>
      </c>
      <c r="AR303" s="18" t="str">
        <f t="shared" si="160"/>
        <v/>
      </c>
      <c r="AS303" s="11" t="str">
        <f t="shared" si="161"/>
        <v/>
      </c>
      <c r="AT303" s="11" t="str">
        <f t="shared" si="162"/>
        <v/>
      </c>
      <c r="AU303" s="11" t="str">
        <f>IF(AB303&lt;&gt;"",AT303-SUM($AS$28:AS303),"")</f>
        <v/>
      </c>
    </row>
    <row r="304" spans="1:47" ht="14.5" x14ac:dyDescent="0.35">
      <c r="A304" s="76" t="str">
        <f t="shared" si="133"/>
        <v/>
      </c>
      <c r="B304" s="8" t="str">
        <f t="shared" si="163"/>
        <v/>
      </c>
      <c r="C304" s="11" t="str">
        <f t="shared" si="134"/>
        <v/>
      </c>
      <c r="D304" s="11" t="str">
        <f t="shared" si="135"/>
        <v/>
      </c>
      <c r="E304" s="11" t="str">
        <f t="shared" si="136"/>
        <v/>
      </c>
      <c r="F304" s="9" t="str">
        <f t="shared" si="137"/>
        <v/>
      </c>
      <c r="G304" s="10" t="str">
        <f t="shared" si="138"/>
        <v/>
      </c>
      <c r="H304" s="10" t="str">
        <f t="shared" si="139"/>
        <v/>
      </c>
      <c r="I304" s="49" t="str">
        <f t="shared" si="140"/>
        <v/>
      </c>
      <c r="J304" s="11" t="str">
        <f t="shared" si="141"/>
        <v/>
      </c>
      <c r="K304" s="11" t="str">
        <f>IF(B304&lt;&gt;"",IF($B$16=listy!$K$8,'RZĄDOWY PROGRAM'!$F$3*'RZĄDOWY PROGRAM'!$F$15,F303*$F$15),"")</f>
        <v/>
      </c>
      <c r="L304" s="11" t="str">
        <f t="shared" si="142"/>
        <v/>
      </c>
      <c r="N304" s="55" t="str">
        <f t="shared" si="144"/>
        <v/>
      </c>
      <c r="O304" s="8" t="str">
        <f t="shared" si="164"/>
        <v/>
      </c>
      <c r="P304" s="8"/>
      <c r="Q304" s="33" t="str">
        <f>IF(O304&lt;&gt;"",ROUND(IF($F$11="raty równe",-PMT(W304/12,$F$4-O303+SUM($P$28:P304),T303,2),R304+S304),2),"")</f>
        <v/>
      </c>
      <c r="R304" s="11" t="str">
        <f>IF(O304&lt;&gt;"",IF($F$11="raty malejące",T303/($F$4-O303+SUM($P$28:P304)),IF(Q304-S304&gt;T303,T303,Q304-S304)),"")</f>
        <v/>
      </c>
      <c r="S304" s="11" t="str">
        <f t="shared" si="145"/>
        <v/>
      </c>
      <c r="T304" s="9" t="str">
        <f t="shared" si="146"/>
        <v/>
      </c>
      <c r="U304" s="10" t="str">
        <f t="shared" si="147"/>
        <v/>
      </c>
      <c r="V304" s="10" t="str">
        <f t="shared" si="148"/>
        <v/>
      </c>
      <c r="W304" s="49" t="str">
        <f t="shared" si="149"/>
        <v/>
      </c>
      <c r="X304" s="11" t="str">
        <f t="shared" si="150"/>
        <v/>
      </c>
      <c r="Y304" s="11" t="str">
        <f>IF(O304&lt;&gt;"",IF($B$16=listy!$K$8,'RZĄDOWY PROGRAM'!$F$3*'RZĄDOWY PROGRAM'!$F$15,T303*$F$15),"")</f>
        <v/>
      </c>
      <c r="Z304" s="11" t="str">
        <f t="shared" si="151"/>
        <v/>
      </c>
      <c r="AB304" s="8" t="str">
        <f t="shared" si="152"/>
        <v/>
      </c>
      <c r="AC304" s="8"/>
      <c r="AD304" s="33" t="str">
        <f>IF(AB304&lt;&gt;"",ROUND(IF($F$11="raty równe",-PMT(W304/12,$F$4-AB303+SUM($AC$28:AC304),AG303,2),AE304+AF304),2),"")</f>
        <v/>
      </c>
      <c r="AE304" s="11" t="str">
        <f>IF(AB304&lt;&gt;"",IF($F$11="raty malejące",AG303/($F$4-AB303+SUM($AC$28:AC303)),MIN(AD304-AF304,AG303)),"")</f>
        <v/>
      </c>
      <c r="AF304" s="11" t="str">
        <f t="shared" si="153"/>
        <v/>
      </c>
      <c r="AG304" s="9" t="str">
        <f t="shared" si="154"/>
        <v/>
      </c>
      <c r="AH304" s="11"/>
      <c r="AI304" s="33" t="str">
        <f>IF(AB304&lt;&gt;"",ROUND(IF($F$11="raty równe",-PMT(W304/12,($F$4-AB303+SUM($AC$27:AC303)),AG303,2),AG303/($F$4-AB303+SUM($AC$27:AC303))+AG303*W304/12),2),"")</f>
        <v/>
      </c>
      <c r="AJ304" s="33" t="str">
        <f t="shared" si="155"/>
        <v/>
      </c>
      <c r="AK304" s="33" t="str">
        <f t="shared" si="156"/>
        <v/>
      </c>
      <c r="AL304" s="33" t="str">
        <f>IF(AB304&lt;&gt;"",AK304-SUM($AJ$28:AJ304),"")</f>
        <v/>
      </c>
      <c r="AM304" s="11" t="str">
        <f t="shared" si="157"/>
        <v/>
      </c>
      <c r="AN304" s="11" t="str">
        <f>IF(AB304&lt;&gt;"",IF($B$16=listy!$K$8,'RZĄDOWY PROGRAM'!$F$3*'RZĄDOWY PROGRAM'!$F$15,AG303*$F$15),"")</f>
        <v/>
      </c>
      <c r="AO304" s="11" t="str">
        <f t="shared" si="158"/>
        <v/>
      </c>
      <c r="AQ304" s="49" t="str">
        <f t="shared" si="159"/>
        <v/>
      </c>
      <c r="AR304" s="18" t="str">
        <f t="shared" si="160"/>
        <v/>
      </c>
      <c r="AS304" s="11" t="str">
        <f t="shared" si="161"/>
        <v/>
      </c>
      <c r="AT304" s="11" t="str">
        <f t="shared" si="162"/>
        <v/>
      </c>
      <c r="AU304" s="11" t="str">
        <f>IF(AB304&lt;&gt;"",AT304-SUM($AS$28:AS304),"")</f>
        <v/>
      </c>
    </row>
    <row r="305" spans="1:47" ht="14.5" x14ac:dyDescent="0.35">
      <c r="A305" s="76" t="str">
        <f t="shared" si="133"/>
        <v/>
      </c>
      <c r="B305" s="8" t="str">
        <f t="shared" si="163"/>
        <v/>
      </c>
      <c r="C305" s="11" t="str">
        <f t="shared" si="134"/>
        <v/>
      </c>
      <c r="D305" s="11" t="str">
        <f t="shared" si="135"/>
        <v/>
      </c>
      <c r="E305" s="11" t="str">
        <f t="shared" si="136"/>
        <v/>
      </c>
      <c r="F305" s="9" t="str">
        <f t="shared" si="137"/>
        <v/>
      </c>
      <c r="G305" s="10" t="str">
        <f t="shared" si="138"/>
        <v/>
      </c>
      <c r="H305" s="10" t="str">
        <f t="shared" si="139"/>
        <v/>
      </c>
      <c r="I305" s="49" t="str">
        <f t="shared" si="140"/>
        <v/>
      </c>
      <c r="J305" s="11" t="str">
        <f t="shared" si="141"/>
        <v/>
      </c>
      <c r="K305" s="11" t="str">
        <f>IF(B305&lt;&gt;"",IF($B$16=listy!$K$8,'RZĄDOWY PROGRAM'!$F$3*'RZĄDOWY PROGRAM'!$F$15,F304*$F$15),"")</f>
        <v/>
      </c>
      <c r="L305" s="11" t="str">
        <f t="shared" si="142"/>
        <v/>
      </c>
      <c r="N305" s="55" t="str">
        <f t="shared" si="144"/>
        <v/>
      </c>
      <c r="O305" s="8" t="str">
        <f t="shared" si="164"/>
        <v/>
      </c>
      <c r="P305" s="8"/>
      <c r="Q305" s="33" t="str">
        <f>IF(O305&lt;&gt;"",ROUND(IF($F$11="raty równe",-PMT(W305/12,$F$4-O304+SUM($P$28:P305),T304,2),R305+S305),2),"")</f>
        <v/>
      </c>
      <c r="R305" s="11" t="str">
        <f>IF(O305&lt;&gt;"",IF($F$11="raty malejące",T304/($F$4-O304+SUM($P$28:P305)),IF(Q305-S305&gt;T304,T304,Q305-S305)),"")</f>
        <v/>
      </c>
      <c r="S305" s="11" t="str">
        <f t="shared" si="145"/>
        <v/>
      </c>
      <c r="T305" s="9" t="str">
        <f t="shared" si="146"/>
        <v/>
      </c>
      <c r="U305" s="10" t="str">
        <f t="shared" si="147"/>
        <v/>
      </c>
      <c r="V305" s="10" t="str">
        <f t="shared" si="148"/>
        <v/>
      </c>
      <c r="W305" s="49" t="str">
        <f t="shared" si="149"/>
        <v/>
      </c>
      <c r="X305" s="11" t="str">
        <f t="shared" si="150"/>
        <v/>
      </c>
      <c r="Y305" s="11" t="str">
        <f>IF(O305&lt;&gt;"",IF($B$16=listy!$K$8,'RZĄDOWY PROGRAM'!$F$3*'RZĄDOWY PROGRAM'!$F$15,T304*$F$15),"")</f>
        <v/>
      </c>
      <c r="Z305" s="11" t="str">
        <f t="shared" si="151"/>
        <v/>
      </c>
      <c r="AB305" s="8" t="str">
        <f t="shared" si="152"/>
        <v/>
      </c>
      <c r="AC305" s="8"/>
      <c r="AD305" s="33" t="str">
        <f>IF(AB305&lt;&gt;"",ROUND(IF($F$11="raty równe",-PMT(W305/12,$F$4-AB304+SUM($AC$28:AC305),AG304,2),AE305+AF305),2),"")</f>
        <v/>
      </c>
      <c r="AE305" s="11" t="str">
        <f>IF(AB305&lt;&gt;"",IF($F$11="raty malejące",AG304/($F$4-AB304+SUM($AC$28:AC304)),MIN(AD305-AF305,AG304)),"")</f>
        <v/>
      </c>
      <c r="AF305" s="11" t="str">
        <f t="shared" si="153"/>
        <v/>
      </c>
      <c r="AG305" s="9" t="str">
        <f t="shared" si="154"/>
        <v/>
      </c>
      <c r="AH305" s="11"/>
      <c r="AI305" s="33" t="str">
        <f>IF(AB305&lt;&gt;"",ROUND(IF($F$11="raty równe",-PMT(W305/12,($F$4-AB304+SUM($AC$27:AC304)),AG304,2),AG304/($F$4-AB304+SUM($AC$27:AC304))+AG304*W305/12),2),"")</f>
        <v/>
      </c>
      <c r="AJ305" s="33" t="str">
        <f t="shared" si="155"/>
        <v/>
      </c>
      <c r="AK305" s="33" t="str">
        <f t="shared" si="156"/>
        <v/>
      </c>
      <c r="AL305" s="33" t="str">
        <f>IF(AB305&lt;&gt;"",AK305-SUM($AJ$28:AJ305),"")</f>
        <v/>
      </c>
      <c r="AM305" s="11" t="str">
        <f t="shared" si="157"/>
        <v/>
      </c>
      <c r="AN305" s="11" t="str">
        <f>IF(AB305&lt;&gt;"",IF($B$16=listy!$K$8,'RZĄDOWY PROGRAM'!$F$3*'RZĄDOWY PROGRAM'!$F$15,AG304*$F$15),"")</f>
        <v/>
      </c>
      <c r="AO305" s="11" t="str">
        <f t="shared" si="158"/>
        <v/>
      </c>
      <c r="AQ305" s="49" t="str">
        <f t="shared" si="159"/>
        <v/>
      </c>
      <c r="AR305" s="18" t="str">
        <f t="shared" si="160"/>
        <v/>
      </c>
      <c r="AS305" s="11" t="str">
        <f t="shared" si="161"/>
        <v/>
      </c>
      <c r="AT305" s="11" t="str">
        <f t="shared" si="162"/>
        <v/>
      </c>
      <c r="AU305" s="11" t="str">
        <f>IF(AB305&lt;&gt;"",AT305-SUM($AS$28:AS305),"")</f>
        <v/>
      </c>
    </row>
    <row r="306" spans="1:47" ht="14.5" x14ac:dyDescent="0.35">
      <c r="A306" s="76" t="str">
        <f t="shared" si="133"/>
        <v/>
      </c>
      <c r="B306" s="8" t="str">
        <f t="shared" si="163"/>
        <v/>
      </c>
      <c r="C306" s="11" t="str">
        <f t="shared" si="134"/>
        <v/>
      </c>
      <c r="D306" s="11" t="str">
        <f t="shared" si="135"/>
        <v/>
      </c>
      <c r="E306" s="11" t="str">
        <f t="shared" si="136"/>
        <v/>
      </c>
      <c r="F306" s="9" t="str">
        <f t="shared" si="137"/>
        <v/>
      </c>
      <c r="G306" s="10" t="str">
        <f t="shared" si="138"/>
        <v/>
      </c>
      <c r="H306" s="10" t="str">
        <f t="shared" si="139"/>
        <v/>
      </c>
      <c r="I306" s="49" t="str">
        <f t="shared" si="140"/>
        <v/>
      </c>
      <c r="J306" s="11" t="str">
        <f t="shared" si="141"/>
        <v/>
      </c>
      <c r="K306" s="11" t="str">
        <f>IF(B306&lt;&gt;"",IF($B$16=listy!$K$8,'RZĄDOWY PROGRAM'!$F$3*'RZĄDOWY PROGRAM'!$F$15,F305*$F$15),"")</f>
        <v/>
      </c>
      <c r="L306" s="11" t="str">
        <f t="shared" si="142"/>
        <v/>
      </c>
      <c r="N306" s="55" t="str">
        <f t="shared" si="144"/>
        <v/>
      </c>
      <c r="O306" s="8" t="str">
        <f t="shared" si="164"/>
        <v/>
      </c>
      <c r="P306" s="8"/>
      <c r="Q306" s="33" t="str">
        <f>IF(O306&lt;&gt;"",ROUND(IF($F$11="raty równe",-PMT(W306/12,$F$4-O305+SUM($P$28:P306),T305,2),R306+S306),2),"")</f>
        <v/>
      </c>
      <c r="R306" s="11" t="str">
        <f>IF(O306&lt;&gt;"",IF($F$11="raty malejące",T305/($F$4-O305+SUM($P$28:P306)),IF(Q306-S306&gt;T305,T305,Q306-S306)),"")</f>
        <v/>
      </c>
      <c r="S306" s="11" t="str">
        <f t="shared" si="145"/>
        <v/>
      </c>
      <c r="T306" s="9" t="str">
        <f t="shared" si="146"/>
        <v/>
      </c>
      <c r="U306" s="10" t="str">
        <f t="shared" si="147"/>
        <v/>
      </c>
      <c r="V306" s="10" t="str">
        <f t="shared" si="148"/>
        <v/>
      </c>
      <c r="W306" s="49" t="str">
        <f t="shared" si="149"/>
        <v/>
      </c>
      <c r="X306" s="11" t="str">
        <f t="shared" si="150"/>
        <v/>
      </c>
      <c r="Y306" s="11" t="str">
        <f>IF(O306&lt;&gt;"",IF($B$16=listy!$K$8,'RZĄDOWY PROGRAM'!$F$3*'RZĄDOWY PROGRAM'!$F$15,T305*$F$15),"")</f>
        <v/>
      </c>
      <c r="Z306" s="11" t="str">
        <f t="shared" si="151"/>
        <v/>
      </c>
      <c r="AB306" s="8" t="str">
        <f t="shared" si="152"/>
        <v/>
      </c>
      <c r="AC306" s="8"/>
      <c r="AD306" s="33" t="str">
        <f>IF(AB306&lt;&gt;"",ROUND(IF($F$11="raty równe",-PMT(W306/12,$F$4-AB305+SUM($AC$28:AC306),AG305,2),AE306+AF306),2),"")</f>
        <v/>
      </c>
      <c r="AE306" s="11" t="str">
        <f>IF(AB306&lt;&gt;"",IF($F$11="raty malejące",AG305/($F$4-AB305+SUM($AC$28:AC305)),MIN(AD306-AF306,AG305)),"")</f>
        <v/>
      </c>
      <c r="AF306" s="11" t="str">
        <f t="shared" si="153"/>
        <v/>
      </c>
      <c r="AG306" s="9" t="str">
        <f t="shared" si="154"/>
        <v/>
      </c>
      <c r="AH306" s="11"/>
      <c r="AI306" s="33" t="str">
        <f>IF(AB306&lt;&gt;"",ROUND(IF($F$11="raty równe",-PMT(W306/12,($F$4-AB305+SUM($AC$27:AC305)),AG305,2),AG305/($F$4-AB305+SUM($AC$27:AC305))+AG305*W306/12),2),"")</f>
        <v/>
      </c>
      <c r="AJ306" s="33" t="str">
        <f t="shared" si="155"/>
        <v/>
      </c>
      <c r="AK306" s="33" t="str">
        <f t="shared" si="156"/>
        <v/>
      </c>
      <c r="AL306" s="33" t="str">
        <f>IF(AB306&lt;&gt;"",AK306-SUM($AJ$28:AJ306),"")</f>
        <v/>
      </c>
      <c r="AM306" s="11" t="str">
        <f t="shared" si="157"/>
        <v/>
      </c>
      <c r="AN306" s="11" t="str">
        <f>IF(AB306&lt;&gt;"",IF($B$16=listy!$K$8,'RZĄDOWY PROGRAM'!$F$3*'RZĄDOWY PROGRAM'!$F$15,AG305*$F$15),"")</f>
        <v/>
      </c>
      <c r="AO306" s="11" t="str">
        <f t="shared" si="158"/>
        <v/>
      </c>
      <c r="AQ306" s="49" t="str">
        <f t="shared" si="159"/>
        <v/>
      </c>
      <c r="AR306" s="18" t="str">
        <f t="shared" si="160"/>
        <v/>
      </c>
      <c r="AS306" s="11" t="str">
        <f t="shared" si="161"/>
        <v/>
      </c>
      <c r="AT306" s="11" t="str">
        <f t="shared" si="162"/>
        <v/>
      </c>
      <c r="AU306" s="11" t="str">
        <f>IF(AB306&lt;&gt;"",AT306-SUM($AS$28:AS306),"")</f>
        <v/>
      </c>
    </row>
    <row r="307" spans="1:47" ht="14.5" x14ac:dyDescent="0.35">
      <c r="A307" s="76" t="str">
        <f t="shared" si="133"/>
        <v/>
      </c>
      <c r="B307" s="8" t="str">
        <f t="shared" si="163"/>
        <v/>
      </c>
      <c r="C307" s="11" t="str">
        <f t="shared" si="134"/>
        <v/>
      </c>
      <c r="D307" s="11" t="str">
        <f t="shared" si="135"/>
        <v/>
      </c>
      <c r="E307" s="11" t="str">
        <f t="shared" si="136"/>
        <v/>
      </c>
      <c r="F307" s="9" t="str">
        <f t="shared" si="137"/>
        <v/>
      </c>
      <c r="G307" s="10" t="str">
        <f t="shared" si="138"/>
        <v/>
      </c>
      <c r="H307" s="10" t="str">
        <f t="shared" si="139"/>
        <v/>
      </c>
      <c r="I307" s="49" t="str">
        <f t="shared" si="140"/>
        <v/>
      </c>
      <c r="J307" s="11" t="str">
        <f t="shared" si="141"/>
        <v/>
      </c>
      <c r="K307" s="11" t="str">
        <f>IF(B307&lt;&gt;"",IF($B$16=listy!$K$8,'RZĄDOWY PROGRAM'!$F$3*'RZĄDOWY PROGRAM'!$F$15,F306*$F$15),"")</f>
        <v/>
      </c>
      <c r="L307" s="11" t="str">
        <f t="shared" si="142"/>
        <v/>
      </c>
      <c r="N307" s="55" t="str">
        <f t="shared" si="144"/>
        <v/>
      </c>
      <c r="O307" s="8" t="str">
        <f t="shared" si="164"/>
        <v/>
      </c>
      <c r="P307" s="8"/>
      <c r="Q307" s="33" t="str">
        <f>IF(O307&lt;&gt;"",ROUND(IF($F$11="raty równe",-PMT(W307/12,$F$4-O306+SUM($P$28:P307),T306,2),R307+S307),2),"")</f>
        <v/>
      </c>
      <c r="R307" s="11" t="str">
        <f>IF(O307&lt;&gt;"",IF($F$11="raty malejące",T306/($F$4-O306+SUM($P$28:P307)),IF(Q307-S307&gt;T306,T306,Q307-S307)),"")</f>
        <v/>
      </c>
      <c r="S307" s="11" t="str">
        <f t="shared" si="145"/>
        <v/>
      </c>
      <c r="T307" s="9" t="str">
        <f t="shared" si="146"/>
        <v/>
      </c>
      <c r="U307" s="10" t="str">
        <f t="shared" si="147"/>
        <v/>
      </c>
      <c r="V307" s="10" t="str">
        <f t="shared" si="148"/>
        <v/>
      </c>
      <c r="W307" s="49" t="str">
        <f t="shared" si="149"/>
        <v/>
      </c>
      <c r="X307" s="11" t="str">
        <f t="shared" si="150"/>
        <v/>
      </c>
      <c r="Y307" s="11" t="str">
        <f>IF(O307&lt;&gt;"",IF($B$16=listy!$K$8,'RZĄDOWY PROGRAM'!$F$3*'RZĄDOWY PROGRAM'!$F$15,T306*$F$15),"")</f>
        <v/>
      </c>
      <c r="Z307" s="11" t="str">
        <f t="shared" si="151"/>
        <v/>
      </c>
      <c r="AB307" s="8" t="str">
        <f t="shared" si="152"/>
        <v/>
      </c>
      <c r="AC307" s="8"/>
      <c r="AD307" s="33" t="str">
        <f>IF(AB307&lt;&gt;"",ROUND(IF($F$11="raty równe",-PMT(W307/12,$F$4-AB306+SUM($AC$28:AC307),AG306,2),AE307+AF307),2),"")</f>
        <v/>
      </c>
      <c r="AE307" s="11" t="str">
        <f>IF(AB307&lt;&gt;"",IF($F$11="raty malejące",AG306/($F$4-AB306+SUM($AC$28:AC306)),MIN(AD307-AF307,AG306)),"")</f>
        <v/>
      </c>
      <c r="AF307" s="11" t="str">
        <f t="shared" si="153"/>
        <v/>
      </c>
      <c r="AG307" s="9" t="str">
        <f t="shared" si="154"/>
        <v/>
      </c>
      <c r="AH307" s="11"/>
      <c r="AI307" s="33" t="str">
        <f>IF(AB307&lt;&gt;"",ROUND(IF($F$11="raty równe",-PMT(W307/12,($F$4-AB306+SUM($AC$27:AC306)),AG306,2),AG306/($F$4-AB306+SUM($AC$27:AC306))+AG306*W307/12),2),"")</f>
        <v/>
      </c>
      <c r="AJ307" s="33" t="str">
        <f t="shared" si="155"/>
        <v/>
      </c>
      <c r="AK307" s="33" t="str">
        <f t="shared" si="156"/>
        <v/>
      </c>
      <c r="AL307" s="33" t="str">
        <f>IF(AB307&lt;&gt;"",AK307-SUM($AJ$28:AJ307),"")</f>
        <v/>
      </c>
      <c r="AM307" s="11" t="str">
        <f t="shared" si="157"/>
        <v/>
      </c>
      <c r="AN307" s="11" t="str">
        <f>IF(AB307&lt;&gt;"",IF($B$16=listy!$K$8,'RZĄDOWY PROGRAM'!$F$3*'RZĄDOWY PROGRAM'!$F$15,AG306*$F$15),"")</f>
        <v/>
      </c>
      <c r="AO307" s="11" t="str">
        <f t="shared" si="158"/>
        <v/>
      </c>
      <c r="AQ307" s="49" t="str">
        <f t="shared" si="159"/>
        <v/>
      </c>
      <c r="AR307" s="18" t="str">
        <f t="shared" si="160"/>
        <v/>
      </c>
      <c r="AS307" s="11" t="str">
        <f t="shared" si="161"/>
        <v/>
      </c>
      <c r="AT307" s="11" t="str">
        <f t="shared" si="162"/>
        <v/>
      </c>
      <c r="AU307" s="11" t="str">
        <f>IF(AB307&lt;&gt;"",AT307-SUM($AS$28:AS307),"")</f>
        <v/>
      </c>
    </row>
    <row r="308" spans="1:47" ht="14.5" x14ac:dyDescent="0.35">
      <c r="A308" s="76" t="str">
        <f t="shared" si="133"/>
        <v/>
      </c>
      <c r="B308" s="8" t="str">
        <f t="shared" si="163"/>
        <v/>
      </c>
      <c r="C308" s="11" t="str">
        <f t="shared" si="134"/>
        <v/>
      </c>
      <c r="D308" s="11" t="str">
        <f t="shared" si="135"/>
        <v/>
      </c>
      <c r="E308" s="11" t="str">
        <f t="shared" si="136"/>
        <v/>
      </c>
      <c r="F308" s="9" t="str">
        <f t="shared" si="137"/>
        <v/>
      </c>
      <c r="G308" s="10" t="str">
        <f t="shared" si="138"/>
        <v/>
      </c>
      <c r="H308" s="10" t="str">
        <f t="shared" si="139"/>
        <v/>
      </c>
      <c r="I308" s="49" t="str">
        <f t="shared" si="140"/>
        <v/>
      </c>
      <c r="J308" s="11" t="str">
        <f t="shared" si="141"/>
        <v/>
      </c>
      <c r="K308" s="11" t="str">
        <f>IF(B308&lt;&gt;"",IF($B$16=listy!$K$8,'RZĄDOWY PROGRAM'!$F$3*'RZĄDOWY PROGRAM'!$F$15,F307*$F$15),"")</f>
        <v/>
      </c>
      <c r="L308" s="11" t="str">
        <f t="shared" si="142"/>
        <v/>
      </c>
      <c r="N308" s="55" t="str">
        <f t="shared" si="144"/>
        <v/>
      </c>
      <c r="O308" s="8" t="str">
        <f t="shared" si="164"/>
        <v/>
      </c>
      <c r="P308" s="8"/>
      <c r="Q308" s="33" t="str">
        <f>IF(O308&lt;&gt;"",ROUND(IF($F$11="raty równe",-PMT(W308/12,$F$4-O307+SUM($P$28:P308),T307,2),R308+S308),2),"")</f>
        <v/>
      </c>
      <c r="R308" s="11" t="str">
        <f>IF(O308&lt;&gt;"",IF($F$11="raty malejące",T307/($F$4-O307+SUM($P$28:P308)),IF(Q308-S308&gt;T307,T307,Q308-S308)),"")</f>
        <v/>
      </c>
      <c r="S308" s="11" t="str">
        <f t="shared" si="145"/>
        <v/>
      </c>
      <c r="T308" s="9" t="str">
        <f t="shared" si="146"/>
        <v/>
      </c>
      <c r="U308" s="10" t="str">
        <f t="shared" si="147"/>
        <v/>
      </c>
      <c r="V308" s="10" t="str">
        <f t="shared" si="148"/>
        <v/>
      </c>
      <c r="W308" s="49" t="str">
        <f t="shared" si="149"/>
        <v/>
      </c>
      <c r="X308" s="11" t="str">
        <f t="shared" si="150"/>
        <v/>
      </c>
      <c r="Y308" s="11" t="str">
        <f>IF(O308&lt;&gt;"",IF($B$16=listy!$K$8,'RZĄDOWY PROGRAM'!$F$3*'RZĄDOWY PROGRAM'!$F$15,T307*$F$15),"")</f>
        <v/>
      </c>
      <c r="Z308" s="11" t="str">
        <f t="shared" si="151"/>
        <v/>
      </c>
      <c r="AB308" s="8" t="str">
        <f t="shared" si="152"/>
        <v/>
      </c>
      <c r="AC308" s="8"/>
      <c r="AD308" s="33" t="str">
        <f>IF(AB308&lt;&gt;"",ROUND(IF($F$11="raty równe",-PMT(W308/12,$F$4-AB307+SUM($AC$28:AC308),AG307,2),AE308+AF308),2),"")</f>
        <v/>
      </c>
      <c r="AE308" s="11" t="str">
        <f>IF(AB308&lt;&gt;"",IF($F$11="raty malejące",AG307/($F$4-AB307+SUM($AC$28:AC307)),MIN(AD308-AF308,AG307)),"")</f>
        <v/>
      </c>
      <c r="AF308" s="11" t="str">
        <f t="shared" si="153"/>
        <v/>
      </c>
      <c r="AG308" s="9" t="str">
        <f t="shared" si="154"/>
        <v/>
      </c>
      <c r="AH308" s="11"/>
      <c r="AI308" s="33" t="str">
        <f>IF(AB308&lt;&gt;"",ROUND(IF($F$11="raty równe",-PMT(W308/12,($F$4-AB307+SUM($AC$27:AC307)),AG307,2),AG307/($F$4-AB307+SUM($AC$27:AC307))+AG307*W308/12),2),"")</f>
        <v/>
      </c>
      <c r="AJ308" s="33" t="str">
        <f t="shared" si="155"/>
        <v/>
      </c>
      <c r="AK308" s="33" t="str">
        <f t="shared" si="156"/>
        <v/>
      </c>
      <c r="AL308" s="33" t="str">
        <f>IF(AB308&lt;&gt;"",AK308-SUM($AJ$28:AJ308),"")</f>
        <v/>
      </c>
      <c r="AM308" s="11" t="str">
        <f t="shared" si="157"/>
        <v/>
      </c>
      <c r="AN308" s="11" t="str">
        <f>IF(AB308&lt;&gt;"",IF($B$16=listy!$K$8,'RZĄDOWY PROGRAM'!$F$3*'RZĄDOWY PROGRAM'!$F$15,AG307*$F$15),"")</f>
        <v/>
      </c>
      <c r="AO308" s="11" t="str">
        <f t="shared" si="158"/>
        <v/>
      </c>
      <c r="AQ308" s="49" t="str">
        <f t="shared" si="159"/>
        <v/>
      </c>
      <c r="AR308" s="18" t="str">
        <f t="shared" si="160"/>
        <v/>
      </c>
      <c r="AS308" s="11" t="str">
        <f t="shared" si="161"/>
        <v/>
      </c>
      <c r="AT308" s="11" t="str">
        <f t="shared" si="162"/>
        <v/>
      </c>
      <c r="AU308" s="11" t="str">
        <f>IF(AB308&lt;&gt;"",AT308-SUM($AS$28:AS308),"")</f>
        <v/>
      </c>
    </row>
    <row r="309" spans="1:47" ht="14.5" x14ac:dyDescent="0.35">
      <c r="A309" s="76" t="str">
        <f t="shared" si="133"/>
        <v/>
      </c>
      <c r="B309" s="8" t="str">
        <f t="shared" si="163"/>
        <v/>
      </c>
      <c r="C309" s="11" t="str">
        <f t="shared" si="134"/>
        <v/>
      </c>
      <c r="D309" s="11" t="str">
        <f t="shared" si="135"/>
        <v/>
      </c>
      <c r="E309" s="11" t="str">
        <f t="shared" si="136"/>
        <v/>
      </c>
      <c r="F309" s="9" t="str">
        <f t="shared" si="137"/>
        <v/>
      </c>
      <c r="G309" s="10" t="str">
        <f t="shared" si="138"/>
        <v/>
      </c>
      <c r="H309" s="10" t="str">
        <f t="shared" si="139"/>
        <v/>
      </c>
      <c r="I309" s="49" t="str">
        <f t="shared" si="140"/>
        <v/>
      </c>
      <c r="J309" s="11" t="str">
        <f t="shared" si="141"/>
        <v/>
      </c>
      <c r="K309" s="11" t="str">
        <f>IF(B309&lt;&gt;"",IF($B$16=listy!$K$8,'RZĄDOWY PROGRAM'!$F$3*'RZĄDOWY PROGRAM'!$F$15,F308*$F$15),"")</f>
        <v/>
      </c>
      <c r="L309" s="11" t="str">
        <f t="shared" si="142"/>
        <v/>
      </c>
      <c r="N309" s="55" t="str">
        <f t="shared" si="144"/>
        <v/>
      </c>
      <c r="O309" s="8" t="str">
        <f t="shared" si="164"/>
        <v/>
      </c>
      <c r="P309" s="8"/>
      <c r="Q309" s="33" t="str">
        <f>IF(O309&lt;&gt;"",ROUND(IF($F$11="raty równe",-PMT(W309/12,$F$4-O308+SUM($P$28:P309),T308,2),R309+S309),2),"")</f>
        <v/>
      </c>
      <c r="R309" s="11" t="str">
        <f>IF(O309&lt;&gt;"",IF($F$11="raty malejące",T308/($F$4-O308+SUM($P$28:P309)),IF(Q309-S309&gt;T308,T308,Q309-S309)),"")</f>
        <v/>
      </c>
      <c r="S309" s="11" t="str">
        <f t="shared" si="145"/>
        <v/>
      </c>
      <c r="T309" s="9" t="str">
        <f t="shared" si="146"/>
        <v/>
      </c>
      <c r="U309" s="10" t="str">
        <f t="shared" si="147"/>
        <v/>
      </c>
      <c r="V309" s="10" t="str">
        <f t="shared" si="148"/>
        <v/>
      </c>
      <c r="W309" s="49" t="str">
        <f t="shared" si="149"/>
        <v/>
      </c>
      <c r="X309" s="11" t="str">
        <f t="shared" si="150"/>
        <v/>
      </c>
      <c r="Y309" s="11" t="str">
        <f>IF(O309&lt;&gt;"",IF($B$16=listy!$K$8,'RZĄDOWY PROGRAM'!$F$3*'RZĄDOWY PROGRAM'!$F$15,T308*$F$15),"")</f>
        <v/>
      </c>
      <c r="Z309" s="11" t="str">
        <f t="shared" si="151"/>
        <v/>
      </c>
      <c r="AB309" s="8" t="str">
        <f t="shared" si="152"/>
        <v/>
      </c>
      <c r="AC309" s="8"/>
      <c r="AD309" s="33" t="str">
        <f>IF(AB309&lt;&gt;"",ROUND(IF($F$11="raty równe",-PMT(W309/12,$F$4-AB308+SUM($AC$28:AC309),AG308,2),AE309+AF309),2),"")</f>
        <v/>
      </c>
      <c r="AE309" s="11" t="str">
        <f>IF(AB309&lt;&gt;"",IF($F$11="raty malejące",AG308/($F$4-AB308+SUM($AC$28:AC308)),MIN(AD309-AF309,AG308)),"")</f>
        <v/>
      </c>
      <c r="AF309" s="11" t="str">
        <f t="shared" si="153"/>
        <v/>
      </c>
      <c r="AG309" s="9" t="str">
        <f t="shared" si="154"/>
        <v/>
      </c>
      <c r="AH309" s="11"/>
      <c r="AI309" s="33" t="str">
        <f>IF(AB309&lt;&gt;"",ROUND(IF($F$11="raty równe",-PMT(W309/12,($F$4-AB308+SUM($AC$27:AC308)),AG308,2),AG308/($F$4-AB308+SUM($AC$27:AC308))+AG308*W309/12),2),"")</f>
        <v/>
      </c>
      <c r="AJ309" s="33" t="str">
        <f t="shared" si="155"/>
        <v/>
      </c>
      <c r="AK309" s="33" t="str">
        <f t="shared" si="156"/>
        <v/>
      </c>
      <c r="AL309" s="33" t="str">
        <f>IF(AB309&lt;&gt;"",AK309-SUM($AJ$28:AJ309),"")</f>
        <v/>
      </c>
      <c r="AM309" s="11" t="str">
        <f t="shared" si="157"/>
        <v/>
      </c>
      <c r="AN309" s="11" t="str">
        <f>IF(AB309&lt;&gt;"",IF($B$16=listy!$K$8,'RZĄDOWY PROGRAM'!$F$3*'RZĄDOWY PROGRAM'!$F$15,AG308*$F$15),"")</f>
        <v/>
      </c>
      <c r="AO309" s="11" t="str">
        <f t="shared" si="158"/>
        <v/>
      </c>
      <c r="AQ309" s="49" t="str">
        <f t="shared" si="159"/>
        <v/>
      </c>
      <c r="AR309" s="18" t="str">
        <f t="shared" si="160"/>
        <v/>
      </c>
      <c r="AS309" s="11" t="str">
        <f t="shared" si="161"/>
        <v/>
      </c>
      <c r="AT309" s="11" t="str">
        <f t="shared" si="162"/>
        <v/>
      </c>
      <c r="AU309" s="11" t="str">
        <f>IF(AB309&lt;&gt;"",AT309-SUM($AS$28:AS309),"")</f>
        <v/>
      </c>
    </row>
    <row r="310" spans="1:47" ht="14.5" x14ac:dyDescent="0.35">
      <c r="A310" s="76" t="str">
        <f t="shared" si="133"/>
        <v/>
      </c>
      <c r="B310" s="8" t="str">
        <f t="shared" si="163"/>
        <v/>
      </c>
      <c r="C310" s="11" t="str">
        <f t="shared" si="134"/>
        <v/>
      </c>
      <c r="D310" s="11" t="str">
        <f t="shared" si="135"/>
        <v/>
      </c>
      <c r="E310" s="11" t="str">
        <f t="shared" si="136"/>
        <v/>
      </c>
      <c r="F310" s="9" t="str">
        <f t="shared" si="137"/>
        <v/>
      </c>
      <c r="G310" s="10" t="str">
        <f t="shared" si="138"/>
        <v/>
      </c>
      <c r="H310" s="10" t="str">
        <f t="shared" si="139"/>
        <v/>
      </c>
      <c r="I310" s="49" t="str">
        <f t="shared" si="140"/>
        <v/>
      </c>
      <c r="J310" s="11" t="str">
        <f t="shared" si="141"/>
        <v/>
      </c>
      <c r="K310" s="11" t="str">
        <f>IF(B310&lt;&gt;"",IF($B$16=listy!$K$8,'RZĄDOWY PROGRAM'!$F$3*'RZĄDOWY PROGRAM'!$F$15,F309*$F$15),"")</f>
        <v/>
      </c>
      <c r="L310" s="11" t="str">
        <f t="shared" si="142"/>
        <v/>
      </c>
      <c r="N310" s="55" t="str">
        <f t="shared" si="144"/>
        <v/>
      </c>
      <c r="O310" s="8" t="str">
        <f t="shared" si="164"/>
        <v/>
      </c>
      <c r="P310" s="8"/>
      <c r="Q310" s="33" t="str">
        <f>IF(O310&lt;&gt;"",ROUND(IF($F$11="raty równe",-PMT(W310/12,$F$4-O309+SUM($P$28:P310),T309,2),R310+S310),2),"")</f>
        <v/>
      </c>
      <c r="R310" s="11" t="str">
        <f>IF(O310&lt;&gt;"",IF($F$11="raty malejące",T309/($F$4-O309+SUM($P$28:P310)),IF(Q310-S310&gt;T309,T309,Q310-S310)),"")</f>
        <v/>
      </c>
      <c r="S310" s="11" t="str">
        <f t="shared" si="145"/>
        <v/>
      </c>
      <c r="T310" s="9" t="str">
        <f t="shared" si="146"/>
        <v/>
      </c>
      <c r="U310" s="10" t="str">
        <f t="shared" si="147"/>
        <v/>
      </c>
      <c r="V310" s="10" t="str">
        <f t="shared" si="148"/>
        <v/>
      </c>
      <c r="W310" s="49" t="str">
        <f t="shared" si="149"/>
        <v/>
      </c>
      <c r="X310" s="11" t="str">
        <f t="shared" si="150"/>
        <v/>
      </c>
      <c r="Y310" s="11" t="str">
        <f>IF(O310&lt;&gt;"",IF($B$16=listy!$K$8,'RZĄDOWY PROGRAM'!$F$3*'RZĄDOWY PROGRAM'!$F$15,T309*$F$15),"")</f>
        <v/>
      </c>
      <c r="Z310" s="11" t="str">
        <f t="shared" si="151"/>
        <v/>
      </c>
      <c r="AB310" s="8" t="str">
        <f t="shared" si="152"/>
        <v/>
      </c>
      <c r="AC310" s="8"/>
      <c r="AD310" s="33" t="str">
        <f>IF(AB310&lt;&gt;"",ROUND(IF($F$11="raty równe",-PMT(W310/12,$F$4-AB309+SUM($AC$28:AC310),AG309,2),AE310+AF310),2),"")</f>
        <v/>
      </c>
      <c r="AE310" s="11" t="str">
        <f>IF(AB310&lt;&gt;"",IF($F$11="raty malejące",AG309/($F$4-AB309+SUM($AC$28:AC309)),MIN(AD310-AF310,AG309)),"")</f>
        <v/>
      </c>
      <c r="AF310" s="11" t="str">
        <f t="shared" si="153"/>
        <v/>
      </c>
      <c r="AG310" s="9" t="str">
        <f t="shared" si="154"/>
        <v/>
      </c>
      <c r="AH310" s="11"/>
      <c r="AI310" s="33" t="str">
        <f>IF(AB310&lt;&gt;"",ROUND(IF($F$11="raty równe",-PMT(W310/12,($F$4-AB309+SUM($AC$27:AC309)),AG309,2),AG309/($F$4-AB309+SUM($AC$27:AC309))+AG309*W310/12),2),"")</f>
        <v/>
      </c>
      <c r="AJ310" s="33" t="str">
        <f t="shared" si="155"/>
        <v/>
      </c>
      <c r="AK310" s="33" t="str">
        <f t="shared" si="156"/>
        <v/>
      </c>
      <c r="AL310" s="33" t="str">
        <f>IF(AB310&lt;&gt;"",AK310-SUM($AJ$28:AJ310),"")</f>
        <v/>
      </c>
      <c r="AM310" s="11" t="str">
        <f t="shared" si="157"/>
        <v/>
      </c>
      <c r="AN310" s="11" t="str">
        <f>IF(AB310&lt;&gt;"",IF($B$16=listy!$K$8,'RZĄDOWY PROGRAM'!$F$3*'RZĄDOWY PROGRAM'!$F$15,AG309*$F$15),"")</f>
        <v/>
      </c>
      <c r="AO310" s="11" t="str">
        <f t="shared" si="158"/>
        <v/>
      </c>
      <c r="AQ310" s="49" t="str">
        <f t="shared" si="159"/>
        <v/>
      </c>
      <c r="AR310" s="18" t="str">
        <f t="shared" si="160"/>
        <v/>
      </c>
      <c r="AS310" s="11" t="str">
        <f t="shared" si="161"/>
        <v/>
      </c>
      <c r="AT310" s="11" t="str">
        <f t="shared" si="162"/>
        <v/>
      </c>
      <c r="AU310" s="11" t="str">
        <f>IF(AB310&lt;&gt;"",AT310-SUM($AS$28:AS310),"")</f>
        <v/>
      </c>
    </row>
    <row r="311" spans="1:47" ht="14.5" x14ac:dyDescent="0.35">
      <c r="A311" s="76" t="str">
        <f t="shared" si="133"/>
        <v/>
      </c>
      <c r="B311" s="8" t="str">
        <f t="shared" si="163"/>
        <v/>
      </c>
      <c r="C311" s="11" t="str">
        <f t="shared" si="134"/>
        <v/>
      </c>
      <c r="D311" s="11" t="str">
        <f t="shared" si="135"/>
        <v/>
      </c>
      <c r="E311" s="11" t="str">
        <f t="shared" si="136"/>
        <v/>
      </c>
      <c r="F311" s="9" t="str">
        <f t="shared" si="137"/>
        <v/>
      </c>
      <c r="G311" s="10" t="str">
        <f t="shared" si="138"/>
        <v/>
      </c>
      <c r="H311" s="10" t="str">
        <f t="shared" si="139"/>
        <v/>
      </c>
      <c r="I311" s="49" t="str">
        <f t="shared" si="140"/>
        <v/>
      </c>
      <c r="J311" s="11" t="str">
        <f t="shared" si="141"/>
        <v/>
      </c>
      <c r="K311" s="11" t="str">
        <f>IF(B311&lt;&gt;"",IF($B$16=listy!$K$8,'RZĄDOWY PROGRAM'!$F$3*'RZĄDOWY PROGRAM'!$F$15,F310*$F$15),"")</f>
        <v/>
      </c>
      <c r="L311" s="11" t="str">
        <f t="shared" si="142"/>
        <v/>
      </c>
      <c r="N311" s="55" t="str">
        <f t="shared" si="144"/>
        <v/>
      </c>
      <c r="O311" s="8" t="str">
        <f t="shared" si="164"/>
        <v/>
      </c>
      <c r="P311" s="8"/>
      <c r="Q311" s="33" t="str">
        <f>IF(O311&lt;&gt;"",ROUND(IF($F$11="raty równe",-PMT(W311/12,$F$4-O310+SUM($P$28:P311),T310,2),R311+S311),2),"")</f>
        <v/>
      </c>
      <c r="R311" s="11" t="str">
        <f>IF(O311&lt;&gt;"",IF($F$11="raty malejące",T310/($F$4-O310+SUM($P$28:P311)),IF(Q311-S311&gt;T310,T310,Q311-S311)),"")</f>
        <v/>
      </c>
      <c r="S311" s="11" t="str">
        <f t="shared" si="145"/>
        <v/>
      </c>
      <c r="T311" s="9" t="str">
        <f t="shared" si="146"/>
        <v/>
      </c>
      <c r="U311" s="10" t="str">
        <f t="shared" si="147"/>
        <v/>
      </c>
      <c r="V311" s="10" t="str">
        <f t="shared" si="148"/>
        <v/>
      </c>
      <c r="W311" s="49" t="str">
        <f t="shared" si="149"/>
        <v/>
      </c>
      <c r="X311" s="11" t="str">
        <f t="shared" si="150"/>
        <v/>
      </c>
      <c r="Y311" s="11" t="str">
        <f>IF(O311&lt;&gt;"",IF($B$16=listy!$K$8,'RZĄDOWY PROGRAM'!$F$3*'RZĄDOWY PROGRAM'!$F$15,T310*$F$15),"")</f>
        <v/>
      </c>
      <c r="Z311" s="11" t="str">
        <f t="shared" si="151"/>
        <v/>
      </c>
      <c r="AB311" s="8" t="str">
        <f t="shared" si="152"/>
        <v/>
      </c>
      <c r="AC311" s="8"/>
      <c r="AD311" s="33" t="str">
        <f>IF(AB311&lt;&gt;"",ROUND(IF($F$11="raty równe",-PMT(W311/12,$F$4-AB310+SUM($AC$28:AC311),AG310,2),AE311+AF311),2),"")</f>
        <v/>
      </c>
      <c r="AE311" s="11" t="str">
        <f>IF(AB311&lt;&gt;"",IF($F$11="raty malejące",AG310/($F$4-AB310+SUM($AC$28:AC310)),MIN(AD311-AF311,AG310)),"")</f>
        <v/>
      </c>
      <c r="AF311" s="11" t="str">
        <f t="shared" si="153"/>
        <v/>
      </c>
      <c r="AG311" s="9" t="str">
        <f t="shared" si="154"/>
        <v/>
      </c>
      <c r="AH311" s="11"/>
      <c r="AI311" s="33" t="str">
        <f>IF(AB311&lt;&gt;"",ROUND(IF($F$11="raty równe",-PMT(W311/12,($F$4-AB310+SUM($AC$27:AC310)),AG310,2),AG310/($F$4-AB310+SUM($AC$27:AC310))+AG310*W311/12),2),"")</f>
        <v/>
      </c>
      <c r="AJ311" s="33" t="str">
        <f t="shared" si="155"/>
        <v/>
      </c>
      <c r="AK311" s="33" t="str">
        <f t="shared" si="156"/>
        <v/>
      </c>
      <c r="AL311" s="33" t="str">
        <f>IF(AB311&lt;&gt;"",AK311-SUM($AJ$28:AJ311),"")</f>
        <v/>
      </c>
      <c r="AM311" s="11" t="str">
        <f t="shared" si="157"/>
        <v/>
      </c>
      <c r="AN311" s="11" t="str">
        <f>IF(AB311&lt;&gt;"",IF($B$16=listy!$K$8,'RZĄDOWY PROGRAM'!$F$3*'RZĄDOWY PROGRAM'!$F$15,AG310*$F$15),"")</f>
        <v/>
      </c>
      <c r="AO311" s="11" t="str">
        <f t="shared" si="158"/>
        <v/>
      </c>
      <c r="AQ311" s="49" t="str">
        <f t="shared" si="159"/>
        <v/>
      </c>
      <c r="AR311" s="18" t="str">
        <f t="shared" si="160"/>
        <v/>
      </c>
      <c r="AS311" s="11" t="str">
        <f t="shared" si="161"/>
        <v/>
      </c>
      <c r="AT311" s="11" t="str">
        <f t="shared" si="162"/>
        <v/>
      </c>
      <c r="AU311" s="11" t="str">
        <f>IF(AB311&lt;&gt;"",AT311-SUM($AS$28:AS311),"")</f>
        <v/>
      </c>
    </row>
    <row r="312" spans="1:47" ht="14.5" x14ac:dyDescent="0.35">
      <c r="A312" s="76" t="str">
        <f t="shared" si="133"/>
        <v/>
      </c>
      <c r="B312" s="8" t="str">
        <f t="shared" si="163"/>
        <v/>
      </c>
      <c r="C312" s="11" t="str">
        <f t="shared" si="134"/>
        <v/>
      </c>
      <c r="D312" s="11" t="str">
        <f t="shared" si="135"/>
        <v/>
      </c>
      <c r="E312" s="11" t="str">
        <f t="shared" si="136"/>
        <v/>
      </c>
      <c r="F312" s="9" t="str">
        <f t="shared" si="137"/>
        <v/>
      </c>
      <c r="G312" s="10" t="str">
        <f t="shared" si="138"/>
        <v/>
      </c>
      <c r="H312" s="10" t="str">
        <f t="shared" si="139"/>
        <v/>
      </c>
      <c r="I312" s="49" t="str">
        <f t="shared" si="140"/>
        <v/>
      </c>
      <c r="J312" s="11" t="str">
        <f t="shared" si="141"/>
        <v/>
      </c>
      <c r="K312" s="11" t="str">
        <f>IF(B312&lt;&gt;"",IF($B$16=listy!$K$8,'RZĄDOWY PROGRAM'!$F$3*'RZĄDOWY PROGRAM'!$F$15,F311*$F$15),"")</f>
        <v/>
      </c>
      <c r="L312" s="11" t="str">
        <f t="shared" si="142"/>
        <v/>
      </c>
      <c r="N312" s="55" t="str">
        <f t="shared" si="144"/>
        <v/>
      </c>
      <c r="O312" s="8" t="str">
        <f t="shared" si="164"/>
        <v/>
      </c>
      <c r="P312" s="8"/>
      <c r="Q312" s="33" t="str">
        <f>IF(O312&lt;&gt;"",ROUND(IF($F$11="raty równe",-PMT(W312/12,$F$4-O311+SUM($P$28:P312),T311,2),R312+S312),2),"")</f>
        <v/>
      </c>
      <c r="R312" s="11" t="str">
        <f>IF(O312&lt;&gt;"",IF($F$11="raty malejące",T311/($F$4-O311+SUM($P$28:P312)),IF(Q312-S312&gt;T311,T311,Q312-S312)),"")</f>
        <v/>
      </c>
      <c r="S312" s="11" t="str">
        <f t="shared" si="145"/>
        <v/>
      </c>
      <c r="T312" s="9" t="str">
        <f t="shared" si="146"/>
        <v/>
      </c>
      <c r="U312" s="10" t="str">
        <f t="shared" si="147"/>
        <v/>
      </c>
      <c r="V312" s="10" t="str">
        <f t="shared" si="148"/>
        <v/>
      </c>
      <c r="W312" s="49" t="str">
        <f t="shared" si="149"/>
        <v/>
      </c>
      <c r="X312" s="11" t="str">
        <f t="shared" si="150"/>
        <v/>
      </c>
      <c r="Y312" s="11" t="str">
        <f>IF(O312&lt;&gt;"",IF($B$16=listy!$K$8,'RZĄDOWY PROGRAM'!$F$3*'RZĄDOWY PROGRAM'!$F$15,T311*$F$15),"")</f>
        <v/>
      </c>
      <c r="Z312" s="11" t="str">
        <f t="shared" si="151"/>
        <v/>
      </c>
      <c r="AB312" s="8" t="str">
        <f t="shared" si="152"/>
        <v/>
      </c>
      <c r="AC312" s="8"/>
      <c r="AD312" s="33" t="str">
        <f>IF(AB312&lt;&gt;"",ROUND(IF($F$11="raty równe",-PMT(W312/12,$F$4-AB311+SUM($AC$28:AC312),AG311,2),AE312+AF312),2),"")</f>
        <v/>
      </c>
      <c r="AE312" s="11" t="str">
        <f>IF(AB312&lt;&gt;"",IF($F$11="raty malejące",AG311/($F$4-AB311+SUM($AC$28:AC311)),MIN(AD312-AF312,AG311)),"")</f>
        <v/>
      </c>
      <c r="AF312" s="11" t="str">
        <f t="shared" si="153"/>
        <v/>
      </c>
      <c r="AG312" s="9" t="str">
        <f t="shared" si="154"/>
        <v/>
      </c>
      <c r="AH312" s="11"/>
      <c r="AI312" s="33" t="str">
        <f>IF(AB312&lt;&gt;"",ROUND(IF($F$11="raty równe",-PMT(W312/12,($F$4-AB311+SUM($AC$27:AC311)),AG311,2),AG311/($F$4-AB311+SUM($AC$27:AC311))+AG311*W312/12),2),"")</f>
        <v/>
      </c>
      <c r="AJ312" s="33" t="str">
        <f t="shared" si="155"/>
        <v/>
      </c>
      <c r="AK312" s="33" t="str">
        <f t="shared" si="156"/>
        <v/>
      </c>
      <c r="AL312" s="33" t="str">
        <f>IF(AB312&lt;&gt;"",AK312-SUM($AJ$28:AJ312),"")</f>
        <v/>
      </c>
      <c r="AM312" s="11" t="str">
        <f t="shared" si="157"/>
        <v/>
      </c>
      <c r="AN312" s="11" t="str">
        <f>IF(AB312&lt;&gt;"",IF($B$16=listy!$K$8,'RZĄDOWY PROGRAM'!$F$3*'RZĄDOWY PROGRAM'!$F$15,AG311*$F$15),"")</f>
        <v/>
      </c>
      <c r="AO312" s="11" t="str">
        <f t="shared" si="158"/>
        <v/>
      </c>
      <c r="AQ312" s="49" t="str">
        <f t="shared" si="159"/>
        <v/>
      </c>
      <c r="AR312" s="18" t="str">
        <f t="shared" si="160"/>
        <v/>
      </c>
      <c r="AS312" s="11" t="str">
        <f t="shared" si="161"/>
        <v/>
      </c>
      <c r="AT312" s="11" t="str">
        <f t="shared" si="162"/>
        <v/>
      </c>
      <c r="AU312" s="11" t="str">
        <f>IF(AB312&lt;&gt;"",AT312-SUM($AS$28:AS312),"")</f>
        <v/>
      </c>
    </row>
    <row r="313" spans="1:47" ht="14.5" x14ac:dyDescent="0.35">
      <c r="A313" s="76" t="str">
        <f t="shared" si="133"/>
        <v/>
      </c>
      <c r="B313" s="8" t="str">
        <f t="shared" si="163"/>
        <v/>
      </c>
      <c r="C313" s="11" t="str">
        <f t="shared" si="134"/>
        <v/>
      </c>
      <c r="D313" s="11" t="str">
        <f t="shared" si="135"/>
        <v/>
      </c>
      <c r="E313" s="11" t="str">
        <f t="shared" si="136"/>
        <v/>
      </c>
      <c r="F313" s="9" t="str">
        <f t="shared" si="137"/>
        <v/>
      </c>
      <c r="G313" s="10" t="str">
        <f t="shared" si="138"/>
        <v/>
      </c>
      <c r="H313" s="10" t="str">
        <f t="shared" si="139"/>
        <v/>
      </c>
      <c r="I313" s="49" t="str">
        <f t="shared" si="140"/>
        <v/>
      </c>
      <c r="J313" s="11" t="str">
        <f t="shared" si="141"/>
        <v/>
      </c>
      <c r="K313" s="11" t="str">
        <f>IF(B313&lt;&gt;"",IF($B$16=listy!$K$8,'RZĄDOWY PROGRAM'!$F$3*'RZĄDOWY PROGRAM'!$F$15,F312*$F$15),"")</f>
        <v/>
      </c>
      <c r="L313" s="11" t="str">
        <f t="shared" si="142"/>
        <v/>
      </c>
      <c r="N313" s="55" t="str">
        <f t="shared" si="144"/>
        <v/>
      </c>
      <c r="O313" s="8" t="str">
        <f t="shared" si="164"/>
        <v/>
      </c>
      <c r="P313" s="8"/>
      <c r="Q313" s="33" t="str">
        <f>IF(O313&lt;&gt;"",ROUND(IF($F$11="raty równe",-PMT(W313/12,$F$4-O312+SUM($P$28:P313),T312,2),R313+S313),2),"")</f>
        <v/>
      </c>
      <c r="R313" s="11" t="str">
        <f>IF(O313&lt;&gt;"",IF($F$11="raty malejące",T312/($F$4-O312+SUM($P$28:P313)),IF(Q313-S313&gt;T312,T312,Q313-S313)),"")</f>
        <v/>
      </c>
      <c r="S313" s="11" t="str">
        <f t="shared" si="145"/>
        <v/>
      </c>
      <c r="T313" s="9" t="str">
        <f t="shared" si="146"/>
        <v/>
      </c>
      <c r="U313" s="10" t="str">
        <f t="shared" si="147"/>
        <v/>
      </c>
      <c r="V313" s="10" t="str">
        <f t="shared" si="148"/>
        <v/>
      </c>
      <c r="W313" s="49" t="str">
        <f t="shared" si="149"/>
        <v/>
      </c>
      <c r="X313" s="11" t="str">
        <f t="shared" si="150"/>
        <v/>
      </c>
      <c r="Y313" s="11" t="str">
        <f>IF(O313&lt;&gt;"",IF($B$16=listy!$K$8,'RZĄDOWY PROGRAM'!$F$3*'RZĄDOWY PROGRAM'!$F$15,T312*$F$15),"")</f>
        <v/>
      </c>
      <c r="Z313" s="11" t="str">
        <f t="shared" si="151"/>
        <v/>
      </c>
      <c r="AB313" s="8" t="str">
        <f t="shared" si="152"/>
        <v/>
      </c>
      <c r="AC313" s="8"/>
      <c r="AD313" s="33" t="str">
        <f>IF(AB313&lt;&gt;"",ROUND(IF($F$11="raty równe",-PMT(W313/12,$F$4-AB312+SUM($AC$28:AC313),AG312,2),AE313+AF313),2),"")</f>
        <v/>
      </c>
      <c r="AE313" s="11" t="str">
        <f>IF(AB313&lt;&gt;"",IF($F$11="raty malejące",AG312/($F$4-AB312+SUM($AC$28:AC312)),MIN(AD313-AF313,AG312)),"")</f>
        <v/>
      </c>
      <c r="AF313" s="11" t="str">
        <f t="shared" si="153"/>
        <v/>
      </c>
      <c r="AG313" s="9" t="str">
        <f t="shared" si="154"/>
        <v/>
      </c>
      <c r="AH313" s="11"/>
      <c r="AI313" s="33" t="str">
        <f>IF(AB313&lt;&gt;"",ROUND(IF($F$11="raty równe",-PMT(W313/12,($F$4-AB312+SUM($AC$27:AC312)),AG312,2),AG312/($F$4-AB312+SUM($AC$27:AC312))+AG312*W313/12),2),"")</f>
        <v/>
      </c>
      <c r="AJ313" s="33" t="str">
        <f t="shared" si="155"/>
        <v/>
      </c>
      <c r="AK313" s="33" t="str">
        <f t="shared" si="156"/>
        <v/>
      </c>
      <c r="AL313" s="33" t="str">
        <f>IF(AB313&lt;&gt;"",AK313-SUM($AJ$28:AJ313),"")</f>
        <v/>
      </c>
      <c r="AM313" s="11" t="str">
        <f t="shared" si="157"/>
        <v/>
      </c>
      <c r="AN313" s="11" t="str">
        <f>IF(AB313&lt;&gt;"",IF($B$16=listy!$K$8,'RZĄDOWY PROGRAM'!$F$3*'RZĄDOWY PROGRAM'!$F$15,AG312*$F$15),"")</f>
        <v/>
      </c>
      <c r="AO313" s="11" t="str">
        <f t="shared" si="158"/>
        <v/>
      </c>
      <c r="AQ313" s="49" t="str">
        <f t="shared" si="159"/>
        <v/>
      </c>
      <c r="AR313" s="18" t="str">
        <f t="shared" si="160"/>
        <v/>
      </c>
      <c r="AS313" s="11" t="str">
        <f t="shared" si="161"/>
        <v/>
      </c>
      <c r="AT313" s="11" t="str">
        <f t="shared" si="162"/>
        <v/>
      </c>
      <c r="AU313" s="11" t="str">
        <f>IF(AB313&lt;&gt;"",AT313-SUM($AS$28:AS313),"")</f>
        <v/>
      </c>
    </row>
    <row r="314" spans="1:47" ht="14.5" x14ac:dyDescent="0.35">
      <c r="A314" s="76" t="str">
        <f t="shared" si="133"/>
        <v/>
      </c>
      <c r="B314" s="8" t="str">
        <f t="shared" si="163"/>
        <v/>
      </c>
      <c r="C314" s="11" t="str">
        <f t="shared" si="134"/>
        <v/>
      </c>
      <c r="D314" s="11" t="str">
        <f t="shared" si="135"/>
        <v/>
      </c>
      <c r="E314" s="11" t="str">
        <f t="shared" si="136"/>
        <v/>
      </c>
      <c r="F314" s="9" t="str">
        <f t="shared" si="137"/>
        <v/>
      </c>
      <c r="G314" s="10" t="str">
        <f t="shared" si="138"/>
        <v/>
      </c>
      <c r="H314" s="10" t="str">
        <f t="shared" si="139"/>
        <v/>
      </c>
      <c r="I314" s="49" t="str">
        <f t="shared" si="140"/>
        <v/>
      </c>
      <c r="J314" s="11" t="str">
        <f t="shared" si="141"/>
        <v/>
      </c>
      <c r="K314" s="11" t="str">
        <f>IF(B314&lt;&gt;"",IF($B$16=listy!$K$8,'RZĄDOWY PROGRAM'!$F$3*'RZĄDOWY PROGRAM'!$F$15,F313*$F$15),"")</f>
        <v/>
      </c>
      <c r="L314" s="11" t="str">
        <f t="shared" si="142"/>
        <v/>
      </c>
      <c r="N314" s="55" t="str">
        <f t="shared" si="144"/>
        <v/>
      </c>
      <c r="O314" s="8" t="str">
        <f t="shared" si="164"/>
        <v/>
      </c>
      <c r="P314" s="8"/>
      <c r="Q314" s="33" t="str">
        <f>IF(O314&lt;&gt;"",ROUND(IF($F$11="raty równe",-PMT(W314/12,$F$4-O313+SUM($P$28:P314),T313,2),R314+S314),2),"")</f>
        <v/>
      </c>
      <c r="R314" s="11" t="str">
        <f>IF(O314&lt;&gt;"",IF($F$11="raty malejące",T313/($F$4-O313+SUM($P$28:P314)),IF(Q314-S314&gt;T313,T313,Q314-S314)),"")</f>
        <v/>
      </c>
      <c r="S314" s="11" t="str">
        <f t="shared" si="145"/>
        <v/>
      </c>
      <c r="T314" s="9" t="str">
        <f t="shared" si="146"/>
        <v/>
      </c>
      <c r="U314" s="10" t="str">
        <f t="shared" si="147"/>
        <v/>
      </c>
      <c r="V314" s="10" t="str">
        <f t="shared" si="148"/>
        <v/>
      </c>
      <c r="W314" s="49" t="str">
        <f t="shared" si="149"/>
        <v/>
      </c>
      <c r="X314" s="11" t="str">
        <f t="shared" si="150"/>
        <v/>
      </c>
      <c r="Y314" s="11" t="str">
        <f>IF(O314&lt;&gt;"",IF($B$16=listy!$K$8,'RZĄDOWY PROGRAM'!$F$3*'RZĄDOWY PROGRAM'!$F$15,T313*$F$15),"")</f>
        <v/>
      </c>
      <c r="Z314" s="11" t="str">
        <f t="shared" si="151"/>
        <v/>
      </c>
      <c r="AB314" s="8" t="str">
        <f t="shared" si="152"/>
        <v/>
      </c>
      <c r="AC314" s="8"/>
      <c r="AD314" s="33" t="str">
        <f>IF(AB314&lt;&gt;"",ROUND(IF($F$11="raty równe",-PMT(W314/12,$F$4-AB313+SUM($AC$28:AC314),AG313,2),AE314+AF314),2),"")</f>
        <v/>
      </c>
      <c r="AE314" s="11" t="str">
        <f>IF(AB314&lt;&gt;"",IF($F$11="raty malejące",AG313/($F$4-AB313+SUM($AC$28:AC313)),MIN(AD314-AF314,AG313)),"")</f>
        <v/>
      </c>
      <c r="AF314" s="11" t="str">
        <f t="shared" si="153"/>
        <v/>
      </c>
      <c r="AG314" s="9" t="str">
        <f t="shared" si="154"/>
        <v/>
      </c>
      <c r="AH314" s="11"/>
      <c r="AI314" s="33" t="str">
        <f>IF(AB314&lt;&gt;"",ROUND(IF($F$11="raty równe",-PMT(W314/12,($F$4-AB313+SUM($AC$27:AC313)),AG313,2),AG313/($F$4-AB313+SUM($AC$27:AC313))+AG313*W314/12),2),"")</f>
        <v/>
      </c>
      <c r="AJ314" s="33" t="str">
        <f t="shared" si="155"/>
        <v/>
      </c>
      <c r="AK314" s="33" t="str">
        <f t="shared" si="156"/>
        <v/>
      </c>
      <c r="AL314" s="33" t="str">
        <f>IF(AB314&lt;&gt;"",AK314-SUM($AJ$28:AJ314),"")</f>
        <v/>
      </c>
      <c r="AM314" s="11" t="str">
        <f t="shared" si="157"/>
        <v/>
      </c>
      <c r="AN314" s="11" t="str">
        <f>IF(AB314&lt;&gt;"",IF($B$16=listy!$K$8,'RZĄDOWY PROGRAM'!$F$3*'RZĄDOWY PROGRAM'!$F$15,AG313*$F$15),"")</f>
        <v/>
      </c>
      <c r="AO314" s="11" t="str">
        <f t="shared" si="158"/>
        <v/>
      </c>
      <c r="AQ314" s="49" t="str">
        <f t="shared" si="159"/>
        <v/>
      </c>
      <c r="AR314" s="18" t="str">
        <f t="shared" si="160"/>
        <v/>
      </c>
      <c r="AS314" s="11" t="str">
        <f t="shared" si="161"/>
        <v/>
      </c>
      <c r="AT314" s="11" t="str">
        <f t="shared" si="162"/>
        <v/>
      </c>
      <c r="AU314" s="11" t="str">
        <f>IF(AB314&lt;&gt;"",AT314-SUM($AS$28:AS314),"")</f>
        <v/>
      </c>
    </row>
    <row r="315" spans="1:47" ht="14.5" x14ac:dyDescent="0.35">
      <c r="A315" s="76" t="str">
        <f t="shared" si="133"/>
        <v/>
      </c>
      <c r="B315" s="8" t="str">
        <f t="shared" si="163"/>
        <v/>
      </c>
      <c r="C315" s="11" t="str">
        <f t="shared" si="134"/>
        <v/>
      </c>
      <c r="D315" s="11" t="str">
        <f t="shared" si="135"/>
        <v/>
      </c>
      <c r="E315" s="11" t="str">
        <f t="shared" si="136"/>
        <v/>
      </c>
      <c r="F315" s="9" t="str">
        <f t="shared" si="137"/>
        <v/>
      </c>
      <c r="G315" s="10" t="str">
        <f t="shared" si="138"/>
        <v/>
      </c>
      <c r="H315" s="10" t="str">
        <f t="shared" si="139"/>
        <v/>
      </c>
      <c r="I315" s="49" t="str">
        <f t="shared" si="140"/>
        <v/>
      </c>
      <c r="J315" s="11" t="str">
        <f t="shared" si="141"/>
        <v/>
      </c>
      <c r="K315" s="11" t="str">
        <f>IF(B315&lt;&gt;"",IF($B$16=listy!$K$8,'RZĄDOWY PROGRAM'!$F$3*'RZĄDOWY PROGRAM'!$F$15,F314*$F$15),"")</f>
        <v/>
      </c>
      <c r="L315" s="11" t="str">
        <f t="shared" si="142"/>
        <v/>
      </c>
      <c r="N315" s="55" t="str">
        <f t="shared" si="144"/>
        <v/>
      </c>
      <c r="O315" s="8" t="str">
        <f t="shared" si="164"/>
        <v/>
      </c>
      <c r="P315" s="8"/>
      <c r="Q315" s="33" t="str">
        <f>IF(O315&lt;&gt;"",ROUND(IF($F$11="raty równe",-PMT(W315/12,$F$4-O314+SUM($P$28:P315),T314,2),R315+S315),2),"")</f>
        <v/>
      </c>
      <c r="R315" s="11" t="str">
        <f>IF(O315&lt;&gt;"",IF($F$11="raty malejące",T314/($F$4-O314+SUM($P$28:P315)),IF(Q315-S315&gt;T314,T314,Q315-S315)),"")</f>
        <v/>
      </c>
      <c r="S315" s="11" t="str">
        <f t="shared" si="145"/>
        <v/>
      </c>
      <c r="T315" s="9" t="str">
        <f t="shared" si="146"/>
        <v/>
      </c>
      <c r="U315" s="10" t="str">
        <f t="shared" si="147"/>
        <v/>
      </c>
      <c r="V315" s="10" t="str">
        <f t="shared" si="148"/>
        <v/>
      </c>
      <c r="W315" s="49" t="str">
        <f t="shared" si="149"/>
        <v/>
      </c>
      <c r="X315" s="11" t="str">
        <f t="shared" si="150"/>
        <v/>
      </c>
      <c r="Y315" s="11" t="str">
        <f>IF(O315&lt;&gt;"",IF($B$16=listy!$K$8,'RZĄDOWY PROGRAM'!$F$3*'RZĄDOWY PROGRAM'!$F$15,T314*$F$15),"")</f>
        <v/>
      </c>
      <c r="Z315" s="11" t="str">
        <f t="shared" si="151"/>
        <v/>
      </c>
      <c r="AB315" s="8" t="str">
        <f t="shared" si="152"/>
        <v/>
      </c>
      <c r="AC315" s="8"/>
      <c r="AD315" s="33" t="str">
        <f>IF(AB315&lt;&gt;"",ROUND(IF($F$11="raty równe",-PMT(W315/12,$F$4-AB314+SUM($AC$28:AC315),AG314,2),AE315+AF315),2),"")</f>
        <v/>
      </c>
      <c r="AE315" s="11" t="str">
        <f>IF(AB315&lt;&gt;"",IF($F$11="raty malejące",AG314/($F$4-AB314+SUM($AC$28:AC314)),MIN(AD315-AF315,AG314)),"")</f>
        <v/>
      </c>
      <c r="AF315" s="11" t="str">
        <f t="shared" si="153"/>
        <v/>
      </c>
      <c r="AG315" s="9" t="str">
        <f t="shared" si="154"/>
        <v/>
      </c>
      <c r="AH315" s="11"/>
      <c r="AI315" s="33" t="str">
        <f>IF(AB315&lt;&gt;"",ROUND(IF($F$11="raty równe",-PMT(W315/12,($F$4-AB314+SUM($AC$27:AC314)),AG314,2),AG314/($F$4-AB314+SUM($AC$27:AC314))+AG314*W315/12),2),"")</f>
        <v/>
      </c>
      <c r="AJ315" s="33" t="str">
        <f t="shared" si="155"/>
        <v/>
      </c>
      <c r="AK315" s="33" t="str">
        <f t="shared" si="156"/>
        <v/>
      </c>
      <c r="AL315" s="33" t="str">
        <f>IF(AB315&lt;&gt;"",AK315-SUM($AJ$28:AJ315),"")</f>
        <v/>
      </c>
      <c r="AM315" s="11" t="str">
        <f t="shared" si="157"/>
        <v/>
      </c>
      <c r="AN315" s="11" t="str">
        <f>IF(AB315&lt;&gt;"",IF($B$16=listy!$K$8,'RZĄDOWY PROGRAM'!$F$3*'RZĄDOWY PROGRAM'!$F$15,AG314*$F$15),"")</f>
        <v/>
      </c>
      <c r="AO315" s="11" t="str">
        <f t="shared" si="158"/>
        <v/>
      </c>
      <c r="AQ315" s="49" t="str">
        <f t="shared" si="159"/>
        <v/>
      </c>
      <c r="AR315" s="18" t="str">
        <f t="shared" si="160"/>
        <v/>
      </c>
      <c r="AS315" s="11" t="str">
        <f t="shared" si="161"/>
        <v/>
      </c>
      <c r="AT315" s="11" t="str">
        <f t="shared" si="162"/>
        <v/>
      </c>
      <c r="AU315" s="11" t="str">
        <f>IF(AB315&lt;&gt;"",AT315-SUM($AS$28:AS315),"")</f>
        <v/>
      </c>
    </row>
    <row r="316" spans="1:47" ht="14.5" x14ac:dyDescent="0.35">
      <c r="A316" s="76" t="str">
        <f t="shared" si="133"/>
        <v/>
      </c>
      <c r="B316" s="8" t="str">
        <f t="shared" si="163"/>
        <v/>
      </c>
      <c r="C316" s="11" t="str">
        <f t="shared" si="134"/>
        <v/>
      </c>
      <c r="D316" s="11" t="str">
        <f t="shared" si="135"/>
        <v/>
      </c>
      <c r="E316" s="11" t="str">
        <f t="shared" si="136"/>
        <v/>
      </c>
      <c r="F316" s="9" t="str">
        <f t="shared" si="137"/>
        <v/>
      </c>
      <c r="G316" s="10" t="str">
        <f t="shared" si="138"/>
        <v/>
      </c>
      <c r="H316" s="10" t="str">
        <f t="shared" si="139"/>
        <v/>
      </c>
      <c r="I316" s="49" t="str">
        <f t="shared" si="140"/>
        <v/>
      </c>
      <c r="J316" s="11" t="str">
        <f t="shared" si="141"/>
        <v/>
      </c>
      <c r="K316" s="11" t="str">
        <f>IF(B316&lt;&gt;"",IF($B$16=listy!$K$8,'RZĄDOWY PROGRAM'!$F$3*'RZĄDOWY PROGRAM'!$F$15,F315*$F$15),"")</f>
        <v/>
      </c>
      <c r="L316" s="11" t="str">
        <f t="shared" si="142"/>
        <v/>
      </c>
      <c r="N316" s="55" t="str">
        <f t="shared" si="144"/>
        <v/>
      </c>
      <c r="O316" s="8" t="str">
        <f t="shared" si="164"/>
        <v/>
      </c>
      <c r="P316" s="8"/>
      <c r="Q316" s="33" t="str">
        <f>IF(O316&lt;&gt;"",ROUND(IF($F$11="raty równe",-PMT(W316/12,$F$4-O315+SUM($P$28:P316),T315,2),R316+S316),2),"")</f>
        <v/>
      </c>
      <c r="R316" s="11" t="str">
        <f>IF(O316&lt;&gt;"",IF($F$11="raty malejące",T315/($F$4-O315+SUM($P$28:P316)),IF(Q316-S316&gt;T315,T315,Q316-S316)),"")</f>
        <v/>
      </c>
      <c r="S316" s="11" t="str">
        <f t="shared" si="145"/>
        <v/>
      </c>
      <c r="T316" s="9" t="str">
        <f t="shared" si="146"/>
        <v/>
      </c>
      <c r="U316" s="10" t="str">
        <f t="shared" si="147"/>
        <v/>
      </c>
      <c r="V316" s="10" t="str">
        <f t="shared" si="148"/>
        <v/>
      </c>
      <c r="W316" s="49" t="str">
        <f t="shared" si="149"/>
        <v/>
      </c>
      <c r="X316" s="11" t="str">
        <f t="shared" si="150"/>
        <v/>
      </c>
      <c r="Y316" s="11" t="str">
        <f>IF(O316&lt;&gt;"",IF($B$16=listy!$K$8,'RZĄDOWY PROGRAM'!$F$3*'RZĄDOWY PROGRAM'!$F$15,T315*$F$15),"")</f>
        <v/>
      </c>
      <c r="Z316" s="11" t="str">
        <f t="shared" si="151"/>
        <v/>
      </c>
      <c r="AB316" s="8" t="str">
        <f t="shared" si="152"/>
        <v/>
      </c>
      <c r="AC316" s="8"/>
      <c r="AD316" s="33" t="str">
        <f>IF(AB316&lt;&gt;"",ROUND(IF($F$11="raty równe",-PMT(W316/12,$F$4-AB315+SUM($AC$28:AC316),AG315,2),AE316+AF316),2),"")</f>
        <v/>
      </c>
      <c r="AE316" s="11" t="str">
        <f>IF(AB316&lt;&gt;"",IF($F$11="raty malejące",AG315/($F$4-AB315+SUM($AC$28:AC315)),MIN(AD316-AF316,AG315)),"")</f>
        <v/>
      </c>
      <c r="AF316" s="11" t="str">
        <f t="shared" si="153"/>
        <v/>
      </c>
      <c r="AG316" s="9" t="str">
        <f t="shared" si="154"/>
        <v/>
      </c>
      <c r="AH316" s="11"/>
      <c r="AI316" s="33" t="str">
        <f>IF(AB316&lt;&gt;"",ROUND(IF($F$11="raty równe",-PMT(W316/12,($F$4-AB315+SUM($AC$27:AC315)),AG315,2),AG315/($F$4-AB315+SUM($AC$27:AC315))+AG315*W316/12),2),"")</f>
        <v/>
      </c>
      <c r="AJ316" s="33" t="str">
        <f t="shared" si="155"/>
        <v/>
      </c>
      <c r="AK316" s="33" t="str">
        <f t="shared" si="156"/>
        <v/>
      </c>
      <c r="AL316" s="33" t="str">
        <f>IF(AB316&lt;&gt;"",AK316-SUM($AJ$28:AJ316),"")</f>
        <v/>
      </c>
      <c r="AM316" s="11" t="str">
        <f t="shared" si="157"/>
        <v/>
      </c>
      <c r="AN316" s="11" t="str">
        <f>IF(AB316&lt;&gt;"",IF($B$16=listy!$K$8,'RZĄDOWY PROGRAM'!$F$3*'RZĄDOWY PROGRAM'!$F$15,AG315*$F$15),"")</f>
        <v/>
      </c>
      <c r="AO316" s="11" t="str">
        <f t="shared" si="158"/>
        <v/>
      </c>
      <c r="AQ316" s="49" t="str">
        <f t="shared" si="159"/>
        <v/>
      </c>
      <c r="AR316" s="18" t="str">
        <f t="shared" si="160"/>
        <v/>
      </c>
      <c r="AS316" s="11" t="str">
        <f t="shared" si="161"/>
        <v/>
      </c>
      <c r="AT316" s="11" t="str">
        <f t="shared" si="162"/>
        <v/>
      </c>
      <c r="AU316" s="11" t="str">
        <f>IF(AB316&lt;&gt;"",AT316-SUM($AS$28:AS316),"")</f>
        <v/>
      </c>
    </row>
    <row r="317" spans="1:47" ht="14.5" x14ac:dyDescent="0.35">
      <c r="A317" s="76" t="str">
        <f t="shared" si="133"/>
        <v/>
      </c>
      <c r="B317" s="8" t="str">
        <f t="shared" si="163"/>
        <v/>
      </c>
      <c r="C317" s="11" t="str">
        <f t="shared" si="134"/>
        <v/>
      </c>
      <c r="D317" s="11" t="str">
        <f t="shared" si="135"/>
        <v/>
      </c>
      <c r="E317" s="11" t="str">
        <f t="shared" si="136"/>
        <v/>
      </c>
      <c r="F317" s="9" t="str">
        <f t="shared" si="137"/>
        <v/>
      </c>
      <c r="G317" s="10" t="str">
        <f t="shared" si="138"/>
        <v/>
      </c>
      <c r="H317" s="10" t="str">
        <f t="shared" si="139"/>
        <v/>
      </c>
      <c r="I317" s="49" t="str">
        <f t="shared" si="140"/>
        <v/>
      </c>
      <c r="J317" s="11" t="str">
        <f t="shared" si="141"/>
        <v/>
      </c>
      <c r="K317" s="11" t="str">
        <f>IF(B317&lt;&gt;"",IF($B$16=listy!$K$8,'RZĄDOWY PROGRAM'!$F$3*'RZĄDOWY PROGRAM'!$F$15,F316*$F$15),"")</f>
        <v/>
      </c>
      <c r="L317" s="11" t="str">
        <f t="shared" si="142"/>
        <v/>
      </c>
      <c r="N317" s="55" t="str">
        <f t="shared" si="144"/>
        <v/>
      </c>
      <c r="O317" s="8" t="str">
        <f t="shared" si="164"/>
        <v/>
      </c>
      <c r="P317" s="8"/>
      <c r="Q317" s="33" t="str">
        <f>IF(O317&lt;&gt;"",ROUND(IF($F$11="raty równe",-PMT(W317/12,$F$4-O316+SUM($P$28:P317),T316,2),R317+S317),2),"")</f>
        <v/>
      </c>
      <c r="R317" s="11" t="str">
        <f>IF(O317&lt;&gt;"",IF($F$11="raty malejące",T316/($F$4-O316+SUM($P$28:P317)),IF(Q317-S317&gt;T316,T316,Q317-S317)),"")</f>
        <v/>
      </c>
      <c r="S317" s="11" t="str">
        <f t="shared" si="145"/>
        <v/>
      </c>
      <c r="T317" s="9" t="str">
        <f t="shared" si="146"/>
        <v/>
      </c>
      <c r="U317" s="10" t="str">
        <f t="shared" si="147"/>
        <v/>
      </c>
      <c r="V317" s="10" t="str">
        <f t="shared" si="148"/>
        <v/>
      </c>
      <c r="W317" s="49" t="str">
        <f t="shared" si="149"/>
        <v/>
      </c>
      <c r="X317" s="11" t="str">
        <f t="shared" si="150"/>
        <v/>
      </c>
      <c r="Y317" s="11" t="str">
        <f>IF(O317&lt;&gt;"",IF($B$16=listy!$K$8,'RZĄDOWY PROGRAM'!$F$3*'RZĄDOWY PROGRAM'!$F$15,T316*$F$15),"")</f>
        <v/>
      </c>
      <c r="Z317" s="11" t="str">
        <f t="shared" si="151"/>
        <v/>
      </c>
      <c r="AB317" s="8" t="str">
        <f t="shared" si="152"/>
        <v/>
      </c>
      <c r="AC317" s="8"/>
      <c r="AD317" s="33" t="str">
        <f>IF(AB317&lt;&gt;"",ROUND(IF($F$11="raty równe",-PMT(W317/12,$F$4-AB316+SUM($AC$28:AC317),AG316,2),AE317+AF317),2),"")</f>
        <v/>
      </c>
      <c r="AE317" s="11" t="str">
        <f>IF(AB317&lt;&gt;"",IF($F$11="raty malejące",AG316/($F$4-AB316+SUM($AC$28:AC316)),MIN(AD317-AF317,AG316)),"")</f>
        <v/>
      </c>
      <c r="AF317" s="11" t="str">
        <f t="shared" si="153"/>
        <v/>
      </c>
      <c r="AG317" s="9" t="str">
        <f t="shared" si="154"/>
        <v/>
      </c>
      <c r="AH317" s="11"/>
      <c r="AI317" s="33" t="str">
        <f>IF(AB317&lt;&gt;"",ROUND(IF($F$11="raty równe",-PMT(W317/12,($F$4-AB316+SUM($AC$27:AC316)),AG316,2),AG316/($F$4-AB316+SUM($AC$27:AC316))+AG316*W317/12),2),"")</f>
        <v/>
      </c>
      <c r="AJ317" s="33" t="str">
        <f t="shared" si="155"/>
        <v/>
      </c>
      <c r="AK317" s="33" t="str">
        <f t="shared" si="156"/>
        <v/>
      </c>
      <c r="AL317" s="33" t="str">
        <f>IF(AB317&lt;&gt;"",AK317-SUM($AJ$28:AJ317),"")</f>
        <v/>
      </c>
      <c r="AM317" s="11" t="str">
        <f t="shared" si="157"/>
        <v/>
      </c>
      <c r="AN317" s="11" t="str">
        <f>IF(AB317&lt;&gt;"",IF($B$16=listy!$K$8,'RZĄDOWY PROGRAM'!$F$3*'RZĄDOWY PROGRAM'!$F$15,AG316*$F$15),"")</f>
        <v/>
      </c>
      <c r="AO317" s="11" t="str">
        <f t="shared" si="158"/>
        <v/>
      </c>
      <c r="AQ317" s="49" t="str">
        <f t="shared" si="159"/>
        <v/>
      </c>
      <c r="AR317" s="18" t="str">
        <f t="shared" si="160"/>
        <v/>
      </c>
      <c r="AS317" s="11" t="str">
        <f t="shared" si="161"/>
        <v/>
      </c>
      <c r="AT317" s="11" t="str">
        <f t="shared" si="162"/>
        <v/>
      </c>
      <c r="AU317" s="11" t="str">
        <f>IF(AB317&lt;&gt;"",AT317-SUM($AS$28:AS317),"")</f>
        <v/>
      </c>
    </row>
    <row r="318" spans="1:47" ht="14.5" x14ac:dyDescent="0.35">
      <c r="A318" s="76" t="str">
        <f t="shared" si="133"/>
        <v/>
      </c>
      <c r="B318" s="8" t="str">
        <f t="shared" si="163"/>
        <v/>
      </c>
      <c r="C318" s="11" t="str">
        <f t="shared" si="134"/>
        <v/>
      </c>
      <c r="D318" s="11" t="str">
        <f t="shared" si="135"/>
        <v/>
      </c>
      <c r="E318" s="11" t="str">
        <f t="shared" si="136"/>
        <v/>
      </c>
      <c r="F318" s="9" t="str">
        <f t="shared" si="137"/>
        <v/>
      </c>
      <c r="G318" s="10" t="str">
        <f t="shared" si="138"/>
        <v/>
      </c>
      <c r="H318" s="10" t="str">
        <f t="shared" si="139"/>
        <v/>
      </c>
      <c r="I318" s="49" t="str">
        <f t="shared" si="140"/>
        <v/>
      </c>
      <c r="J318" s="11" t="str">
        <f t="shared" si="141"/>
        <v/>
      </c>
      <c r="K318" s="11" t="str">
        <f>IF(B318&lt;&gt;"",IF($B$16=listy!$K$8,'RZĄDOWY PROGRAM'!$F$3*'RZĄDOWY PROGRAM'!$F$15,F317*$F$15),"")</f>
        <v/>
      </c>
      <c r="L318" s="11" t="str">
        <f t="shared" si="142"/>
        <v/>
      </c>
      <c r="N318" s="55" t="str">
        <f t="shared" si="144"/>
        <v/>
      </c>
      <c r="O318" s="8" t="str">
        <f t="shared" si="164"/>
        <v/>
      </c>
      <c r="P318" s="8"/>
      <c r="Q318" s="33" t="str">
        <f>IF(O318&lt;&gt;"",ROUND(IF($F$11="raty równe",-PMT(W318/12,$F$4-O317+SUM($P$28:P318),T317,2),R318+S318),2),"")</f>
        <v/>
      </c>
      <c r="R318" s="11" t="str">
        <f>IF(O318&lt;&gt;"",IF($F$11="raty malejące",T317/($F$4-O317+SUM($P$28:P318)),IF(Q318-S318&gt;T317,T317,Q318-S318)),"")</f>
        <v/>
      </c>
      <c r="S318" s="11" t="str">
        <f t="shared" si="145"/>
        <v/>
      </c>
      <c r="T318" s="9" t="str">
        <f t="shared" si="146"/>
        <v/>
      </c>
      <c r="U318" s="10" t="str">
        <f t="shared" si="147"/>
        <v/>
      </c>
      <c r="V318" s="10" t="str">
        <f t="shared" si="148"/>
        <v/>
      </c>
      <c r="W318" s="49" t="str">
        <f t="shared" si="149"/>
        <v/>
      </c>
      <c r="X318" s="11" t="str">
        <f t="shared" si="150"/>
        <v/>
      </c>
      <c r="Y318" s="11" t="str">
        <f>IF(O318&lt;&gt;"",IF($B$16=listy!$K$8,'RZĄDOWY PROGRAM'!$F$3*'RZĄDOWY PROGRAM'!$F$15,T317*$F$15),"")</f>
        <v/>
      </c>
      <c r="Z318" s="11" t="str">
        <f t="shared" si="151"/>
        <v/>
      </c>
      <c r="AB318" s="8" t="str">
        <f t="shared" si="152"/>
        <v/>
      </c>
      <c r="AC318" s="8"/>
      <c r="AD318" s="33" t="str">
        <f>IF(AB318&lt;&gt;"",ROUND(IF($F$11="raty równe",-PMT(W318/12,$F$4-AB317+SUM($AC$28:AC318),AG317,2),AE318+AF318),2),"")</f>
        <v/>
      </c>
      <c r="AE318" s="11" t="str">
        <f>IF(AB318&lt;&gt;"",IF($F$11="raty malejące",AG317/($F$4-AB317+SUM($AC$28:AC317)),MIN(AD318-AF318,AG317)),"")</f>
        <v/>
      </c>
      <c r="AF318" s="11" t="str">
        <f t="shared" si="153"/>
        <v/>
      </c>
      <c r="AG318" s="9" t="str">
        <f t="shared" si="154"/>
        <v/>
      </c>
      <c r="AH318" s="11"/>
      <c r="AI318" s="33" t="str">
        <f>IF(AB318&lt;&gt;"",ROUND(IF($F$11="raty równe",-PMT(W318/12,($F$4-AB317+SUM($AC$27:AC317)),AG317,2),AG317/($F$4-AB317+SUM($AC$27:AC317))+AG317*W318/12),2),"")</f>
        <v/>
      </c>
      <c r="AJ318" s="33" t="str">
        <f t="shared" si="155"/>
        <v/>
      </c>
      <c r="AK318" s="33" t="str">
        <f t="shared" si="156"/>
        <v/>
      </c>
      <c r="AL318" s="33" t="str">
        <f>IF(AB318&lt;&gt;"",AK318-SUM($AJ$28:AJ318),"")</f>
        <v/>
      </c>
      <c r="AM318" s="11" t="str">
        <f t="shared" si="157"/>
        <v/>
      </c>
      <c r="AN318" s="11" t="str">
        <f>IF(AB318&lt;&gt;"",IF($B$16=listy!$K$8,'RZĄDOWY PROGRAM'!$F$3*'RZĄDOWY PROGRAM'!$F$15,AG317*$F$15),"")</f>
        <v/>
      </c>
      <c r="AO318" s="11" t="str">
        <f t="shared" si="158"/>
        <v/>
      </c>
      <c r="AQ318" s="49" t="str">
        <f t="shared" si="159"/>
        <v/>
      </c>
      <c r="AR318" s="18" t="str">
        <f t="shared" si="160"/>
        <v/>
      </c>
      <c r="AS318" s="11" t="str">
        <f t="shared" si="161"/>
        <v/>
      </c>
      <c r="AT318" s="11" t="str">
        <f t="shared" si="162"/>
        <v/>
      </c>
      <c r="AU318" s="11" t="str">
        <f>IF(AB318&lt;&gt;"",AT318-SUM($AS$28:AS318),"")</f>
        <v/>
      </c>
    </row>
    <row r="319" spans="1:47" ht="14.5" x14ac:dyDescent="0.35">
      <c r="A319" s="76" t="str">
        <f t="shared" si="133"/>
        <v/>
      </c>
      <c r="B319" s="8" t="str">
        <f t="shared" si="163"/>
        <v/>
      </c>
      <c r="C319" s="11" t="str">
        <f t="shared" si="134"/>
        <v/>
      </c>
      <c r="D319" s="11" t="str">
        <f t="shared" si="135"/>
        <v/>
      </c>
      <c r="E319" s="11" t="str">
        <f t="shared" si="136"/>
        <v/>
      </c>
      <c r="F319" s="9" t="str">
        <f t="shared" si="137"/>
        <v/>
      </c>
      <c r="G319" s="10" t="str">
        <f t="shared" si="138"/>
        <v/>
      </c>
      <c r="H319" s="10" t="str">
        <f t="shared" si="139"/>
        <v/>
      </c>
      <c r="I319" s="49" t="str">
        <f t="shared" si="140"/>
        <v/>
      </c>
      <c r="J319" s="11" t="str">
        <f t="shared" si="141"/>
        <v/>
      </c>
      <c r="K319" s="11" t="str">
        <f>IF(B319&lt;&gt;"",IF($B$16=listy!$K$8,'RZĄDOWY PROGRAM'!$F$3*'RZĄDOWY PROGRAM'!$F$15,F318*$F$15),"")</f>
        <v/>
      </c>
      <c r="L319" s="11" t="str">
        <f t="shared" si="142"/>
        <v/>
      </c>
      <c r="N319" s="55" t="str">
        <f t="shared" si="144"/>
        <v/>
      </c>
      <c r="O319" s="8" t="str">
        <f t="shared" si="164"/>
        <v/>
      </c>
      <c r="P319" s="8"/>
      <c r="Q319" s="33" t="str">
        <f>IF(O319&lt;&gt;"",ROUND(IF($F$11="raty równe",-PMT(W319/12,$F$4-O318+SUM($P$28:P319),T318,2),R319+S319),2),"")</f>
        <v/>
      </c>
      <c r="R319" s="11" t="str">
        <f>IF(O319&lt;&gt;"",IF($F$11="raty malejące",T318/($F$4-O318+SUM($P$28:P319)),IF(Q319-S319&gt;T318,T318,Q319-S319)),"")</f>
        <v/>
      </c>
      <c r="S319" s="11" t="str">
        <f t="shared" si="145"/>
        <v/>
      </c>
      <c r="T319" s="9" t="str">
        <f t="shared" si="146"/>
        <v/>
      </c>
      <c r="U319" s="10" t="str">
        <f t="shared" si="147"/>
        <v/>
      </c>
      <c r="V319" s="10" t="str">
        <f t="shared" si="148"/>
        <v/>
      </c>
      <c r="W319" s="49" t="str">
        <f t="shared" si="149"/>
        <v/>
      </c>
      <c r="X319" s="11" t="str">
        <f t="shared" si="150"/>
        <v/>
      </c>
      <c r="Y319" s="11" t="str">
        <f>IF(O319&lt;&gt;"",IF($B$16=listy!$K$8,'RZĄDOWY PROGRAM'!$F$3*'RZĄDOWY PROGRAM'!$F$15,T318*$F$15),"")</f>
        <v/>
      </c>
      <c r="Z319" s="11" t="str">
        <f t="shared" si="151"/>
        <v/>
      </c>
      <c r="AB319" s="8" t="str">
        <f t="shared" si="152"/>
        <v/>
      </c>
      <c r="AC319" s="8"/>
      <c r="AD319" s="33" t="str">
        <f>IF(AB319&lt;&gt;"",ROUND(IF($F$11="raty równe",-PMT(W319/12,$F$4-AB318+SUM($AC$28:AC319),AG318,2),AE319+AF319),2),"")</f>
        <v/>
      </c>
      <c r="AE319" s="11" t="str">
        <f>IF(AB319&lt;&gt;"",IF($F$11="raty malejące",AG318/($F$4-AB318+SUM($AC$28:AC318)),MIN(AD319-AF319,AG318)),"")</f>
        <v/>
      </c>
      <c r="AF319" s="11" t="str">
        <f t="shared" si="153"/>
        <v/>
      </c>
      <c r="AG319" s="9" t="str">
        <f t="shared" si="154"/>
        <v/>
      </c>
      <c r="AH319" s="11"/>
      <c r="AI319" s="33" t="str">
        <f>IF(AB319&lt;&gt;"",ROUND(IF($F$11="raty równe",-PMT(W319/12,($F$4-AB318+SUM($AC$27:AC318)),AG318,2),AG318/($F$4-AB318+SUM($AC$27:AC318))+AG318*W319/12),2),"")</f>
        <v/>
      </c>
      <c r="AJ319" s="33" t="str">
        <f t="shared" si="155"/>
        <v/>
      </c>
      <c r="AK319" s="33" t="str">
        <f t="shared" si="156"/>
        <v/>
      </c>
      <c r="AL319" s="33" t="str">
        <f>IF(AB319&lt;&gt;"",AK319-SUM($AJ$28:AJ319),"")</f>
        <v/>
      </c>
      <c r="AM319" s="11" t="str">
        <f t="shared" si="157"/>
        <v/>
      </c>
      <c r="AN319" s="11" t="str">
        <f>IF(AB319&lt;&gt;"",IF($B$16=listy!$K$8,'RZĄDOWY PROGRAM'!$F$3*'RZĄDOWY PROGRAM'!$F$15,AG318*$F$15),"")</f>
        <v/>
      </c>
      <c r="AO319" s="11" t="str">
        <f t="shared" si="158"/>
        <v/>
      </c>
      <c r="AQ319" s="49" t="str">
        <f t="shared" si="159"/>
        <v/>
      </c>
      <c r="AR319" s="18" t="str">
        <f t="shared" si="160"/>
        <v/>
      </c>
      <c r="AS319" s="11" t="str">
        <f t="shared" si="161"/>
        <v/>
      </c>
      <c r="AT319" s="11" t="str">
        <f t="shared" si="162"/>
        <v/>
      </c>
      <c r="AU319" s="11" t="str">
        <f>IF(AB319&lt;&gt;"",AT319-SUM($AS$28:AS319),"")</f>
        <v/>
      </c>
    </row>
    <row r="320" spans="1:47" ht="14.5" x14ac:dyDescent="0.35">
      <c r="A320" s="76" t="str">
        <f t="shared" si="133"/>
        <v/>
      </c>
      <c r="B320" s="8" t="str">
        <f t="shared" si="163"/>
        <v/>
      </c>
      <c r="C320" s="11" t="str">
        <f t="shared" si="134"/>
        <v/>
      </c>
      <c r="D320" s="11" t="str">
        <f t="shared" si="135"/>
        <v/>
      </c>
      <c r="E320" s="11" t="str">
        <f t="shared" si="136"/>
        <v/>
      </c>
      <c r="F320" s="9" t="str">
        <f t="shared" si="137"/>
        <v/>
      </c>
      <c r="G320" s="10" t="str">
        <f t="shared" si="138"/>
        <v/>
      </c>
      <c r="H320" s="10" t="str">
        <f t="shared" si="139"/>
        <v/>
      </c>
      <c r="I320" s="49" t="str">
        <f t="shared" si="140"/>
        <v/>
      </c>
      <c r="J320" s="11" t="str">
        <f t="shared" si="141"/>
        <v/>
      </c>
      <c r="K320" s="11" t="str">
        <f>IF(B320&lt;&gt;"",IF($B$16=listy!$K$8,'RZĄDOWY PROGRAM'!$F$3*'RZĄDOWY PROGRAM'!$F$15,F319*$F$15),"")</f>
        <v/>
      </c>
      <c r="L320" s="11" t="str">
        <f t="shared" si="142"/>
        <v/>
      </c>
      <c r="N320" s="55" t="str">
        <f t="shared" si="144"/>
        <v/>
      </c>
      <c r="O320" s="8" t="str">
        <f t="shared" si="164"/>
        <v/>
      </c>
      <c r="P320" s="8"/>
      <c r="Q320" s="33" t="str">
        <f>IF(O320&lt;&gt;"",ROUND(IF($F$11="raty równe",-PMT(W320/12,$F$4-O319+SUM($P$28:P320),T319,2),R320+S320),2),"")</f>
        <v/>
      </c>
      <c r="R320" s="11" t="str">
        <f>IF(O320&lt;&gt;"",IF($F$11="raty malejące",T319/($F$4-O319+SUM($P$28:P320)),IF(Q320-S320&gt;T319,T319,Q320-S320)),"")</f>
        <v/>
      </c>
      <c r="S320" s="11" t="str">
        <f t="shared" si="145"/>
        <v/>
      </c>
      <c r="T320" s="9" t="str">
        <f t="shared" si="146"/>
        <v/>
      </c>
      <c r="U320" s="10" t="str">
        <f t="shared" si="147"/>
        <v/>
      </c>
      <c r="V320" s="10" t="str">
        <f t="shared" si="148"/>
        <v/>
      </c>
      <c r="W320" s="49" t="str">
        <f t="shared" si="149"/>
        <v/>
      </c>
      <c r="X320" s="11" t="str">
        <f t="shared" si="150"/>
        <v/>
      </c>
      <c r="Y320" s="11" t="str">
        <f>IF(O320&lt;&gt;"",IF($B$16=listy!$K$8,'RZĄDOWY PROGRAM'!$F$3*'RZĄDOWY PROGRAM'!$F$15,T319*$F$15),"")</f>
        <v/>
      </c>
      <c r="Z320" s="11" t="str">
        <f t="shared" si="151"/>
        <v/>
      </c>
      <c r="AB320" s="8" t="str">
        <f t="shared" si="152"/>
        <v/>
      </c>
      <c r="AC320" s="8"/>
      <c r="AD320" s="33" t="str">
        <f>IF(AB320&lt;&gt;"",ROUND(IF($F$11="raty równe",-PMT(W320/12,$F$4-AB319+SUM($AC$28:AC320),AG319,2),AE320+AF320),2),"")</f>
        <v/>
      </c>
      <c r="AE320" s="11" t="str">
        <f>IF(AB320&lt;&gt;"",IF($F$11="raty malejące",AG319/($F$4-AB319+SUM($AC$28:AC319)),MIN(AD320-AF320,AG319)),"")</f>
        <v/>
      </c>
      <c r="AF320" s="11" t="str">
        <f t="shared" si="153"/>
        <v/>
      </c>
      <c r="AG320" s="9" t="str">
        <f t="shared" si="154"/>
        <v/>
      </c>
      <c r="AH320" s="11"/>
      <c r="AI320" s="33" t="str">
        <f>IF(AB320&lt;&gt;"",ROUND(IF($F$11="raty równe",-PMT(W320/12,($F$4-AB319+SUM($AC$27:AC319)),AG319,2),AG319/($F$4-AB319+SUM($AC$27:AC319))+AG319*W320/12),2),"")</f>
        <v/>
      </c>
      <c r="AJ320" s="33" t="str">
        <f t="shared" si="155"/>
        <v/>
      </c>
      <c r="AK320" s="33" t="str">
        <f t="shared" si="156"/>
        <v/>
      </c>
      <c r="AL320" s="33" t="str">
        <f>IF(AB320&lt;&gt;"",AK320-SUM($AJ$28:AJ320),"")</f>
        <v/>
      </c>
      <c r="AM320" s="11" t="str">
        <f t="shared" si="157"/>
        <v/>
      </c>
      <c r="AN320" s="11" t="str">
        <f>IF(AB320&lt;&gt;"",IF($B$16=listy!$K$8,'RZĄDOWY PROGRAM'!$F$3*'RZĄDOWY PROGRAM'!$F$15,AG319*$F$15),"")</f>
        <v/>
      </c>
      <c r="AO320" s="11" t="str">
        <f t="shared" si="158"/>
        <v/>
      </c>
      <c r="AQ320" s="49" t="str">
        <f t="shared" si="159"/>
        <v/>
      </c>
      <c r="AR320" s="18" t="str">
        <f t="shared" si="160"/>
        <v/>
      </c>
      <c r="AS320" s="11" t="str">
        <f t="shared" si="161"/>
        <v/>
      </c>
      <c r="AT320" s="11" t="str">
        <f t="shared" si="162"/>
        <v/>
      </c>
      <c r="AU320" s="11" t="str">
        <f>IF(AB320&lt;&gt;"",AT320-SUM($AS$28:AS320),"")</f>
        <v/>
      </c>
    </row>
    <row r="321" spans="1:47" ht="14.5" x14ac:dyDescent="0.35">
      <c r="A321" s="76" t="str">
        <f t="shared" si="133"/>
        <v/>
      </c>
      <c r="B321" s="8" t="str">
        <f t="shared" si="163"/>
        <v/>
      </c>
      <c r="C321" s="11" t="str">
        <f t="shared" si="134"/>
        <v/>
      </c>
      <c r="D321" s="11" t="str">
        <f t="shared" si="135"/>
        <v/>
      </c>
      <c r="E321" s="11" t="str">
        <f t="shared" si="136"/>
        <v/>
      </c>
      <c r="F321" s="9" t="str">
        <f t="shared" si="137"/>
        <v/>
      </c>
      <c r="G321" s="10" t="str">
        <f t="shared" si="138"/>
        <v/>
      </c>
      <c r="H321" s="10" t="str">
        <f t="shared" si="139"/>
        <v/>
      </c>
      <c r="I321" s="49" t="str">
        <f t="shared" si="140"/>
        <v/>
      </c>
      <c r="J321" s="11" t="str">
        <f t="shared" si="141"/>
        <v/>
      </c>
      <c r="K321" s="11" t="str">
        <f>IF(B321&lt;&gt;"",IF($B$16=listy!$K$8,'RZĄDOWY PROGRAM'!$F$3*'RZĄDOWY PROGRAM'!$F$15,F320*$F$15),"")</f>
        <v/>
      </c>
      <c r="L321" s="11" t="str">
        <f t="shared" si="142"/>
        <v/>
      </c>
      <c r="N321" s="55" t="str">
        <f t="shared" si="144"/>
        <v/>
      </c>
      <c r="O321" s="8" t="str">
        <f t="shared" si="164"/>
        <v/>
      </c>
      <c r="P321" s="8"/>
      <c r="Q321" s="33" t="str">
        <f>IF(O321&lt;&gt;"",ROUND(IF($F$11="raty równe",-PMT(W321/12,$F$4-O320+SUM($P$28:P321),T320,2),R321+S321),2),"")</f>
        <v/>
      </c>
      <c r="R321" s="11" t="str">
        <f>IF(O321&lt;&gt;"",IF($F$11="raty malejące",T320/($F$4-O320+SUM($P$28:P321)),IF(Q321-S321&gt;T320,T320,Q321-S321)),"")</f>
        <v/>
      </c>
      <c r="S321" s="11" t="str">
        <f t="shared" si="145"/>
        <v/>
      </c>
      <c r="T321" s="9" t="str">
        <f t="shared" si="146"/>
        <v/>
      </c>
      <c r="U321" s="10" t="str">
        <f t="shared" si="147"/>
        <v/>
      </c>
      <c r="V321" s="10" t="str">
        <f t="shared" si="148"/>
        <v/>
      </c>
      <c r="W321" s="49" t="str">
        <f t="shared" si="149"/>
        <v/>
      </c>
      <c r="X321" s="11" t="str">
        <f t="shared" si="150"/>
        <v/>
      </c>
      <c r="Y321" s="11" t="str">
        <f>IF(O321&lt;&gt;"",IF($B$16=listy!$K$8,'RZĄDOWY PROGRAM'!$F$3*'RZĄDOWY PROGRAM'!$F$15,T320*$F$15),"")</f>
        <v/>
      </c>
      <c r="Z321" s="11" t="str">
        <f t="shared" si="151"/>
        <v/>
      </c>
      <c r="AB321" s="8" t="str">
        <f t="shared" si="152"/>
        <v/>
      </c>
      <c r="AC321" s="8"/>
      <c r="AD321" s="33" t="str">
        <f>IF(AB321&lt;&gt;"",ROUND(IF($F$11="raty równe",-PMT(W321/12,$F$4-AB320+SUM($AC$28:AC321),AG320,2),AE321+AF321),2),"")</f>
        <v/>
      </c>
      <c r="AE321" s="11" t="str">
        <f>IF(AB321&lt;&gt;"",IF($F$11="raty malejące",AG320/($F$4-AB320+SUM($AC$28:AC320)),MIN(AD321-AF321,AG320)),"")</f>
        <v/>
      </c>
      <c r="AF321" s="11" t="str">
        <f t="shared" si="153"/>
        <v/>
      </c>
      <c r="AG321" s="9" t="str">
        <f t="shared" si="154"/>
        <v/>
      </c>
      <c r="AH321" s="11"/>
      <c r="AI321" s="33" t="str">
        <f>IF(AB321&lt;&gt;"",ROUND(IF($F$11="raty równe",-PMT(W321/12,($F$4-AB320+SUM($AC$27:AC320)),AG320,2),AG320/($F$4-AB320+SUM($AC$27:AC320))+AG320*W321/12),2),"")</f>
        <v/>
      </c>
      <c r="AJ321" s="33" t="str">
        <f t="shared" si="155"/>
        <v/>
      </c>
      <c r="AK321" s="33" t="str">
        <f t="shared" si="156"/>
        <v/>
      </c>
      <c r="AL321" s="33" t="str">
        <f>IF(AB321&lt;&gt;"",AK321-SUM($AJ$28:AJ321),"")</f>
        <v/>
      </c>
      <c r="AM321" s="11" t="str">
        <f t="shared" si="157"/>
        <v/>
      </c>
      <c r="AN321" s="11" t="str">
        <f>IF(AB321&lt;&gt;"",IF($B$16=listy!$K$8,'RZĄDOWY PROGRAM'!$F$3*'RZĄDOWY PROGRAM'!$F$15,AG320*$F$15),"")</f>
        <v/>
      </c>
      <c r="AO321" s="11" t="str">
        <f t="shared" si="158"/>
        <v/>
      </c>
      <c r="AQ321" s="49" t="str">
        <f t="shared" si="159"/>
        <v/>
      </c>
      <c r="AR321" s="18" t="str">
        <f t="shared" si="160"/>
        <v/>
      </c>
      <c r="AS321" s="11" t="str">
        <f t="shared" si="161"/>
        <v/>
      </c>
      <c r="AT321" s="11" t="str">
        <f t="shared" si="162"/>
        <v/>
      </c>
      <c r="AU321" s="11" t="str">
        <f>IF(AB321&lt;&gt;"",AT321-SUM($AS$28:AS321),"")</f>
        <v/>
      </c>
    </row>
    <row r="322" spans="1:47" ht="14.5" x14ac:dyDescent="0.35">
      <c r="A322" s="76" t="str">
        <f t="shared" si="133"/>
        <v/>
      </c>
      <c r="B322" s="8" t="str">
        <f t="shared" si="163"/>
        <v/>
      </c>
      <c r="C322" s="11" t="str">
        <f t="shared" si="134"/>
        <v/>
      </c>
      <c r="D322" s="11" t="str">
        <f t="shared" si="135"/>
        <v/>
      </c>
      <c r="E322" s="11" t="str">
        <f t="shared" si="136"/>
        <v/>
      </c>
      <c r="F322" s="9" t="str">
        <f t="shared" si="137"/>
        <v/>
      </c>
      <c r="G322" s="10" t="str">
        <f t="shared" si="138"/>
        <v/>
      </c>
      <c r="H322" s="10" t="str">
        <f t="shared" si="139"/>
        <v/>
      </c>
      <c r="I322" s="49" t="str">
        <f t="shared" si="140"/>
        <v/>
      </c>
      <c r="J322" s="11" t="str">
        <f t="shared" si="141"/>
        <v/>
      </c>
      <c r="K322" s="11" t="str">
        <f>IF(B322&lt;&gt;"",IF($B$16=listy!$K$8,'RZĄDOWY PROGRAM'!$F$3*'RZĄDOWY PROGRAM'!$F$15,F321*$F$15),"")</f>
        <v/>
      </c>
      <c r="L322" s="11" t="str">
        <f t="shared" si="142"/>
        <v/>
      </c>
      <c r="N322" s="55" t="str">
        <f t="shared" si="144"/>
        <v/>
      </c>
      <c r="O322" s="8" t="str">
        <f t="shared" si="164"/>
        <v/>
      </c>
      <c r="P322" s="8"/>
      <c r="Q322" s="33" t="str">
        <f>IF(O322&lt;&gt;"",ROUND(IF($F$11="raty równe",-PMT(W322/12,$F$4-O321+SUM($P$28:P322),T321,2),R322+S322),2),"")</f>
        <v/>
      </c>
      <c r="R322" s="11" t="str">
        <f>IF(O322&lt;&gt;"",IF($F$11="raty malejące",T321/($F$4-O321+SUM($P$28:P322)),IF(Q322-S322&gt;T321,T321,Q322-S322)),"")</f>
        <v/>
      </c>
      <c r="S322" s="11" t="str">
        <f t="shared" si="145"/>
        <v/>
      </c>
      <c r="T322" s="9" t="str">
        <f t="shared" si="146"/>
        <v/>
      </c>
      <c r="U322" s="10" t="str">
        <f t="shared" si="147"/>
        <v/>
      </c>
      <c r="V322" s="10" t="str">
        <f t="shared" si="148"/>
        <v/>
      </c>
      <c r="W322" s="49" t="str">
        <f t="shared" si="149"/>
        <v/>
      </c>
      <c r="X322" s="11" t="str">
        <f t="shared" si="150"/>
        <v/>
      </c>
      <c r="Y322" s="11" t="str">
        <f>IF(O322&lt;&gt;"",IF($B$16=listy!$K$8,'RZĄDOWY PROGRAM'!$F$3*'RZĄDOWY PROGRAM'!$F$15,T321*$F$15),"")</f>
        <v/>
      </c>
      <c r="Z322" s="11" t="str">
        <f t="shared" si="151"/>
        <v/>
      </c>
      <c r="AB322" s="8" t="str">
        <f t="shared" si="152"/>
        <v/>
      </c>
      <c r="AC322" s="8"/>
      <c r="AD322" s="33" t="str">
        <f>IF(AB322&lt;&gt;"",ROUND(IF($F$11="raty równe",-PMT(W322/12,$F$4-AB321+SUM($AC$28:AC322),AG321,2),AE322+AF322),2),"")</f>
        <v/>
      </c>
      <c r="AE322" s="11" t="str">
        <f>IF(AB322&lt;&gt;"",IF($F$11="raty malejące",AG321/($F$4-AB321+SUM($AC$28:AC321)),MIN(AD322-AF322,AG321)),"")</f>
        <v/>
      </c>
      <c r="AF322" s="11" t="str">
        <f t="shared" si="153"/>
        <v/>
      </c>
      <c r="AG322" s="9" t="str">
        <f t="shared" si="154"/>
        <v/>
      </c>
      <c r="AH322" s="11"/>
      <c r="AI322" s="33" t="str">
        <f>IF(AB322&lt;&gt;"",ROUND(IF($F$11="raty równe",-PMT(W322/12,($F$4-AB321+SUM($AC$27:AC321)),AG321,2),AG321/($F$4-AB321+SUM($AC$27:AC321))+AG321*W322/12),2),"")</f>
        <v/>
      </c>
      <c r="AJ322" s="33" t="str">
        <f t="shared" si="155"/>
        <v/>
      </c>
      <c r="AK322" s="33" t="str">
        <f t="shared" si="156"/>
        <v/>
      </c>
      <c r="AL322" s="33" t="str">
        <f>IF(AB322&lt;&gt;"",AK322-SUM($AJ$28:AJ322),"")</f>
        <v/>
      </c>
      <c r="AM322" s="11" t="str">
        <f t="shared" si="157"/>
        <v/>
      </c>
      <c r="AN322" s="11" t="str">
        <f>IF(AB322&lt;&gt;"",IF($B$16=listy!$K$8,'RZĄDOWY PROGRAM'!$F$3*'RZĄDOWY PROGRAM'!$F$15,AG321*$F$15),"")</f>
        <v/>
      </c>
      <c r="AO322" s="11" t="str">
        <f t="shared" si="158"/>
        <v/>
      </c>
      <c r="AQ322" s="49" t="str">
        <f t="shared" si="159"/>
        <v/>
      </c>
      <c r="AR322" s="18" t="str">
        <f t="shared" si="160"/>
        <v/>
      </c>
      <c r="AS322" s="11" t="str">
        <f t="shared" si="161"/>
        <v/>
      </c>
      <c r="AT322" s="11" t="str">
        <f t="shared" si="162"/>
        <v/>
      </c>
      <c r="AU322" s="11" t="str">
        <f>IF(AB322&lt;&gt;"",AT322-SUM($AS$28:AS322),"")</f>
        <v/>
      </c>
    </row>
    <row r="323" spans="1:47" ht="14.5" x14ac:dyDescent="0.35">
      <c r="A323" s="76" t="str">
        <f t="shared" si="133"/>
        <v/>
      </c>
      <c r="B323" s="8" t="str">
        <f t="shared" si="163"/>
        <v/>
      </c>
      <c r="C323" s="11" t="str">
        <f t="shared" si="134"/>
        <v/>
      </c>
      <c r="D323" s="11" t="str">
        <f t="shared" si="135"/>
        <v/>
      </c>
      <c r="E323" s="11" t="str">
        <f t="shared" si="136"/>
        <v/>
      </c>
      <c r="F323" s="9" t="str">
        <f t="shared" si="137"/>
        <v/>
      </c>
      <c r="G323" s="10" t="str">
        <f t="shared" si="138"/>
        <v/>
      </c>
      <c r="H323" s="10" t="str">
        <f t="shared" si="139"/>
        <v/>
      </c>
      <c r="I323" s="49" t="str">
        <f t="shared" si="140"/>
        <v/>
      </c>
      <c r="J323" s="11" t="str">
        <f t="shared" si="141"/>
        <v/>
      </c>
      <c r="K323" s="11" t="str">
        <f>IF(B323&lt;&gt;"",IF($B$16=listy!$K$8,'RZĄDOWY PROGRAM'!$F$3*'RZĄDOWY PROGRAM'!$F$15,F322*$F$15),"")</f>
        <v/>
      </c>
      <c r="L323" s="11" t="str">
        <f t="shared" si="142"/>
        <v/>
      </c>
      <c r="N323" s="55" t="str">
        <f t="shared" si="144"/>
        <v/>
      </c>
      <c r="O323" s="8" t="str">
        <f t="shared" si="164"/>
        <v/>
      </c>
      <c r="P323" s="8"/>
      <c r="Q323" s="33" t="str">
        <f>IF(O323&lt;&gt;"",ROUND(IF($F$11="raty równe",-PMT(W323/12,$F$4-O322+SUM($P$28:P323),T322,2),R323+S323),2),"")</f>
        <v/>
      </c>
      <c r="R323" s="11" t="str">
        <f>IF(O323&lt;&gt;"",IF($F$11="raty malejące",T322/($F$4-O322+SUM($P$28:P323)),IF(Q323-S323&gt;T322,T322,Q323-S323)),"")</f>
        <v/>
      </c>
      <c r="S323" s="11" t="str">
        <f t="shared" si="145"/>
        <v/>
      </c>
      <c r="T323" s="9" t="str">
        <f t="shared" si="146"/>
        <v/>
      </c>
      <c r="U323" s="10" t="str">
        <f t="shared" si="147"/>
        <v/>
      </c>
      <c r="V323" s="10" t="str">
        <f t="shared" si="148"/>
        <v/>
      </c>
      <c r="W323" s="49" t="str">
        <f t="shared" si="149"/>
        <v/>
      </c>
      <c r="X323" s="11" t="str">
        <f t="shared" si="150"/>
        <v/>
      </c>
      <c r="Y323" s="11" t="str">
        <f>IF(O323&lt;&gt;"",IF($B$16=listy!$K$8,'RZĄDOWY PROGRAM'!$F$3*'RZĄDOWY PROGRAM'!$F$15,T322*$F$15),"")</f>
        <v/>
      </c>
      <c r="Z323" s="11" t="str">
        <f t="shared" si="151"/>
        <v/>
      </c>
      <c r="AB323" s="8" t="str">
        <f t="shared" si="152"/>
        <v/>
      </c>
      <c r="AC323" s="8"/>
      <c r="AD323" s="33" t="str">
        <f>IF(AB323&lt;&gt;"",ROUND(IF($F$11="raty równe",-PMT(W323/12,$F$4-AB322+SUM($AC$28:AC323),AG322,2),AE323+AF323),2),"")</f>
        <v/>
      </c>
      <c r="AE323" s="11" t="str">
        <f>IF(AB323&lt;&gt;"",IF($F$11="raty malejące",AG322/($F$4-AB322+SUM($AC$28:AC322)),MIN(AD323-AF323,AG322)),"")</f>
        <v/>
      </c>
      <c r="AF323" s="11" t="str">
        <f t="shared" si="153"/>
        <v/>
      </c>
      <c r="AG323" s="9" t="str">
        <f t="shared" si="154"/>
        <v/>
      </c>
      <c r="AH323" s="11"/>
      <c r="AI323" s="33" t="str">
        <f>IF(AB323&lt;&gt;"",ROUND(IF($F$11="raty równe",-PMT(W323/12,($F$4-AB322+SUM($AC$27:AC322)),AG322,2),AG322/($F$4-AB322+SUM($AC$27:AC322))+AG322*W323/12),2),"")</f>
        <v/>
      </c>
      <c r="AJ323" s="33" t="str">
        <f t="shared" si="155"/>
        <v/>
      </c>
      <c r="AK323" s="33" t="str">
        <f t="shared" si="156"/>
        <v/>
      </c>
      <c r="AL323" s="33" t="str">
        <f>IF(AB323&lt;&gt;"",AK323-SUM($AJ$28:AJ323),"")</f>
        <v/>
      </c>
      <c r="AM323" s="11" t="str">
        <f t="shared" si="157"/>
        <v/>
      </c>
      <c r="AN323" s="11" t="str">
        <f>IF(AB323&lt;&gt;"",IF($B$16=listy!$K$8,'RZĄDOWY PROGRAM'!$F$3*'RZĄDOWY PROGRAM'!$F$15,AG322*$F$15),"")</f>
        <v/>
      </c>
      <c r="AO323" s="11" t="str">
        <f t="shared" si="158"/>
        <v/>
      </c>
      <c r="AQ323" s="49" t="str">
        <f t="shared" si="159"/>
        <v/>
      </c>
      <c r="AR323" s="18" t="str">
        <f t="shared" si="160"/>
        <v/>
      </c>
      <c r="AS323" s="11" t="str">
        <f t="shared" si="161"/>
        <v/>
      </c>
      <c r="AT323" s="11" t="str">
        <f t="shared" si="162"/>
        <v/>
      </c>
      <c r="AU323" s="11" t="str">
        <f>IF(AB323&lt;&gt;"",AT323-SUM($AS$28:AS323),"")</f>
        <v/>
      </c>
    </row>
    <row r="324" spans="1:47" ht="14.5" x14ac:dyDescent="0.35">
      <c r="A324" s="76" t="str">
        <f t="shared" si="133"/>
        <v/>
      </c>
      <c r="B324" s="8" t="str">
        <f t="shared" si="163"/>
        <v/>
      </c>
      <c r="C324" s="11" t="str">
        <f t="shared" si="134"/>
        <v/>
      </c>
      <c r="D324" s="11" t="str">
        <f t="shared" si="135"/>
        <v/>
      </c>
      <c r="E324" s="11" t="str">
        <f t="shared" si="136"/>
        <v/>
      </c>
      <c r="F324" s="9" t="str">
        <f t="shared" si="137"/>
        <v/>
      </c>
      <c r="G324" s="10" t="str">
        <f t="shared" si="138"/>
        <v/>
      </c>
      <c r="H324" s="10" t="str">
        <f t="shared" si="139"/>
        <v/>
      </c>
      <c r="I324" s="49" t="str">
        <f t="shared" si="140"/>
        <v/>
      </c>
      <c r="J324" s="11" t="str">
        <f t="shared" si="141"/>
        <v/>
      </c>
      <c r="K324" s="11" t="str">
        <f>IF(B324&lt;&gt;"",IF($B$16=listy!$K$8,'RZĄDOWY PROGRAM'!$F$3*'RZĄDOWY PROGRAM'!$F$15,F323*$F$15),"")</f>
        <v/>
      </c>
      <c r="L324" s="11" t="str">
        <f t="shared" si="142"/>
        <v/>
      </c>
      <c r="N324" s="55" t="str">
        <f t="shared" si="144"/>
        <v/>
      </c>
      <c r="O324" s="8" t="str">
        <f t="shared" si="164"/>
        <v/>
      </c>
      <c r="P324" s="8"/>
      <c r="Q324" s="33" t="str">
        <f>IF(O324&lt;&gt;"",ROUND(IF($F$11="raty równe",-PMT(W324/12,$F$4-O323+SUM($P$28:P324),T323,2),R324+S324),2),"")</f>
        <v/>
      </c>
      <c r="R324" s="11" t="str">
        <f>IF(O324&lt;&gt;"",IF($F$11="raty malejące",T323/($F$4-O323+SUM($P$28:P324)),IF(Q324-S324&gt;T323,T323,Q324-S324)),"")</f>
        <v/>
      </c>
      <c r="S324" s="11" t="str">
        <f t="shared" si="145"/>
        <v/>
      </c>
      <c r="T324" s="9" t="str">
        <f t="shared" si="146"/>
        <v/>
      </c>
      <c r="U324" s="10" t="str">
        <f t="shared" si="147"/>
        <v/>
      </c>
      <c r="V324" s="10" t="str">
        <f t="shared" si="148"/>
        <v/>
      </c>
      <c r="W324" s="49" t="str">
        <f t="shared" si="149"/>
        <v/>
      </c>
      <c r="X324" s="11" t="str">
        <f t="shared" si="150"/>
        <v/>
      </c>
      <c r="Y324" s="11" t="str">
        <f>IF(O324&lt;&gt;"",IF($B$16=listy!$K$8,'RZĄDOWY PROGRAM'!$F$3*'RZĄDOWY PROGRAM'!$F$15,T323*$F$15),"")</f>
        <v/>
      </c>
      <c r="Z324" s="11" t="str">
        <f t="shared" si="151"/>
        <v/>
      </c>
      <c r="AB324" s="8" t="str">
        <f t="shared" si="152"/>
        <v/>
      </c>
      <c r="AC324" s="8"/>
      <c r="AD324" s="33" t="str">
        <f>IF(AB324&lt;&gt;"",ROUND(IF($F$11="raty równe",-PMT(W324/12,$F$4-AB323+SUM($AC$28:AC324),AG323,2),AE324+AF324),2),"")</f>
        <v/>
      </c>
      <c r="AE324" s="11" t="str">
        <f>IF(AB324&lt;&gt;"",IF($F$11="raty malejące",AG323/($F$4-AB323+SUM($AC$28:AC323)),MIN(AD324-AF324,AG323)),"")</f>
        <v/>
      </c>
      <c r="AF324" s="11" t="str">
        <f t="shared" si="153"/>
        <v/>
      </c>
      <c r="AG324" s="9" t="str">
        <f t="shared" si="154"/>
        <v/>
      </c>
      <c r="AH324" s="11"/>
      <c r="AI324" s="33" t="str">
        <f>IF(AB324&lt;&gt;"",ROUND(IF($F$11="raty równe",-PMT(W324/12,($F$4-AB323+SUM($AC$27:AC323)),AG323,2),AG323/($F$4-AB323+SUM($AC$27:AC323))+AG323*W324/12),2),"")</f>
        <v/>
      </c>
      <c r="AJ324" s="33" t="str">
        <f t="shared" si="155"/>
        <v/>
      </c>
      <c r="AK324" s="33" t="str">
        <f t="shared" si="156"/>
        <v/>
      </c>
      <c r="AL324" s="33" t="str">
        <f>IF(AB324&lt;&gt;"",AK324-SUM($AJ$28:AJ324),"")</f>
        <v/>
      </c>
      <c r="AM324" s="11" t="str">
        <f t="shared" si="157"/>
        <v/>
      </c>
      <c r="AN324" s="11" t="str">
        <f>IF(AB324&lt;&gt;"",IF($B$16=listy!$K$8,'RZĄDOWY PROGRAM'!$F$3*'RZĄDOWY PROGRAM'!$F$15,AG323*$F$15),"")</f>
        <v/>
      </c>
      <c r="AO324" s="11" t="str">
        <f t="shared" si="158"/>
        <v/>
      </c>
      <c r="AQ324" s="49" t="str">
        <f t="shared" si="159"/>
        <v/>
      </c>
      <c r="AR324" s="18" t="str">
        <f t="shared" si="160"/>
        <v/>
      </c>
      <c r="AS324" s="11" t="str">
        <f t="shared" si="161"/>
        <v/>
      </c>
      <c r="AT324" s="11" t="str">
        <f t="shared" si="162"/>
        <v/>
      </c>
      <c r="AU324" s="11" t="str">
        <f>IF(AB324&lt;&gt;"",AT324-SUM($AS$28:AS324),"")</f>
        <v/>
      </c>
    </row>
    <row r="325" spans="1:47" ht="14.5" x14ac:dyDescent="0.35">
      <c r="A325" s="76" t="str">
        <f t="shared" si="133"/>
        <v/>
      </c>
      <c r="B325" s="8" t="str">
        <f t="shared" si="163"/>
        <v/>
      </c>
      <c r="C325" s="11" t="str">
        <f t="shared" si="134"/>
        <v/>
      </c>
      <c r="D325" s="11" t="str">
        <f t="shared" si="135"/>
        <v/>
      </c>
      <c r="E325" s="11" t="str">
        <f t="shared" si="136"/>
        <v/>
      </c>
      <c r="F325" s="9" t="str">
        <f t="shared" si="137"/>
        <v/>
      </c>
      <c r="G325" s="10" t="str">
        <f t="shared" si="138"/>
        <v/>
      </c>
      <c r="H325" s="10" t="str">
        <f t="shared" si="139"/>
        <v/>
      </c>
      <c r="I325" s="49" t="str">
        <f t="shared" si="140"/>
        <v/>
      </c>
      <c r="J325" s="11" t="str">
        <f t="shared" si="141"/>
        <v/>
      </c>
      <c r="K325" s="11" t="str">
        <f>IF(B325&lt;&gt;"",IF($B$16=listy!$K$8,'RZĄDOWY PROGRAM'!$F$3*'RZĄDOWY PROGRAM'!$F$15,F324*$F$15),"")</f>
        <v/>
      </c>
      <c r="L325" s="11" t="str">
        <f t="shared" si="142"/>
        <v/>
      </c>
      <c r="N325" s="55" t="str">
        <f t="shared" si="144"/>
        <v/>
      </c>
      <c r="O325" s="8" t="str">
        <f t="shared" si="164"/>
        <v/>
      </c>
      <c r="P325" s="8"/>
      <c r="Q325" s="33" t="str">
        <f>IF(O325&lt;&gt;"",ROUND(IF($F$11="raty równe",-PMT(W325/12,$F$4-O324+SUM($P$28:P325),T324,2),R325+S325),2),"")</f>
        <v/>
      </c>
      <c r="R325" s="11" t="str">
        <f>IF(O325&lt;&gt;"",IF($F$11="raty malejące",T324/($F$4-O324+SUM($P$28:P325)),IF(Q325-S325&gt;T324,T324,Q325-S325)),"")</f>
        <v/>
      </c>
      <c r="S325" s="11" t="str">
        <f t="shared" si="145"/>
        <v/>
      </c>
      <c r="T325" s="9" t="str">
        <f t="shared" si="146"/>
        <v/>
      </c>
      <c r="U325" s="10" t="str">
        <f t="shared" si="147"/>
        <v/>
      </c>
      <c r="V325" s="10" t="str">
        <f t="shared" si="148"/>
        <v/>
      </c>
      <c r="W325" s="49" t="str">
        <f t="shared" si="149"/>
        <v/>
      </c>
      <c r="X325" s="11" t="str">
        <f t="shared" si="150"/>
        <v/>
      </c>
      <c r="Y325" s="11" t="str">
        <f>IF(O325&lt;&gt;"",IF($B$16=listy!$K$8,'RZĄDOWY PROGRAM'!$F$3*'RZĄDOWY PROGRAM'!$F$15,T324*$F$15),"")</f>
        <v/>
      </c>
      <c r="Z325" s="11" t="str">
        <f t="shared" si="151"/>
        <v/>
      </c>
      <c r="AB325" s="8" t="str">
        <f t="shared" si="152"/>
        <v/>
      </c>
      <c r="AC325" s="8"/>
      <c r="AD325" s="33" t="str">
        <f>IF(AB325&lt;&gt;"",ROUND(IF($F$11="raty równe",-PMT(W325/12,$F$4-AB324+SUM($AC$28:AC325),AG324,2),AE325+AF325),2),"")</f>
        <v/>
      </c>
      <c r="AE325" s="11" t="str">
        <f>IF(AB325&lt;&gt;"",IF($F$11="raty malejące",AG324/($F$4-AB324+SUM($AC$28:AC324)),MIN(AD325-AF325,AG324)),"")</f>
        <v/>
      </c>
      <c r="AF325" s="11" t="str">
        <f t="shared" si="153"/>
        <v/>
      </c>
      <c r="AG325" s="9" t="str">
        <f t="shared" si="154"/>
        <v/>
      </c>
      <c r="AH325" s="11"/>
      <c r="AI325" s="33" t="str">
        <f>IF(AB325&lt;&gt;"",ROUND(IF($F$11="raty równe",-PMT(W325/12,($F$4-AB324+SUM($AC$27:AC324)),AG324,2),AG324/($F$4-AB324+SUM($AC$27:AC324))+AG324*W325/12),2),"")</f>
        <v/>
      </c>
      <c r="AJ325" s="33" t="str">
        <f t="shared" si="155"/>
        <v/>
      </c>
      <c r="AK325" s="33" t="str">
        <f t="shared" si="156"/>
        <v/>
      </c>
      <c r="AL325" s="33" t="str">
        <f>IF(AB325&lt;&gt;"",AK325-SUM($AJ$28:AJ325),"")</f>
        <v/>
      </c>
      <c r="AM325" s="11" t="str">
        <f t="shared" si="157"/>
        <v/>
      </c>
      <c r="AN325" s="11" t="str">
        <f>IF(AB325&lt;&gt;"",IF($B$16=listy!$K$8,'RZĄDOWY PROGRAM'!$F$3*'RZĄDOWY PROGRAM'!$F$15,AG324*$F$15),"")</f>
        <v/>
      </c>
      <c r="AO325" s="11" t="str">
        <f t="shared" si="158"/>
        <v/>
      </c>
      <c r="AQ325" s="49" t="str">
        <f t="shared" si="159"/>
        <v/>
      </c>
      <c r="AR325" s="18" t="str">
        <f t="shared" si="160"/>
        <v/>
      </c>
      <c r="AS325" s="11" t="str">
        <f t="shared" si="161"/>
        <v/>
      </c>
      <c r="AT325" s="11" t="str">
        <f t="shared" si="162"/>
        <v/>
      </c>
      <c r="AU325" s="11" t="str">
        <f>IF(AB325&lt;&gt;"",AT325-SUM($AS$28:AS325),"")</f>
        <v/>
      </c>
    </row>
    <row r="326" spans="1:47" ht="14.5" x14ac:dyDescent="0.35">
      <c r="A326" s="76" t="str">
        <f t="shared" si="133"/>
        <v/>
      </c>
      <c r="B326" s="8" t="str">
        <f t="shared" si="163"/>
        <v/>
      </c>
      <c r="C326" s="11" t="str">
        <f t="shared" si="134"/>
        <v/>
      </c>
      <c r="D326" s="11" t="str">
        <f t="shared" si="135"/>
        <v/>
      </c>
      <c r="E326" s="11" t="str">
        <f t="shared" si="136"/>
        <v/>
      </c>
      <c r="F326" s="9" t="str">
        <f t="shared" si="137"/>
        <v/>
      </c>
      <c r="G326" s="10" t="str">
        <f t="shared" si="138"/>
        <v/>
      </c>
      <c r="H326" s="10" t="str">
        <f t="shared" si="139"/>
        <v/>
      </c>
      <c r="I326" s="49" t="str">
        <f t="shared" si="140"/>
        <v/>
      </c>
      <c r="J326" s="11" t="str">
        <f t="shared" si="141"/>
        <v/>
      </c>
      <c r="K326" s="11" t="str">
        <f>IF(B326&lt;&gt;"",IF($B$16=listy!$K$8,'RZĄDOWY PROGRAM'!$F$3*'RZĄDOWY PROGRAM'!$F$15,F325*$F$15),"")</f>
        <v/>
      </c>
      <c r="L326" s="11" t="str">
        <f t="shared" si="142"/>
        <v/>
      </c>
      <c r="N326" s="55" t="str">
        <f t="shared" si="144"/>
        <v/>
      </c>
      <c r="O326" s="8" t="str">
        <f t="shared" si="164"/>
        <v/>
      </c>
      <c r="P326" s="8"/>
      <c r="Q326" s="33" t="str">
        <f>IF(O326&lt;&gt;"",ROUND(IF($F$11="raty równe",-PMT(W326/12,$F$4-O325+SUM($P$28:P326),T325,2),R326+S326),2),"")</f>
        <v/>
      </c>
      <c r="R326" s="11" t="str">
        <f>IF(O326&lt;&gt;"",IF($F$11="raty malejące",T325/($F$4-O325+SUM($P$28:P326)),IF(Q326-S326&gt;T325,T325,Q326-S326)),"")</f>
        <v/>
      </c>
      <c r="S326" s="11" t="str">
        <f t="shared" si="145"/>
        <v/>
      </c>
      <c r="T326" s="9" t="str">
        <f t="shared" si="146"/>
        <v/>
      </c>
      <c r="U326" s="10" t="str">
        <f t="shared" si="147"/>
        <v/>
      </c>
      <c r="V326" s="10" t="str">
        <f t="shared" si="148"/>
        <v/>
      </c>
      <c r="W326" s="49" t="str">
        <f t="shared" si="149"/>
        <v/>
      </c>
      <c r="X326" s="11" t="str">
        <f t="shared" si="150"/>
        <v/>
      </c>
      <c r="Y326" s="11" t="str">
        <f>IF(O326&lt;&gt;"",IF($B$16=listy!$K$8,'RZĄDOWY PROGRAM'!$F$3*'RZĄDOWY PROGRAM'!$F$15,T325*$F$15),"")</f>
        <v/>
      </c>
      <c r="Z326" s="11" t="str">
        <f t="shared" si="151"/>
        <v/>
      </c>
      <c r="AB326" s="8" t="str">
        <f t="shared" si="152"/>
        <v/>
      </c>
      <c r="AC326" s="8"/>
      <c r="AD326" s="33" t="str">
        <f>IF(AB326&lt;&gt;"",ROUND(IF($F$11="raty równe",-PMT(W326/12,$F$4-AB325+SUM($AC$28:AC326),AG325,2),AE326+AF326),2),"")</f>
        <v/>
      </c>
      <c r="AE326" s="11" t="str">
        <f>IF(AB326&lt;&gt;"",IF($F$11="raty malejące",AG325/($F$4-AB325+SUM($AC$28:AC325)),MIN(AD326-AF326,AG325)),"")</f>
        <v/>
      </c>
      <c r="AF326" s="11" t="str">
        <f t="shared" si="153"/>
        <v/>
      </c>
      <c r="AG326" s="9" t="str">
        <f t="shared" si="154"/>
        <v/>
      </c>
      <c r="AH326" s="11"/>
      <c r="AI326" s="33" t="str">
        <f>IF(AB326&lt;&gt;"",ROUND(IF($F$11="raty równe",-PMT(W326/12,($F$4-AB325+SUM($AC$27:AC325)),AG325,2),AG325/($F$4-AB325+SUM($AC$27:AC325))+AG325*W326/12),2),"")</f>
        <v/>
      </c>
      <c r="AJ326" s="33" t="str">
        <f t="shared" si="155"/>
        <v/>
      </c>
      <c r="AK326" s="33" t="str">
        <f t="shared" si="156"/>
        <v/>
      </c>
      <c r="AL326" s="33" t="str">
        <f>IF(AB326&lt;&gt;"",AK326-SUM($AJ$28:AJ326),"")</f>
        <v/>
      </c>
      <c r="AM326" s="11" t="str">
        <f t="shared" si="157"/>
        <v/>
      </c>
      <c r="AN326" s="11" t="str">
        <f>IF(AB326&lt;&gt;"",IF($B$16=listy!$K$8,'RZĄDOWY PROGRAM'!$F$3*'RZĄDOWY PROGRAM'!$F$15,AG325*$F$15),"")</f>
        <v/>
      </c>
      <c r="AO326" s="11" t="str">
        <f t="shared" si="158"/>
        <v/>
      </c>
      <c r="AQ326" s="49" t="str">
        <f t="shared" si="159"/>
        <v/>
      </c>
      <c r="AR326" s="18" t="str">
        <f t="shared" si="160"/>
        <v/>
      </c>
      <c r="AS326" s="11" t="str">
        <f t="shared" si="161"/>
        <v/>
      </c>
      <c r="AT326" s="11" t="str">
        <f t="shared" si="162"/>
        <v/>
      </c>
      <c r="AU326" s="11" t="str">
        <f>IF(AB326&lt;&gt;"",AT326-SUM($AS$28:AS326),"")</f>
        <v/>
      </c>
    </row>
    <row r="327" spans="1:47" ht="14.5" x14ac:dyDescent="0.35">
      <c r="A327" s="76" t="str">
        <f t="shared" si="133"/>
        <v/>
      </c>
      <c r="B327" s="8" t="str">
        <f t="shared" si="163"/>
        <v/>
      </c>
      <c r="C327" s="11" t="str">
        <f t="shared" si="134"/>
        <v/>
      </c>
      <c r="D327" s="11" t="str">
        <f t="shared" si="135"/>
        <v/>
      </c>
      <c r="E327" s="11" t="str">
        <f t="shared" si="136"/>
        <v/>
      </c>
      <c r="F327" s="9" t="str">
        <f t="shared" si="137"/>
        <v/>
      </c>
      <c r="G327" s="10" t="str">
        <f t="shared" si="138"/>
        <v/>
      </c>
      <c r="H327" s="10" t="str">
        <f t="shared" si="139"/>
        <v/>
      </c>
      <c r="I327" s="49" t="str">
        <f t="shared" si="140"/>
        <v/>
      </c>
      <c r="J327" s="11" t="str">
        <f t="shared" si="141"/>
        <v/>
      </c>
      <c r="K327" s="11" t="str">
        <f>IF(B327&lt;&gt;"",IF($B$16=listy!$K$8,'RZĄDOWY PROGRAM'!$F$3*'RZĄDOWY PROGRAM'!$F$15,F326*$F$15),"")</f>
        <v/>
      </c>
      <c r="L327" s="11" t="str">
        <f t="shared" si="142"/>
        <v/>
      </c>
      <c r="N327" s="55" t="str">
        <f t="shared" si="144"/>
        <v/>
      </c>
      <c r="O327" s="8" t="str">
        <f t="shared" si="164"/>
        <v/>
      </c>
      <c r="P327" s="8"/>
      <c r="Q327" s="33" t="str">
        <f>IF(O327&lt;&gt;"",ROUND(IF($F$11="raty równe",-PMT(W327/12,$F$4-O326+SUM($P$28:P327),T326,2),R327+S327),2),"")</f>
        <v/>
      </c>
      <c r="R327" s="11" t="str">
        <f>IF(O327&lt;&gt;"",IF($F$11="raty malejące",T326/($F$4-O326+SUM($P$28:P327)),IF(Q327-S327&gt;T326,T326,Q327-S327)),"")</f>
        <v/>
      </c>
      <c r="S327" s="11" t="str">
        <f t="shared" si="145"/>
        <v/>
      </c>
      <c r="T327" s="9" t="str">
        <f t="shared" si="146"/>
        <v/>
      </c>
      <c r="U327" s="10" t="str">
        <f t="shared" si="147"/>
        <v/>
      </c>
      <c r="V327" s="10" t="str">
        <f t="shared" si="148"/>
        <v/>
      </c>
      <c r="W327" s="49" t="str">
        <f t="shared" si="149"/>
        <v/>
      </c>
      <c r="X327" s="11" t="str">
        <f t="shared" si="150"/>
        <v/>
      </c>
      <c r="Y327" s="11" t="str">
        <f>IF(O327&lt;&gt;"",IF($B$16=listy!$K$8,'RZĄDOWY PROGRAM'!$F$3*'RZĄDOWY PROGRAM'!$F$15,T326*$F$15),"")</f>
        <v/>
      </c>
      <c r="Z327" s="11" t="str">
        <f t="shared" si="151"/>
        <v/>
      </c>
      <c r="AB327" s="8" t="str">
        <f t="shared" si="152"/>
        <v/>
      </c>
      <c r="AC327" s="8"/>
      <c r="AD327" s="33" t="str">
        <f>IF(AB327&lt;&gt;"",ROUND(IF($F$11="raty równe",-PMT(W327/12,$F$4-AB326+SUM($AC$28:AC327),AG326,2),AE327+AF327),2),"")</f>
        <v/>
      </c>
      <c r="AE327" s="11" t="str">
        <f>IF(AB327&lt;&gt;"",IF($F$11="raty malejące",AG326/($F$4-AB326+SUM($AC$28:AC326)),MIN(AD327-AF327,AG326)),"")</f>
        <v/>
      </c>
      <c r="AF327" s="11" t="str">
        <f t="shared" si="153"/>
        <v/>
      </c>
      <c r="AG327" s="9" t="str">
        <f t="shared" si="154"/>
        <v/>
      </c>
      <c r="AH327" s="11"/>
      <c r="AI327" s="33" t="str">
        <f>IF(AB327&lt;&gt;"",ROUND(IF($F$11="raty równe",-PMT(W327/12,($F$4-AB326+SUM($AC$27:AC326)),AG326,2),AG326/($F$4-AB326+SUM($AC$27:AC326))+AG326*W327/12),2),"")</f>
        <v/>
      </c>
      <c r="AJ327" s="33" t="str">
        <f t="shared" si="155"/>
        <v/>
      </c>
      <c r="AK327" s="33" t="str">
        <f t="shared" si="156"/>
        <v/>
      </c>
      <c r="AL327" s="33" t="str">
        <f>IF(AB327&lt;&gt;"",AK327-SUM($AJ$28:AJ327),"")</f>
        <v/>
      </c>
      <c r="AM327" s="11" t="str">
        <f t="shared" si="157"/>
        <v/>
      </c>
      <c r="AN327" s="11" t="str">
        <f>IF(AB327&lt;&gt;"",IF($B$16=listy!$K$8,'RZĄDOWY PROGRAM'!$F$3*'RZĄDOWY PROGRAM'!$F$15,AG326*$F$15),"")</f>
        <v/>
      </c>
      <c r="AO327" s="11" t="str">
        <f t="shared" si="158"/>
        <v/>
      </c>
      <c r="AQ327" s="49" t="str">
        <f t="shared" si="159"/>
        <v/>
      </c>
      <c r="AR327" s="18" t="str">
        <f t="shared" si="160"/>
        <v/>
      </c>
      <c r="AS327" s="11" t="str">
        <f t="shared" si="161"/>
        <v/>
      </c>
      <c r="AT327" s="11" t="str">
        <f t="shared" si="162"/>
        <v/>
      </c>
      <c r="AU327" s="11" t="str">
        <f>IF(AB327&lt;&gt;"",AT327-SUM($AS$28:AS327),"")</f>
        <v/>
      </c>
    </row>
    <row r="328" spans="1:47" ht="14.5" x14ac:dyDescent="0.35">
      <c r="A328" s="76" t="str">
        <f t="shared" si="133"/>
        <v/>
      </c>
      <c r="B328" s="8" t="str">
        <f t="shared" si="163"/>
        <v/>
      </c>
      <c r="C328" s="11" t="str">
        <f t="shared" si="134"/>
        <v/>
      </c>
      <c r="D328" s="11" t="str">
        <f t="shared" si="135"/>
        <v/>
      </c>
      <c r="E328" s="11" t="str">
        <f t="shared" si="136"/>
        <v/>
      </c>
      <c r="F328" s="9" t="str">
        <f t="shared" si="137"/>
        <v/>
      </c>
      <c r="G328" s="10" t="str">
        <f t="shared" si="138"/>
        <v/>
      </c>
      <c r="H328" s="10" t="str">
        <f t="shared" si="139"/>
        <v/>
      </c>
      <c r="I328" s="49" t="str">
        <f t="shared" si="140"/>
        <v/>
      </c>
      <c r="J328" s="11" t="str">
        <f t="shared" si="141"/>
        <v/>
      </c>
      <c r="K328" s="11" t="str">
        <f>IF(B328&lt;&gt;"",IF($B$16=listy!$K$8,'RZĄDOWY PROGRAM'!$F$3*'RZĄDOWY PROGRAM'!$F$15,F327*$F$15),"")</f>
        <v/>
      </c>
      <c r="L328" s="11" t="str">
        <f t="shared" si="142"/>
        <v/>
      </c>
      <c r="N328" s="55" t="str">
        <f t="shared" si="144"/>
        <v/>
      </c>
      <c r="O328" s="8" t="str">
        <f t="shared" si="164"/>
        <v/>
      </c>
      <c r="P328" s="8"/>
      <c r="Q328" s="33" t="str">
        <f>IF(O328&lt;&gt;"",ROUND(IF($F$11="raty równe",-PMT(W328/12,$F$4-O327+SUM($P$28:P328),T327,2),R328+S328),2),"")</f>
        <v/>
      </c>
      <c r="R328" s="11" t="str">
        <f>IF(O328&lt;&gt;"",IF($F$11="raty malejące",T327/($F$4-O327+SUM($P$28:P328)),IF(Q328-S328&gt;T327,T327,Q328-S328)),"")</f>
        <v/>
      </c>
      <c r="S328" s="11" t="str">
        <f t="shared" si="145"/>
        <v/>
      </c>
      <c r="T328" s="9" t="str">
        <f t="shared" si="146"/>
        <v/>
      </c>
      <c r="U328" s="10" t="str">
        <f t="shared" si="147"/>
        <v/>
      </c>
      <c r="V328" s="10" t="str">
        <f t="shared" si="148"/>
        <v/>
      </c>
      <c r="W328" s="49" t="str">
        <f t="shared" si="149"/>
        <v/>
      </c>
      <c r="X328" s="11" t="str">
        <f t="shared" si="150"/>
        <v/>
      </c>
      <c r="Y328" s="11" t="str">
        <f>IF(O328&lt;&gt;"",IF($B$16=listy!$K$8,'RZĄDOWY PROGRAM'!$F$3*'RZĄDOWY PROGRAM'!$F$15,T327*$F$15),"")</f>
        <v/>
      </c>
      <c r="Z328" s="11" t="str">
        <f t="shared" si="151"/>
        <v/>
      </c>
      <c r="AB328" s="8" t="str">
        <f t="shared" si="152"/>
        <v/>
      </c>
      <c r="AC328" s="8"/>
      <c r="AD328" s="33" t="str">
        <f>IF(AB328&lt;&gt;"",ROUND(IF($F$11="raty równe",-PMT(W328/12,$F$4-AB327+SUM($AC$28:AC328),AG327,2),AE328+AF328),2),"")</f>
        <v/>
      </c>
      <c r="AE328" s="11" t="str">
        <f>IF(AB328&lt;&gt;"",IF($F$11="raty malejące",AG327/($F$4-AB327+SUM($AC$28:AC327)),MIN(AD328-AF328,AG327)),"")</f>
        <v/>
      </c>
      <c r="AF328" s="11" t="str">
        <f t="shared" si="153"/>
        <v/>
      </c>
      <c r="AG328" s="9" t="str">
        <f t="shared" si="154"/>
        <v/>
      </c>
      <c r="AH328" s="11"/>
      <c r="AI328" s="33" t="str">
        <f>IF(AB328&lt;&gt;"",ROUND(IF($F$11="raty równe",-PMT(W328/12,($F$4-AB327+SUM($AC$27:AC327)),AG327,2),AG327/($F$4-AB327+SUM($AC$27:AC327))+AG327*W328/12),2),"")</f>
        <v/>
      </c>
      <c r="AJ328" s="33" t="str">
        <f t="shared" si="155"/>
        <v/>
      </c>
      <c r="AK328" s="33" t="str">
        <f t="shared" si="156"/>
        <v/>
      </c>
      <c r="AL328" s="33" t="str">
        <f>IF(AB328&lt;&gt;"",AK328-SUM($AJ$28:AJ328),"")</f>
        <v/>
      </c>
      <c r="AM328" s="11" t="str">
        <f t="shared" si="157"/>
        <v/>
      </c>
      <c r="AN328" s="11" t="str">
        <f>IF(AB328&lt;&gt;"",IF($B$16=listy!$K$8,'RZĄDOWY PROGRAM'!$F$3*'RZĄDOWY PROGRAM'!$F$15,AG327*$F$15),"")</f>
        <v/>
      </c>
      <c r="AO328" s="11" t="str">
        <f t="shared" si="158"/>
        <v/>
      </c>
      <c r="AQ328" s="49" t="str">
        <f t="shared" si="159"/>
        <v/>
      </c>
      <c r="AR328" s="18" t="str">
        <f t="shared" si="160"/>
        <v/>
      </c>
      <c r="AS328" s="11" t="str">
        <f t="shared" si="161"/>
        <v/>
      </c>
      <c r="AT328" s="11" t="str">
        <f t="shared" si="162"/>
        <v/>
      </c>
      <c r="AU328" s="11" t="str">
        <f>IF(AB328&lt;&gt;"",AT328-SUM($AS$28:AS328),"")</f>
        <v/>
      </c>
    </row>
    <row r="329" spans="1:47" ht="14.5" x14ac:dyDescent="0.35">
      <c r="A329" s="76" t="str">
        <f t="shared" si="133"/>
        <v/>
      </c>
      <c r="B329" s="8" t="str">
        <f t="shared" si="163"/>
        <v/>
      </c>
      <c r="C329" s="11" t="str">
        <f t="shared" si="134"/>
        <v/>
      </c>
      <c r="D329" s="11" t="str">
        <f t="shared" si="135"/>
        <v/>
      </c>
      <c r="E329" s="11" t="str">
        <f t="shared" si="136"/>
        <v/>
      </c>
      <c r="F329" s="9" t="str">
        <f t="shared" si="137"/>
        <v/>
      </c>
      <c r="G329" s="10" t="str">
        <f t="shared" si="138"/>
        <v/>
      </c>
      <c r="H329" s="10" t="str">
        <f t="shared" si="139"/>
        <v/>
      </c>
      <c r="I329" s="49" t="str">
        <f t="shared" si="140"/>
        <v/>
      </c>
      <c r="J329" s="11" t="str">
        <f t="shared" si="141"/>
        <v/>
      </c>
      <c r="K329" s="11" t="str">
        <f>IF(B329&lt;&gt;"",IF($B$16=listy!$K$8,'RZĄDOWY PROGRAM'!$F$3*'RZĄDOWY PROGRAM'!$F$15,F328*$F$15),"")</f>
        <v/>
      </c>
      <c r="L329" s="11" t="str">
        <f t="shared" si="142"/>
        <v/>
      </c>
      <c r="N329" s="55" t="str">
        <f t="shared" si="144"/>
        <v/>
      </c>
      <c r="O329" s="8" t="str">
        <f t="shared" si="164"/>
        <v/>
      </c>
      <c r="P329" s="8"/>
      <c r="Q329" s="33" t="str">
        <f>IF(O329&lt;&gt;"",ROUND(IF($F$11="raty równe",-PMT(W329/12,$F$4-O328+SUM($P$28:P329),T328,2),R329+S329),2),"")</f>
        <v/>
      </c>
      <c r="R329" s="11" t="str">
        <f>IF(O329&lt;&gt;"",IF($F$11="raty malejące",T328/($F$4-O328+SUM($P$28:P329)),IF(Q329-S329&gt;T328,T328,Q329-S329)),"")</f>
        <v/>
      </c>
      <c r="S329" s="11" t="str">
        <f t="shared" si="145"/>
        <v/>
      </c>
      <c r="T329" s="9" t="str">
        <f t="shared" si="146"/>
        <v/>
      </c>
      <c r="U329" s="10" t="str">
        <f t="shared" si="147"/>
        <v/>
      </c>
      <c r="V329" s="10" t="str">
        <f t="shared" si="148"/>
        <v/>
      </c>
      <c r="W329" s="49" t="str">
        <f t="shared" si="149"/>
        <v/>
      </c>
      <c r="X329" s="11" t="str">
        <f t="shared" si="150"/>
        <v/>
      </c>
      <c r="Y329" s="11" t="str">
        <f>IF(O329&lt;&gt;"",IF($B$16=listy!$K$8,'RZĄDOWY PROGRAM'!$F$3*'RZĄDOWY PROGRAM'!$F$15,T328*$F$15),"")</f>
        <v/>
      </c>
      <c r="Z329" s="11" t="str">
        <f t="shared" si="151"/>
        <v/>
      </c>
      <c r="AB329" s="8" t="str">
        <f t="shared" si="152"/>
        <v/>
      </c>
      <c r="AC329" s="8"/>
      <c r="AD329" s="33" t="str">
        <f>IF(AB329&lt;&gt;"",ROUND(IF($F$11="raty równe",-PMT(W329/12,$F$4-AB328+SUM($AC$28:AC329),AG328,2),AE329+AF329),2),"")</f>
        <v/>
      </c>
      <c r="AE329" s="11" t="str">
        <f>IF(AB329&lt;&gt;"",IF($F$11="raty malejące",AG328/($F$4-AB328+SUM($AC$28:AC328)),MIN(AD329-AF329,AG328)),"")</f>
        <v/>
      </c>
      <c r="AF329" s="11" t="str">
        <f t="shared" si="153"/>
        <v/>
      </c>
      <c r="AG329" s="9" t="str">
        <f t="shared" si="154"/>
        <v/>
      </c>
      <c r="AH329" s="11"/>
      <c r="AI329" s="33" t="str">
        <f>IF(AB329&lt;&gt;"",ROUND(IF($F$11="raty równe",-PMT(W329/12,($F$4-AB328+SUM($AC$27:AC328)),AG328,2),AG328/($F$4-AB328+SUM($AC$27:AC328))+AG328*W329/12),2),"")</f>
        <v/>
      </c>
      <c r="AJ329" s="33" t="str">
        <f t="shared" si="155"/>
        <v/>
      </c>
      <c r="AK329" s="33" t="str">
        <f t="shared" si="156"/>
        <v/>
      </c>
      <c r="AL329" s="33" t="str">
        <f>IF(AB329&lt;&gt;"",AK329-SUM($AJ$28:AJ329),"")</f>
        <v/>
      </c>
      <c r="AM329" s="11" t="str">
        <f t="shared" si="157"/>
        <v/>
      </c>
      <c r="AN329" s="11" t="str">
        <f>IF(AB329&lt;&gt;"",IF($B$16=listy!$K$8,'RZĄDOWY PROGRAM'!$F$3*'RZĄDOWY PROGRAM'!$F$15,AG328*$F$15),"")</f>
        <v/>
      </c>
      <c r="AO329" s="11" t="str">
        <f t="shared" si="158"/>
        <v/>
      </c>
      <c r="AQ329" s="49" t="str">
        <f t="shared" si="159"/>
        <v/>
      </c>
      <c r="AR329" s="18" t="str">
        <f t="shared" si="160"/>
        <v/>
      </c>
      <c r="AS329" s="11" t="str">
        <f t="shared" si="161"/>
        <v/>
      </c>
      <c r="AT329" s="11" t="str">
        <f t="shared" si="162"/>
        <v/>
      </c>
      <c r="AU329" s="11" t="str">
        <f>IF(AB329&lt;&gt;"",AT329-SUM($AS$28:AS329),"")</f>
        <v/>
      </c>
    </row>
    <row r="330" spans="1:47" ht="14.5" x14ac:dyDescent="0.35">
      <c r="A330" s="76" t="str">
        <f t="shared" si="133"/>
        <v/>
      </c>
      <c r="B330" s="8" t="str">
        <f t="shared" si="163"/>
        <v/>
      </c>
      <c r="C330" s="11" t="str">
        <f t="shared" si="134"/>
        <v/>
      </c>
      <c r="D330" s="11" t="str">
        <f t="shared" si="135"/>
        <v/>
      </c>
      <c r="E330" s="11" t="str">
        <f t="shared" si="136"/>
        <v/>
      </c>
      <c r="F330" s="9" t="str">
        <f t="shared" si="137"/>
        <v/>
      </c>
      <c r="G330" s="10" t="str">
        <f t="shared" si="138"/>
        <v/>
      </c>
      <c r="H330" s="10" t="str">
        <f t="shared" si="139"/>
        <v/>
      </c>
      <c r="I330" s="49" t="str">
        <f t="shared" si="140"/>
        <v/>
      </c>
      <c r="J330" s="11" t="str">
        <f t="shared" si="141"/>
        <v/>
      </c>
      <c r="K330" s="11" t="str">
        <f>IF(B330&lt;&gt;"",IF($B$16=listy!$K$8,'RZĄDOWY PROGRAM'!$F$3*'RZĄDOWY PROGRAM'!$F$15,F329*$F$15),"")</f>
        <v/>
      </c>
      <c r="L330" s="11" t="str">
        <f t="shared" si="142"/>
        <v/>
      </c>
      <c r="N330" s="55" t="str">
        <f t="shared" si="144"/>
        <v/>
      </c>
      <c r="O330" s="8" t="str">
        <f t="shared" si="164"/>
        <v/>
      </c>
      <c r="P330" s="8"/>
      <c r="Q330" s="33" t="str">
        <f>IF(O330&lt;&gt;"",ROUND(IF($F$11="raty równe",-PMT(W330/12,$F$4-O329+SUM($P$28:P330),T329,2),R330+S330),2),"")</f>
        <v/>
      </c>
      <c r="R330" s="11" t="str">
        <f>IF(O330&lt;&gt;"",IF($F$11="raty malejące",T329/($F$4-O329+SUM($P$28:P330)),IF(Q330-S330&gt;T329,T329,Q330-S330)),"")</f>
        <v/>
      </c>
      <c r="S330" s="11" t="str">
        <f t="shared" si="145"/>
        <v/>
      </c>
      <c r="T330" s="9" t="str">
        <f t="shared" si="146"/>
        <v/>
      </c>
      <c r="U330" s="10" t="str">
        <f t="shared" si="147"/>
        <v/>
      </c>
      <c r="V330" s="10" t="str">
        <f t="shared" si="148"/>
        <v/>
      </c>
      <c r="W330" s="49" t="str">
        <f t="shared" si="149"/>
        <v/>
      </c>
      <c r="X330" s="11" t="str">
        <f t="shared" si="150"/>
        <v/>
      </c>
      <c r="Y330" s="11" t="str">
        <f>IF(O330&lt;&gt;"",IF($B$16=listy!$K$8,'RZĄDOWY PROGRAM'!$F$3*'RZĄDOWY PROGRAM'!$F$15,T329*$F$15),"")</f>
        <v/>
      </c>
      <c r="Z330" s="11" t="str">
        <f t="shared" si="151"/>
        <v/>
      </c>
      <c r="AB330" s="8" t="str">
        <f t="shared" si="152"/>
        <v/>
      </c>
      <c r="AC330" s="8"/>
      <c r="AD330" s="33" t="str">
        <f>IF(AB330&lt;&gt;"",ROUND(IF($F$11="raty równe",-PMT(W330/12,$F$4-AB329+SUM($AC$28:AC330),AG329,2),AE330+AF330),2),"")</f>
        <v/>
      </c>
      <c r="AE330" s="11" t="str">
        <f>IF(AB330&lt;&gt;"",IF($F$11="raty malejące",AG329/($F$4-AB329+SUM($AC$28:AC329)),MIN(AD330-AF330,AG329)),"")</f>
        <v/>
      </c>
      <c r="AF330" s="11" t="str">
        <f t="shared" si="153"/>
        <v/>
      </c>
      <c r="AG330" s="9" t="str">
        <f t="shared" si="154"/>
        <v/>
      </c>
      <c r="AH330" s="11"/>
      <c r="AI330" s="33" t="str">
        <f>IF(AB330&lt;&gt;"",ROUND(IF($F$11="raty równe",-PMT(W330/12,($F$4-AB329+SUM($AC$27:AC329)),AG329,2),AG329/($F$4-AB329+SUM($AC$27:AC329))+AG329*W330/12),2),"")</f>
        <v/>
      </c>
      <c r="AJ330" s="33" t="str">
        <f t="shared" si="155"/>
        <v/>
      </c>
      <c r="AK330" s="33" t="str">
        <f t="shared" si="156"/>
        <v/>
      </c>
      <c r="AL330" s="33" t="str">
        <f>IF(AB330&lt;&gt;"",AK330-SUM($AJ$28:AJ330),"")</f>
        <v/>
      </c>
      <c r="AM330" s="11" t="str">
        <f t="shared" si="157"/>
        <v/>
      </c>
      <c r="AN330" s="11" t="str">
        <f>IF(AB330&lt;&gt;"",IF($B$16=listy!$K$8,'RZĄDOWY PROGRAM'!$F$3*'RZĄDOWY PROGRAM'!$F$15,AG329*$F$15),"")</f>
        <v/>
      </c>
      <c r="AO330" s="11" t="str">
        <f t="shared" si="158"/>
        <v/>
      </c>
      <c r="AQ330" s="49" t="str">
        <f t="shared" si="159"/>
        <v/>
      </c>
      <c r="AR330" s="18" t="str">
        <f t="shared" si="160"/>
        <v/>
      </c>
      <c r="AS330" s="11" t="str">
        <f t="shared" si="161"/>
        <v/>
      </c>
      <c r="AT330" s="11" t="str">
        <f t="shared" si="162"/>
        <v/>
      </c>
      <c r="AU330" s="11" t="str">
        <f>IF(AB330&lt;&gt;"",AT330-SUM($AS$28:AS330),"")</f>
        <v/>
      </c>
    </row>
    <row r="331" spans="1:47" ht="14.5" x14ac:dyDescent="0.35">
      <c r="A331" s="76" t="str">
        <f t="shared" si="133"/>
        <v/>
      </c>
      <c r="B331" s="8" t="str">
        <f t="shared" si="163"/>
        <v/>
      </c>
      <c r="C331" s="11" t="str">
        <f t="shared" si="134"/>
        <v/>
      </c>
      <c r="D331" s="11" t="str">
        <f t="shared" si="135"/>
        <v/>
      </c>
      <c r="E331" s="11" t="str">
        <f t="shared" si="136"/>
        <v/>
      </c>
      <c r="F331" s="9" t="str">
        <f t="shared" si="137"/>
        <v/>
      </c>
      <c r="G331" s="10" t="str">
        <f t="shared" si="138"/>
        <v/>
      </c>
      <c r="H331" s="10" t="str">
        <f t="shared" si="139"/>
        <v/>
      </c>
      <c r="I331" s="49" t="str">
        <f t="shared" si="140"/>
        <v/>
      </c>
      <c r="J331" s="11" t="str">
        <f t="shared" si="141"/>
        <v/>
      </c>
      <c r="K331" s="11" t="str">
        <f>IF(B331&lt;&gt;"",IF($B$16=listy!$K$8,'RZĄDOWY PROGRAM'!$F$3*'RZĄDOWY PROGRAM'!$F$15,F330*$F$15),"")</f>
        <v/>
      </c>
      <c r="L331" s="11" t="str">
        <f t="shared" si="142"/>
        <v/>
      </c>
      <c r="N331" s="55" t="str">
        <f t="shared" si="144"/>
        <v/>
      </c>
      <c r="O331" s="8" t="str">
        <f t="shared" si="164"/>
        <v/>
      </c>
      <c r="P331" s="8"/>
      <c r="Q331" s="33" t="str">
        <f>IF(O331&lt;&gt;"",ROUND(IF($F$11="raty równe",-PMT(W331/12,$F$4-O330+SUM($P$28:P331),T330,2),R331+S331),2),"")</f>
        <v/>
      </c>
      <c r="R331" s="11" t="str">
        <f>IF(O331&lt;&gt;"",IF($F$11="raty malejące",T330/($F$4-O330+SUM($P$28:P331)),IF(Q331-S331&gt;T330,T330,Q331-S331)),"")</f>
        <v/>
      </c>
      <c r="S331" s="11" t="str">
        <f t="shared" si="145"/>
        <v/>
      </c>
      <c r="T331" s="9" t="str">
        <f t="shared" si="146"/>
        <v/>
      </c>
      <c r="U331" s="10" t="str">
        <f t="shared" si="147"/>
        <v/>
      </c>
      <c r="V331" s="10" t="str">
        <f t="shared" si="148"/>
        <v/>
      </c>
      <c r="W331" s="49" t="str">
        <f t="shared" si="149"/>
        <v/>
      </c>
      <c r="X331" s="11" t="str">
        <f t="shared" si="150"/>
        <v/>
      </c>
      <c r="Y331" s="11" t="str">
        <f>IF(O331&lt;&gt;"",IF($B$16=listy!$K$8,'RZĄDOWY PROGRAM'!$F$3*'RZĄDOWY PROGRAM'!$F$15,T330*$F$15),"")</f>
        <v/>
      </c>
      <c r="Z331" s="11" t="str">
        <f t="shared" si="151"/>
        <v/>
      </c>
      <c r="AB331" s="8" t="str">
        <f t="shared" si="152"/>
        <v/>
      </c>
      <c r="AC331" s="8"/>
      <c r="AD331" s="33" t="str">
        <f>IF(AB331&lt;&gt;"",ROUND(IF($F$11="raty równe",-PMT(W331/12,$F$4-AB330+SUM($AC$28:AC331),AG330,2),AE331+AF331),2),"")</f>
        <v/>
      </c>
      <c r="AE331" s="11" t="str">
        <f>IF(AB331&lt;&gt;"",IF($F$11="raty malejące",AG330/($F$4-AB330+SUM($AC$28:AC330)),MIN(AD331-AF331,AG330)),"")</f>
        <v/>
      </c>
      <c r="AF331" s="11" t="str">
        <f t="shared" si="153"/>
        <v/>
      </c>
      <c r="AG331" s="9" t="str">
        <f t="shared" si="154"/>
        <v/>
      </c>
      <c r="AH331" s="11"/>
      <c r="AI331" s="33" t="str">
        <f>IF(AB331&lt;&gt;"",ROUND(IF($F$11="raty równe",-PMT(W331/12,($F$4-AB330+SUM($AC$27:AC330)),AG330,2),AG330/($F$4-AB330+SUM($AC$27:AC330))+AG330*W331/12),2),"")</f>
        <v/>
      </c>
      <c r="AJ331" s="33" t="str">
        <f t="shared" si="155"/>
        <v/>
      </c>
      <c r="AK331" s="33" t="str">
        <f t="shared" si="156"/>
        <v/>
      </c>
      <c r="AL331" s="33" t="str">
        <f>IF(AB331&lt;&gt;"",AK331-SUM($AJ$28:AJ331),"")</f>
        <v/>
      </c>
      <c r="AM331" s="11" t="str">
        <f t="shared" si="157"/>
        <v/>
      </c>
      <c r="AN331" s="11" t="str">
        <f>IF(AB331&lt;&gt;"",IF($B$16=listy!$K$8,'RZĄDOWY PROGRAM'!$F$3*'RZĄDOWY PROGRAM'!$F$15,AG330*$F$15),"")</f>
        <v/>
      </c>
      <c r="AO331" s="11" t="str">
        <f t="shared" si="158"/>
        <v/>
      </c>
      <c r="AQ331" s="49" t="str">
        <f t="shared" si="159"/>
        <v/>
      </c>
      <c r="AR331" s="18" t="str">
        <f t="shared" si="160"/>
        <v/>
      </c>
      <c r="AS331" s="11" t="str">
        <f t="shared" si="161"/>
        <v/>
      </c>
      <c r="AT331" s="11" t="str">
        <f t="shared" si="162"/>
        <v/>
      </c>
      <c r="AU331" s="11" t="str">
        <f>IF(AB331&lt;&gt;"",AT331-SUM($AS$28:AS331),"")</f>
        <v/>
      </c>
    </row>
    <row r="332" spans="1:47" ht="14.5" x14ac:dyDescent="0.35">
      <c r="A332" s="76" t="str">
        <f t="shared" ref="A332:A395" si="165">IF(B332&lt;&gt;"",EDATE(A331,1),"")</f>
        <v/>
      </c>
      <c r="B332" s="8" t="str">
        <f t="shared" si="163"/>
        <v/>
      </c>
      <c r="C332" s="11" t="str">
        <f t="shared" ref="C332:C395" si="166">IF(B332&lt;&gt;"",ROUND(IF($F$11="raty równe",-PMT(I332/12,$F$4-B331,F331,2),D332+E332),2),"")</f>
        <v/>
      </c>
      <c r="D332" s="11" t="str">
        <f t="shared" ref="D332:D395" si="167">IF(B332&lt;&gt;"",IF($F$11="raty malejące",F331/($F$4-B331),IF(C332-E332&gt;F331,F331,C332-E332)),"")</f>
        <v/>
      </c>
      <c r="E332" s="11" t="str">
        <f t="shared" ref="E332:E395" si="168">IF(B332&lt;&gt;"",F331*I332/12,"")</f>
        <v/>
      </c>
      <c r="F332" s="9" t="str">
        <f t="shared" ref="F332:F395" si="169">IF(B332&lt;&gt;"",F331-D332,"")</f>
        <v/>
      </c>
      <c r="G332" s="10" t="str">
        <f t="shared" ref="G332:G395" si="170">IF(B332&lt;&gt;"",$F$5,"")</f>
        <v/>
      </c>
      <c r="H332" s="10" t="str">
        <f t="shared" ref="H332:H395" si="171">IF(B332&lt;&gt;"",$F$6,"")</f>
        <v/>
      </c>
      <c r="I332" s="49" t="str">
        <f t="shared" ref="I332:I395" si="172">IF($B332&lt;&gt;"",IF(AND($F$8="TAK",$B332&lt;=$F$9),$F$10,G332+H332),"")</f>
        <v/>
      </c>
      <c r="J332" s="11" t="str">
        <f t="shared" ref="J332:J395" si="173">IF(B332&lt;=$F$4,$F$14,"")</f>
        <v/>
      </c>
      <c r="K332" s="11" t="str">
        <f>IF(B332&lt;&gt;"",IF($B$16=listy!$K$8,'RZĄDOWY PROGRAM'!$F$3*'RZĄDOWY PROGRAM'!$F$15,F331*$F$15),"")</f>
        <v/>
      </c>
      <c r="L332" s="11" t="str">
        <f t="shared" ref="L332:L395" si="174">IF(B332&lt;&gt;"",J332+K332,"")</f>
        <v/>
      </c>
      <c r="N332" s="55" t="str">
        <f t="shared" si="144"/>
        <v/>
      </c>
      <c r="O332" s="8" t="str">
        <f t="shared" si="164"/>
        <v/>
      </c>
      <c r="P332" s="8"/>
      <c r="Q332" s="33" t="str">
        <f>IF(O332&lt;&gt;"",ROUND(IF($F$11="raty równe",-PMT(W332/12,$F$4-O331+SUM($P$28:P332),T331,2),R332+S332),2),"")</f>
        <v/>
      </c>
      <c r="R332" s="11" t="str">
        <f>IF(O332&lt;&gt;"",IF($F$11="raty malejące",T331/($F$4-O331+SUM($P$28:P332)),IF(Q332-S332&gt;T331,T331,Q332-S332)),"")</f>
        <v/>
      </c>
      <c r="S332" s="11" t="str">
        <f t="shared" si="145"/>
        <v/>
      </c>
      <c r="T332" s="9" t="str">
        <f t="shared" si="146"/>
        <v/>
      </c>
      <c r="U332" s="10" t="str">
        <f t="shared" si="147"/>
        <v/>
      </c>
      <c r="V332" s="10" t="str">
        <f t="shared" si="148"/>
        <v/>
      </c>
      <c r="W332" s="49" t="str">
        <f t="shared" si="149"/>
        <v/>
      </c>
      <c r="X332" s="11" t="str">
        <f t="shared" si="150"/>
        <v/>
      </c>
      <c r="Y332" s="11" t="str">
        <f>IF(O332&lt;&gt;"",IF($B$16=listy!$K$8,'RZĄDOWY PROGRAM'!$F$3*'RZĄDOWY PROGRAM'!$F$15,T331*$F$15),"")</f>
        <v/>
      </c>
      <c r="Z332" s="11" t="str">
        <f t="shared" si="151"/>
        <v/>
      </c>
      <c r="AB332" s="8" t="str">
        <f t="shared" si="152"/>
        <v/>
      </c>
      <c r="AC332" s="8"/>
      <c r="AD332" s="33" t="str">
        <f>IF(AB332&lt;&gt;"",ROUND(IF($F$11="raty równe",-PMT(W332/12,$F$4-AB331+SUM($AC$28:AC332),AG331,2),AE332+AF332),2),"")</f>
        <v/>
      </c>
      <c r="AE332" s="11" t="str">
        <f>IF(AB332&lt;&gt;"",IF($F$11="raty malejące",AG331/($F$4-AB331+SUM($AC$28:AC331)),MIN(AD332-AF332,AG331)),"")</f>
        <v/>
      </c>
      <c r="AF332" s="11" t="str">
        <f t="shared" si="153"/>
        <v/>
      </c>
      <c r="AG332" s="9" t="str">
        <f t="shared" si="154"/>
        <v/>
      </c>
      <c r="AH332" s="11"/>
      <c r="AI332" s="33" t="str">
        <f>IF(AB332&lt;&gt;"",ROUND(IF($F$11="raty równe",-PMT(W332/12,($F$4-AB331+SUM($AC$27:AC331)),AG331,2),AG331/($F$4-AB331+SUM($AC$27:AC331))+AG331*W332/12),2),"")</f>
        <v/>
      </c>
      <c r="AJ332" s="33" t="str">
        <f t="shared" si="155"/>
        <v/>
      </c>
      <c r="AK332" s="33" t="str">
        <f t="shared" si="156"/>
        <v/>
      </c>
      <c r="AL332" s="33" t="str">
        <f>IF(AB332&lt;&gt;"",AK332-SUM($AJ$28:AJ332),"")</f>
        <v/>
      </c>
      <c r="AM332" s="11" t="str">
        <f t="shared" si="157"/>
        <v/>
      </c>
      <c r="AN332" s="11" t="str">
        <f>IF(AB332&lt;&gt;"",IF($B$16=listy!$K$8,'RZĄDOWY PROGRAM'!$F$3*'RZĄDOWY PROGRAM'!$F$15,AG331*$F$15),"")</f>
        <v/>
      </c>
      <c r="AO332" s="11" t="str">
        <f t="shared" si="158"/>
        <v/>
      </c>
      <c r="AQ332" s="49" t="str">
        <f t="shared" si="159"/>
        <v/>
      </c>
      <c r="AR332" s="18" t="str">
        <f t="shared" si="160"/>
        <v/>
      </c>
      <c r="AS332" s="11" t="str">
        <f t="shared" si="161"/>
        <v/>
      </c>
      <c r="AT332" s="11" t="str">
        <f t="shared" si="162"/>
        <v/>
      </c>
      <c r="AU332" s="11" t="str">
        <f>IF(AB332&lt;&gt;"",AT332-SUM($AS$28:AS332),"")</f>
        <v/>
      </c>
    </row>
    <row r="333" spans="1:47" ht="14.5" x14ac:dyDescent="0.35">
      <c r="A333" s="76" t="str">
        <f t="shared" si="165"/>
        <v/>
      </c>
      <c r="B333" s="8" t="str">
        <f t="shared" si="163"/>
        <v/>
      </c>
      <c r="C333" s="11" t="str">
        <f t="shared" si="166"/>
        <v/>
      </c>
      <c r="D333" s="11" t="str">
        <f t="shared" si="167"/>
        <v/>
      </c>
      <c r="E333" s="11" t="str">
        <f t="shared" si="168"/>
        <v/>
      </c>
      <c r="F333" s="9" t="str">
        <f t="shared" si="169"/>
        <v/>
      </c>
      <c r="G333" s="10" t="str">
        <f t="shared" si="170"/>
        <v/>
      </c>
      <c r="H333" s="10" t="str">
        <f t="shared" si="171"/>
        <v/>
      </c>
      <c r="I333" s="49" t="str">
        <f t="shared" si="172"/>
        <v/>
      </c>
      <c r="J333" s="11" t="str">
        <f t="shared" si="173"/>
        <v/>
      </c>
      <c r="K333" s="11" t="str">
        <f>IF(B333&lt;&gt;"",IF($B$16=listy!$K$8,'RZĄDOWY PROGRAM'!$F$3*'RZĄDOWY PROGRAM'!$F$15,F332*$F$15),"")</f>
        <v/>
      </c>
      <c r="L333" s="11" t="str">
        <f t="shared" si="174"/>
        <v/>
      </c>
      <c r="N333" s="55" t="str">
        <f t="shared" si="144"/>
        <v/>
      </c>
      <c r="O333" s="8" t="str">
        <f t="shared" si="164"/>
        <v/>
      </c>
      <c r="P333" s="8"/>
      <c r="Q333" s="33" t="str">
        <f>IF(O333&lt;&gt;"",ROUND(IF($F$11="raty równe",-PMT(W333/12,$F$4-O332+SUM($P$28:P333),T332,2),R333+S333),2),"")</f>
        <v/>
      </c>
      <c r="R333" s="11" t="str">
        <f>IF(O333&lt;&gt;"",IF($F$11="raty malejące",T332/($F$4-O332+SUM($P$28:P333)),IF(Q333-S333&gt;T332,T332,Q333-S333)),"")</f>
        <v/>
      </c>
      <c r="S333" s="11" t="str">
        <f t="shared" si="145"/>
        <v/>
      </c>
      <c r="T333" s="9" t="str">
        <f t="shared" si="146"/>
        <v/>
      </c>
      <c r="U333" s="10" t="str">
        <f t="shared" si="147"/>
        <v/>
      </c>
      <c r="V333" s="10" t="str">
        <f t="shared" si="148"/>
        <v/>
      </c>
      <c r="W333" s="49" t="str">
        <f t="shared" si="149"/>
        <v/>
      </c>
      <c r="X333" s="11" t="str">
        <f t="shared" si="150"/>
        <v/>
      </c>
      <c r="Y333" s="11" t="str">
        <f>IF(O333&lt;&gt;"",IF($B$16=listy!$K$8,'RZĄDOWY PROGRAM'!$F$3*'RZĄDOWY PROGRAM'!$F$15,T332*$F$15),"")</f>
        <v/>
      </c>
      <c r="Z333" s="11" t="str">
        <f t="shared" si="151"/>
        <v/>
      </c>
      <c r="AB333" s="8" t="str">
        <f t="shared" si="152"/>
        <v/>
      </c>
      <c r="AC333" s="8"/>
      <c r="AD333" s="33" t="str">
        <f>IF(AB333&lt;&gt;"",ROUND(IF($F$11="raty równe",-PMT(W333/12,$F$4-AB332+SUM($AC$28:AC333),AG332,2),AE333+AF333),2),"")</f>
        <v/>
      </c>
      <c r="AE333" s="11" t="str">
        <f>IF(AB333&lt;&gt;"",IF($F$11="raty malejące",AG332/($F$4-AB332+SUM($AC$28:AC332)),MIN(AD333-AF333,AG332)),"")</f>
        <v/>
      </c>
      <c r="AF333" s="11" t="str">
        <f t="shared" si="153"/>
        <v/>
      </c>
      <c r="AG333" s="9" t="str">
        <f t="shared" si="154"/>
        <v/>
      </c>
      <c r="AH333" s="11"/>
      <c r="AI333" s="33" t="str">
        <f>IF(AB333&lt;&gt;"",ROUND(IF($F$11="raty równe",-PMT(W333/12,($F$4-AB332+SUM($AC$27:AC332)),AG332,2),AG332/($F$4-AB332+SUM($AC$27:AC332))+AG332*W333/12),2),"")</f>
        <v/>
      </c>
      <c r="AJ333" s="33" t="str">
        <f t="shared" si="155"/>
        <v/>
      </c>
      <c r="AK333" s="33" t="str">
        <f t="shared" si="156"/>
        <v/>
      </c>
      <c r="AL333" s="33" t="str">
        <f>IF(AB333&lt;&gt;"",AK333-SUM($AJ$28:AJ333),"")</f>
        <v/>
      </c>
      <c r="AM333" s="11" t="str">
        <f t="shared" si="157"/>
        <v/>
      </c>
      <c r="AN333" s="11" t="str">
        <f>IF(AB333&lt;&gt;"",IF($B$16=listy!$K$8,'RZĄDOWY PROGRAM'!$F$3*'RZĄDOWY PROGRAM'!$F$15,AG332*$F$15),"")</f>
        <v/>
      </c>
      <c r="AO333" s="11" t="str">
        <f t="shared" si="158"/>
        <v/>
      </c>
      <c r="AQ333" s="49" t="str">
        <f t="shared" si="159"/>
        <v/>
      </c>
      <c r="AR333" s="18" t="str">
        <f t="shared" si="160"/>
        <v/>
      </c>
      <c r="AS333" s="11" t="str">
        <f t="shared" si="161"/>
        <v/>
      </c>
      <c r="AT333" s="11" t="str">
        <f t="shared" si="162"/>
        <v/>
      </c>
      <c r="AU333" s="11" t="str">
        <f>IF(AB333&lt;&gt;"",AT333-SUM($AS$28:AS333),"")</f>
        <v/>
      </c>
    </row>
    <row r="334" spans="1:47" ht="14.5" x14ac:dyDescent="0.35">
      <c r="A334" s="76" t="str">
        <f t="shared" si="165"/>
        <v/>
      </c>
      <c r="B334" s="8" t="str">
        <f t="shared" si="163"/>
        <v/>
      </c>
      <c r="C334" s="11" t="str">
        <f t="shared" si="166"/>
        <v/>
      </c>
      <c r="D334" s="11" t="str">
        <f t="shared" si="167"/>
        <v/>
      </c>
      <c r="E334" s="11" t="str">
        <f t="shared" si="168"/>
        <v/>
      </c>
      <c r="F334" s="9" t="str">
        <f t="shared" si="169"/>
        <v/>
      </c>
      <c r="G334" s="10" t="str">
        <f t="shared" si="170"/>
        <v/>
      </c>
      <c r="H334" s="10" t="str">
        <f t="shared" si="171"/>
        <v/>
      </c>
      <c r="I334" s="49" t="str">
        <f t="shared" si="172"/>
        <v/>
      </c>
      <c r="J334" s="11" t="str">
        <f t="shared" si="173"/>
        <v/>
      </c>
      <c r="K334" s="11" t="str">
        <f>IF(B334&lt;&gt;"",IF($B$16=listy!$K$8,'RZĄDOWY PROGRAM'!$F$3*'RZĄDOWY PROGRAM'!$F$15,F333*$F$15),"")</f>
        <v/>
      </c>
      <c r="L334" s="11" t="str">
        <f t="shared" si="174"/>
        <v/>
      </c>
      <c r="N334" s="55" t="str">
        <f t="shared" si="144"/>
        <v/>
      </c>
      <c r="O334" s="8" t="str">
        <f t="shared" si="164"/>
        <v/>
      </c>
      <c r="P334" s="8"/>
      <c r="Q334" s="33" t="str">
        <f>IF(O334&lt;&gt;"",ROUND(IF($F$11="raty równe",-PMT(W334/12,$F$4-O333+SUM($P$28:P334),T333,2),R334+S334),2),"")</f>
        <v/>
      </c>
      <c r="R334" s="11" t="str">
        <f>IF(O334&lt;&gt;"",IF($F$11="raty malejące",T333/($F$4-O333+SUM($P$28:P334)),IF(Q334-S334&gt;T333,T333,Q334-S334)),"")</f>
        <v/>
      </c>
      <c r="S334" s="11" t="str">
        <f t="shared" si="145"/>
        <v/>
      </c>
      <c r="T334" s="9" t="str">
        <f t="shared" si="146"/>
        <v/>
      </c>
      <c r="U334" s="10" t="str">
        <f t="shared" si="147"/>
        <v/>
      </c>
      <c r="V334" s="10" t="str">
        <f t="shared" si="148"/>
        <v/>
      </c>
      <c r="W334" s="49" t="str">
        <f t="shared" si="149"/>
        <v/>
      </c>
      <c r="X334" s="11" t="str">
        <f t="shared" si="150"/>
        <v/>
      </c>
      <c r="Y334" s="11" t="str">
        <f>IF(O334&lt;&gt;"",IF($B$16=listy!$K$8,'RZĄDOWY PROGRAM'!$F$3*'RZĄDOWY PROGRAM'!$F$15,T333*$F$15),"")</f>
        <v/>
      </c>
      <c r="Z334" s="11" t="str">
        <f t="shared" si="151"/>
        <v/>
      </c>
      <c r="AB334" s="8" t="str">
        <f t="shared" si="152"/>
        <v/>
      </c>
      <c r="AC334" s="8"/>
      <c r="AD334" s="33" t="str">
        <f>IF(AB334&lt;&gt;"",ROUND(IF($F$11="raty równe",-PMT(W334/12,$F$4-AB333+SUM($AC$28:AC334),AG333,2),AE334+AF334),2),"")</f>
        <v/>
      </c>
      <c r="AE334" s="11" t="str">
        <f>IF(AB334&lt;&gt;"",IF($F$11="raty malejące",AG333/($F$4-AB333+SUM($AC$28:AC333)),MIN(AD334-AF334,AG333)),"")</f>
        <v/>
      </c>
      <c r="AF334" s="11" t="str">
        <f t="shared" si="153"/>
        <v/>
      </c>
      <c r="AG334" s="9" t="str">
        <f t="shared" si="154"/>
        <v/>
      </c>
      <c r="AH334" s="11"/>
      <c r="AI334" s="33" t="str">
        <f>IF(AB334&lt;&gt;"",ROUND(IF($F$11="raty równe",-PMT(W334/12,($F$4-AB333+SUM($AC$27:AC333)),AG333,2),AG333/($F$4-AB333+SUM($AC$27:AC333))+AG333*W334/12),2),"")</f>
        <v/>
      </c>
      <c r="AJ334" s="33" t="str">
        <f t="shared" si="155"/>
        <v/>
      </c>
      <c r="AK334" s="33" t="str">
        <f t="shared" si="156"/>
        <v/>
      </c>
      <c r="AL334" s="33" t="str">
        <f>IF(AB334&lt;&gt;"",AK334-SUM($AJ$28:AJ334),"")</f>
        <v/>
      </c>
      <c r="AM334" s="11" t="str">
        <f t="shared" si="157"/>
        <v/>
      </c>
      <c r="AN334" s="11" t="str">
        <f>IF(AB334&lt;&gt;"",IF($B$16=listy!$K$8,'RZĄDOWY PROGRAM'!$F$3*'RZĄDOWY PROGRAM'!$F$15,AG333*$F$15),"")</f>
        <v/>
      </c>
      <c r="AO334" s="11" t="str">
        <f t="shared" si="158"/>
        <v/>
      </c>
      <c r="AQ334" s="49" t="str">
        <f t="shared" si="159"/>
        <v/>
      </c>
      <c r="AR334" s="18" t="str">
        <f t="shared" si="160"/>
        <v/>
      </c>
      <c r="AS334" s="11" t="str">
        <f t="shared" si="161"/>
        <v/>
      </c>
      <c r="AT334" s="11" t="str">
        <f t="shared" si="162"/>
        <v/>
      </c>
      <c r="AU334" s="11" t="str">
        <f>IF(AB334&lt;&gt;"",AT334-SUM($AS$28:AS334),"")</f>
        <v/>
      </c>
    </row>
    <row r="335" spans="1:47" ht="14.5" x14ac:dyDescent="0.35">
      <c r="A335" s="76" t="str">
        <f t="shared" si="165"/>
        <v/>
      </c>
      <c r="B335" s="8" t="str">
        <f t="shared" si="163"/>
        <v/>
      </c>
      <c r="C335" s="11" t="str">
        <f t="shared" si="166"/>
        <v/>
      </c>
      <c r="D335" s="11" t="str">
        <f t="shared" si="167"/>
        <v/>
      </c>
      <c r="E335" s="11" t="str">
        <f t="shared" si="168"/>
        <v/>
      </c>
      <c r="F335" s="9" t="str">
        <f t="shared" si="169"/>
        <v/>
      </c>
      <c r="G335" s="10" t="str">
        <f t="shared" si="170"/>
        <v/>
      </c>
      <c r="H335" s="10" t="str">
        <f t="shared" si="171"/>
        <v/>
      </c>
      <c r="I335" s="49" t="str">
        <f t="shared" si="172"/>
        <v/>
      </c>
      <c r="J335" s="11" t="str">
        <f t="shared" si="173"/>
        <v/>
      </c>
      <c r="K335" s="11" t="str">
        <f>IF(B335&lt;&gt;"",IF($B$16=listy!$K$8,'RZĄDOWY PROGRAM'!$F$3*'RZĄDOWY PROGRAM'!$F$15,F334*$F$15),"")</f>
        <v/>
      </c>
      <c r="L335" s="11" t="str">
        <f t="shared" si="174"/>
        <v/>
      </c>
      <c r="N335" s="55" t="str">
        <f t="shared" si="144"/>
        <v/>
      </c>
      <c r="O335" s="8" t="str">
        <f t="shared" si="164"/>
        <v/>
      </c>
      <c r="P335" s="8"/>
      <c r="Q335" s="33" t="str">
        <f>IF(O335&lt;&gt;"",ROUND(IF($F$11="raty równe",-PMT(W335/12,$F$4-O334+SUM($P$28:P335),T334,2),R335+S335),2),"")</f>
        <v/>
      </c>
      <c r="R335" s="11" t="str">
        <f>IF(O335&lt;&gt;"",IF($F$11="raty malejące",T334/($F$4-O334+SUM($P$28:P335)),IF(Q335-S335&gt;T334,T334,Q335-S335)),"")</f>
        <v/>
      </c>
      <c r="S335" s="11" t="str">
        <f t="shared" si="145"/>
        <v/>
      </c>
      <c r="T335" s="9" t="str">
        <f t="shared" si="146"/>
        <v/>
      </c>
      <c r="U335" s="10" t="str">
        <f t="shared" si="147"/>
        <v/>
      </c>
      <c r="V335" s="10" t="str">
        <f t="shared" si="148"/>
        <v/>
      </c>
      <c r="W335" s="49" t="str">
        <f t="shared" si="149"/>
        <v/>
      </c>
      <c r="X335" s="11" t="str">
        <f t="shared" si="150"/>
        <v/>
      </c>
      <c r="Y335" s="11" t="str">
        <f>IF(O335&lt;&gt;"",IF($B$16=listy!$K$8,'RZĄDOWY PROGRAM'!$F$3*'RZĄDOWY PROGRAM'!$F$15,T334*$F$15),"")</f>
        <v/>
      </c>
      <c r="Z335" s="11" t="str">
        <f t="shared" si="151"/>
        <v/>
      </c>
      <c r="AB335" s="8" t="str">
        <f t="shared" si="152"/>
        <v/>
      </c>
      <c r="AC335" s="8"/>
      <c r="AD335" s="33" t="str">
        <f>IF(AB335&lt;&gt;"",ROUND(IF($F$11="raty równe",-PMT(W335/12,$F$4-AB334+SUM($AC$28:AC335),AG334,2),AE335+AF335),2),"")</f>
        <v/>
      </c>
      <c r="AE335" s="11" t="str">
        <f>IF(AB335&lt;&gt;"",IF($F$11="raty malejące",AG334/($F$4-AB334+SUM($AC$28:AC334)),MIN(AD335-AF335,AG334)),"")</f>
        <v/>
      </c>
      <c r="AF335" s="11" t="str">
        <f t="shared" si="153"/>
        <v/>
      </c>
      <c r="AG335" s="9" t="str">
        <f t="shared" si="154"/>
        <v/>
      </c>
      <c r="AH335" s="11"/>
      <c r="AI335" s="33" t="str">
        <f>IF(AB335&lt;&gt;"",ROUND(IF($F$11="raty równe",-PMT(W335/12,($F$4-AB334+SUM($AC$27:AC334)),AG334,2),AG334/($F$4-AB334+SUM($AC$27:AC334))+AG334*W335/12),2),"")</f>
        <v/>
      </c>
      <c r="AJ335" s="33" t="str">
        <f t="shared" si="155"/>
        <v/>
      </c>
      <c r="AK335" s="33" t="str">
        <f t="shared" si="156"/>
        <v/>
      </c>
      <c r="AL335" s="33" t="str">
        <f>IF(AB335&lt;&gt;"",AK335-SUM($AJ$28:AJ335),"")</f>
        <v/>
      </c>
      <c r="AM335" s="11" t="str">
        <f t="shared" si="157"/>
        <v/>
      </c>
      <c r="AN335" s="11" t="str">
        <f>IF(AB335&lt;&gt;"",IF($B$16=listy!$K$8,'RZĄDOWY PROGRAM'!$F$3*'RZĄDOWY PROGRAM'!$F$15,AG334*$F$15),"")</f>
        <v/>
      </c>
      <c r="AO335" s="11" t="str">
        <f t="shared" si="158"/>
        <v/>
      </c>
      <c r="AQ335" s="49" t="str">
        <f t="shared" si="159"/>
        <v/>
      </c>
      <c r="AR335" s="18" t="str">
        <f t="shared" si="160"/>
        <v/>
      </c>
      <c r="AS335" s="11" t="str">
        <f t="shared" si="161"/>
        <v/>
      </c>
      <c r="AT335" s="11" t="str">
        <f t="shared" si="162"/>
        <v/>
      </c>
      <c r="AU335" s="11" t="str">
        <f>IF(AB335&lt;&gt;"",AT335-SUM($AS$28:AS335),"")</f>
        <v/>
      </c>
    </row>
    <row r="336" spans="1:47" ht="14.5" x14ac:dyDescent="0.35">
      <c r="A336" s="76" t="str">
        <f t="shared" si="165"/>
        <v/>
      </c>
      <c r="B336" s="8" t="str">
        <f t="shared" si="163"/>
        <v/>
      </c>
      <c r="C336" s="11" t="str">
        <f t="shared" si="166"/>
        <v/>
      </c>
      <c r="D336" s="11" t="str">
        <f t="shared" si="167"/>
        <v/>
      </c>
      <c r="E336" s="11" t="str">
        <f t="shared" si="168"/>
        <v/>
      </c>
      <c r="F336" s="9" t="str">
        <f t="shared" si="169"/>
        <v/>
      </c>
      <c r="G336" s="10" t="str">
        <f t="shared" si="170"/>
        <v/>
      </c>
      <c r="H336" s="10" t="str">
        <f t="shared" si="171"/>
        <v/>
      </c>
      <c r="I336" s="49" t="str">
        <f t="shared" si="172"/>
        <v/>
      </c>
      <c r="J336" s="11" t="str">
        <f t="shared" si="173"/>
        <v/>
      </c>
      <c r="K336" s="11" t="str">
        <f>IF(B336&lt;&gt;"",IF($B$16=listy!$K$8,'RZĄDOWY PROGRAM'!$F$3*'RZĄDOWY PROGRAM'!$F$15,F335*$F$15),"")</f>
        <v/>
      </c>
      <c r="L336" s="11" t="str">
        <f t="shared" si="174"/>
        <v/>
      </c>
      <c r="N336" s="55" t="str">
        <f t="shared" si="144"/>
        <v/>
      </c>
      <c r="O336" s="8" t="str">
        <f t="shared" si="164"/>
        <v/>
      </c>
      <c r="P336" s="8"/>
      <c r="Q336" s="33" t="str">
        <f>IF(O336&lt;&gt;"",ROUND(IF($F$11="raty równe",-PMT(W336/12,$F$4-O335+SUM($P$28:P336),T335,2),R336+S336),2),"")</f>
        <v/>
      </c>
      <c r="R336" s="11" t="str">
        <f>IF(O336&lt;&gt;"",IF($F$11="raty malejące",T335/($F$4-O335+SUM($P$28:P336)),IF(Q336-S336&gt;T335,T335,Q336-S336)),"")</f>
        <v/>
      </c>
      <c r="S336" s="11" t="str">
        <f t="shared" si="145"/>
        <v/>
      </c>
      <c r="T336" s="9" t="str">
        <f t="shared" si="146"/>
        <v/>
      </c>
      <c r="U336" s="10" t="str">
        <f t="shared" si="147"/>
        <v/>
      </c>
      <c r="V336" s="10" t="str">
        <f t="shared" si="148"/>
        <v/>
      </c>
      <c r="W336" s="49" t="str">
        <f t="shared" si="149"/>
        <v/>
      </c>
      <c r="X336" s="11" t="str">
        <f t="shared" si="150"/>
        <v/>
      </c>
      <c r="Y336" s="11" t="str">
        <f>IF(O336&lt;&gt;"",IF($B$16=listy!$K$8,'RZĄDOWY PROGRAM'!$F$3*'RZĄDOWY PROGRAM'!$F$15,T335*$F$15),"")</f>
        <v/>
      </c>
      <c r="Z336" s="11" t="str">
        <f t="shared" si="151"/>
        <v/>
      </c>
      <c r="AB336" s="8" t="str">
        <f t="shared" si="152"/>
        <v/>
      </c>
      <c r="AC336" s="8"/>
      <c r="AD336" s="33" t="str">
        <f>IF(AB336&lt;&gt;"",ROUND(IF($F$11="raty równe",-PMT(W336/12,$F$4-AB335+SUM($AC$28:AC336),AG335,2),AE336+AF336),2),"")</f>
        <v/>
      </c>
      <c r="AE336" s="11" t="str">
        <f>IF(AB336&lt;&gt;"",IF($F$11="raty malejące",AG335/($F$4-AB335+SUM($AC$28:AC335)),MIN(AD336-AF336,AG335)),"")</f>
        <v/>
      </c>
      <c r="AF336" s="11" t="str">
        <f t="shared" si="153"/>
        <v/>
      </c>
      <c r="AG336" s="9" t="str">
        <f t="shared" si="154"/>
        <v/>
      </c>
      <c r="AH336" s="11"/>
      <c r="AI336" s="33" t="str">
        <f>IF(AB336&lt;&gt;"",ROUND(IF($F$11="raty równe",-PMT(W336/12,($F$4-AB335+SUM($AC$27:AC335)),AG335,2),AG335/($F$4-AB335+SUM($AC$27:AC335))+AG335*W336/12),2),"")</f>
        <v/>
      </c>
      <c r="AJ336" s="33" t="str">
        <f t="shared" si="155"/>
        <v/>
      </c>
      <c r="AK336" s="33" t="str">
        <f t="shared" si="156"/>
        <v/>
      </c>
      <c r="AL336" s="33" t="str">
        <f>IF(AB336&lt;&gt;"",AK336-SUM($AJ$28:AJ336),"")</f>
        <v/>
      </c>
      <c r="AM336" s="11" t="str">
        <f t="shared" si="157"/>
        <v/>
      </c>
      <c r="AN336" s="11" t="str">
        <f>IF(AB336&lt;&gt;"",IF($B$16=listy!$K$8,'RZĄDOWY PROGRAM'!$F$3*'RZĄDOWY PROGRAM'!$F$15,AG335*$F$15),"")</f>
        <v/>
      </c>
      <c r="AO336" s="11" t="str">
        <f t="shared" si="158"/>
        <v/>
      </c>
      <c r="AQ336" s="49" t="str">
        <f t="shared" si="159"/>
        <v/>
      </c>
      <c r="AR336" s="18" t="str">
        <f t="shared" si="160"/>
        <v/>
      </c>
      <c r="AS336" s="11" t="str">
        <f t="shared" si="161"/>
        <v/>
      </c>
      <c r="AT336" s="11" t="str">
        <f t="shared" si="162"/>
        <v/>
      </c>
      <c r="AU336" s="11" t="str">
        <f>IF(AB336&lt;&gt;"",AT336-SUM($AS$28:AS336),"")</f>
        <v/>
      </c>
    </row>
    <row r="337" spans="1:47" ht="14.5" x14ac:dyDescent="0.35">
      <c r="A337" s="76" t="str">
        <f t="shared" si="165"/>
        <v/>
      </c>
      <c r="B337" s="8" t="str">
        <f t="shared" si="163"/>
        <v/>
      </c>
      <c r="C337" s="11" t="str">
        <f t="shared" si="166"/>
        <v/>
      </c>
      <c r="D337" s="11" t="str">
        <f t="shared" si="167"/>
        <v/>
      </c>
      <c r="E337" s="11" t="str">
        <f t="shared" si="168"/>
        <v/>
      </c>
      <c r="F337" s="9" t="str">
        <f t="shared" si="169"/>
        <v/>
      </c>
      <c r="G337" s="10" t="str">
        <f t="shared" si="170"/>
        <v/>
      </c>
      <c r="H337" s="10" t="str">
        <f t="shared" si="171"/>
        <v/>
      </c>
      <c r="I337" s="49" t="str">
        <f t="shared" si="172"/>
        <v/>
      </c>
      <c r="J337" s="11" t="str">
        <f t="shared" si="173"/>
        <v/>
      </c>
      <c r="K337" s="11" t="str">
        <f>IF(B337&lt;&gt;"",IF($B$16=listy!$K$8,'RZĄDOWY PROGRAM'!$F$3*'RZĄDOWY PROGRAM'!$F$15,F336*$F$15),"")</f>
        <v/>
      </c>
      <c r="L337" s="11" t="str">
        <f t="shared" si="174"/>
        <v/>
      </c>
      <c r="N337" s="55" t="str">
        <f t="shared" si="144"/>
        <v/>
      </c>
      <c r="O337" s="8" t="str">
        <f t="shared" si="164"/>
        <v/>
      </c>
      <c r="P337" s="8"/>
      <c r="Q337" s="33" t="str">
        <f>IF(O337&lt;&gt;"",ROUND(IF($F$11="raty równe",-PMT(W337/12,$F$4-O336+SUM($P$28:P337),T336,2),R337+S337),2),"")</f>
        <v/>
      </c>
      <c r="R337" s="11" t="str">
        <f>IF(O337&lt;&gt;"",IF($F$11="raty malejące",T336/($F$4-O336+SUM($P$28:P337)),IF(Q337-S337&gt;T336,T336,Q337-S337)),"")</f>
        <v/>
      </c>
      <c r="S337" s="11" t="str">
        <f t="shared" si="145"/>
        <v/>
      </c>
      <c r="T337" s="9" t="str">
        <f t="shared" si="146"/>
        <v/>
      </c>
      <c r="U337" s="10" t="str">
        <f t="shared" si="147"/>
        <v/>
      </c>
      <c r="V337" s="10" t="str">
        <f t="shared" si="148"/>
        <v/>
      </c>
      <c r="W337" s="49" t="str">
        <f t="shared" si="149"/>
        <v/>
      </c>
      <c r="X337" s="11" t="str">
        <f t="shared" si="150"/>
        <v/>
      </c>
      <c r="Y337" s="11" t="str">
        <f>IF(O337&lt;&gt;"",IF($B$16=listy!$K$8,'RZĄDOWY PROGRAM'!$F$3*'RZĄDOWY PROGRAM'!$F$15,T336*$F$15),"")</f>
        <v/>
      </c>
      <c r="Z337" s="11" t="str">
        <f t="shared" si="151"/>
        <v/>
      </c>
      <c r="AB337" s="8" t="str">
        <f t="shared" si="152"/>
        <v/>
      </c>
      <c r="AC337" s="8"/>
      <c r="AD337" s="33" t="str">
        <f>IF(AB337&lt;&gt;"",ROUND(IF($F$11="raty równe",-PMT(W337/12,$F$4-AB336+SUM($AC$28:AC337),AG336,2),AE337+AF337),2),"")</f>
        <v/>
      </c>
      <c r="AE337" s="11" t="str">
        <f>IF(AB337&lt;&gt;"",IF($F$11="raty malejące",AG336/($F$4-AB336+SUM($AC$28:AC336)),MIN(AD337-AF337,AG336)),"")</f>
        <v/>
      </c>
      <c r="AF337" s="11" t="str">
        <f t="shared" si="153"/>
        <v/>
      </c>
      <c r="AG337" s="9" t="str">
        <f t="shared" si="154"/>
        <v/>
      </c>
      <c r="AH337" s="11"/>
      <c r="AI337" s="33" t="str">
        <f>IF(AB337&lt;&gt;"",ROUND(IF($F$11="raty równe",-PMT(W337/12,($F$4-AB336+SUM($AC$27:AC336)),AG336,2),AG336/($F$4-AB336+SUM($AC$27:AC336))+AG336*W337/12),2),"")</f>
        <v/>
      </c>
      <c r="AJ337" s="33" t="str">
        <f t="shared" si="155"/>
        <v/>
      </c>
      <c r="AK337" s="33" t="str">
        <f t="shared" si="156"/>
        <v/>
      </c>
      <c r="AL337" s="33" t="str">
        <f>IF(AB337&lt;&gt;"",AK337-SUM($AJ$28:AJ337),"")</f>
        <v/>
      </c>
      <c r="AM337" s="11" t="str">
        <f t="shared" si="157"/>
        <v/>
      </c>
      <c r="AN337" s="11" t="str">
        <f>IF(AB337&lt;&gt;"",IF($B$16=listy!$K$8,'RZĄDOWY PROGRAM'!$F$3*'RZĄDOWY PROGRAM'!$F$15,AG336*$F$15),"")</f>
        <v/>
      </c>
      <c r="AO337" s="11" t="str">
        <f t="shared" si="158"/>
        <v/>
      </c>
      <c r="AQ337" s="49" t="str">
        <f t="shared" si="159"/>
        <v/>
      </c>
      <c r="AR337" s="18" t="str">
        <f t="shared" si="160"/>
        <v/>
      </c>
      <c r="AS337" s="11" t="str">
        <f t="shared" si="161"/>
        <v/>
      </c>
      <c r="AT337" s="11" t="str">
        <f t="shared" si="162"/>
        <v/>
      </c>
      <c r="AU337" s="11" t="str">
        <f>IF(AB337&lt;&gt;"",AT337-SUM($AS$28:AS337),"")</f>
        <v/>
      </c>
    </row>
    <row r="338" spans="1:47" ht="14.5" x14ac:dyDescent="0.35">
      <c r="A338" s="76" t="str">
        <f t="shared" si="165"/>
        <v/>
      </c>
      <c r="B338" s="8" t="str">
        <f t="shared" si="163"/>
        <v/>
      </c>
      <c r="C338" s="11" t="str">
        <f t="shared" si="166"/>
        <v/>
      </c>
      <c r="D338" s="11" t="str">
        <f t="shared" si="167"/>
        <v/>
      </c>
      <c r="E338" s="11" t="str">
        <f t="shared" si="168"/>
        <v/>
      </c>
      <c r="F338" s="9" t="str">
        <f t="shared" si="169"/>
        <v/>
      </c>
      <c r="G338" s="10" t="str">
        <f t="shared" si="170"/>
        <v/>
      </c>
      <c r="H338" s="10" t="str">
        <f t="shared" si="171"/>
        <v/>
      </c>
      <c r="I338" s="49" t="str">
        <f t="shared" si="172"/>
        <v/>
      </c>
      <c r="J338" s="11" t="str">
        <f t="shared" si="173"/>
        <v/>
      </c>
      <c r="K338" s="11" t="str">
        <f>IF(B338&lt;&gt;"",IF($B$16=listy!$K$8,'RZĄDOWY PROGRAM'!$F$3*'RZĄDOWY PROGRAM'!$F$15,F337*$F$15),"")</f>
        <v/>
      </c>
      <c r="L338" s="11" t="str">
        <f t="shared" si="174"/>
        <v/>
      </c>
      <c r="N338" s="55" t="str">
        <f t="shared" si="144"/>
        <v/>
      </c>
      <c r="O338" s="8" t="str">
        <f t="shared" si="164"/>
        <v/>
      </c>
      <c r="P338" s="8"/>
      <c r="Q338" s="33" t="str">
        <f>IF(O338&lt;&gt;"",ROUND(IF($F$11="raty równe",-PMT(W338/12,$F$4-O337+SUM($P$28:P338),T337,2),R338+S338),2),"")</f>
        <v/>
      </c>
      <c r="R338" s="11" t="str">
        <f>IF(O338&lt;&gt;"",IF($F$11="raty malejące",T337/($F$4-O337+SUM($P$28:P338)),IF(Q338-S338&gt;T337,T337,Q338-S338)),"")</f>
        <v/>
      </c>
      <c r="S338" s="11" t="str">
        <f t="shared" si="145"/>
        <v/>
      </c>
      <c r="T338" s="9" t="str">
        <f t="shared" si="146"/>
        <v/>
      </c>
      <c r="U338" s="10" t="str">
        <f t="shared" si="147"/>
        <v/>
      </c>
      <c r="V338" s="10" t="str">
        <f t="shared" si="148"/>
        <v/>
      </c>
      <c r="W338" s="49" t="str">
        <f t="shared" si="149"/>
        <v/>
      </c>
      <c r="X338" s="11" t="str">
        <f t="shared" si="150"/>
        <v/>
      </c>
      <c r="Y338" s="11" t="str">
        <f>IF(O338&lt;&gt;"",IF($B$16=listy!$K$8,'RZĄDOWY PROGRAM'!$F$3*'RZĄDOWY PROGRAM'!$F$15,T337*$F$15),"")</f>
        <v/>
      </c>
      <c r="Z338" s="11" t="str">
        <f t="shared" si="151"/>
        <v/>
      </c>
      <c r="AB338" s="8" t="str">
        <f t="shared" si="152"/>
        <v/>
      </c>
      <c r="AC338" s="8"/>
      <c r="AD338" s="33" t="str">
        <f>IF(AB338&lt;&gt;"",ROUND(IF($F$11="raty równe",-PMT(W338/12,$F$4-AB337+SUM($AC$28:AC338),AG337,2),AE338+AF338),2),"")</f>
        <v/>
      </c>
      <c r="AE338" s="11" t="str">
        <f>IF(AB338&lt;&gt;"",IF($F$11="raty malejące",AG337/($F$4-AB337+SUM($AC$28:AC337)),MIN(AD338-AF338,AG337)),"")</f>
        <v/>
      </c>
      <c r="AF338" s="11" t="str">
        <f t="shared" si="153"/>
        <v/>
      </c>
      <c r="AG338" s="9" t="str">
        <f t="shared" si="154"/>
        <v/>
      </c>
      <c r="AH338" s="11"/>
      <c r="AI338" s="33" t="str">
        <f>IF(AB338&lt;&gt;"",ROUND(IF($F$11="raty równe",-PMT(W338/12,($F$4-AB337+SUM($AC$27:AC337)),AG337,2),AG337/($F$4-AB337+SUM($AC$27:AC337))+AG337*W338/12),2),"")</f>
        <v/>
      </c>
      <c r="AJ338" s="33" t="str">
        <f t="shared" si="155"/>
        <v/>
      </c>
      <c r="AK338" s="33" t="str">
        <f t="shared" si="156"/>
        <v/>
      </c>
      <c r="AL338" s="33" t="str">
        <f>IF(AB338&lt;&gt;"",AK338-SUM($AJ$28:AJ338),"")</f>
        <v/>
      </c>
      <c r="AM338" s="11" t="str">
        <f t="shared" si="157"/>
        <v/>
      </c>
      <c r="AN338" s="11" t="str">
        <f>IF(AB338&lt;&gt;"",IF($B$16=listy!$K$8,'RZĄDOWY PROGRAM'!$F$3*'RZĄDOWY PROGRAM'!$F$15,AG337*$F$15),"")</f>
        <v/>
      </c>
      <c r="AO338" s="11" t="str">
        <f t="shared" si="158"/>
        <v/>
      </c>
      <c r="AQ338" s="49" t="str">
        <f t="shared" si="159"/>
        <v/>
      </c>
      <c r="AR338" s="18" t="str">
        <f t="shared" si="160"/>
        <v/>
      </c>
      <c r="AS338" s="11" t="str">
        <f t="shared" si="161"/>
        <v/>
      </c>
      <c r="AT338" s="11" t="str">
        <f t="shared" si="162"/>
        <v/>
      </c>
      <c r="AU338" s="11" t="str">
        <f>IF(AB338&lt;&gt;"",AT338-SUM($AS$28:AS338),"")</f>
        <v/>
      </c>
    </row>
    <row r="339" spans="1:47" ht="14.5" x14ac:dyDescent="0.35">
      <c r="A339" s="76" t="str">
        <f t="shared" si="165"/>
        <v/>
      </c>
      <c r="B339" s="8" t="str">
        <f t="shared" si="163"/>
        <v/>
      </c>
      <c r="C339" s="11" t="str">
        <f t="shared" si="166"/>
        <v/>
      </c>
      <c r="D339" s="11" t="str">
        <f t="shared" si="167"/>
        <v/>
      </c>
      <c r="E339" s="11" t="str">
        <f t="shared" si="168"/>
        <v/>
      </c>
      <c r="F339" s="9" t="str">
        <f t="shared" si="169"/>
        <v/>
      </c>
      <c r="G339" s="10" t="str">
        <f t="shared" si="170"/>
        <v/>
      </c>
      <c r="H339" s="10" t="str">
        <f t="shared" si="171"/>
        <v/>
      </c>
      <c r="I339" s="49" t="str">
        <f t="shared" si="172"/>
        <v/>
      </c>
      <c r="J339" s="11" t="str">
        <f t="shared" si="173"/>
        <v/>
      </c>
      <c r="K339" s="11" t="str">
        <f>IF(B339&lt;&gt;"",IF($B$16=listy!$K$8,'RZĄDOWY PROGRAM'!$F$3*'RZĄDOWY PROGRAM'!$F$15,F338*$F$15),"")</f>
        <v/>
      </c>
      <c r="L339" s="11" t="str">
        <f t="shared" si="174"/>
        <v/>
      </c>
      <c r="N339" s="55" t="str">
        <f t="shared" si="144"/>
        <v/>
      </c>
      <c r="O339" s="8" t="str">
        <f t="shared" si="164"/>
        <v/>
      </c>
      <c r="P339" s="8"/>
      <c r="Q339" s="33" t="str">
        <f>IF(O339&lt;&gt;"",ROUND(IF($F$11="raty równe",-PMT(W339/12,$F$4-O338+SUM($P$28:P339),T338,2),R339+S339),2),"")</f>
        <v/>
      </c>
      <c r="R339" s="11" t="str">
        <f>IF(O339&lt;&gt;"",IF($F$11="raty malejące",T338/($F$4-O338+SUM($P$28:P339)),IF(Q339-S339&gt;T338,T338,Q339-S339)),"")</f>
        <v/>
      </c>
      <c r="S339" s="11" t="str">
        <f t="shared" si="145"/>
        <v/>
      </c>
      <c r="T339" s="9" t="str">
        <f t="shared" si="146"/>
        <v/>
      </c>
      <c r="U339" s="10" t="str">
        <f t="shared" si="147"/>
        <v/>
      </c>
      <c r="V339" s="10" t="str">
        <f t="shared" si="148"/>
        <v/>
      </c>
      <c r="W339" s="49" t="str">
        <f t="shared" si="149"/>
        <v/>
      </c>
      <c r="X339" s="11" t="str">
        <f t="shared" si="150"/>
        <v/>
      </c>
      <c r="Y339" s="11" t="str">
        <f>IF(O339&lt;&gt;"",IF($B$16=listy!$K$8,'RZĄDOWY PROGRAM'!$F$3*'RZĄDOWY PROGRAM'!$F$15,T338*$F$15),"")</f>
        <v/>
      </c>
      <c r="Z339" s="11" t="str">
        <f t="shared" si="151"/>
        <v/>
      </c>
      <c r="AB339" s="8" t="str">
        <f t="shared" si="152"/>
        <v/>
      </c>
      <c r="AC339" s="8"/>
      <c r="AD339" s="33" t="str">
        <f>IF(AB339&lt;&gt;"",ROUND(IF($F$11="raty równe",-PMT(W339/12,$F$4-AB338+SUM($AC$28:AC339),AG338,2),AE339+AF339),2),"")</f>
        <v/>
      </c>
      <c r="AE339" s="11" t="str">
        <f>IF(AB339&lt;&gt;"",IF($F$11="raty malejące",AG338/($F$4-AB338+SUM($AC$28:AC338)),MIN(AD339-AF339,AG338)),"")</f>
        <v/>
      </c>
      <c r="AF339" s="11" t="str">
        <f t="shared" si="153"/>
        <v/>
      </c>
      <c r="AG339" s="9" t="str">
        <f t="shared" si="154"/>
        <v/>
      </c>
      <c r="AH339" s="11"/>
      <c r="AI339" s="33" t="str">
        <f>IF(AB339&lt;&gt;"",ROUND(IF($F$11="raty równe",-PMT(W339/12,($F$4-AB338+SUM($AC$27:AC338)),AG338,2),AG338/($F$4-AB338+SUM($AC$27:AC338))+AG338*W339/12),2),"")</f>
        <v/>
      </c>
      <c r="AJ339" s="33" t="str">
        <f t="shared" si="155"/>
        <v/>
      </c>
      <c r="AK339" s="33" t="str">
        <f t="shared" si="156"/>
        <v/>
      </c>
      <c r="AL339" s="33" t="str">
        <f>IF(AB339&lt;&gt;"",AK339-SUM($AJ$28:AJ339),"")</f>
        <v/>
      </c>
      <c r="AM339" s="11" t="str">
        <f t="shared" si="157"/>
        <v/>
      </c>
      <c r="AN339" s="11" t="str">
        <f>IF(AB339&lt;&gt;"",IF($B$16=listy!$K$8,'RZĄDOWY PROGRAM'!$F$3*'RZĄDOWY PROGRAM'!$F$15,AG338*$F$15),"")</f>
        <v/>
      </c>
      <c r="AO339" s="11" t="str">
        <f t="shared" si="158"/>
        <v/>
      </c>
      <c r="AQ339" s="49" t="str">
        <f t="shared" si="159"/>
        <v/>
      </c>
      <c r="AR339" s="18" t="str">
        <f t="shared" si="160"/>
        <v/>
      </c>
      <c r="AS339" s="11" t="str">
        <f t="shared" si="161"/>
        <v/>
      </c>
      <c r="AT339" s="11" t="str">
        <f t="shared" si="162"/>
        <v/>
      </c>
      <c r="AU339" s="11" t="str">
        <f>IF(AB339&lt;&gt;"",AT339-SUM($AS$28:AS339),"")</f>
        <v/>
      </c>
    </row>
    <row r="340" spans="1:47" ht="14.5" x14ac:dyDescent="0.35">
      <c r="A340" s="76" t="str">
        <f t="shared" si="165"/>
        <v/>
      </c>
      <c r="B340" s="8" t="str">
        <f t="shared" si="163"/>
        <v/>
      </c>
      <c r="C340" s="11" t="str">
        <f t="shared" si="166"/>
        <v/>
      </c>
      <c r="D340" s="11" t="str">
        <f t="shared" si="167"/>
        <v/>
      </c>
      <c r="E340" s="11" t="str">
        <f t="shared" si="168"/>
        <v/>
      </c>
      <c r="F340" s="9" t="str">
        <f t="shared" si="169"/>
        <v/>
      </c>
      <c r="G340" s="10" t="str">
        <f t="shared" si="170"/>
        <v/>
      </c>
      <c r="H340" s="10" t="str">
        <f t="shared" si="171"/>
        <v/>
      </c>
      <c r="I340" s="49" t="str">
        <f t="shared" si="172"/>
        <v/>
      </c>
      <c r="J340" s="11" t="str">
        <f t="shared" si="173"/>
        <v/>
      </c>
      <c r="K340" s="11" t="str">
        <f>IF(B340&lt;&gt;"",IF($B$16=listy!$K$8,'RZĄDOWY PROGRAM'!$F$3*'RZĄDOWY PROGRAM'!$F$15,F339*$F$15),"")</f>
        <v/>
      </c>
      <c r="L340" s="11" t="str">
        <f t="shared" si="174"/>
        <v/>
      </c>
      <c r="N340" s="55" t="str">
        <f t="shared" ref="N340:N398" si="175">IF(O340&lt;&gt;"",EDATE(N339,1),"")</f>
        <v/>
      </c>
      <c r="O340" s="8" t="str">
        <f t="shared" si="164"/>
        <v/>
      </c>
      <c r="P340" s="8"/>
      <c r="Q340" s="33" t="str">
        <f>IF(O340&lt;&gt;"",ROUND(IF($F$11="raty równe",-PMT(W340/12,$F$4-O339+SUM($P$28:P340),T339,2),R340+S340),2),"")</f>
        <v/>
      </c>
      <c r="R340" s="11" t="str">
        <f>IF(O340&lt;&gt;"",IF($F$11="raty malejące",T339/($F$4-O339+SUM($P$28:P340)),IF(Q340-S340&gt;T339,T339,Q340-S340)),"")</f>
        <v/>
      </c>
      <c r="S340" s="11" t="str">
        <f t="shared" ref="S340:S398" si="176">IF(O340&lt;&gt;"",T339*W340/12,"")</f>
        <v/>
      </c>
      <c r="T340" s="9" t="str">
        <f t="shared" ref="T340:T398" si="177">IF(O340&lt;&gt;"",T339-R340,"")</f>
        <v/>
      </c>
      <c r="U340" s="10" t="str">
        <f t="shared" ref="U340:U398" si="178">IF(O340&lt;&gt;"",$F$5,"")</f>
        <v/>
      </c>
      <c r="V340" s="10" t="str">
        <f t="shared" ref="V340:V398" si="179">IF(O340&lt;&gt;"",$F$6,"")</f>
        <v/>
      </c>
      <c r="W340" s="49" t="str">
        <f t="shared" ref="W340:W398" si="180">IF(O340&lt;&gt;"",IF(AND($F$8="TAK",$B340&lt;=$F$9),$F$10,U340+V340),"")</f>
        <v/>
      </c>
      <c r="X340" s="11" t="str">
        <f t="shared" ref="X340:X398" si="181">IF(O340&lt;&gt;"",$F$14,"")</f>
        <v/>
      </c>
      <c r="Y340" s="11" t="str">
        <f>IF(O340&lt;&gt;"",IF($B$16=listy!$K$8,'RZĄDOWY PROGRAM'!$F$3*'RZĄDOWY PROGRAM'!$F$15,T339*$F$15),"")</f>
        <v/>
      </c>
      <c r="Z340" s="11" t="str">
        <f t="shared" ref="Z340:Z398" si="182">IF(O340&lt;&gt;"",X340+Y340,"")</f>
        <v/>
      </c>
      <c r="AB340" s="8" t="str">
        <f t="shared" ref="AB340:AB398" si="183">IFERROR(IF(AG339&gt;0,AB339+1,""),"")</f>
        <v/>
      </c>
      <c r="AC340" s="8"/>
      <c r="AD340" s="33" t="str">
        <f>IF(AB340&lt;&gt;"",ROUND(IF($F$11="raty równe",-PMT(W340/12,$F$4-AB339+SUM($AC$28:AC340),AG339,2),AE340+AF340),2),"")</f>
        <v/>
      </c>
      <c r="AE340" s="11" t="str">
        <f>IF(AB340&lt;&gt;"",IF($F$11="raty malejące",AG339/($F$4-AB339+SUM($AC$28:AC339)),MIN(AD340-AF340,AG339)),"")</f>
        <v/>
      </c>
      <c r="AF340" s="11" t="str">
        <f t="shared" ref="AF340:AF398" si="184">IF(AB340&lt;&gt;"",AG339*W340/12,"")</f>
        <v/>
      </c>
      <c r="AG340" s="9" t="str">
        <f t="shared" ref="AG340:AG398" si="185">IF(AB340&lt;&gt;"",IF(AH340&lt;&gt;"",AG339-AE340-AH340,AG339-AE340),"")</f>
        <v/>
      </c>
      <c r="AH340" s="11"/>
      <c r="AI340" s="33" t="str">
        <f>IF(AB340&lt;&gt;"",ROUND(IF($F$11="raty równe",-PMT(W340/12,($F$4-AB339+SUM($AC$27:AC339)),AG339,2),AG339/($F$4-AB339+SUM($AC$27:AC339))+AG339*W340/12),2),"")</f>
        <v/>
      </c>
      <c r="AJ340" s="33" t="str">
        <f t="shared" ref="AJ340:AJ398" si="186">IF(AB340&lt;&gt;"",IF(B340&lt;&gt;"",C340-AD340-AH340,-(AD340+AH340)),"")</f>
        <v/>
      </c>
      <c r="AK340" s="33" t="str">
        <f t="shared" ref="AK340:AK398" si="187">IF(AB340&lt;&gt;"",IF($F$21="co miesiąc",AK339*(1+(1-$F$20)*AR340)+AJ340,(AK339*(1+AR340)+AJ340)),"")</f>
        <v/>
      </c>
      <c r="AL340" s="33" t="str">
        <f>IF(AB340&lt;&gt;"",AK340-SUM($AJ$28:AJ340),"")</f>
        <v/>
      </c>
      <c r="AM340" s="11" t="str">
        <f t="shared" ref="AM340:AM398" si="188">IF(AB340&lt;&gt;"",$F$14,"")</f>
        <v/>
      </c>
      <c r="AN340" s="11" t="str">
        <f>IF(AB340&lt;&gt;"",IF($B$16=listy!$K$8,'RZĄDOWY PROGRAM'!$F$3*'RZĄDOWY PROGRAM'!$F$15,AG339*$F$15),"")</f>
        <v/>
      </c>
      <c r="AO340" s="11" t="str">
        <f t="shared" ref="AO340:AO398" si="189">IF(AD340&lt;&gt;"",AM340+AN340,"")</f>
        <v/>
      </c>
      <c r="AQ340" s="49" t="str">
        <f t="shared" ref="AQ340:AQ398" si="190">IF(AB340&lt;&gt;"",$F$19,"")</f>
        <v/>
      </c>
      <c r="AR340" s="18" t="str">
        <f t="shared" ref="AR340:AR398" si="191">IF(AB340&lt;&gt;"",(1+AQ340)^(1/12)-1,"")</f>
        <v/>
      </c>
      <c r="AS340" s="11" t="str">
        <f t="shared" ref="AS340:AS398" si="192">IF(AB340&lt;&gt;"",IF(A340&lt;&gt;"",C340-Q340,0),"")</f>
        <v/>
      </c>
      <c r="AT340" s="11" t="str">
        <f t="shared" ref="AT340:AT398" si="193">IF(AB340&lt;&gt;"",IF($F$21="co miesiąc",AT339*(1+(1-$F$20)*AR340)+AS340,(AT339*(1+AR340)+AS340)),"")</f>
        <v/>
      </c>
      <c r="AU340" s="11" t="str">
        <f>IF(AB340&lt;&gt;"",AT340-SUM($AS$28:AS340),"")</f>
        <v/>
      </c>
    </row>
    <row r="341" spans="1:47" ht="14.5" x14ac:dyDescent="0.35">
      <c r="A341" s="76" t="str">
        <f t="shared" si="165"/>
        <v/>
      </c>
      <c r="B341" s="8" t="str">
        <f t="shared" si="163"/>
        <v/>
      </c>
      <c r="C341" s="11" t="str">
        <f t="shared" si="166"/>
        <v/>
      </c>
      <c r="D341" s="11" t="str">
        <f t="shared" si="167"/>
        <v/>
      </c>
      <c r="E341" s="11" t="str">
        <f t="shared" si="168"/>
        <v/>
      </c>
      <c r="F341" s="9" t="str">
        <f t="shared" si="169"/>
        <v/>
      </c>
      <c r="G341" s="10" t="str">
        <f t="shared" si="170"/>
        <v/>
      </c>
      <c r="H341" s="10" t="str">
        <f t="shared" si="171"/>
        <v/>
      </c>
      <c r="I341" s="49" t="str">
        <f t="shared" si="172"/>
        <v/>
      </c>
      <c r="J341" s="11" t="str">
        <f t="shared" si="173"/>
        <v/>
      </c>
      <c r="K341" s="11" t="str">
        <f>IF(B341&lt;&gt;"",IF($B$16=listy!$K$8,'RZĄDOWY PROGRAM'!$F$3*'RZĄDOWY PROGRAM'!$F$15,F340*$F$15),"")</f>
        <v/>
      </c>
      <c r="L341" s="11" t="str">
        <f t="shared" si="174"/>
        <v/>
      </c>
      <c r="N341" s="55" t="str">
        <f t="shared" si="175"/>
        <v/>
      </c>
      <c r="O341" s="8" t="str">
        <f t="shared" si="164"/>
        <v/>
      </c>
      <c r="P341" s="8"/>
      <c r="Q341" s="33" t="str">
        <f>IF(O341&lt;&gt;"",ROUND(IF($F$11="raty równe",-PMT(W341/12,$F$4-O340+SUM($P$28:P341),T340,2),R341+S341),2),"")</f>
        <v/>
      </c>
      <c r="R341" s="11" t="str">
        <f>IF(O341&lt;&gt;"",IF($F$11="raty malejące",T340/($F$4-O340+SUM($P$28:P341)),IF(Q341-S341&gt;T340,T340,Q341-S341)),"")</f>
        <v/>
      </c>
      <c r="S341" s="11" t="str">
        <f t="shared" si="176"/>
        <v/>
      </c>
      <c r="T341" s="9" t="str">
        <f t="shared" si="177"/>
        <v/>
      </c>
      <c r="U341" s="10" t="str">
        <f t="shared" si="178"/>
        <v/>
      </c>
      <c r="V341" s="10" t="str">
        <f t="shared" si="179"/>
        <v/>
      </c>
      <c r="W341" s="49" t="str">
        <f t="shared" si="180"/>
        <v/>
      </c>
      <c r="X341" s="11" t="str">
        <f t="shared" si="181"/>
        <v/>
      </c>
      <c r="Y341" s="11" t="str">
        <f>IF(O341&lt;&gt;"",IF($B$16=listy!$K$8,'RZĄDOWY PROGRAM'!$F$3*'RZĄDOWY PROGRAM'!$F$15,T340*$F$15),"")</f>
        <v/>
      </c>
      <c r="Z341" s="11" t="str">
        <f t="shared" si="182"/>
        <v/>
      </c>
      <c r="AB341" s="8" t="str">
        <f t="shared" si="183"/>
        <v/>
      </c>
      <c r="AC341" s="8"/>
      <c r="AD341" s="33" t="str">
        <f>IF(AB341&lt;&gt;"",ROUND(IF($F$11="raty równe",-PMT(W341/12,$F$4-AB340+SUM($AC$28:AC341),AG340,2),AE341+AF341),2),"")</f>
        <v/>
      </c>
      <c r="AE341" s="11" t="str">
        <f>IF(AB341&lt;&gt;"",IF($F$11="raty malejące",AG340/($F$4-AB340+SUM($AC$28:AC340)),MIN(AD341-AF341,AG340)),"")</f>
        <v/>
      </c>
      <c r="AF341" s="11" t="str">
        <f t="shared" si="184"/>
        <v/>
      </c>
      <c r="AG341" s="9" t="str">
        <f t="shared" si="185"/>
        <v/>
      </c>
      <c r="AH341" s="11"/>
      <c r="AI341" s="33" t="str">
        <f>IF(AB341&lt;&gt;"",ROUND(IF($F$11="raty równe",-PMT(W341/12,($F$4-AB340+SUM($AC$27:AC340)),AG340,2),AG340/($F$4-AB340+SUM($AC$27:AC340))+AG340*W341/12),2),"")</f>
        <v/>
      </c>
      <c r="AJ341" s="33" t="str">
        <f t="shared" si="186"/>
        <v/>
      </c>
      <c r="AK341" s="33" t="str">
        <f t="shared" si="187"/>
        <v/>
      </c>
      <c r="AL341" s="33" t="str">
        <f>IF(AB341&lt;&gt;"",AK341-SUM($AJ$28:AJ341),"")</f>
        <v/>
      </c>
      <c r="AM341" s="11" t="str">
        <f t="shared" si="188"/>
        <v/>
      </c>
      <c r="AN341" s="11" t="str">
        <f>IF(AB341&lt;&gt;"",IF($B$16=listy!$K$8,'RZĄDOWY PROGRAM'!$F$3*'RZĄDOWY PROGRAM'!$F$15,AG340*$F$15),"")</f>
        <v/>
      </c>
      <c r="AO341" s="11" t="str">
        <f t="shared" si="189"/>
        <v/>
      </c>
      <c r="AQ341" s="49" t="str">
        <f t="shared" si="190"/>
        <v/>
      </c>
      <c r="AR341" s="18" t="str">
        <f t="shared" si="191"/>
        <v/>
      </c>
      <c r="AS341" s="11" t="str">
        <f t="shared" si="192"/>
        <v/>
      </c>
      <c r="AT341" s="11" t="str">
        <f t="shared" si="193"/>
        <v/>
      </c>
      <c r="AU341" s="11" t="str">
        <f>IF(AB341&lt;&gt;"",AT341-SUM($AS$28:AS341),"")</f>
        <v/>
      </c>
    </row>
    <row r="342" spans="1:47" ht="14.5" x14ac:dyDescent="0.35">
      <c r="A342" s="76" t="str">
        <f t="shared" si="165"/>
        <v/>
      </c>
      <c r="B342" s="8" t="str">
        <f t="shared" si="163"/>
        <v/>
      </c>
      <c r="C342" s="11" t="str">
        <f t="shared" si="166"/>
        <v/>
      </c>
      <c r="D342" s="11" t="str">
        <f t="shared" si="167"/>
        <v/>
      </c>
      <c r="E342" s="11" t="str">
        <f t="shared" si="168"/>
        <v/>
      </c>
      <c r="F342" s="9" t="str">
        <f t="shared" si="169"/>
        <v/>
      </c>
      <c r="G342" s="10" t="str">
        <f t="shared" si="170"/>
        <v/>
      </c>
      <c r="H342" s="10" t="str">
        <f t="shared" si="171"/>
        <v/>
      </c>
      <c r="I342" s="49" t="str">
        <f t="shared" si="172"/>
        <v/>
      </c>
      <c r="J342" s="11" t="str">
        <f t="shared" si="173"/>
        <v/>
      </c>
      <c r="K342" s="11" t="str">
        <f>IF(B342&lt;&gt;"",IF($B$16=listy!$K$8,'RZĄDOWY PROGRAM'!$F$3*'RZĄDOWY PROGRAM'!$F$15,F341*$F$15),"")</f>
        <v/>
      </c>
      <c r="L342" s="11" t="str">
        <f t="shared" si="174"/>
        <v/>
      </c>
      <c r="N342" s="55" t="str">
        <f t="shared" si="175"/>
        <v/>
      </c>
      <c r="O342" s="8" t="str">
        <f t="shared" si="164"/>
        <v/>
      </c>
      <c r="P342" s="8"/>
      <c r="Q342" s="33" t="str">
        <f>IF(O342&lt;&gt;"",ROUND(IF($F$11="raty równe",-PMT(W342/12,$F$4-O341+SUM($P$28:P342),T341,2),R342+S342),2),"")</f>
        <v/>
      </c>
      <c r="R342" s="11" t="str">
        <f>IF(O342&lt;&gt;"",IF($F$11="raty malejące",T341/($F$4-O341+SUM($P$28:P342)),IF(Q342-S342&gt;T341,T341,Q342-S342)),"")</f>
        <v/>
      </c>
      <c r="S342" s="11" t="str">
        <f t="shared" si="176"/>
        <v/>
      </c>
      <c r="T342" s="9" t="str">
        <f t="shared" si="177"/>
        <v/>
      </c>
      <c r="U342" s="10" t="str">
        <f t="shared" si="178"/>
        <v/>
      </c>
      <c r="V342" s="10" t="str">
        <f t="shared" si="179"/>
        <v/>
      </c>
      <c r="W342" s="49" t="str">
        <f t="shared" si="180"/>
        <v/>
      </c>
      <c r="X342" s="11" t="str">
        <f t="shared" si="181"/>
        <v/>
      </c>
      <c r="Y342" s="11" t="str">
        <f>IF(O342&lt;&gt;"",IF($B$16=listy!$K$8,'RZĄDOWY PROGRAM'!$F$3*'RZĄDOWY PROGRAM'!$F$15,T341*$F$15),"")</f>
        <v/>
      </c>
      <c r="Z342" s="11" t="str">
        <f t="shared" si="182"/>
        <v/>
      </c>
      <c r="AB342" s="8" t="str">
        <f t="shared" si="183"/>
        <v/>
      </c>
      <c r="AC342" s="8"/>
      <c r="AD342" s="33" t="str">
        <f>IF(AB342&lt;&gt;"",ROUND(IF($F$11="raty równe",-PMT(W342/12,$F$4-AB341+SUM($AC$28:AC342),AG341,2),AE342+AF342),2),"")</f>
        <v/>
      </c>
      <c r="AE342" s="11" t="str">
        <f>IF(AB342&lt;&gt;"",IF($F$11="raty malejące",AG341/($F$4-AB341+SUM($AC$28:AC341)),MIN(AD342-AF342,AG341)),"")</f>
        <v/>
      </c>
      <c r="AF342" s="11" t="str">
        <f t="shared" si="184"/>
        <v/>
      </c>
      <c r="AG342" s="9" t="str">
        <f t="shared" si="185"/>
        <v/>
      </c>
      <c r="AH342" s="11"/>
      <c r="AI342" s="33" t="str">
        <f>IF(AB342&lt;&gt;"",ROUND(IF($F$11="raty równe",-PMT(W342/12,($F$4-AB341+SUM($AC$27:AC341)),AG341,2),AG341/($F$4-AB341+SUM($AC$27:AC341))+AG341*W342/12),2),"")</f>
        <v/>
      </c>
      <c r="AJ342" s="33" t="str">
        <f t="shared" si="186"/>
        <v/>
      </c>
      <c r="AK342" s="33" t="str">
        <f t="shared" si="187"/>
        <v/>
      </c>
      <c r="AL342" s="33" t="str">
        <f>IF(AB342&lt;&gt;"",AK342-SUM($AJ$28:AJ342),"")</f>
        <v/>
      </c>
      <c r="AM342" s="11" t="str">
        <f t="shared" si="188"/>
        <v/>
      </c>
      <c r="AN342" s="11" t="str">
        <f>IF(AB342&lt;&gt;"",IF($B$16=listy!$K$8,'RZĄDOWY PROGRAM'!$F$3*'RZĄDOWY PROGRAM'!$F$15,AG341*$F$15),"")</f>
        <v/>
      </c>
      <c r="AO342" s="11" t="str">
        <f t="shared" si="189"/>
        <v/>
      </c>
      <c r="AQ342" s="49" t="str">
        <f t="shared" si="190"/>
        <v/>
      </c>
      <c r="AR342" s="18" t="str">
        <f t="shared" si="191"/>
        <v/>
      </c>
      <c r="AS342" s="11" t="str">
        <f t="shared" si="192"/>
        <v/>
      </c>
      <c r="AT342" s="11" t="str">
        <f t="shared" si="193"/>
        <v/>
      </c>
      <c r="AU342" s="11" t="str">
        <f>IF(AB342&lt;&gt;"",AT342-SUM($AS$28:AS342),"")</f>
        <v/>
      </c>
    </row>
    <row r="343" spans="1:47" ht="14.5" x14ac:dyDescent="0.35">
      <c r="A343" s="76" t="str">
        <f t="shared" si="165"/>
        <v/>
      </c>
      <c r="B343" s="8" t="str">
        <f t="shared" si="163"/>
        <v/>
      </c>
      <c r="C343" s="11" t="str">
        <f t="shared" si="166"/>
        <v/>
      </c>
      <c r="D343" s="11" t="str">
        <f t="shared" si="167"/>
        <v/>
      </c>
      <c r="E343" s="11" t="str">
        <f t="shared" si="168"/>
        <v/>
      </c>
      <c r="F343" s="9" t="str">
        <f t="shared" si="169"/>
        <v/>
      </c>
      <c r="G343" s="10" t="str">
        <f t="shared" si="170"/>
        <v/>
      </c>
      <c r="H343" s="10" t="str">
        <f t="shared" si="171"/>
        <v/>
      </c>
      <c r="I343" s="49" t="str">
        <f t="shared" si="172"/>
        <v/>
      </c>
      <c r="J343" s="11" t="str">
        <f t="shared" si="173"/>
        <v/>
      </c>
      <c r="K343" s="11" t="str">
        <f>IF(B343&lt;&gt;"",IF($B$16=listy!$K$8,'RZĄDOWY PROGRAM'!$F$3*'RZĄDOWY PROGRAM'!$F$15,F342*$F$15),"")</f>
        <v/>
      </c>
      <c r="L343" s="11" t="str">
        <f t="shared" si="174"/>
        <v/>
      </c>
      <c r="N343" s="55" t="str">
        <f t="shared" si="175"/>
        <v/>
      </c>
      <c r="O343" s="8" t="str">
        <f t="shared" si="164"/>
        <v/>
      </c>
      <c r="P343" s="8"/>
      <c r="Q343" s="33" t="str">
        <f>IF(O343&lt;&gt;"",ROUND(IF($F$11="raty równe",-PMT(W343/12,$F$4-O342+SUM($P$28:P343),T342,2),R343+S343),2),"")</f>
        <v/>
      </c>
      <c r="R343" s="11" t="str">
        <f>IF(O343&lt;&gt;"",IF($F$11="raty malejące",T342/($F$4-O342+SUM($P$28:P343)),IF(Q343-S343&gt;T342,T342,Q343-S343)),"")</f>
        <v/>
      </c>
      <c r="S343" s="11" t="str">
        <f t="shared" si="176"/>
        <v/>
      </c>
      <c r="T343" s="9" t="str">
        <f t="shared" si="177"/>
        <v/>
      </c>
      <c r="U343" s="10" t="str">
        <f t="shared" si="178"/>
        <v/>
      </c>
      <c r="V343" s="10" t="str">
        <f t="shared" si="179"/>
        <v/>
      </c>
      <c r="W343" s="49" t="str">
        <f t="shared" si="180"/>
        <v/>
      </c>
      <c r="X343" s="11" t="str">
        <f t="shared" si="181"/>
        <v/>
      </c>
      <c r="Y343" s="11" t="str">
        <f>IF(O343&lt;&gt;"",IF($B$16=listy!$K$8,'RZĄDOWY PROGRAM'!$F$3*'RZĄDOWY PROGRAM'!$F$15,T342*$F$15),"")</f>
        <v/>
      </c>
      <c r="Z343" s="11" t="str">
        <f t="shared" si="182"/>
        <v/>
      </c>
      <c r="AB343" s="8" t="str">
        <f t="shared" si="183"/>
        <v/>
      </c>
      <c r="AC343" s="8"/>
      <c r="AD343" s="33" t="str">
        <f>IF(AB343&lt;&gt;"",ROUND(IF($F$11="raty równe",-PMT(W343/12,$F$4-AB342+SUM($AC$28:AC343),AG342,2),AE343+AF343),2),"")</f>
        <v/>
      </c>
      <c r="AE343" s="11" t="str">
        <f>IF(AB343&lt;&gt;"",IF($F$11="raty malejące",AG342/($F$4-AB342+SUM($AC$28:AC342)),MIN(AD343-AF343,AG342)),"")</f>
        <v/>
      </c>
      <c r="AF343" s="11" t="str">
        <f t="shared" si="184"/>
        <v/>
      </c>
      <c r="AG343" s="9" t="str">
        <f t="shared" si="185"/>
        <v/>
      </c>
      <c r="AH343" s="11"/>
      <c r="AI343" s="33" t="str">
        <f>IF(AB343&lt;&gt;"",ROUND(IF($F$11="raty równe",-PMT(W343/12,($F$4-AB342+SUM($AC$27:AC342)),AG342,2),AG342/($F$4-AB342+SUM($AC$27:AC342))+AG342*W343/12),2),"")</f>
        <v/>
      </c>
      <c r="AJ343" s="33" t="str">
        <f t="shared" si="186"/>
        <v/>
      </c>
      <c r="AK343" s="33" t="str">
        <f t="shared" si="187"/>
        <v/>
      </c>
      <c r="AL343" s="33" t="str">
        <f>IF(AB343&lt;&gt;"",AK343-SUM($AJ$28:AJ343),"")</f>
        <v/>
      </c>
      <c r="AM343" s="11" t="str">
        <f t="shared" si="188"/>
        <v/>
      </c>
      <c r="AN343" s="11" t="str">
        <f>IF(AB343&lt;&gt;"",IF($B$16=listy!$K$8,'RZĄDOWY PROGRAM'!$F$3*'RZĄDOWY PROGRAM'!$F$15,AG342*$F$15),"")</f>
        <v/>
      </c>
      <c r="AO343" s="11" t="str">
        <f t="shared" si="189"/>
        <v/>
      </c>
      <c r="AQ343" s="49" t="str">
        <f t="shared" si="190"/>
        <v/>
      </c>
      <c r="AR343" s="18" t="str">
        <f t="shared" si="191"/>
        <v/>
      </c>
      <c r="AS343" s="11" t="str">
        <f t="shared" si="192"/>
        <v/>
      </c>
      <c r="AT343" s="11" t="str">
        <f t="shared" si="193"/>
        <v/>
      </c>
      <c r="AU343" s="11" t="str">
        <f>IF(AB343&lt;&gt;"",AT343-SUM($AS$28:AS343),"")</f>
        <v/>
      </c>
    </row>
    <row r="344" spans="1:47" ht="14.5" x14ac:dyDescent="0.35">
      <c r="A344" s="76" t="str">
        <f t="shared" si="165"/>
        <v/>
      </c>
      <c r="B344" s="8" t="str">
        <f t="shared" si="163"/>
        <v/>
      </c>
      <c r="C344" s="11" t="str">
        <f t="shared" si="166"/>
        <v/>
      </c>
      <c r="D344" s="11" t="str">
        <f t="shared" si="167"/>
        <v/>
      </c>
      <c r="E344" s="11" t="str">
        <f t="shared" si="168"/>
        <v/>
      </c>
      <c r="F344" s="9" t="str">
        <f t="shared" si="169"/>
        <v/>
      </c>
      <c r="G344" s="10" t="str">
        <f t="shared" si="170"/>
        <v/>
      </c>
      <c r="H344" s="10" t="str">
        <f t="shared" si="171"/>
        <v/>
      </c>
      <c r="I344" s="49" t="str">
        <f t="shared" si="172"/>
        <v/>
      </c>
      <c r="J344" s="11" t="str">
        <f t="shared" si="173"/>
        <v/>
      </c>
      <c r="K344" s="11" t="str">
        <f>IF(B344&lt;&gt;"",IF($B$16=listy!$K$8,'RZĄDOWY PROGRAM'!$F$3*'RZĄDOWY PROGRAM'!$F$15,F343*$F$15),"")</f>
        <v/>
      </c>
      <c r="L344" s="11" t="str">
        <f t="shared" si="174"/>
        <v/>
      </c>
      <c r="N344" s="55" t="str">
        <f t="shared" si="175"/>
        <v/>
      </c>
      <c r="O344" s="8" t="str">
        <f t="shared" si="164"/>
        <v/>
      </c>
      <c r="P344" s="8"/>
      <c r="Q344" s="33" t="str">
        <f>IF(O344&lt;&gt;"",ROUND(IF($F$11="raty równe",-PMT(W344/12,$F$4-O343+SUM($P$28:P344),T343,2),R344+S344),2),"")</f>
        <v/>
      </c>
      <c r="R344" s="11" t="str">
        <f>IF(O344&lt;&gt;"",IF($F$11="raty malejące",T343/($F$4-O343+SUM($P$28:P344)),IF(Q344-S344&gt;T343,T343,Q344-S344)),"")</f>
        <v/>
      </c>
      <c r="S344" s="11" t="str">
        <f t="shared" si="176"/>
        <v/>
      </c>
      <c r="T344" s="9" t="str">
        <f t="shared" si="177"/>
        <v/>
      </c>
      <c r="U344" s="10" t="str">
        <f t="shared" si="178"/>
        <v/>
      </c>
      <c r="V344" s="10" t="str">
        <f t="shared" si="179"/>
        <v/>
      </c>
      <c r="W344" s="49" t="str">
        <f t="shared" si="180"/>
        <v/>
      </c>
      <c r="X344" s="11" t="str">
        <f t="shared" si="181"/>
        <v/>
      </c>
      <c r="Y344" s="11" t="str">
        <f>IF(O344&lt;&gt;"",IF($B$16=listy!$K$8,'RZĄDOWY PROGRAM'!$F$3*'RZĄDOWY PROGRAM'!$F$15,T343*$F$15),"")</f>
        <v/>
      </c>
      <c r="Z344" s="11" t="str">
        <f t="shared" si="182"/>
        <v/>
      </c>
      <c r="AB344" s="8" t="str">
        <f t="shared" si="183"/>
        <v/>
      </c>
      <c r="AC344" s="8"/>
      <c r="AD344" s="33" t="str">
        <f>IF(AB344&lt;&gt;"",ROUND(IF($F$11="raty równe",-PMT(W344/12,$F$4-AB343+SUM($AC$28:AC344),AG343,2),AE344+AF344),2),"")</f>
        <v/>
      </c>
      <c r="AE344" s="11" t="str">
        <f>IF(AB344&lt;&gt;"",IF($F$11="raty malejące",AG343/($F$4-AB343+SUM($AC$28:AC343)),MIN(AD344-AF344,AG343)),"")</f>
        <v/>
      </c>
      <c r="AF344" s="11" t="str">
        <f t="shared" si="184"/>
        <v/>
      </c>
      <c r="AG344" s="9" t="str">
        <f t="shared" si="185"/>
        <v/>
      </c>
      <c r="AH344" s="11"/>
      <c r="AI344" s="33" t="str">
        <f>IF(AB344&lt;&gt;"",ROUND(IF($F$11="raty równe",-PMT(W344/12,($F$4-AB343+SUM($AC$27:AC343)),AG343,2),AG343/($F$4-AB343+SUM($AC$27:AC343))+AG343*W344/12),2),"")</f>
        <v/>
      </c>
      <c r="AJ344" s="33" t="str">
        <f t="shared" si="186"/>
        <v/>
      </c>
      <c r="AK344" s="33" t="str">
        <f t="shared" si="187"/>
        <v/>
      </c>
      <c r="AL344" s="33" t="str">
        <f>IF(AB344&lt;&gt;"",AK344-SUM($AJ$28:AJ344),"")</f>
        <v/>
      </c>
      <c r="AM344" s="11" t="str">
        <f t="shared" si="188"/>
        <v/>
      </c>
      <c r="AN344" s="11" t="str">
        <f>IF(AB344&lt;&gt;"",IF($B$16=listy!$K$8,'RZĄDOWY PROGRAM'!$F$3*'RZĄDOWY PROGRAM'!$F$15,AG343*$F$15),"")</f>
        <v/>
      </c>
      <c r="AO344" s="11" t="str">
        <f t="shared" si="189"/>
        <v/>
      </c>
      <c r="AQ344" s="49" t="str">
        <f t="shared" si="190"/>
        <v/>
      </c>
      <c r="AR344" s="18" t="str">
        <f t="shared" si="191"/>
        <v/>
      </c>
      <c r="AS344" s="11" t="str">
        <f t="shared" si="192"/>
        <v/>
      </c>
      <c r="AT344" s="11" t="str">
        <f t="shared" si="193"/>
        <v/>
      </c>
      <c r="AU344" s="11" t="str">
        <f>IF(AB344&lt;&gt;"",AT344-SUM($AS$28:AS344),"")</f>
        <v/>
      </c>
    </row>
    <row r="345" spans="1:47" ht="14.5" x14ac:dyDescent="0.35">
      <c r="A345" s="76" t="str">
        <f t="shared" si="165"/>
        <v/>
      </c>
      <c r="B345" s="8" t="str">
        <f t="shared" si="163"/>
        <v/>
      </c>
      <c r="C345" s="11" t="str">
        <f t="shared" si="166"/>
        <v/>
      </c>
      <c r="D345" s="11" t="str">
        <f t="shared" si="167"/>
        <v/>
      </c>
      <c r="E345" s="11" t="str">
        <f t="shared" si="168"/>
        <v/>
      </c>
      <c r="F345" s="9" t="str">
        <f t="shared" si="169"/>
        <v/>
      </c>
      <c r="G345" s="10" t="str">
        <f t="shared" si="170"/>
        <v/>
      </c>
      <c r="H345" s="10" t="str">
        <f t="shared" si="171"/>
        <v/>
      </c>
      <c r="I345" s="49" t="str">
        <f t="shared" si="172"/>
        <v/>
      </c>
      <c r="J345" s="11" t="str">
        <f t="shared" si="173"/>
        <v/>
      </c>
      <c r="K345" s="11" t="str">
        <f>IF(B345&lt;&gt;"",IF($B$16=listy!$K$8,'RZĄDOWY PROGRAM'!$F$3*'RZĄDOWY PROGRAM'!$F$15,F344*$F$15),"")</f>
        <v/>
      </c>
      <c r="L345" s="11" t="str">
        <f t="shared" si="174"/>
        <v/>
      </c>
      <c r="N345" s="55" t="str">
        <f t="shared" si="175"/>
        <v/>
      </c>
      <c r="O345" s="8" t="str">
        <f t="shared" si="164"/>
        <v/>
      </c>
      <c r="P345" s="8"/>
      <c r="Q345" s="33" t="str">
        <f>IF(O345&lt;&gt;"",ROUND(IF($F$11="raty równe",-PMT(W345/12,$F$4-O344+SUM($P$28:P345),T344,2),R345+S345),2),"")</f>
        <v/>
      </c>
      <c r="R345" s="11" t="str">
        <f>IF(O345&lt;&gt;"",IF($F$11="raty malejące",T344/($F$4-O344+SUM($P$28:P345)),IF(Q345-S345&gt;T344,T344,Q345-S345)),"")</f>
        <v/>
      </c>
      <c r="S345" s="11" t="str">
        <f t="shared" si="176"/>
        <v/>
      </c>
      <c r="T345" s="9" t="str">
        <f t="shared" si="177"/>
        <v/>
      </c>
      <c r="U345" s="10" t="str">
        <f t="shared" si="178"/>
        <v/>
      </c>
      <c r="V345" s="10" t="str">
        <f t="shared" si="179"/>
        <v/>
      </c>
      <c r="W345" s="49" t="str">
        <f t="shared" si="180"/>
        <v/>
      </c>
      <c r="X345" s="11" t="str">
        <f t="shared" si="181"/>
        <v/>
      </c>
      <c r="Y345" s="11" t="str">
        <f>IF(O345&lt;&gt;"",IF($B$16=listy!$K$8,'RZĄDOWY PROGRAM'!$F$3*'RZĄDOWY PROGRAM'!$F$15,T344*$F$15),"")</f>
        <v/>
      </c>
      <c r="Z345" s="11" t="str">
        <f t="shared" si="182"/>
        <v/>
      </c>
      <c r="AB345" s="8" t="str">
        <f t="shared" si="183"/>
        <v/>
      </c>
      <c r="AC345" s="8"/>
      <c r="AD345" s="33" t="str">
        <f>IF(AB345&lt;&gt;"",ROUND(IF($F$11="raty równe",-PMT(W345/12,$F$4-AB344+SUM($AC$28:AC345),AG344,2),AE345+AF345),2),"")</f>
        <v/>
      </c>
      <c r="AE345" s="11" t="str">
        <f>IF(AB345&lt;&gt;"",IF($F$11="raty malejące",AG344/($F$4-AB344+SUM($AC$28:AC344)),MIN(AD345-AF345,AG344)),"")</f>
        <v/>
      </c>
      <c r="AF345" s="11" t="str">
        <f t="shared" si="184"/>
        <v/>
      </c>
      <c r="AG345" s="9" t="str">
        <f t="shared" si="185"/>
        <v/>
      </c>
      <c r="AH345" s="11"/>
      <c r="AI345" s="33" t="str">
        <f>IF(AB345&lt;&gt;"",ROUND(IF($F$11="raty równe",-PMT(W345/12,($F$4-AB344+SUM($AC$27:AC344)),AG344,2),AG344/($F$4-AB344+SUM($AC$27:AC344))+AG344*W345/12),2),"")</f>
        <v/>
      </c>
      <c r="AJ345" s="33" t="str">
        <f t="shared" si="186"/>
        <v/>
      </c>
      <c r="AK345" s="33" t="str">
        <f t="shared" si="187"/>
        <v/>
      </c>
      <c r="AL345" s="33" t="str">
        <f>IF(AB345&lt;&gt;"",AK345-SUM($AJ$28:AJ345),"")</f>
        <v/>
      </c>
      <c r="AM345" s="11" t="str">
        <f t="shared" si="188"/>
        <v/>
      </c>
      <c r="AN345" s="11" t="str">
        <f>IF(AB345&lt;&gt;"",IF($B$16=listy!$K$8,'RZĄDOWY PROGRAM'!$F$3*'RZĄDOWY PROGRAM'!$F$15,AG344*$F$15),"")</f>
        <v/>
      </c>
      <c r="AO345" s="11" t="str">
        <f t="shared" si="189"/>
        <v/>
      </c>
      <c r="AQ345" s="49" t="str">
        <f t="shared" si="190"/>
        <v/>
      </c>
      <c r="AR345" s="18" t="str">
        <f t="shared" si="191"/>
        <v/>
      </c>
      <c r="AS345" s="11" t="str">
        <f t="shared" si="192"/>
        <v/>
      </c>
      <c r="AT345" s="11" t="str">
        <f t="shared" si="193"/>
        <v/>
      </c>
      <c r="AU345" s="11" t="str">
        <f>IF(AB345&lt;&gt;"",AT345-SUM($AS$28:AS345),"")</f>
        <v/>
      </c>
    </row>
    <row r="346" spans="1:47" ht="14.5" x14ac:dyDescent="0.35">
      <c r="A346" s="76" t="str">
        <f t="shared" si="165"/>
        <v/>
      </c>
      <c r="B346" s="8" t="str">
        <f t="shared" si="163"/>
        <v/>
      </c>
      <c r="C346" s="11" t="str">
        <f t="shared" si="166"/>
        <v/>
      </c>
      <c r="D346" s="11" t="str">
        <f t="shared" si="167"/>
        <v/>
      </c>
      <c r="E346" s="11" t="str">
        <f t="shared" si="168"/>
        <v/>
      </c>
      <c r="F346" s="9" t="str">
        <f t="shared" si="169"/>
        <v/>
      </c>
      <c r="G346" s="10" t="str">
        <f t="shared" si="170"/>
        <v/>
      </c>
      <c r="H346" s="10" t="str">
        <f t="shared" si="171"/>
        <v/>
      </c>
      <c r="I346" s="49" t="str">
        <f t="shared" si="172"/>
        <v/>
      </c>
      <c r="J346" s="11" t="str">
        <f t="shared" si="173"/>
        <v/>
      </c>
      <c r="K346" s="11" t="str">
        <f>IF(B346&lt;&gt;"",IF($B$16=listy!$K$8,'RZĄDOWY PROGRAM'!$F$3*'RZĄDOWY PROGRAM'!$F$15,F345*$F$15),"")</f>
        <v/>
      </c>
      <c r="L346" s="11" t="str">
        <f t="shared" si="174"/>
        <v/>
      </c>
      <c r="N346" s="55" t="str">
        <f t="shared" si="175"/>
        <v/>
      </c>
      <c r="O346" s="8" t="str">
        <f t="shared" si="164"/>
        <v/>
      </c>
      <c r="P346" s="8"/>
      <c r="Q346" s="33" t="str">
        <f>IF(O346&lt;&gt;"",ROUND(IF($F$11="raty równe",-PMT(W346/12,$F$4-O345+SUM($P$28:P346),T345,2),R346+S346),2),"")</f>
        <v/>
      </c>
      <c r="R346" s="11" t="str">
        <f>IF(O346&lt;&gt;"",IF($F$11="raty malejące",T345/($F$4-O345+SUM($P$28:P346)),IF(Q346-S346&gt;T345,T345,Q346-S346)),"")</f>
        <v/>
      </c>
      <c r="S346" s="11" t="str">
        <f t="shared" si="176"/>
        <v/>
      </c>
      <c r="T346" s="9" t="str">
        <f t="shared" si="177"/>
        <v/>
      </c>
      <c r="U346" s="10" t="str">
        <f t="shared" si="178"/>
        <v/>
      </c>
      <c r="V346" s="10" t="str">
        <f t="shared" si="179"/>
        <v/>
      </c>
      <c r="W346" s="49" t="str">
        <f t="shared" si="180"/>
        <v/>
      </c>
      <c r="X346" s="11" t="str">
        <f t="shared" si="181"/>
        <v/>
      </c>
      <c r="Y346" s="11" t="str">
        <f>IF(O346&lt;&gt;"",IF($B$16=listy!$K$8,'RZĄDOWY PROGRAM'!$F$3*'RZĄDOWY PROGRAM'!$F$15,T345*$F$15),"")</f>
        <v/>
      </c>
      <c r="Z346" s="11" t="str">
        <f t="shared" si="182"/>
        <v/>
      </c>
      <c r="AB346" s="8" t="str">
        <f t="shared" si="183"/>
        <v/>
      </c>
      <c r="AC346" s="8"/>
      <c r="AD346" s="33" t="str">
        <f>IF(AB346&lt;&gt;"",ROUND(IF($F$11="raty równe",-PMT(W346/12,$F$4-AB345+SUM($AC$28:AC346),AG345,2),AE346+AF346),2),"")</f>
        <v/>
      </c>
      <c r="AE346" s="11" t="str">
        <f>IF(AB346&lt;&gt;"",IF($F$11="raty malejące",AG345/($F$4-AB345+SUM($AC$28:AC345)),MIN(AD346-AF346,AG345)),"")</f>
        <v/>
      </c>
      <c r="AF346" s="11" t="str">
        <f t="shared" si="184"/>
        <v/>
      </c>
      <c r="AG346" s="9" t="str">
        <f t="shared" si="185"/>
        <v/>
      </c>
      <c r="AH346" s="11"/>
      <c r="AI346" s="33" t="str">
        <f>IF(AB346&lt;&gt;"",ROUND(IF($F$11="raty równe",-PMT(W346/12,($F$4-AB345+SUM($AC$27:AC345)),AG345,2),AG345/($F$4-AB345+SUM($AC$27:AC345))+AG345*W346/12),2),"")</f>
        <v/>
      </c>
      <c r="AJ346" s="33" t="str">
        <f t="shared" si="186"/>
        <v/>
      </c>
      <c r="AK346" s="33" t="str">
        <f t="shared" si="187"/>
        <v/>
      </c>
      <c r="AL346" s="33" t="str">
        <f>IF(AB346&lt;&gt;"",AK346-SUM($AJ$28:AJ346),"")</f>
        <v/>
      </c>
      <c r="AM346" s="11" t="str">
        <f t="shared" si="188"/>
        <v/>
      </c>
      <c r="AN346" s="11" t="str">
        <f>IF(AB346&lt;&gt;"",IF($B$16=listy!$K$8,'RZĄDOWY PROGRAM'!$F$3*'RZĄDOWY PROGRAM'!$F$15,AG345*$F$15),"")</f>
        <v/>
      </c>
      <c r="AO346" s="11" t="str">
        <f t="shared" si="189"/>
        <v/>
      </c>
      <c r="AQ346" s="49" t="str">
        <f t="shared" si="190"/>
        <v/>
      </c>
      <c r="AR346" s="18" t="str">
        <f t="shared" si="191"/>
        <v/>
      </c>
      <c r="AS346" s="11" t="str">
        <f t="shared" si="192"/>
        <v/>
      </c>
      <c r="AT346" s="11" t="str">
        <f t="shared" si="193"/>
        <v/>
      </c>
      <c r="AU346" s="11" t="str">
        <f>IF(AB346&lt;&gt;"",AT346-SUM($AS$28:AS346),"")</f>
        <v/>
      </c>
    </row>
    <row r="347" spans="1:47" ht="14.5" x14ac:dyDescent="0.35">
      <c r="A347" s="76" t="str">
        <f t="shared" si="165"/>
        <v/>
      </c>
      <c r="B347" s="8" t="str">
        <f t="shared" si="163"/>
        <v/>
      </c>
      <c r="C347" s="11" t="str">
        <f t="shared" si="166"/>
        <v/>
      </c>
      <c r="D347" s="11" t="str">
        <f t="shared" si="167"/>
        <v/>
      </c>
      <c r="E347" s="11" t="str">
        <f t="shared" si="168"/>
        <v/>
      </c>
      <c r="F347" s="9" t="str">
        <f t="shared" si="169"/>
        <v/>
      </c>
      <c r="G347" s="10" t="str">
        <f t="shared" si="170"/>
        <v/>
      </c>
      <c r="H347" s="10" t="str">
        <f t="shared" si="171"/>
        <v/>
      </c>
      <c r="I347" s="49" t="str">
        <f t="shared" si="172"/>
        <v/>
      </c>
      <c r="J347" s="11" t="str">
        <f t="shared" si="173"/>
        <v/>
      </c>
      <c r="K347" s="11" t="str">
        <f>IF(B347&lt;&gt;"",IF($B$16=listy!$K$8,'RZĄDOWY PROGRAM'!$F$3*'RZĄDOWY PROGRAM'!$F$15,F346*$F$15),"")</f>
        <v/>
      </c>
      <c r="L347" s="11" t="str">
        <f t="shared" si="174"/>
        <v/>
      </c>
      <c r="N347" s="55" t="str">
        <f t="shared" si="175"/>
        <v/>
      </c>
      <c r="O347" s="8" t="str">
        <f t="shared" si="164"/>
        <v/>
      </c>
      <c r="P347" s="8"/>
      <c r="Q347" s="33" t="str">
        <f>IF(O347&lt;&gt;"",ROUND(IF($F$11="raty równe",-PMT(W347/12,$F$4-O346+SUM($P$28:P347),T346,2),R347+S347),2),"")</f>
        <v/>
      </c>
      <c r="R347" s="11" t="str">
        <f>IF(O347&lt;&gt;"",IF($F$11="raty malejące",T346/($F$4-O346+SUM($P$28:P347)),IF(Q347-S347&gt;T346,T346,Q347-S347)),"")</f>
        <v/>
      </c>
      <c r="S347" s="11" t="str">
        <f t="shared" si="176"/>
        <v/>
      </c>
      <c r="T347" s="9" t="str">
        <f t="shared" si="177"/>
        <v/>
      </c>
      <c r="U347" s="10" t="str">
        <f t="shared" si="178"/>
        <v/>
      </c>
      <c r="V347" s="10" t="str">
        <f t="shared" si="179"/>
        <v/>
      </c>
      <c r="W347" s="49" t="str">
        <f t="shared" si="180"/>
        <v/>
      </c>
      <c r="X347" s="11" t="str">
        <f t="shared" si="181"/>
        <v/>
      </c>
      <c r="Y347" s="11" t="str">
        <f>IF(O347&lt;&gt;"",IF($B$16=listy!$K$8,'RZĄDOWY PROGRAM'!$F$3*'RZĄDOWY PROGRAM'!$F$15,T346*$F$15),"")</f>
        <v/>
      </c>
      <c r="Z347" s="11" t="str">
        <f t="shared" si="182"/>
        <v/>
      </c>
      <c r="AB347" s="8" t="str">
        <f t="shared" si="183"/>
        <v/>
      </c>
      <c r="AC347" s="8"/>
      <c r="AD347" s="33" t="str">
        <f>IF(AB347&lt;&gt;"",ROUND(IF($F$11="raty równe",-PMT(W347/12,$F$4-AB346+SUM($AC$28:AC347),AG346,2),AE347+AF347),2),"")</f>
        <v/>
      </c>
      <c r="AE347" s="11" t="str">
        <f>IF(AB347&lt;&gt;"",IF($F$11="raty malejące",AG346/($F$4-AB346+SUM($AC$28:AC346)),MIN(AD347-AF347,AG346)),"")</f>
        <v/>
      </c>
      <c r="AF347" s="11" t="str">
        <f t="shared" si="184"/>
        <v/>
      </c>
      <c r="AG347" s="9" t="str">
        <f t="shared" si="185"/>
        <v/>
      </c>
      <c r="AH347" s="11"/>
      <c r="AI347" s="33" t="str">
        <f>IF(AB347&lt;&gt;"",ROUND(IF($F$11="raty równe",-PMT(W347/12,($F$4-AB346+SUM($AC$27:AC346)),AG346,2),AG346/($F$4-AB346+SUM($AC$27:AC346))+AG346*W347/12),2),"")</f>
        <v/>
      </c>
      <c r="AJ347" s="33" t="str">
        <f t="shared" si="186"/>
        <v/>
      </c>
      <c r="AK347" s="33" t="str">
        <f t="shared" si="187"/>
        <v/>
      </c>
      <c r="AL347" s="33" t="str">
        <f>IF(AB347&lt;&gt;"",AK347-SUM($AJ$28:AJ347),"")</f>
        <v/>
      </c>
      <c r="AM347" s="11" t="str">
        <f t="shared" si="188"/>
        <v/>
      </c>
      <c r="AN347" s="11" t="str">
        <f>IF(AB347&lt;&gt;"",IF($B$16=listy!$K$8,'RZĄDOWY PROGRAM'!$F$3*'RZĄDOWY PROGRAM'!$F$15,AG346*$F$15),"")</f>
        <v/>
      </c>
      <c r="AO347" s="11" t="str">
        <f t="shared" si="189"/>
        <v/>
      </c>
      <c r="AQ347" s="49" t="str">
        <f t="shared" si="190"/>
        <v/>
      </c>
      <c r="AR347" s="18" t="str">
        <f t="shared" si="191"/>
        <v/>
      </c>
      <c r="AS347" s="11" t="str">
        <f t="shared" si="192"/>
        <v/>
      </c>
      <c r="AT347" s="11" t="str">
        <f t="shared" si="193"/>
        <v/>
      </c>
      <c r="AU347" s="11" t="str">
        <f>IF(AB347&lt;&gt;"",AT347-SUM($AS$28:AS347),"")</f>
        <v/>
      </c>
    </row>
    <row r="348" spans="1:47" ht="14.5" x14ac:dyDescent="0.35">
      <c r="A348" s="76" t="str">
        <f t="shared" si="165"/>
        <v/>
      </c>
      <c r="B348" s="8" t="str">
        <f t="shared" ref="B348:B398" si="194">IFERROR(IF(B347+1&lt;=$F$4,B347+1,""),"")</f>
        <v/>
      </c>
      <c r="C348" s="11" t="str">
        <f t="shared" si="166"/>
        <v/>
      </c>
      <c r="D348" s="11" t="str">
        <f t="shared" si="167"/>
        <v/>
      </c>
      <c r="E348" s="11" t="str">
        <f t="shared" si="168"/>
        <v/>
      </c>
      <c r="F348" s="9" t="str">
        <f t="shared" si="169"/>
        <v/>
      </c>
      <c r="G348" s="10" t="str">
        <f t="shared" si="170"/>
        <v/>
      </c>
      <c r="H348" s="10" t="str">
        <f t="shared" si="171"/>
        <v/>
      </c>
      <c r="I348" s="49" t="str">
        <f t="shared" si="172"/>
        <v/>
      </c>
      <c r="J348" s="11" t="str">
        <f t="shared" si="173"/>
        <v/>
      </c>
      <c r="K348" s="11" t="str">
        <f>IF(B348&lt;&gt;"",IF($B$16=listy!$K$8,'RZĄDOWY PROGRAM'!$F$3*'RZĄDOWY PROGRAM'!$F$15,F347*$F$15),"")</f>
        <v/>
      </c>
      <c r="L348" s="11" t="str">
        <f t="shared" si="174"/>
        <v/>
      </c>
      <c r="N348" s="55" t="str">
        <f t="shared" si="175"/>
        <v/>
      </c>
      <c r="O348" s="8" t="str">
        <f t="shared" si="164"/>
        <v/>
      </c>
      <c r="P348" s="8"/>
      <c r="Q348" s="33" t="str">
        <f>IF(O348&lt;&gt;"",ROUND(IF($F$11="raty równe",-PMT(W348/12,$F$4-O347+SUM($P$28:P348),T347,2),R348+S348),2),"")</f>
        <v/>
      </c>
      <c r="R348" s="11" t="str">
        <f>IF(O348&lt;&gt;"",IF($F$11="raty malejące",T347/($F$4-O347+SUM($P$28:P348)),IF(Q348-S348&gt;T347,T347,Q348-S348)),"")</f>
        <v/>
      </c>
      <c r="S348" s="11" t="str">
        <f t="shared" si="176"/>
        <v/>
      </c>
      <c r="T348" s="9" t="str">
        <f t="shared" si="177"/>
        <v/>
      </c>
      <c r="U348" s="10" t="str">
        <f t="shared" si="178"/>
        <v/>
      </c>
      <c r="V348" s="10" t="str">
        <f t="shared" si="179"/>
        <v/>
      </c>
      <c r="W348" s="49" t="str">
        <f t="shared" si="180"/>
        <v/>
      </c>
      <c r="X348" s="11" t="str">
        <f t="shared" si="181"/>
        <v/>
      </c>
      <c r="Y348" s="11" t="str">
        <f>IF(O348&lt;&gt;"",IF($B$16=listy!$K$8,'RZĄDOWY PROGRAM'!$F$3*'RZĄDOWY PROGRAM'!$F$15,T347*$F$15),"")</f>
        <v/>
      </c>
      <c r="Z348" s="11" t="str">
        <f t="shared" si="182"/>
        <v/>
      </c>
      <c r="AB348" s="8" t="str">
        <f t="shared" si="183"/>
        <v/>
      </c>
      <c r="AC348" s="8"/>
      <c r="AD348" s="33" t="str">
        <f>IF(AB348&lt;&gt;"",ROUND(IF($F$11="raty równe",-PMT(W348/12,$F$4-AB347+SUM($AC$28:AC348),AG347,2),AE348+AF348),2),"")</f>
        <v/>
      </c>
      <c r="AE348" s="11" t="str">
        <f>IF(AB348&lt;&gt;"",IF($F$11="raty malejące",AG347/($F$4-AB347+SUM($AC$28:AC347)),MIN(AD348-AF348,AG347)),"")</f>
        <v/>
      </c>
      <c r="AF348" s="11" t="str">
        <f t="shared" si="184"/>
        <v/>
      </c>
      <c r="AG348" s="9" t="str">
        <f t="shared" si="185"/>
        <v/>
      </c>
      <c r="AH348" s="11"/>
      <c r="AI348" s="33" t="str">
        <f>IF(AB348&lt;&gt;"",ROUND(IF($F$11="raty równe",-PMT(W348/12,($F$4-AB347+SUM($AC$27:AC347)),AG347,2),AG347/($F$4-AB347+SUM($AC$27:AC347))+AG347*W348/12),2),"")</f>
        <v/>
      </c>
      <c r="AJ348" s="33" t="str">
        <f t="shared" si="186"/>
        <v/>
      </c>
      <c r="AK348" s="33" t="str">
        <f t="shared" si="187"/>
        <v/>
      </c>
      <c r="AL348" s="33" t="str">
        <f>IF(AB348&lt;&gt;"",AK348-SUM($AJ$28:AJ348),"")</f>
        <v/>
      </c>
      <c r="AM348" s="11" t="str">
        <f t="shared" si="188"/>
        <v/>
      </c>
      <c r="AN348" s="11" t="str">
        <f>IF(AB348&lt;&gt;"",IF($B$16=listy!$K$8,'RZĄDOWY PROGRAM'!$F$3*'RZĄDOWY PROGRAM'!$F$15,AG347*$F$15),"")</f>
        <v/>
      </c>
      <c r="AO348" s="11" t="str">
        <f t="shared" si="189"/>
        <v/>
      </c>
      <c r="AQ348" s="49" t="str">
        <f t="shared" si="190"/>
        <v/>
      </c>
      <c r="AR348" s="18" t="str">
        <f t="shared" si="191"/>
        <v/>
      </c>
      <c r="AS348" s="11" t="str">
        <f t="shared" si="192"/>
        <v/>
      </c>
      <c r="AT348" s="11" t="str">
        <f t="shared" si="193"/>
        <v/>
      </c>
      <c r="AU348" s="11" t="str">
        <f>IF(AB348&lt;&gt;"",AT348-SUM($AS$28:AS348),"")</f>
        <v/>
      </c>
    </row>
    <row r="349" spans="1:47" ht="14.5" x14ac:dyDescent="0.35">
      <c r="A349" s="76" t="str">
        <f t="shared" si="165"/>
        <v/>
      </c>
      <c r="B349" s="8" t="str">
        <f t="shared" si="194"/>
        <v/>
      </c>
      <c r="C349" s="11" t="str">
        <f t="shared" si="166"/>
        <v/>
      </c>
      <c r="D349" s="11" t="str">
        <f t="shared" si="167"/>
        <v/>
      </c>
      <c r="E349" s="11" t="str">
        <f t="shared" si="168"/>
        <v/>
      </c>
      <c r="F349" s="9" t="str">
        <f t="shared" si="169"/>
        <v/>
      </c>
      <c r="G349" s="10" t="str">
        <f t="shared" si="170"/>
        <v/>
      </c>
      <c r="H349" s="10" t="str">
        <f t="shared" si="171"/>
        <v/>
      </c>
      <c r="I349" s="49" t="str">
        <f t="shared" si="172"/>
        <v/>
      </c>
      <c r="J349" s="11" t="str">
        <f t="shared" si="173"/>
        <v/>
      </c>
      <c r="K349" s="11" t="str">
        <f>IF(B349&lt;&gt;"",IF($B$16=listy!$K$8,'RZĄDOWY PROGRAM'!$F$3*'RZĄDOWY PROGRAM'!$F$15,F348*$F$15),"")</f>
        <v/>
      </c>
      <c r="L349" s="11" t="str">
        <f t="shared" si="174"/>
        <v/>
      </c>
      <c r="N349" s="55" t="str">
        <f t="shared" si="175"/>
        <v/>
      </c>
      <c r="O349" s="8" t="str">
        <f t="shared" ref="O349:O398" si="195">IFERROR(IF(O348+1&lt;=$F$4+8,O348+1,""),"")</f>
        <v/>
      </c>
      <c r="P349" s="8"/>
      <c r="Q349" s="33" t="str">
        <f>IF(O349&lt;&gt;"",ROUND(IF($F$11="raty równe",-PMT(W349/12,$F$4-O348+SUM($P$28:P349),T348,2),R349+S349),2),"")</f>
        <v/>
      </c>
      <c r="R349" s="11" t="str">
        <f>IF(O349&lt;&gt;"",IF($F$11="raty malejące",T348/($F$4-O348+SUM($P$28:P349)),IF(Q349-S349&gt;T348,T348,Q349-S349)),"")</f>
        <v/>
      </c>
      <c r="S349" s="11" t="str">
        <f t="shared" si="176"/>
        <v/>
      </c>
      <c r="T349" s="9" t="str">
        <f t="shared" si="177"/>
        <v/>
      </c>
      <c r="U349" s="10" t="str">
        <f t="shared" si="178"/>
        <v/>
      </c>
      <c r="V349" s="10" t="str">
        <f t="shared" si="179"/>
        <v/>
      </c>
      <c r="W349" s="49" t="str">
        <f t="shared" si="180"/>
        <v/>
      </c>
      <c r="X349" s="11" t="str">
        <f t="shared" si="181"/>
        <v/>
      </c>
      <c r="Y349" s="11" t="str">
        <f>IF(O349&lt;&gt;"",IF($B$16=listy!$K$8,'RZĄDOWY PROGRAM'!$F$3*'RZĄDOWY PROGRAM'!$F$15,T348*$F$15),"")</f>
        <v/>
      </c>
      <c r="Z349" s="11" t="str">
        <f t="shared" si="182"/>
        <v/>
      </c>
      <c r="AB349" s="8" t="str">
        <f t="shared" si="183"/>
        <v/>
      </c>
      <c r="AC349" s="8"/>
      <c r="AD349" s="33" t="str">
        <f>IF(AB349&lt;&gt;"",ROUND(IF($F$11="raty równe",-PMT(W349/12,$F$4-AB348+SUM($AC$28:AC349),AG348,2),AE349+AF349),2),"")</f>
        <v/>
      </c>
      <c r="AE349" s="11" t="str">
        <f>IF(AB349&lt;&gt;"",IF($F$11="raty malejące",AG348/($F$4-AB348+SUM($AC$28:AC348)),MIN(AD349-AF349,AG348)),"")</f>
        <v/>
      </c>
      <c r="AF349" s="11" t="str">
        <f t="shared" si="184"/>
        <v/>
      </c>
      <c r="AG349" s="9" t="str">
        <f t="shared" si="185"/>
        <v/>
      </c>
      <c r="AH349" s="11"/>
      <c r="AI349" s="33" t="str">
        <f>IF(AB349&lt;&gt;"",ROUND(IF($F$11="raty równe",-PMT(W349/12,($F$4-AB348+SUM($AC$27:AC348)),AG348,2),AG348/($F$4-AB348+SUM($AC$27:AC348))+AG348*W349/12),2),"")</f>
        <v/>
      </c>
      <c r="AJ349" s="33" t="str">
        <f t="shared" si="186"/>
        <v/>
      </c>
      <c r="AK349" s="33" t="str">
        <f t="shared" si="187"/>
        <v/>
      </c>
      <c r="AL349" s="33" t="str">
        <f>IF(AB349&lt;&gt;"",AK349-SUM($AJ$28:AJ349),"")</f>
        <v/>
      </c>
      <c r="AM349" s="11" t="str">
        <f t="shared" si="188"/>
        <v/>
      </c>
      <c r="AN349" s="11" t="str">
        <f>IF(AB349&lt;&gt;"",IF($B$16=listy!$K$8,'RZĄDOWY PROGRAM'!$F$3*'RZĄDOWY PROGRAM'!$F$15,AG348*$F$15),"")</f>
        <v/>
      </c>
      <c r="AO349" s="11" t="str">
        <f t="shared" si="189"/>
        <v/>
      </c>
      <c r="AQ349" s="49" t="str">
        <f t="shared" si="190"/>
        <v/>
      </c>
      <c r="AR349" s="18" t="str">
        <f t="shared" si="191"/>
        <v/>
      </c>
      <c r="AS349" s="11" t="str">
        <f t="shared" si="192"/>
        <v/>
      </c>
      <c r="AT349" s="11" t="str">
        <f t="shared" si="193"/>
        <v/>
      </c>
      <c r="AU349" s="11" t="str">
        <f>IF(AB349&lt;&gt;"",AT349-SUM($AS$28:AS349),"")</f>
        <v/>
      </c>
    </row>
    <row r="350" spans="1:47" ht="14.5" x14ac:dyDescent="0.35">
      <c r="A350" s="76" t="str">
        <f t="shared" si="165"/>
        <v/>
      </c>
      <c r="B350" s="8" t="str">
        <f t="shared" si="194"/>
        <v/>
      </c>
      <c r="C350" s="11" t="str">
        <f t="shared" si="166"/>
        <v/>
      </c>
      <c r="D350" s="11" t="str">
        <f t="shared" si="167"/>
        <v/>
      </c>
      <c r="E350" s="11" t="str">
        <f t="shared" si="168"/>
        <v/>
      </c>
      <c r="F350" s="9" t="str">
        <f t="shared" si="169"/>
        <v/>
      </c>
      <c r="G350" s="10" t="str">
        <f t="shared" si="170"/>
        <v/>
      </c>
      <c r="H350" s="10" t="str">
        <f t="shared" si="171"/>
        <v/>
      </c>
      <c r="I350" s="49" t="str">
        <f t="shared" si="172"/>
        <v/>
      </c>
      <c r="J350" s="11" t="str">
        <f t="shared" si="173"/>
        <v/>
      </c>
      <c r="K350" s="11" t="str">
        <f>IF(B350&lt;&gt;"",IF($B$16=listy!$K$8,'RZĄDOWY PROGRAM'!$F$3*'RZĄDOWY PROGRAM'!$F$15,F349*$F$15),"")</f>
        <v/>
      </c>
      <c r="L350" s="11" t="str">
        <f t="shared" si="174"/>
        <v/>
      </c>
      <c r="N350" s="55" t="str">
        <f t="shared" si="175"/>
        <v/>
      </c>
      <c r="O350" s="8" t="str">
        <f t="shared" si="195"/>
        <v/>
      </c>
      <c r="P350" s="8"/>
      <c r="Q350" s="33" t="str">
        <f>IF(O350&lt;&gt;"",ROUND(IF($F$11="raty równe",-PMT(W350/12,$F$4-O349+SUM($P$28:P350),T349,2),R350+S350),2),"")</f>
        <v/>
      </c>
      <c r="R350" s="11" t="str">
        <f>IF(O350&lt;&gt;"",IF($F$11="raty malejące",T349/($F$4-O349+SUM($P$28:P350)),IF(Q350-S350&gt;T349,T349,Q350-S350)),"")</f>
        <v/>
      </c>
      <c r="S350" s="11" t="str">
        <f t="shared" si="176"/>
        <v/>
      </c>
      <c r="T350" s="9" t="str">
        <f t="shared" si="177"/>
        <v/>
      </c>
      <c r="U350" s="10" t="str">
        <f t="shared" si="178"/>
        <v/>
      </c>
      <c r="V350" s="10" t="str">
        <f t="shared" si="179"/>
        <v/>
      </c>
      <c r="W350" s="49" t="str">
        <f t="shared" si="180"/>
        <v/>
      </c>
      <c r="X350" s="11" t="str">
        <f t="shared" si="181"/>
        <v/>
      </c>
      <c r="Y350" s="11" t="str">
        <f>IF(O350&lt;&gt;"",IF($B$16=listy!$K$8,'RZĄDOWY PROGRAM'!$F$3*'RZĄDOWY PROGRAM'!$F$15,T349*$F$15),"")</f>
        <v/>
      </c>
      <c r="Z350" s="11" t="str">
        <f t="shared" si="182"/>
        <v/>
      </c>
      <c r="AB350" s="8" t="str">
        <f t="shared" si="183"/>
        <v/>
      </c>
      <c r="AC350" s="8"/>
      <c r="AD350" s="33" t="str">
        <f>IF(AB350&lt;&gt;"",ROUND(IF($F$11="raty równe",-PMT(W350/12,$F$4-AB349+SUM($AC$28:AC350),AG349,2),AE350+AF350),2),"")</f>
        <v/>
      </c>
      <c r="AE350" s="11" t="str">
        <f>IF(AB350&lt;&gt;"",IF($F$11="raty malejące",AG349/($F$4-AB349+SUM($AC$28:AC349)),MIN(AD350-AF350,AG349)),"")</f>
        <v/>
      </c>
      <c r="AF350" s="11" t="str">
        <f t="shared" si="184"/>
        <v/>
      </c>
      <c r="AG350" s="9" t="str">
        <f t="shared" si="185"/>
        <v/>
      </c>
      <c r="AH350" s="11"/>
      <c r="AI350" s="33" t="str">
        <f>IF(AB350&lt;&gt;"",ROUND(IF($F$11="raty równe",-PMT(W350/12,($F$4-AB349+SUM($AC$27:AC349)),AG349,2),AG349/($F$4-AB349+SUM($AC$27:AC349))+AG349*W350/12),2),"")</f>
        <v/>
      </c>
      <c r="AJ350" s="33" t="str">
        <f t="shared" si="186"/>
        <v/>
      </c>
      <c r="AK350" s="33" t="str">
        <f t="shared" si="187"/>
        <v/>
      </c>
      <c r="AL350" s="33" t="str">
        <f>IF(AB350&lt;&gt;"",AK350-SUM($AJ$28:AJ350),"")</f>
        <v/>
      </c>
      <c r="AM350" s="11" t="str">
        <f t="shared" si="188"/>
        <v/>
      </c>
      <c r="AN350" s="11" t="str">
        <f>IF(AB350&lt;&gt;"",IF($B$16=listy!$K$8,'RZĄDOWY PROGRAM'!$F$3*'RZĄDOWY PROGRAM'!$F$15,AG349*$F$15),"")</f>
        <v/>
      </c>
      <c r="AO350" s="11" t="str">
        <f t="shared" si="189"/>
        <v/>
      </c>
      <c r="AQ350" s="49" t="str">
        <f t="shared" si="190"/>
        <v/>
      </c>
      <c r="AR350" s="18" t="str">
        <f t="shared" si="191"/>
        <v/>
      </c>
      <c r="AS350" s="11" t="str">
        <f t="shared" si="192"/>
        <v/>
      </c>
      <c r="AT350" s="11" t="str">
        <f t="shared" si="193"/>
        <v/>
      </c>
      <c r="AU350" s="11" t="str">
        <f>IF(AB350&lt;&gt;"",AT350-SUM($AS$28:AS350),"")</f>
        <v/>
      </c>
    </row>
    <row r="351" spans="1:47" ht="14.5" x14ac:dyDescent="0.35">
      <c r="A351" s="76" t="str">
        <f t="shared" si="165"/>
        <v/>
      </c>
      <c r="B351" s="8" t="str">
        <f t="shared" si="194"/>
        <v/>
      </c>
      <c r="C351" s="11" t="str">
        <f t="shared" si="166"/>
        <v/>
      </c>
      <c r="D351" s="11" t="str">
        <f t="shared" si="167"/>
        <v/>
      </c>
      <c r="E351" s="11" t="str">
        <f t="shared" si="168"/>
        <v/>
      </c>
      <c r="F351" s="9" t="str">
        <f t="shared" si="169"/>
        <v/>
      </c>
      <c r="G351" s="10" t="str">
        <f t="shared" si="170"/>
        <v/>
      </c>
      <c r="H351" s="10" t="str">
        <f t="shared" si="171"/>
        <v/>
      </c>
      <c r="I351" s="49" t="str">
        <f t="shared" si="172"/>
        <v/>
      </c>
      <c r="J351" s="11" t="str">
        <f t="shared" si="173"/>
        <v/>
      </c>
      <c r="K351" s="11" t="str">
        <f>IF(B351&lt;&gt;"",IF($B$16=listy!$K$8,'RZĄDOWY PROGRAM'!$F$3*'RZĄDOWY PROGRAM'!$F$15,F350*$F$15),"")</f>
        <v/>
      </c>
      <c r="L351" s="11" t="str">
        <f t="shared" si="174"/>
        <v/>
      </c>
      <c r="N351" s="55" t="str">
        <f t="shared" si="175"/>
        <v/>
      </c>
      <c r="O351" s="8" t="str">
        <f t="shared" si="195"/>
        <v/>
      </c>
      <c r="P351" s="8"/>
      <c r="Q351" s="33" t="str">
        <f>IF(O351&lt;&gt;"",ROUND(IF($F$11="raty równe",-PMT(W351/12,$F$4-O350+SUM($P$28:P351),T350,2),R351+S351),2),"")</f>
        <v/>
      </c>
      <c r="R351" s="11" t="str">
        <f>IF(O351&lt;&gt;"",IF($F$11="raty malejące",T350/($F$4-O350+SUM($P$28:P351)),IF(Q351-S351&gt;T350,T350,Q351-S351)),"")</f>
        <v/>
      </c>
      <c r="S351" s="11" t="str">
        <f t="shared" si="176"/>
        <v/>
      </c>
      <c r="T351" s="9" t="str">
        <f t="shared" si="177"/>
        <v/>
      </c>
      <c r="U351" s="10" t="str">
        <f t="shared" si="178"/>
        <v/>
      </c>
      <c r="V351" s="10" t="str">
        <f t="shared" si="179"/>
        <v/>
      </c>
      <c r="W351" s="49" t="str">
        <f t="shared" si="180"/>
        <v/>
      </c>
      <c r="X351" s="11" t="str">
        <f t="shared" si="181"/>
        <v/>
      </c>
      <c r="Y351" s="11" t="str">
        <f>IF(O351&lt;&gt;"",IF($B$16=listy!$K$8,'RZĄDOWY PROGRAM'!$F$3*'RZĄDOWY PROGRAM'!$F$15,T350*$F$15),"")</f>
        <v/>
      </c>
      <c r="Z351" s="11" t="str">
        <f t="shared" si="182"/>
        <v/>
      </c>
      <c r="AB351" s="8" t="str">
        <f t="shared" si="183"/>
        <v/>
      </c>
      <c r="AC351" s="8"/>
      <c r="AD351" s="33" t="str">
        <f>IF(AB351&lt;&gt;"",ROUND(IF($F$11="raty równe",-PMT(W351/12,$F$4-AB350+SUM($AC$28:AC351),AG350,2),AE351+AF351),2),"")</f>
        <v/>
      </c>
      <c r="AE351" s="11" t="str">
        <f>IF(AB351&lt;&gt;"",IF($F$11="raty malejące",AG350/($F$4-AB350+SUM($AC$28:AC350)),MIN(AD351-AF351,AG350)),"")</f>
        <v/>
      </c>
      <c r="AF351" s="11" t="str">
        <f t="shared" si="184"/>
        <v/>
      </c>
      <c r="AG351" s="9" t="str">
        <f t="shared" si="185"/>
        <v/>
      </c>
      <c r="AH351" s="11"/>
      <c r="AI351" s="33" t="str">
        <f>IF(AB351&lt;&gt;"",ROUND(IF($F$11="raty równe",-PMT(W351/12,($F$4-AB350+SUM($AC$27:AC350)),AG350,2),AG350/($F$4-AB350+SUM($AC$27:AC350))+AG350*W351/12),2),"")</f>
        <v/>
      </c>
      <c r="AJ351" s="33" t="str">
        <f t="shared" si="186"/>
        <v/>
      </c>
      <c r="AK351" s="33" t="str">
        <f t="shared" si="187"/>
        <v/>
      </c>
      <c r="AL351" s="33" t="str">
        <f>IF(AB351&lt;&gt;"",AK351-SUM($AJ$28:AJ351),"")</f>
        <v/>
      </c>
      <c r="AM351" s="11" t="str">
        <f t="shared" si="188"/>
        <v/>
      </c>
      <c r="AN351" s="11" t="str">
        <f>IF(AB351&lt;&gt;"",IF($B$16=listy!$K$8,'RZĄDOWY PROGRAM'!$F$3*'RZĄDOWY PROGRAM'!$F$15,AG350*$F$15),"")</f>
        <v/>
      </c>
      <c r="AO351" s="11" t="str">
        <f t="shared" si="189"/>
        <v/>
      </c>
      <c r="AQ351" s="49" t="str">
        <f t="shared" si="190"/>
        <v/>
      </c>
      <c r="AR351" s="18" t="str">
        <f t="shared" si="191"/>
        <v/>
      </c>
      <c r="AS351" s="11" t="str">
        <f t="shared" si="192"/>
        <v/>
      </c>
      <c r="AT351" s="11" t="str">
        <f t="shared" si="193"/>
        <v/>
      </c>
      <c r="AU351" s="11" t="str">
        <f>IF(AB351&lt;&gt;"",AT351-SUM($AS$28:AS351),"")</f>
        <v/>
      </c>
    </row>
    <row r="352" spans="1:47" ht="14.5" x14ac:dyDescent="0.35">
      <c r="A352" s="76" t="str">
        <f t="shared" si="165"/>
        <v/>
      </c>
      <c r="B352" s="8" t="str">
        <f t="shared" si="194"/>
        <v/>
      </c>
      <c r="C352" s="11" t="str">
        <f t="shared" si="166"/>
        <v/>
      </c>
      <c r="D352" s="11" t="str">
        <f t="shared" si="167"/>
        <v/>
      </c>
      <c r="E352" s="11" t="str">
        <f t="shared" si="168"/>
        <v/>
      </c>
      <c r="F352" s="9" t="str">
        <f t="shared" si="169"/>
        <v/>
      </c>
      <c r="G352" s="10" t="str">
        <f t="shared" si="170"/>
        <v/>
      </c>
      <c r="H352" s="10" t="str">
        <f t="shared" si="171"/>
        <v/>
      </c>
      <c r="I352" s="49" t="str">
        <f t="shared" si="172"/>
        <v/>
      </c>
      <c r="J352" s="11" t="str">
        <f t="shared" si="173"/>
        <v/>
      </c>
      <c r="K352" s="11" t="str">
        <f>IF(B352&lt;&gt;"",IF($B$16=listy!$K$8,'RZĄDOWY PROGRAM'!$F$3*'RZĄDOWY PROGRAM'!$F$15,F351*$F$15),"")</f>
        <v/>
      </c>
      <c r="L352" s="11" t="str">
        <f t="shared" si="174"/>
        <v/>
      </c>
      <c r="N352" s="55" t="str">
        <f t="shared" si="175"/>
        <v/>
      </c>
      <c r="O352" s="8" t="str">
        <f t="shared" si="195"/>
        <v/>
      </c>
      <c r="P352" s="8"/>
      <c r="Q352" s="33" t="str">
        <f>IF(O352&lt;&gt;"",ROUND(IF($F$11="raty równe",-PMT(W352/12,$F$4-O351+SUM($P$28:P352),T351,2),R352+S352),2),"")</f>
        <v/>
      </c>
      <c r="R352" s="11" t="str">
        <f>IF(O352&lt;&gt;"",IF($F$11="raty malejące",T351/($F$4-O351+SUM($P$28:P352)),IF(Q352-S352&gt;T351,T351,Q352-S352)),"")</f>
        <v/>
      </c>
      <c r="S352" s="11" t="str">
        <f t="shared" si="176"/>
        <v/>
      </c>
      <c r="T352" s="9" t="str">
        <f t="shared" si="177"/>
        <v/>
      </c>
      <c r="U352" s="10" t="str">
        <f t="shared" si="178"/>
        <v/>
      </c>
      <c r="V352" s="10" t="str">
        <f t="shared" si="179"/>
        <v/>
      </c>
      <c r="W352" s="49" t="str">
        <f t="shared" si="180"/>
        <v/>
      </c>
      <c r="X352" s="11" t="str">
        <f t="shared" si="181"/>
        <v/>
      </c>
      <c r="Y352" s="11" t="str">
        <f>IF(O352&lt;&gt;"",IF($B$16=listy!$K$8,'RZĄDOWY PROGRAM'!$F$3*'RZĄDOWY PROGRAM'!$F$15,T351*$F$15),"")</f>
        <v/>
      </c>
      <c r="Z352" s="11" t="str">
        <f t="shared" si="182"/>
        <v/>
      </c>
      <c r="AB352" s="8" t="str">
        <f t="shared" si="183"/>
        <v/>
      </c>
      <c r="AC352" s="8"/>
      <c r="AD352" s="33" t="str">
        <f>IF(AB352&lt;&gt;"",ROUND(IF($F$11="raty równe",-PMT(W352/12,$F$4-AB351+SUM($AC$28:AC352),AG351,2),AE352+AF352),2),"")</f>
        <v/>
      </c>
      <c r="AE352" s="11" t="str">
        <f>IF(AB352&lt;&gt;"",IF($F$11="raty malejące",AG351/($F$4-AB351+SUM($AC$28:AC351)),MIN(AD352-AF352,AG351)),"")</f>
        <v/>
      </c>
      <c r="AF352" s="11" t="str">
        <f t="shared" si="184"/>
        <v/>
      </c>
      <c r="AG352" s="9" t="str">
        <f t="shared" si="185"/>
        <v/>
      </c>
      <c r="AH352" s="11"/>
      <c r="AI352" s="33" t="str">
        <f>IF(AB352&lt;&gt;"",ROUND(IF($F$11="raty równe",-PMT(W352/12,($F$4-AB351+SUM($AC$27:AC351)),AG351,2),AG351/($F$4-AB351+SUM($AC$27:AC351))+AG351*W352/12),2),"")</f>
        <v/>
      </c>
      <c r="AJ352" s="33" t="str">
        <f t="shared" si="186"/>
        <v/>
      </c>
      <c r="AK352" s="33" t="str">
        <f t="shared" si="187"/>
        <v/>
      </c>
      <c r="AL352" s="33" t="str">
        <f>IF(AB352&lt;&gt;"",AK352-SUM($AJ$28:AJ352),"")</f>
        <v/>
      </c>
      <c r="AM352" s="11" t="str">
        <f t="shared" si="188"/>
        <v/>
      </c>
      <c r="AN352" s="11" t="str">
        <f>IF(AB352&lt;&gt;"",IF($B$16=listy!$K$8,'RZĄDOWY PROGRAM'!$F$3*'RZĄDOWY PROGRAM'!$F$15,AG351*$F$15),"")</f>
        <v/>
      </c>
      <c r="AO352" s="11" t="str">
        <f t="shared" si="189"/>
        <v/>
      </c>
      <c r="AQ352" s="49" t="str">
        <f t="shared" si="190"/>
        <v/>
      </c>
      <c r="AR352" s="18" t="str">
        <f t="shared" si="191"/>
        <v/>
      </c>
      <c r="AS352" s="11" t="str">
        <f t="shared" si="192"/>
        <v/>
      </c>
      <c r="AT352" s="11" t="str">
        <f t="shared" si="193"/>
        <v/>
      </c>
      <c r="AU352" s="11" t="str">
        <f>IF(AB352&lt;&gt;"",AT352-SUM($AS$28:AS352),"")</f>
        <v/>
      </c>
    </row>
    <row r="353" spans="1:47" ht="14.5" x14ac:dyDescent="0.35">
      <c r="A353" s="76" t="str">
        <f t="shared" si="165"/>
        <v/>
      </c>
      <c r="B353" s="8" t="str">
        <f t="shared" si="194"/>
        <v/>
      </c>
      <c r="C353" s="11" t="str">
        <f t="shared" si="166"/>
        <v/>
      </c>
      <c r="D353" s="11" t="str">
        <f t="shared" si="167"/>
        <v/>
      </c>
      <c r="E353" s="11" t="str">
        <f t="shared" si="168"/>
        <v/>
      </c>
      <c r="F353" s="9" t="str">
        <f t="shared" si="169"/>
        <v/>
      </c>
      <c r="G353" s="10" t="str">
        <f t="shared" si="170"/>
        <v/>
      </c>
      <c r="H353" s="10" t="str">
        <f t="shared" si="171"/>
        <v/>
      </c>
      <c r="I353" s="49" t="str">
        <f t="shared" si="172"/>
        <v/>
      </c>
      <c r="J353" s="11" t="str">
        <f t="shared" si="173"/>
        <v/>
      </c>
      <c r="K353" s="11" t="str">
        <f>IF(B353&lt;&gt;"",IF($B$16=listy!$K$8,'RZĄDOWY PROGRAM'!$F$3*'RZĄDOWY PROGRAM'!$F$15,F352*$F$15),"")</f>
        <v/>
      </c>
      <c r="L353" s="11" t="str">
        <f t="shared" si="174"/>
        <v/>
      </c>
      <c r="N353" s="55" t="str">
        <f t="shared" si="175"/>
        <v/>
      </c>
      <c r="O353" s="8" t="str">
        <f t="shared" si="195"/>
        <v/>
      </c>
      <c r="P353" s="8"/>
      <c r="Q353" s="33" t="str">
        <f>IF(O353&lt;&gt;"",ROUND(IF($F$11="raty równe",-PMT(W353/12,$F$4-O352+SUM($P$28:P353),T352,2),R353+S353),2),"")</f>
        <v/>
      </c>
      <c r="R353" s="11" t="str">
        <f>IF(O353&lt;&gt;"",IF($F$11="raty malejące",T352/($F$4-O352+SUM($P$28:P353)),IF(Q353-S353&gt;T352,T352,Q353-S353)),"")</f>
        <v/>
      </c>
      <c r="S353" s="11" t="str">
        <f t="shared" si="176"/>
        <v/>
      </c>
      <c r="T353" s="9" t="str">
        <f t="shared" si="177"/>
        <v/>
      </c>
      <c r="U353" s="10" t="str">
        <f t="shared" si="178"/>
        <v/>
      </c>
      <c r="V353" s="10" t="str">
        <f t="shared" si="179"/>
        <v/>
      </c>
      <c r="W353" s="49" t="str">
        <f t="shared" si="180"/>
        <v/>
      </c>
      <c r="X353" s="11" t="str">
        <f t="shared" si="181"/>
        <v/>
      </c>
      <c r="Y353" s="11" t="str">
        <f>IF(O353&lt;&gt;"",IF($B$16=listy!$K$8,'RZĄDOWY PROGRAM'!$F$3*'RZĄDOWY PROGRAM'!$F$15,T352*$F$15),"")</f>
        <v/>
      </c>
      <c r="Z353" s="11" t="str">
        <f t="shared" si="182"/>
        <v/>
      </c>
      <c r="AB353" s="8" t="str">
        <f t="shared" si="183"/>
        <v/>
      </c>
      <c r="AC353" s="8"/>
      <c r="AD353" s="33" t="str">
        <f>IF(AB353&lt;&gt;"",ROUND(IF($F$11="raty równe",-PMT(W353/12,$F$4-AB352+SUM($AC$28:AC353),AG352,2),AE353+AF353),2),"")</f>
        <v/>
      </c>
      <c r="AE353" s="11" t="str">
        <f>IF(AB353&lt;&gt;"",IF($F$11="raty malejące",AG352/($F$4-AB352+SUM($AC$28:AC352)),MIN(AD353-AF353,AG352)),"")</f>
        <v/>
      </c>
      <c r="AF353" s="11" t="str">
        <f t="shared" si="184"/>
        <v/>
      </c>
      <c r="AG353" s="9" t="str">
        <f t="shared" si="185"/>
        <v/>
      </c>
      <c r="AH353" s="11"/>
      <c r="AI353" s="33" t="str">
        <f>IF(AB353&lt;&gt;"",ROUND(IF($F$11="raty równe",-PMT(W353/12,($F$4-AB352+SUM($AC$27:AC352)),AG352,2),AG352/($F$4-AB352+SUM($AC$27:AC352))+AG352*W353/12),2),"")</f>
        <v/>
      </c>
      <c r="AJ353" s="33" t="str">
        <f t="shared" si="186"/>
        <v/>
      </c>
      <c r="AK353" s="33" t="str">
        <f t="shared" si="187"/>
        <v/>
      </c>
      <c r="AL353" s="33" t="str">
        <f>IF(AB353&lt;&gt;"",AK353-SUM($AJ$28:AJ353),"")</f>
        <v/>
      </c>
      <c r="AM353" s="11" t="str">
        <f t="shared" si="188"/>
        <v/>
      </c>
      <c r="AN353" s="11" t="str">
        <f>IF(AB353&lt;&gt;"",IF($B$16=listy!$K$8,'RZĄDOWY PROGRAM'!$F$3*'RZĄDOWY PROGRAM'!$F$15,AG352*$F$15),"")</f>
        <v/>
      </c>
      <c r="AO353" s="11" t="str">
        <f t="shared" si="189"/>
        <v/>
      </c>
      <c r="AQ353" s="49" t="str">
        <f t="shared" si="190"/>
        <v/>
      </c>
      <c r="AR353" s="18" t="str">
        <f t="shared" si="191"/>
        <v/>
      </c>
      <c r="AS353" s="11" t="str">
        <f t="shared" si="192"/>
        <v/>
      </c>
      <c r="AT353" s="11" t="str">
        <f t="shared" si="193"/>
        <v/>
      </c>
      <c r="AU353" s="11" t="str">
        <f>IF(AB353&lt;&gt;"",AT353-SUM($AS$28:AS353),"")</f>
        <v/>
      </c>
    </row>
    <row r="354" spans="1:47" ht="14.5" x14ac:dyDescent="0.35">
      <c r="A354" s="76" t="str">
        <f t="shared" si="165"/>
        <v/>
      </c>
      <c r="B354" s="8" t="str">
        <f t="shared" si="194"/>
        <v/>
      </c>
      <c r="C354" s="11" t="str">
        <f t="shared" si="166"/>
        <v/>
      </c>
      <c r="D354" s="11" t="str">
        <f t="shared" si="167"/>
        <v/>
      </c>
      <c r="E354" s="11" t="str">
        <f t="shared" si="168"/>
        <v/>
      </c>
      <c r="F354" s="9" t="str">
        <f t="shared" si="169"/>
        <v/>
      </c>
      <c r="G354" s="10" t="str">
        <f t="shared" si="170"/>
        <v/>
      </c>
      <c r="H354" s="10" t="str">
        <f t="shared" si="171"/>
        <v/>
      </c>
      <c r="I354" s="49" t="str">
        <f t="shared" si="172"/>
        <v/>
      </c>
      <c r="J354" s="11" t="str">
        <f t="shared" si="173"/>
        <v/>
      </c>
      <c r="K354" s="11" t="str">
        <f>IF(B354&lt;&gt;"",IF($B$16=listy!$K$8,'RZĄDOWY PROGRAM'!$F$3*'RZĄDOWY PROGRAM'!$F$15,F353*$F$15),"")</f>
        <v/>
      </c>
      <c r="L354" s="11" t="str">
        <f t="shared" si="174"/>
        <v/>
      </c>
      <c r="N354" s="55" t="str">
        <f t="shared" si="175"/>
        <v/>
      </c>
      <c r="O354" s="8" t="str">
        <f t="shared" si="195"/>
        <v/>
      </c>
      <c r="P354" s="8"/>
      <c r="Q354" s="33" t="str">
        <f>IF(O354&lt;&gt;"",ROUND(IF($F$11="raty równe",-PMT(W354/12,$F$4-O353+SUM($P$28:P354),T353,2),R354+S354),2),"")</f>
        <v/>
      </c>
      <c r="R354" s="11" t="str">
        <f>IF(O354&lt;&gt;"",IF($F$11="raty malejące",T353/($F$4-O353+SUM($P$28:P354)),IF(Q354-S354&gt;T353,T353,Q354-S354)),"")</f>
        <v/>
      </c>
      <c r="S354" s="11" t="str">
        <f t="shared" si="176"/>
        <v/>
      </c>
      <c r="T354" s="9" t="str">
        <f t="shared" si="177"/>
        <v/>
      </c>
      <c r="U354" s="10" t="str">
        <f t="shared" si="178"/>
        <v/>
      </c>
      <c r="V354" s="10" t="str">
        <f t="shared" si="179"/>
        <v/>
      </c>
      <c r="W354" s="49" t="str">
        <f t="shared" si="180"/>
        <v/>
      </c>
      <c r="X354" s="11" t="str">
        <f t="shared" si="181"/>
        <v/>
      </c>
      <c r="Y354" s="11" t="str">
        <f>IF(O354&lt;&gt;"",IF($B$16=listy!$K$8,'RZĄDOWY PROGRAM'!$F$3*'RZĄDOWY PROGRAM'!$F$15,T353*$F$15),"")</f>
        <v/>
      </c>
      <c r="Z354" s="11" t="str">
        <f t="shared" si="182"/>
        <v/>
      </c>
      <c r="AB354" s="8" t="str">
        <f t="shared" si="183"/>
        <v/>
      </c>
      <c r="AC354" s="8"/>
      <c r="AD354" s="33" t="str">
        <f>IF(AB354&lt;&gt;"",ROUND(IF($F$11="raty równe",-PMT(W354/12,$F$4-AB353+SUM($AC$28:AC354),AG353,2),AE354+AF354),2),"")</f>
        <v/>
      </c>
      <c r="AE354" s="11" t="str">
        <f>IF(AB354&lt;&gt;"",IF($F$11="raty malejące",AG353/($F$4-AB353+SUM($AC$28:AC353)),MIN(AD354-AF354,AG353)),"")</f>
        <v/>
      </c>
      <c r="AF354" s="11" t="str">
        <f t="shared" si="184"/>
        <v/>
      </c>
      <c r="AG354" s="9" t="str">
        <f t="shared" si="185"/>
        <v/>
      </c>
      <c r="AH354" s="11"/>
      <c r="AI354" s="33" t="str">
        <f>IF(AB354&lt;&gt;"",ROUND(IF($F$11="raty równe",-PMT(W354/12,($F$4-AB353+SUM($AC$27:AC353)),AG353,2),AG353/($F$4-AB353+SUM($AC$27:AC353))+AG353*W354/12),2),"")</f>
        <v/>
      </c>
      <c r="AJ354" s="33" t="str">
        <f t="shared" si="186"/>
        <v/>
      </c>
      <c r="AK354" s="33" t="str">
        <f t="shared" si="187"/>
        <v/>
      </c>
      <c r="AL354" s="33" t="str">
        <f>IF(AB354&lt;&gt;"",AK354-SUM($AJ$28:AJ354),"")</f>
        <v/>
      </c>
      <c r="AM354" s="11" t="str">
        <f t="shared" si="188"/>
        <v/>
      </c>
      <c r="AN354" s="11" t="str">
        <f>IF(AB354&lt;&gt;"",IF($B$16=listy!$K$8,'RZĄDOWY PROGRAM'!$F$3*'RZĄDOWY PROGRAM'!$F$15,AG353*$F$15),"")</f>
        <v/>
      </c>
      <c r="AO354" s="11" t="str">
        <f t="shared" si="189"/>
        <v/>
      </c>
      <c r="AQ354" s="49" t="str">
        <f t="shared" si="190"/>
        <v/>
      </c>
      <c r="AR354" s="18" t="str">
        <f t="shared" si="191"/>
        <v/>
      </c>
      <c r="AS354" s="11" t="str">
        <f t="shared" si="192"/>
        <v/>
      </c>
      <c r="AT354" s="11" t="str">
        <f t="shared" si="193"/>
        <v/>
      </c>
      <c r="AU354" s="11" t="str">
        <f>IF(AB354&lt;&gt;"",AT354-SUM($AS$28:AS354),"")</f>
        <v/>
      </c>
    </row>
    <row r="355" spans="1:47" ht="14.5" x14ac:dyDescent="0.35">
      <c r="A355" s="76" t="str">
        <f t="shared" si="165"/>
        <v/>
      </c>
      <c r="B355" s="8" t="str">
        <f t="shared" si="194"/>
        <v/>
      </c>
      <c r="C355" s="11" t="str">
        <f t="shared" si="166"/>
        <v/>
      </c>
      <c r="D355" s="11" t="str">
        <f t="shared" si="167"/>
        <v/>
      </c>
      <c r="E355" s="11" t="str">
        <f t="shared" si="168"/>
        <v/>
      </c>
      <c r="F355" s="9" t="str">
        <f t="shared" si="169"/>
        <v/>
      </c>
      <c r="G355" s="10" t="str">
        <f t="shared" si="170"/>
        <v/>
      </c>
      <c r="H355" s="10" t="str">
        <f t="shared" si="171"/>
        <v/>
      </c>
      <c r="I355" s="49" t="str">
        <f t="shared" si="172"/>
        <v/>
      </c>
      <c r="J355" s="11" t="str">
        <f t="shared" si="173"/>
        <v/>
      </c>
      <c r="K355" s="11" t="str">
        <f>IF(B355&lt;&gt;"",IF($B$16=listy!$K$8,'RZĄDOWY PROGRAM'!$F$3*'RZĄDOWY PROGRAM'!$F$15,F354*$F$15),"")</f>
        <v/>
      </c>
      <c r="L355" s="11" t="str">
        <f t="shared" si="174"/>
        <v/>
      </c>
      <c r="N355" s="55" t="str">
        <f t="shared" si="175"/>
        <v/>
      </c>
      <c r="O355" s="8" t="str">
        <f t="shared" si="195"/>
        <v/>
      </c>
      <c r="P355" s="8"/>
      <c r="Q355" s="33" t="str">
        <f>IF(O355&lt;&gt;"",ROUND(IF($F$11="raty równe",-PMT(W355/12,$F$4-O354+SUM($P$28:P355),T354,2),R355+S355),2),"")</f>
        <v/>
      </c>
      <c r="R355" s="11" t="str">
        <f>IF(O355&lt;&gt;"",IF($F$11="raty malejące",T354/($F$4-O354+SUM($P$28:P355)),IF(Q355-S355&gt;T354,T354,Q355-S355)),"")</f>
        <v/>
      </c>
      <c r="S355" s="11" t="str">
        <f t="shared" si="176"/>
        <v/>
      </c>
      <c r="T355" s="9" t="str">
        <f t="shared" si="177"/>
        <v/>
      </c>
      <c r="U355" s="10" t="str">
        <f t="shared" si="178"/>
        <v/>
      </c>
      <c r="V355" s="10" t="str">
        <f t="shared" si="179"/>
        <v/>
      </c>
      <c r="W355" s="49" t="str">
        <f t="shared" si="180"/>
        <v/>
      </c>
      <c r="X355" s="11" t="str">
        <f t="shared" si="181"/>
        <v/>
      </c>
      <c r="Y355" s="11" t="str">
        <f>IF(O355&lt;&gt;"",IF($B$16=listy!$K$8,'RZĄDOWY PROGRAM'!$F$3*'RZĄDOWY PROGRAM'!$F$15,T354*$F$15),"")</f>
        <v/>
      </c>
      <c r="Z355" s="11" t="str">
        <f t="shared" si="182"/>
        <v/>
      </c>
      <c r="AB355" s="8" t="str">
        <f t="shared" si="183"/>
        <v/>
      </c>
      <c r="AC355" s="8"/>
      <c r="AD355" s="33" t="str">
        <f>IF(AB355&lt;&gt;"",ROUND(IF($F$11="raty równe",-PMT(W355/12,$F$4-AB354+SUM($AC$28:AC355),AG354,2),AE355+AF355),2),"")</f>
        <v/>
      </c>
      <c r="AE355" s="11" t="str">
        <f>IF(AB355&lt;&gt;"",IF($F$11="raty malejące",AG354/($F$4-AB354+SUM($AC$28:AC354)),MIN(AD355-AF355,AG354)),"")</f>
        <v/>
      </c>
      <c r="AF355" s="11" t="str">
        <f t="shared" si="184"/>
        <v/>
      </c>
      <c r="AG355" s="9" t="str">
        <f t="shared" si="185"/>
        <v/>
      </c>
      <c r="AH355" s="11"/>
      <c r="AI355" s="33" t="str">
        <f>IF(AB355&lt;&gt;"",ROUND(IF($F$11="raty równe",-PMT(W355/12,($F$4-AB354+SUM($AC$27:AC354)),AG354,2),AG354/($F$4-AB354+SUM($AC$27:AC354))+AG354*W355/12),2),"")</f>
        <v/>
      </c>
      <c r="AJ355" s="33" t="str">
        <f t="shared" si="186"/>
        <v/>
      </c>
      <c r="AK355" s="33" t="str">
        <f t="shared" si="187"/>
        <v/>
      </c>
      <c r="AL355" s="33" t="str">
        <f>IF(AB355&lt;&gt;"",AK355-SUM($AJ$28:AJ355),"")</f>
        <v/>
      </c>
      <c r="AM355" s="11" t="str">
        <f t="shared" si="188"/>
        <v/>
      </c>
      <c r="AN355" s="11" t="str">
        <f>IF(AB355&lt;&gt;"",IF($B$16=listy!$K$8,'RZĄDOWY PROGRAM'!$F$3*'RZĄDOWY PROGRAM'!$F$15,AG354*$F$15),"")</f>
        <v/>
      </c>
      <c r="AO355" s="11" t="str">
        <f t="shared" si="189"/>
        <v/>
      </c>
      <c r="AQ355" s="49" t="str">
        <f t="shared" si="190"/>
        <v/>
      </c>
      <c r="AR355" s="18" t="str">
        <f t="shared" si="191"/>
        <v/>
      </c>
      <c r="AS355" s="11" t="str">
        <f t="shared" si="192"/>
        <v/>
      </c>
      <c r="AT355" s="11" t="str">
        <f t="shared" si="193"/>
        <v/>
      </c>
      <c r="AU355" s="11" t="str">
        <f>IF(AB355&lt;&gt;"",AT355-SUM($AS$28:AS355),"")</f>
        <v/>
      </c>
    </row>
    <row r="356" spans="1:47" ht="14.5" x14ac:dyDescent="0.35">
      <c r="A356" s="76" t="str">
        <f t="shared" si="165"/>
        <v/>
      </c>
      <c r="B356" s="8" t="str">
        <f t="shared" si="194"/>
        <v/>
      </c>
      <c r="C356" s="11" t="str">
        <f t="shared" si="166"/>
        <v/>
      </c>
      <c r="D356" s="11" t="str">
        <f t="shared" si="167"/>
        <v/>
      </c>
      <c r="E356" s="11" t="str">
        <f t="shared" si="168"/>
        <v/>
      </c>
      <c r="F356" s="9" t="str">
        <f t="shared" si="169"/>
        <v/>
      </c>
      <c r="G356" s="10" t="str">
        <f t="shared" si="170"/>
        <v/>
      </c>
      <c r="H356" s="10" t="str">
        <f t="shared" si="171"/>
        <v/>
      </c>
      <c r="I356" s="49" t="str">
        <f t="shared" si="172"/>
        <v/>
      </c>
      <c r="J356" s="11" t="str">
        <f t="shared" si="173"/>
        <v/>
      </c>
      <c r="K356" s="11" t="str">
        <f>IF(B356&lt;&gt;"",IF($B$16=listy!$K$8,'RZĄDOWY PROGRAM'!$F$3*'RZĄDOWY PROGRAM'!$F$15,F355*$F$15),"")</f>
        <v/>
      </c>
      <c r="L356" s="11" t="str">
        <f t="shared" si="174"/>
        <v/>
      </c>
      <c r="N356" s="55" t="str">
        <f t="shared" si="175"/>
        <v/>
      </c>
      <c r="O356" s="8" t="str">
        <f t="shared" si="195"/>
        <v/>
      </c>
      <c r="P356" s="8"/>
      <c r="Q356" s="33" t="str">
        <f>IF(O356&lt;&gt;"",ROUND(IF($F$11="raty równe",-PMT(W356/12,$F$4-O355+SUM($P$28:P356),T355,2),R356+S356),2),"")</f>
        <v/>
      </c>
      <c r="R356" s="11" t="str">
        <f>IF(O356&lt;&gt;"",IF($F$11="raty malejące",T355/($F$4-O355+SUM($P$28:P356)),IF(Q356-S356&gt;T355,T355,Q356-S356)),"")</f>
        <v/>
      </c>
      <c r="S356" s="11" t="str">
        <f t="shared" si="176"/>
        <v/>
      </c>
      <c r="T356" s="9" t="str">
        <f t="shared" si="177"/>
        <v/>
      </c>
      <c r="U356" s="10" t="str">
        <f t="shared" si="178"/>
        <v/>
      </c>
      <c r="V356" s="10" t="str">
        <f t="shared" si="179"/>
        <v/>
      </c>
      <c r="W356" s="49" t="str">
        <f t="shared" si="180"/>
        <v/>
      </c>
      <c r="X356" s="11" t="str">
        <f t="shared" si="181"/>
        <v/>
      </c>
      <c r="Y356" s="11" t="str">
        <f>IF(O356&lt;&gt;"",IF($B$16=listy!$K$8,'RZĄDOWY PROGRAM'!$F$3*'RZĄDOWY PROGRAM'!$F$15,T355*$F$15),"")</f>
        <v/>
      </c>
      <c r="Z356" s="11" t="str">
        <f t="shared" si="182"/>
        <v/>
      </c>
      <c r="AB356" s="8" t="str">
        <f t="shared" si="183"/>
        <v/>
      </c>
      <c r="AC356" s="8"/>
      <c r="AD356" s="33" t="str">
        <f>IF(AB356&lt;&gt;"",ROUND(IF($F$11="raty równe",-PMT(W356/12,$F$4-AB355+SUM($AC$28:AC356),AG355,2),AE356+AF356),2),"")</f>
        <v/>
      </c>
      <c r="AE356" s="11" t="str">
        <f>IF(AB356&lt;&gt;"",IF($F$11="raty malejące",AG355/($F$4-AB355+SUM($AC$28:AC355)),MIN(AD356-AF356,AG355)),"")</f>
        <v/>
      </c>
      <c r="AF356" s="11" t="str">
        <f t="shared" si="184"/>
        <v/>
      </c>
      <c r="AG356" s="9" t="str">
        <f t="shared" si="185"/>
        <v/>
      </c>
      <c r="AH356" s="11"/>
      <c r="AI356" s="33" t="str">
        <f>IF(AB356&lt;&gt;"",ROUND(IF($F$11="raty równe",-PMT(W356/12,($F$4-AB355+SUM($AC$27:AC355)),AG355,2),AG355/($F$4-AB355+SUM($AC$27:AC355))+AG355*W356/12),2),"")</f>
        <v/>
      </c>
      <c r="AJ356" s="33" t="str">
        <f t="shared" si="186"/>
        <v/>
      </c>
      <c r="AK356" s="33" t="str">
        <f t="shared" si="187"/>
        <v/>
      </c>
      <c r="AL356" s="33" t="str">
        <f>IF(AB356&lt;&gt;"",AK356-SUM($AJ$28:AJ356),"")</f>
        <v/>
      </c>
      <c r="AM356" s="11" t="str">
        <f t="shared" si="188"/>
        <v/>
      </c>
      <c r="AN356" s="11" t="str">
        <f>IF(AB356&lt;&gt;"",IF($B$16=listy!$K$8,'RZĄDOWY PROGRAM'!$F$3*'RZĄDOWY PROGRAM'!$F$15,AG355*$F$15),"")</f>
        <v/>
      </c>
      <c r="AO356" s="11" t="str">
        <f t="shared" si="189"/>
        <v/>
      </c>
      <c r="AQ356" s="49" t="str">
        <f t="shared" si="190"/>
        <v/>
      </c>
      <c r="AR356" s="18" t="str">
        <f t="shared" si="191"/>
        <v/>
      </c>
      <c r="AS356" s="11" t="str">
        <f t="shared" si="192"/>
        <v/>
      </c>
      <c r="AT356" s="11" t="str">
        <f t="shared" si="193"/>
        <v/>
      </c>
      <c r="AU356" s="11" t="str">
        <f>IF(AB356&lt;&gt;"",AT356-SUM($AS$28:AS356),"")</f>
        <v/>
      </c>
    </row>
    <row r="357" spans="1:47" ht="14.5" x14ac:dyDescent="0.35">
      <c r="A357" s="76" t="str">
        <f t="shared" si="165"/>
        <v/>
      </c>
      <c r="B357" s="8" t="str">
        <f t="shared" si="194"/>
        <v/>
      </c>
      <c r="C357" s="11" t="str">
        <f t="shared" si="166"/>
        <v/>
      </c>
      <c r="D357" s="11" t="str">
        <f t="shared" si="167"/>
        <v/>
      </c>
      <c r="E357" s="11" t="str">
        <f t="shared" si="168"/>
        <v/>
      </c>
      <c r="F357" s="9" t="str">
        <f t="shared" si="169"/>
        <v/>
      </c>
      <c r="G357" s="10" t="str">
        <f t="shared" si="170"/>
        <v/>
      </c>
      <c r="H357" s="10" t="str">
        <f t="shared" si="171"/>
        <v/>
      </c>
      <c r="I357" s="49" t="str">
        <f t="shared" si="172"/>
        <v/>
      </c>
      <c r="J357" s="11" t="str">
        <f t="shared" si="173"/>
        <v/>
      </c>
      <c r="K357" s="11" t="str">
        <f>IF(B357&lt;&gt;"",IF($B$16=listy!$K$8,'RZĄDOWY PROGRAM'!$F$3*'RZĄDOWY PROGRAM'!$F$15,F356*$F$15),"")</f>
        <v/>
      </c>
      <c r="L357" s="11" t="str">
        <f t="shared" si="174"/>
        <v/>
      </c>
      <c r="N357" s="55" t="str">
        <f t="shared" si="175"/>
        <v/>
      </c>
      <c r="O357" s="8" t="str">
        <f t="shared" si="195"/>
        <v/>
      </c>
      <c r="P357" s="8"/>
      <c r="Q357" s="33" t="str">
        <f>IF(O357&lt;&gt;"",ROUND(IF($F$11="raty równe",-PMT(W357/12,$F$4-O356+SUM($P$28:P357),T356,2),R357+S357),2),"")</f>
        <v/>
      </c>
      <c r="R357" s="11" t="str">
        <f>IF(O357&lt;&gt;"",IF($F$11="raty malejące",T356/($F$4-O356+SUM($P$28:P357)),IF(Q357-S357&gt;T356,T356,Q357-S357)),"")</f>
        <v/>
      </c>
      <c r="S357" s="11" t="str">
        <f t="shared" si="176"/>
        <v/>
      </c>
      <c r="T357" s="9" t="str">
        <f t="shared" si="177"/>
        <v/>
      </c>
      <c r="U357" s="10" t="str">
        <f t="shared" si="178"/>
        <v/>
      </c>
      <c r="V357" s="10" t="str">
        <f t="shared" si="179"/>
        <v/>
      </c>
      <c r="W357" s="49" t="str">
        <f t="shared" si="180"/>
        <v/>
      </c>
      <c r="X357" s="11" t="str">
        <f t="shared" si="181"/>
        <v/>
      </c>
      <c r="Y357" s="11" t="str">
        <f>IF(O357&lt;&gt;"",IF($B$16=listy!$K$8,'RZĄDOWY PROGRAM'!$F$3*'RZĄDOWY PROGRAM'!$F$15,T356*$F$15),"")</f>
        <v/>
      </c>
      <c r="Z357" s="11" t="str">
        <f t="shared" si="182"/>
        <v/>
      </c>
      <c r="AB357" s="8" t="str">
        <f t="shared" si="183"/>
        <v/>
      </c>
      <c r="AC357" s="8"/>
      <c r="AD357" s="33" t="str">
        <f>IF(AB357&lt;&gt;"",ROUND(IF($F$11="raty równe",-PMT(W357/12,$F$4-AB356+SUM($AC$28:AC357),AG356,2),AE357+AF357),2),"")</f>
        <v/>
      </c>
      <c r="AE357" s="11" t="str">
        <f>IF(AB357&lt;&gt;"",IF($F$11="raty malejące",AG356/($F$4-AB356+SUM($AC$28:AC356)),MIN(AD357-AF357,AG356)),"")</f>
        <v/>
      </c>
      <c r="AF357" s="11" t="str">
        <f t="shared" si="184"/>
        <v/>
      </c>
      <c r="AG357" s="9" t="str">
        <f t="shared" si="185"/>
        <v/>
      </c>
      <c r="AH357" s="11"/>
      <c r="AI357" s="33" t="str">
        <f>IF(AB357&lt;&gt;"",ROUND(IF($F$11="raty równe",-PMT(W357/12,($F$4-AB356+SUM($AC$27:AC356)),AG356,2),AG356/($F$4-AB356+SUM($AC$27:AC356))+AG356*W357/12),2),"")</f>
        <v/>
      </c>
      <c r="AJ357" s="33" t="str">
        <f t="shared" si="186"/>
        <v/>
      </c>
      <c r="AK357" s="33" t="str">
        <f t="shared" si="187"/>
        <v/>
      </c>
      <c r="AL357" s="33" t="str">
        <f>IF(AB357&lt;&gt;"",AK357-SUM($AJ$28:AJ357),"")</f>
        <v/>
      </c>
      <c r="AM357" s="11" t="str">
        <f t="shared" si="188"/>
        <v/>
      </c>
      <c r="AN357" s="11" t="str">
        <f>IF(AB357&lt;&gt;"",IF($B$16=listy!$K$8,'RZĄDOWY PROGRAM'!$F$3*'RZĄDOWY PROGRAM'!$F$15,AG356*$F$15),"")</f>
        <v/>
      </c>
      <c r="AO357" s="11" t="str">
        <f t="shared" si="189"/>
        <v/>
      </c>
      <c r="AQ357" s="49" t="str">
        <f t="shared" si="190"/>
        <v/>
      </c>
      <c r="AR357" s="18" t="str">
        <f t="shared" si="191"/>
        <v/>
      </c>
      <c r="AS357" s="11" t="str">
        <f t="shared" si="192"/>
        <v/>
      </c>
      <c r="AT357" s="11" t="str">
        <f t="shared" si="193"/>
        <v/>
      </c>
      <c r="AU357" s="11" t="str">
        <f>IF(AB357&lt;&gt;"",AT357-SUM($AS$28:AS357),"")</f>
        <v/>
      </c>
    </row>
    <row r="358" spans="1:47" ht="14.5" x14ac:dyDescent="0.35">
      <c r="A358" s="76" t="str">
        <f t="shared" si="165"/>
        <v/>
      </c>
      <c r="B358" s="8" t="str">
        <f t="shared" si="194"/>
        <v/>
      </c>
      <c r="C358" s="11" t="str">
        <f t="shared" si="166"/>
        <v/>
      </c>
      <c r="D358" s="11" t="str">
        <f t="shared" si="167"/>
        <v/>
      </c>
      <c r="E358" s="11" t="str">
        <f t="shared" si="168"/>
        <v/>
      </c>
      <c r="F358" s="9" t="str">
        <f t="shared" si="169"/>
        <v/>
      </c>
      <c r="G358" s="10" t="str">
        <f t="shared" si="170"/>
        <v/>
      </c>
      <c r="H358" s="10" t="str">
        <f t="shared" si="171"/>
        <v/>
      </c>
      <c r="I358" s="49" t="str">
        <f t="shared" si="172"/>
        <v/>
      </c>
      <c r="J358" s="11" t="str">
        <f t="shared" si="173"/>
        <v/>
      </c>
      <c r="K358" s="11" t="str">
        <f>IF(B358&lt;&gt;"",IF($B$16=listy!$K$8,'RZĄDOWY PROGRAM'!$F$3*'RZĄDOWY PROGRAM'!$F$15,F357*$F$15),"")</f>
        <v/>
      </c>
      <c r="L358" s="11" t="str">
        <f t="shared" si="174"/>
        <v/>
      </c>
      <c r="N358" s="55" t="str">
        <f t="shared" si="175"/>
        <v/>
      </c>
      <c r="O358" s="8" t="str">
        <f t="shared" si="195"/>
        <v/>
      </c>
      <c r="P358" s="8"/>
      <c r="Q358" s="33" t="str">
        <f>IF(O358&lt;&gt;"",ROUND(IF($F$11="raty równe",-PMT(W358/12,$F$4-O357+SUM($P$28:P358),T357,2),R358+S358),2),"")</f>
        <v/>
      </c>
      <c r="R358" s="11" t="str">
        <f>IF(O358&lt;&gt;"",IF($F$11="raty malejące",T357/($F$4-O357+SUM($P$28:P358)),IF(Q358-S358&gt;T357,T357,Q358-S358)),"")</f>
        <v/>
      </c>
      <c r="S358" s="11" t="str">
        <f t="shared" si="176"/>
        <v/>
      </c>
      <c r="T358" s="9" t="str">
        <f t="shared" si="177"/>
        <v/>
      </c>
      <c r="U358" s="10" t="str">
        <f t="shared" si="178"/>
        <v/>
      </c>
      <c r="V358" s="10" t="str">
        <f t="shared" si="179"/>
        <v/>
      </c>
      <c r="W358" s="49" t="str">
        <f t="shared" si="180"/>
        <v/>
      </c>
      <c r="X358" s="11" t="str">
        <f t="shared" si="181"/>
        <v/>
      </c>
      <c r="Y358" s="11" t="str">
        <f>IF(O358&lt;&gt;"",IF($B$16=listy!$K$8,'RZĄDOWY PROGRAM'!$F$3*'RZĄDOWY PROGRAM'!$F$15,T357*$F$15),"")</f>
        <v/>
      </c>
      <c r="Z358" s="11" t="str">
        <f t="shared" si="182"/>
        <v/>
      </c>
      <c r="AB358" s="8" t="str">
        <f t="shared" si="183"/>
        <v/>
      </c>
      <c r="AC358" s="8"/>
      <c r="AD358" s="33" t="str">
        <f>IF(AB358&lt;&gt;"",ROUND(IF($F$11="raty równe",-PMT(W358/12,$F$4-AB357+SUM($AC$28:AC358),AG357,2),AE358+AF358),2),"")</f>
        <v/>
      </c>
      <c r="AE358" s="11" t="str">
        <f>IF(AB358&lt;&gt;"",IF($F$11="raty malejące",AG357/($F$4-AB357+SUM($AC$28:AC357)),MIN(AD358-AF358,AG357)),"")</f>
        <v/>
      </c>
      <c r="AF358" s="11" t="str">
        <f t="shared" si="184"/>
        <v/>
      </c>
      <c r="AG358" s="9" t="str">
        <f t="shared" si="185"/>
        <v/>
      </c>
      <c r="AH358" s="11"/>
      <c r="AI358" s="33" t="str">
        <f>IF(AB358&lt;&gt;"",ROUND(IF($F$11="raty równe",-PMT(W358/12,($F$4-AB357+SUM($AC$27:AC357)),AG357,2),AG357/($F$4-AB357+SUM($AC$27:AC357))+AG357*W358/12),2),"")</f>
        <v/>
      </c>
      <c r="AJ358" s="33" t="str">
        <f t="shared" si="186"/>
        <v/>
      </c>
      <c r="AK358" s="33" t="str">
        <f t="shared" si="187"/>
        <v/>
      </c>
      <c r="AL358" s="33" t="str">
        <f>IF(AB358&lt;&gt;"",AK358-SUM($AJ$28:AJ358),"")</f>
        <v/>
      </c>
      <c r="AM358" s="11" t="str">
        <f t="shared" si="188"/>
        <v/>
      </c>
      <c r="AN358" s="11" t="str">
        <f>IF(AB358&lt;&gt;"",IF($B$16=listy!$K$8,'RZĄDOWY PROGRAM'!$F$3*'RZĄDOWY PROGRAM'!$F$15,AG357*$F$15),"")</f>
        <v/>
      </c>
      <c r="AO358" s="11" t="str">
        <f t="shared" si="189"/>
        <v/>
      </c>
      <c r="AQ358" s="49" t="str">
        <f t="shared" si="190"/>
        <v/>
      </c>
      <c r="AR358" s="18" t="str">
        <f t="shared" si="191"/>
        <v/>
      </c>
      <c r="AS358" s="11" t="str">
        <f t="shared" si="192"/>
        <v/>
      </c>
      <c r="AT358" s="11" t="str">
        <f t="shared" si="193"/>
        <v/>
      </c>
      <c r="AU358" s="11" t="str">
        <f>IF(AB358&lt;&gt;"",AT358-SUM($AS$28:AS358),"")</f>
        <v/>
      </c>
    </row>
    <row r="359" spans="1:47" ht="14.5" x14ac:dyDescent="0.35">
      <c r="A359" s="76" t="str">
        <f t="shared" si="165"/>
        <v/>
      </c>
      <c r="B359" s="8" t="str">
        <f t="shared" si="194"/>
        <v/>
      </c>
      <c r="C359" s="11" t="str">
        <f t="shared" si="166"/>
        <v/>
      </c>
      <c r="D359" s="11" t="str">
        <f t="shared" si="167"/>
        <v/>
      </c>
      <c r="E359" s="11" t="str">
        <f t="shared" si="168"/>
        <v/>
      </c>
      <c r="F359" s="9" t="str">
        <f t="shared" si="169"/>
        <v/>
      </c>
      <c r="G359" s="10" t="str">
        <f t="shared" si="170"/>
        <v/>
      </c>
      <c r="H359" s="10" t="str">
        <f t="shared" si="171"/>
        <v/>
      </c>
      <c r="I359" s="49" t="str">
        <f t="shared" si="172"/>
        <v/>
      </c>
      <c r="J359" s="11" t="str">
        <f t="shared" si="173"/>
        <v/>
      </c>
      <c r="K359" s="11" t="str">
        <f>IF(B359&lt;&gt;"",IF($B$16=listy!$K$8,'RZĄDOWY PROGRAM'!$F$3*'RZĄDOWY PROGRAM'!$F$15,F358*$F$15),"")</f>
        <v/>
      </c>
      <c r="L359" s="11" t="str">
        <f t="shared" si="174"/>
        <v/>
      </c>
      <c r="N359" s="55" t="str">
        <f t="shared" si="175"/>
        <v/>
      </c>
      <c r="O359" s="8" t="str">
        <f t="shared" si="195"/>
        <v/>
      </c>
      <c r="P359" s="8"/>
      <c r="Q359" s="33" t="str">
        <f>IF(O359&lt;&gt;"",ROUND(IF($F$11="raty równe",-PMT(W359/12,$F$4-O358+SUM($P$28:P359),T358,2),R359+S359),2),"")</f>
        <v/>
      </c>
      <c r="R359" s="11" t="str">
        <f>IF(O359&lt;&gt;"",IF($F$11="raty malejące",T358/($F$4-O358+SUM($P$28:P359)),IF(Q359-S359&gt;T358,T358,Q359-S359)),"")</f>
        <v/>
      </c>
      <c r="S359" s="11" t="str">
        <f t="shared" si="176"/>
        <v/>
      </c>
      <c r="T359" s="9" t="str">
        <f t="shared" si="177"/>
        <v/>
      </c>
      <c r="U359" s="10" t="str">
        <f t="shared" si="178"/>
        <v/>
      </c>
      <c r="V359" s="10" t="str">
        <f t="shared" si="179"/>
        <v/>
      </c>
      <c r="W359" s="49" t="str">
        <f t="shared" si="180"/>
        <v/>
      </c>
      <c r="X359" s="11" t="str">
        <f t="shared" si="181"/>
        <v/>
      </c>
      <c r="Y359" s="11" t="str">
        <f>IF(O359&lt;&gt;"",IF($B$16=listy!$K$8,'RZĄDOWY PROGRAM'!$F$3*'RZĄDOWY PROGRAM'!$F$15,T358*$F$15),"")</f>
        <v/>
      </c>
      <c r="Z359" s="11" t="str">
        <f t="shared" si="182"/>
        <v/>
      </c>
      <c r="AB359" s="8" t="str">
        <f t="shared" si="183"/>
        <v/>
      </c>
      <c r="AC359" s="8"/>
      <c r="AD359" s="33" t="str">
        <f>IF(AB359&lt;&gt;"",ROUND(IF($F$11="raty równe",-PMT(W359/12,$F$4-AB358+SUM($AC$28:AC359),AG358,2),AE359+AF359),2),"")</f>
        <v/>
      </c>
      <c r="AE359" s="11" t="str">
        <f>IF(AB359&lt;&gt;"",IF($F$11="raty malejące",AG358/($F$4-AB358+SUM($AC$28:AC358)),MIN(AD359-AF359,AG358)),"")</f>
        <v/>
      </c>
      <c r="AF359" s="11" t="str">
        <f t="shared" si="184"/>
        <v/>
      </c>
      <c r="AG359" s="9" t="str">
        <f t="shared" si="185"/>
        <v/>
      </c>
      <c r="AH359" s="11"/>
      <c r="AI359" s="33" t="str">
        <f>IF(AB359&lt;&gt;"",ROUND(IF($F$11="raty równe",-PMT(W359/12,($F$4-AB358+SUM($AC$27:AC358)),AG358,2),AG358/($F$4-AB358+SUM($AC$27:AC358))+AG358*W359/12),2),"")</f>
        <v/>
      </c>
      <c r="AJ359" s="33" t="str">
        <f t="shared" si="186"/>
        <v/>
      </c>
      <c r="AK359" s="33" t="str">
        <f t="shared" si="187"/>
        <v/>
      </c>
      <c r="AL359" s="33" t="str">
        <f>IF(AB359&lt;&gt;"",AK359-SUM($AJ$28:AJ359),"")</f>
        <v/>
      </c>
      <c r="AM359" s="11" t="str">
        <f t="shared" si="188"/>
        <v/>
      </c>
      <c r="AN359" s="11" t="str">
        <f>IF(AB359&lt;&gt;"",IF($B$16=listy!$K$8,'RZĄDOWY PROGRAM'!$F$3*'RZĄDOWY PROGRAM'!$F$15,AG358*$F$15),"")</f>
        <v/>
      </c>
      <c r="AO359" s="11" t="str">
        <f t="shared" si="189"/>
        <v/>
      </c>
      <c r="AQ359" s="49" t="str">
        <f t="shared" si="190"/>
        <v/>
      </c>
      <c r="AR359" s="18" t="str">
        <f t="shared" si="191"/>
        <v/>
      </c>
      <c r="AS359" s="11" t="str">
        <f t="shared" si="192"/>
        <v/>
      </c>
      <c r="AT359" s="11" t="str">
        <f t="shared" si="193"/>
        <v/>
      </c>
      <c r="AU359" s="11" t="str">
        <f>IF(AB359&lt;&gt;"",AT359-SUM($AS$28:AS359),"")</f>
        <v/>
      </c>
    </row>
    <row r="360" spans="1:47" ht="14.5" x14ac:dyDescent="0.35">
      <c r="A360" s="76" t="str">
        <f t="shared" si="165"/>
        <v/>
      </c>
      <c r="B360" s="8" t="str">
        <f t="shared" si="194"/>
        <v/>
      </c>
      <c r="C360" s="11" t="str">
        <f t="shared" si="166"/>
        <v/>
      </c>
      <c r="D360" s="11" t="str">
        <f t="shared" si="167"/>
        <v/>
      </c>
      <c r="E360" s="11" t="str">
        <f t="shared" si="168"/>
        <v/>
      </c>
      <c r="F360" s="9" t="str">
        <f t="shared" si="169"/>
        <v/>
      </c>
      <c r="G360" s="10" t="str">
        <f t="shared" si="170"/>
        <v/>
      </c>
      <c r="H360" s="10" t="str">
        <f t="shared" si="171"/>
        <v/>
      </c>
      <c r="I360" s="49" t="str">
        <f t="shared" si="172"/>
        <v/>
      </c>
      <c r="J360" s="11" t="str">
        <f t="shared" si="173"/>
        <v/>
      </c>
      <c r="K360" s="11" t="str">
        <f>IF(B360&lt;&gt;"",IF($B$16=listy!$K$8,'RZĄDOWY PROGRAM'!$F$3*'RZĄDOWY PROGRAM'!$F$15,F359*$F$15),"")</f>
        <v/>
      </c>
      <c r="L360" s="11" t="str">
        <f t="shared" si="174"/>
        <v/>
      </c>
      <c r="N360" s="55" t="str">
        <f t="shared" si="175"/>
        <v/>
      </c>
      <c r="O360" s="8" t="str">
        <f t="shared" si="195"/>
        <v/>
      </c>
      <c r="P360" s="8"/>
      <c r="Q360" s="33" t="str">
        <f>IF(O360&lt;&gt;"",ROUND(IF($F$11="raty równe",-PMT(W360/12,$F$4-O359+SUM($P$28:P360),T359,2),R360+S360),2),"")</f>
        <v/>
      </c>
      <c r="R360" s="11" t="str">
        <f>IF(O360&lt;&gt;"",IF($F$11="raty malejące",T359/($F$4-O359+SUM($P$28:P360)),IF(Q360-S360&gt;T359,T359,Q360-S360)),"")</f>
        <v/>
      </c>
      <c r="S360" s="11" t="str">
        <f t="shared" si="176"/>
        <v/>
      </c>
      <c r="T360" s="9" t="str">
        <f t="shared" si="177"/>
        <v/>
      </c>
      <c r="U360" s="10" t="str">
        <f t="shared" si="178"/>
        <v/>
      </c>
      <c r="V360" s="10" t="str">
        <f t="shared" si="179"/>
        <v/>
      </c>
      <c r="W360" s="49" t="str">
        <f t="shared" si="180"/>
        <v/>
      </c>
      <c r="X360" s="11" t="str">
        <f t="shared" si="181"/>
        <v/>
      </c>
      <c r="Y360" s="11" t="str">
        <f>IF(O360&lt;&gt;"",IF($B$16=listy!$K$8,'RZĄDOWY PROGRAM'!$F$3*'RZĄDOWY PROGRAM'!$F$15,T359*$F$15),"")</f>
        <v/>
      </c>
      <c r="Z360" s="11" t="str">
        <f t="shared" si="182"/>
        <v/>
      </c>
      <c r="AB360" s="8" t="str">
        <f t="shared" si="183"/>
        <v/>
      </c>
      <c r="AC360" s="8"/>
      <c r="AD360" s="33" t="str">
        <f>IF(AB360&lt;&gt;"",ROUND(IF($F$11="raty równe",-PMT(W360/12,$F$4-AB359+SUM($AC$28:AC360),AG359,2),AE360+AF360),2),"")</f>
        <v/>
      </c>
      <c r="AE360" s="11" t="str">
        <f>IF(AB360&lt;&gt;"",IF($F$11="raty malejące",AG359/($F$4-AB359+SUM($AC$28:AC359)),MIN(AD360-AF360,AG359)),"")</f>
        <v/>
      </c>
      <c r="AF360" s="11" t="str">
        <f t="shared" si="184"/>
        <v/>
      </c>
      <c r="AG360" s="9" t="str">
        <f t="shared" si="185"/>
        <v/>
      </c>
      <c r="AH360" s="11"/>
      <c r="AI360" s="33" t="str">
        <f>IF(AB360&lt;&gt;"",ROUND(IF($F$11="raty równe",-PMT(W360/12,($F$4-AB359+SUM($AC$27:AC359)),AG359,2),AG359/($F$4-AB359+SUM($AC$27:AC359))+AG359*W360/12),2),"")</f>
        <v/>
      </c>
      <c r="AJ360" s="33" t="str">
        <f t="shared" si="186"/>
        <v/>
      </c>
      <c r="AK360" s="33" t="str">
        <f t="shared" si="187"/>
        <v/>
      </c>
      <c r="AL360" s="33" t="str">
        <f>IF(AB360&lt;&gt;"",AK360-SUM($AJ$28:AJ360),"")</f>
        <v/>
      </c>
      <c r="AM360" s="11" t="str">
        <f t="shared" si="188"/>
        <v/>
      </c>
      <c r="AN360" s="11" t="str">
        <f>IF(AB360&lt;&gt;"",IF($B$16=listy!$K$8,'RZĄDOWY PROGRAM'!$F$3*'RZĄDOWY PROGRAM'!$F$15,AG359*$F$15),"")</f>
        <v/>
      </c>
      <c r="AO360" s="11" t="str">
        <f t="shared" si="189"/>
        <v/>
      </c>
      <c r="AQ360" s="49" t="str">
        <f t="shared" si="190"/>
        <v/>
      </c>
      <c r="AR360" s="18" t="str">
        <f t="shared" si="191"/>
        <v/>
      </c>
      <c r="AS360" s="11" t="str">
        <f t="shared" si="192"/>
        <v/>
      </c>
      <c r="AT360" s="11" t="str">
        <f t="shared" si="193"/>
        <v/>
      </c>
      <c r="AU360" s="11" t="str">
        <f>IF(AB360&lt;&gt;"",AT360-SUM($AS$28:AS360),"")</f>
        <v/>
      </c>
    </row>
    <row r="361" spans="1:47" ht="14.5" x14ac:dyDescent="0.35">
      <c r="A361" s="76" t="str">
        <f t="shared" si="165"/>
        <v/>
      </c>
      <c r="B361" s="8" t="str">
        <f t="shared" si="194"/>
        <v/>
      </c>
      <c r="C361" s="11" t="str">
        <f t="shared" si="166"/>
        <v/>
      </c>
      <c r="D361" s="11" t="str">
        <f t="shared" si="167"/>
        <v/>
      </c>
      <c r="E361" s="11" t="str">
        <f t="shared" si="168"/>
        <v/>
      </c>
      <c r="F361" s="9" t="str">
        <f t="shared" si="169"/>
        <v/>
      </c>
      <c r="G361" s="10" t="str">
        <f t="shared" si="170"/>
        <v/>
      </c>
      <c r="H361" s="10" t="str">
        <f t="shared" si="171"/>
        <v/>
      </c>
      <c r="I361" s="49" t="str">
        <f t="shared" si="172"/>
        <v/>
      </c>
      <c r="J361" s="11" t="str">
        <f t="shared" si="173"/>
        <v/>
      </c>
      <c r="K361" s="11" t="str">
        <f>IF(B361&lt;&gt;"",IF($B$16=listy!$K$8,'RZĄDOWY PROGRAM'!$F$3*'RZĄDOWY PROGRAM'!$F$15,F360*$F$15),"")</f>
        <v/>
      </c>
      <c r="L361" s="11" t="str">
        <f t="shared" si="174"/>
        <v/>
      </c>
      <c r="N361" s="55" t="str">
        <f t="shared" si="175"/>
        <v/>
      </c>
      <c r="O361" s="8" t="str">
        <f t="shared" si="195"/>
        <v/>
      </c>
      <c r="P361" s="8"/>
      <c r="Q361" s="33" t="str">
        <f>IF(O361&lt;&gt;"",ROUND(IF($F$11="raty równe",-PMT(W361/12,$F$4-O360+SUM($P$28:P361),T360,2),R361+S361),2),"")</f>
        <v/>
      </c>
      <c r="R361" s="11" t="str">
        <f>IF(O361&lt;&gt;"",IF($F$11="raty malejące",T360/($F$4-O360+SUM($P$28:P361)),IF(Q361-S361&gt;T360,T360,Q361-S361)),"")</f>
        <v/>
      </c>
      <c r="S361" s="11" t="str">
        <f t="shared" si="176"/>
        <v/>
      </c>
      <c r="T361" s="9" t="str">
        <f t="shared" si="177"/>
        <v/>
      </c>
      <c r="U361" s="10" t="str">
        <f t="shared" si="178"/>
        <v/>
      </c>
      <c r="V361" s="10" t="str">
        <f t="shared" si="179"/>
        <v/>
      </c>
      <c r="W361" s="49" t="str">
        <f t="shared" si="180"/>
        <v/>
      </c>
      <c r="X361" s="11" t="str">
        <f t="shared" si="181"/>
        <v/>
      </c>
      <c r="Y361" s="11" t="str">
        <f>IF(O361&lt;&gt;"",IF($B$16=listy!$K$8,'RZĄDOWY PROGRAM'!$F$3*'RZĄDOWY PROGRAM'!$F$15,T360*$F$15),"")</f>
        <v/>
      </c>
      <c r="Z361" s="11" t="str">
        <f t="shared" si="182"/>
        <v/>
      </c>
      <c r="AB361" s="8" t="str">
        <f t="shared" si="183"/>
        <v/>
      </c>
      <c r="AC361" s="8"/>
      <c r="AD361" s="33" t="str">
        <f>IF(AB361&lt;&gt;"",ROUND(IF($F$11="raty równe",-PMT(W361/12,$F$4-AB360+SUM($AC$28:AC361),AG360,2),AE361+AF361),2),"")</f>
        <v/>
      </c>
      <c r="AE361" s="11" t="str">
        <f>IF(AB361&lt;&gt;"",IF($F$11="raty malejące",AG360/($F$4-AB360+SUM($AC$28:AC360)),MIN(AD361-AF361,AG360)),"")</f>
        <v/>
      </c>
      <c r="AF361" s="11" t="str">
        <f t="shared" si="184"/>
        <v/>
      </c>
      <c r="AG361" s="9" t="str">
        <f t="shared" si="185"/>
        <v/>
      </c>
      <c r="AH361" s="11"/>
      <c r="AI361" s="33" t="str">
        <f>IF(AB361&lt;&gt;"",ROUND(IF($F$11="raty równe",-PMT(W361/12,($F$4-AB360+SUM($AC$27:AC360)),AG360,2),AG360/($F$4-AB360+SUM($AC$27:AC360))+AG360*W361/12),2),"")</f>
        <v/>
      </c>
      <c r="AJ361" s="33" t="str">
        <f t="shared" si="186"/>
        <v/>
      </c>
      <c r="AK361" s="33" t="str">
        <f t="shared" si="187"/>
        <v/>
      </c>
      <c r="AL361" s="33" t="str">
        <f>IF(AB361&lt;&gt;"",AK361-SUM($AJ$28:AJ361),"")</f>
        <v/>
      </c>
      <c r="AM361" s="11" t="str">
        <f t="shared" si="188"/>
        <v/>
      </c>
      <c r="AN361" s="11" t="str">
        <f>IF(AB361&lt;&gt;"",IF($B$16=listy!$K$8,'RZĄDOWY PROGRAM'!$F$3*'RZĄDOWY PROGRAM'!$F$15,AG360*$F$15),"")</f>
        <v/>
      </c>
      <c r="AO361" s="11" t="str">
        <f t="shared" si="189"/>
        <v/>
      </c>
      <c r="AQ361" s="49" t="str">
        <f t="shared" si="190"/>
        <v/>
      </c>
      <c r="AR361" s="18" t="str">
        <f t="shared" si="191"/>
        <v/>
      </c>
      <c r="AS361" s="11" t="str">
        <f t="shared" si="192"/>
        <v/>
      </c>
      <c r="AT361" s="11" t="str">
        <f t="shared" si="193"/>
        <v/>
      </c>
      <c r="AU361" s="11" t="str">
        <f>IF(AB361&lt;&gt;"",AT361-SUM($AS$28:AS361),"")</f>
        <v/>
      </c>
    </row>
    <row r="362" spans="1:47" ht="14.5" x14ac:dyDescent="0.35">
      <c r="A362" s="76" t="str">
        <f t="shared" si="165"/>
        <v/>
      </c>
      <c r="B362" s="8" t="str">
        <f t="shared" si="194"/>
        <v/>
      </c>
      <c r="C362" s="11" t="str">
        <f t="shared" si="166"/>
        <v/>
      </c>
      <c r="D362" s="11" t="str">
        <f t="shared" si="167"/>
        <v/>
      </c>
      <c r="E362" s="11" t="str">
        <f t="shared" si="168"/>
        <v/>
      </c>
      <c r="F362" s="9" t="str">
        <f t="shared" si="169"/>
        <v/>
      </c>
      <c r="G362" s="10" t="str">
        <f t="shared" si="170"/>
        <v/>
      </c>
      <c r="H362" s="10" t="str">
        <f t="shared" si="171"/>
        <v/>
      </c>
      <c r="I362" s="49" t="str">
        <f t="shared" si="172"/>
        <v/>
      </c>
      <c r="J362" s="11" t="str">
        <f t="shared" si="173"/>
        <v/>
      </c>
      <c r="K362" s="11" t="str">
        <f>IF(B362&lt;&gt;"",IF($B$16=listy!$K$8,'RZĄDOWY PROGRAM'!$F$3*'RZĄDOWY PROGRAM'!$F$15,F361*$F$15),"")</f>
        <v/>
      </c>
      <c r="L362" s="11" t="str">
        <f t="shared" si="174"/>
        <v/>
      </c>
      <c r="N362" s="55" t="str">
        <f t="shared" si="175"/>
        <v/>
      </c>
      <c r="O362" s="8" t="str">
        <f t="shared" si="195"/>
        <v/>
      </c>
      <c r="P362" s="8"/>
      <c r="Q362" s="33" t="str">
        <f>IF(O362&lt;&gt;"",ROUND(IF($F$11="raty równe",-PMT(W362/12,$F$4-O361+SUM($P$28:P362),T361,2),R362+S362),2),"")</f>
        <v/>
      </c>
      <c r="R362" s="11" t="str">
        <f>IF(O362&lt;&gt;"",IF($F$11="raty malejące",T361/($F$4-O361+SUM($P$28:P362)),IF(Q362-S362&gt;T361,T361,Q362-S362)),"")</f>
        <v/>
      </c>
      <c r="S362" s="11" t="str">
        <f t="shared" si="176"/>
        <v/>
      </c>
      <c r="T362" s="9" t="str">
        <f t="shared" si="177"/>
        <v/>
      </c>
      <c r="U362" s="10" t="str">
        <f t="shared" si="178"/>
        <v/>
      </c>
      <c r="V362" s="10" t="str">
        <f t="shared" si="179"/>
        <v/>
      </c>
      <c r="W362" s="49" t="str">
        <f t="shared" si="180"/>
        <v/>
      </c>
      <c r="X362" s="11" t="str">
        <f t="shared" si="181"/>
        <v/>
      </c>
      <c r="Y362" s="11" t="str">
        <f>IF(O362&lt;&gt;"",IF($B$16=listy!$K$8,'RZĄDOWY PROGRAM'!$F$3*'RZĄDOWY PROGRAM'!$F$15,T361*$F$15),"")</f>
        <v/>
      </c>
      <c r="Z362" s="11" t="str">
        <f t="shared" si="182"/>
        <v/>
      </c>
      <c r="AB362" s="8" t="str">
        <f t="shared" si="183"/>
        <v/>
      </c>
      <c r="AC362" s="8"/>
      <c r="AD362" s="33" t="str">
        <f>IF(AB362&lt;&gt;"",ROUND(IF($F$11="raty równe",-PMT(W362/12,$F$4-AB361+SUM($AC$28:AC362),AG361,2),AE362+AF362),2),"")</f>
        <v/>
      </c>
      <c r="AE362" s="11" t="str">
        <f>IF(AB362&lt;&gt;"",IF($F$11="raty malejące",AG361/($F$4-AB361+SUM($AC$28:AC361)),MIN(AD362-AF362,AG361)),"")</f>
        <v/>
      </c>
      <c r="AF362" s="11" t="str">
        <f t="shared" si="184"/>
        <v/>
      </c>
      <c r="AG362" s="9" t="str">
        <f t="shared" si="185"/>
        <v/>
      </c>
      <c r="AH362" s="11"/>
      <c r="AI362" s="33" t="str">
        <f>IF(AB362&lt;&gt;"",ROUND(IF($F$11="raty równe",-PMT(W362/12,($F$4-AB361+SUM($AC$27:AC361)),AG361,2),AG361/($F$4-AB361+SUM($AC$27:AC361))+AG361*W362/12),2),"")</f>
        <v/>
      </c>
      <c r="AJ362" s="33" t="str">
        <f t="shared" si="186"/>
        <v/>
      </c>
      <c r="AK362" s="33" t="str">
        <f t="shared" si="187"/>
        <v/>
      </c>
      <c r="AL362" s="33" t="str">
        <f>IF(AB362&lt;&gt;"",AK362-SUM($AJ$28:AJ362),"")</f>
        <v/>
      </c>
      <c r="AM362" s="11" t="str">
        <f t="shared" si="188"/>
        <v/>
      </c>
      <c r="AN362" s="11" t="str">
        <f>IF(AB362&lt;&gt;"",IF($B$16=listy!$K$8,'RZĄDOWY PROGRAM'!$F$3*'RZĄDOWY PROGRAM'!$F$15,AG361*$F$15),"")</f>
        <v/>
      </c>
      <c r="AO362" s="11" t="str">
        <f t="shared" si="189"/>
        <v/>
      </c>
      <c r="AQ362" s="49" t="str">
        <f t="shared" si="190"/>
        <v/>
      </c>
      <c r="AR362" s="18" t="str">
        <f t="shared" si="191"/>
        <v/>
      </c>
      <c r="AS362" s="11" t="str">
        <f t="shared" si="192"/>
        <v/>
      </c>
      <c r="AT362" s="11" t="str">
        <f t="shared" si="193"/>
        <v/>
      </c>
      <c r="AU362" s="11" t="str">
        <f>IF(AB362&lt;&gt;"",AT362-SUM($AS$28:AS362),"")</f>
        <v/>
      </c>
    </row>
    <row r="363" spans="1:47" ht="14.5" x14ac:dyDescent="0.35">
      <c r="A363" s="76" t="str">
        <f t="shared" si="165"/>
        <v/>
      </c>
      <c r="B363" s="8" t="str">
        <f t="shared" si="194"/>
        <v/>
      </c>
      <c r="C363" s="11" t="str">
        <f t="shared" si="166"/>
        <v/>
      </c>
      <c r="D363" s="11" t="str">
        <f t="shared" si="167"/>
        <v/>
      </c>
      <c r="E363" s="11" t="str">
        <f t="shared" si="168"/>
        <v/>
      </c>
      <c r="F363" s="9" t="str">
        <f t="shared" si="169"/>
        <v/>
      </c>
      <c r="G363" s="10" t="str">
        <f t="shared" si="170"/>
        <v/>
      </c>
      <c r="H363" s="10" t="str">
        <f t="shared" si="171"/>
        <v/>
      </c>
      <c r="I363" s="49" t="str">
        <f t="shared" si="172"/>
        <v/>
      </c>
      <c r="J363" s="11" t="str">
        <f t="shared" si="173"/>
        <v/>
      </c>
      <c r="K363" s="11" t="str">
        <f>IF(B363&lt;&gt;"",IF($B$16=listy!$K$8,'RZĄDOWY PROGRAM'!$F$3*'RZĄDOWY PROGRAM'!$F$15,F362*$F$15),"")</f>
        <v/>
      </c>
      <c r="L363" s="11" t="str">
        <f t="shared" si="174"/>
        <v/>
      </c>
      <c r="N363" s="55" t="str">
        <f t="shared" si="175"/>
        <v/>
      </c>
      <c r="O363" s="8" t="str">
        <f t="shared" si="195"/>
        <v/>
      </c>
      <c r="P363" s="8"/>
      <c r="Q363" s="33" t="str">
        <f>IF(O363&lt;&gt;"",ROUND(IF($F$11="raty równe",-PMT(W363/12,$F$4-O362+SUM($P$28:P363),T362,2),R363+S363),2),"")</f>
        <v/>
      </c>
      <c r="R363" s="11" t="str">
        <f>IF(O363&lt;&gt;"",IF($F$11="raty malejące",T362/($F$4-O362+SUM($P$28:P363)),IF(Q363-S363&gt;T362,T362,Q363-S363)),"")</f>
        <v/>
      </c>
      <c r="S363" s="11" t="str">
        <f t="shared" si="176"/>
        <v/>
      </c>
      <c r="T363" s="9" t="str">
        <f t="shared" si="177"/>
        <v/>
      </c>
      <c r="U363" s="10" t="str">
        <f t="shared" si="178"/>
        <v/>
      </c>
      <c r="V363" s="10" t="str">
        <f t="shared" si="179"/>
        <v/>
      </c>
      <c r="W363" s="49" t="str">
        <f t="shared" si="180"/>
        <v/>
      </c>
      <c r="X363" s="11" t="str">
        <f t="shared" si="181"/>
        <v/>
      </c>
      <c r="Y363" s="11" t="str">
        <f>IF(O363&lt;&gt;"",IF($B$16=listy!$K$8,'RZĄDOWY PROGRAM'!$F$3*'RZĄDOWY PROGRAM'!$F$15,T362*$F$15),"")</f>
        <v/>
      </c>
      <c r="Z363" s="11" t="str">
        <f t="shared" si="182"/>
        <v/>
      </c>
      <c r="AB363" s="8" t="str">
        <f t="shared" si="183"/>
        <v/>
      </c>
      <c r="AC363" s="8"/>
      <c r="AD363" s="33" t="str">
        <f>IF(AB363&lt;&gt;"",ROUND(IF($F$11="raty równe",-PMT(W363/12,$F$4-AB362+SUM($AC$28:AC363),AG362,2),AE363+AF363),2),"")</f>
        <v/>
      </c>
      <c r="AE363" s="11" t="str">
        <f>IF(AB363&lt;&gt;"",IF($F$11="raty malejące",AG362/($F$4-AB362+SUM($AC$28:AC362)),MIN(AD363-AF363,AG362)),"")</f>
        <v/>
      </c>
      <c r="AF363" s="11" t="str">
        <f t="shared" si="184"/>
        <v/>
      </c>
      <c r="AG363" s="9" t="str">
        <f t="shared" si="185"/>
        <v/>
      </c>
      <c r="AH363" s="11"/>
      <c r="AI363" s="33" t="str">
        <f>IF(AB363&lt;&gt;"",ROUND(IF($F$11="raty równe",-PMT(W363/12,($F$4-AB362+SUM($AC$27:AC362)),AG362,2),AG362/($F$4-AB362+SUM($AC$27:AC362))+AG362*W363/12),2),"")</f>
        <v/>
      </c>
      <c r="AJ363" s="33" t="str">
        <f t="shared" si="186"/>
        <v/>
      </c>
      <c r="AK363" s="33" t="str">
        <f t="shared" si="187"/>
        <v/>
      </c>
      <c r="AL363" s="33" t="str">
        <f>IF(AB363&lt;&gt;"",AK363-SUM($AJ$28:AJ363),"")</f>
        <v/>
      </c>
      <c r="AM363" s="11" t="str">
        <f t="shared" si="188"/>
        <v/>
      </c>
      <c r="AN363" s="11" t="str">
        <f>IF(AB363&lt;&gt;"",IF($B$16=listy!$K$8,'RZĄDOWY PROGRAM'!$F$3*'RZĄDOWY PROGRAM'!$F$15,AG362*$F$15),"")</f>
        <v/>
      </c>
      <c r="AO363" s="11" t="str">
        <f t="shared" si="189"/>
        <v/>
      </c>
      <c r="AQ363" s="49" t="str">
        <f t="shared" si="190"/>
        <v/>
      </c>
      <c r="AR363" s="18" t="str">
        <f t="shared" si="191"/>
        <v/>
      </c>
      <c r="AS363" s="11" t="str">
        <f t="shared" si="192"/>
        <v/>
      </c>
      <c r="AT363" s="11" t="str">
        <f t="shared" si="193"/>
        <v/>
      </c>
      <c r="AU363" s="11" t="str">
        <f>IF(AB363&lt;&gt;"",AT363-SUM($AS$28:AS363),"")</f>
        <v/>
      </c>
    </row>
    <row r="364" spans="1:47" ht="14.5" x14ac:dyDescent="0.35">
      <c r="A364" s="76" t="str">
        <f t="shared" si="165"/>
        <v/>
      </c>
      <c r="B364" s="8" t="str">
        <f t="shared" si="194"/>
        <v/>
      </c>
      <c r="C364" s="11" t="str">
        <f t="shared" si="166"/>
        <v/>
      </c>
      <c r="D364" s="11" t="str">
        <f t="shared" si="167"/>
        <v/>
      </c>
      <c r="E364" s="11" t="str">
        <f t="shared" si="168"/>
        <v/>
      </c>
      <c r="F364" s="9" t="str">
        <f t="shared" si="169"/>
        <v/>
      </c>
      <c r="G364" s="10" t="str">
        <f t="shared" si="170"/>
        <v/>
      </c>
      <c r="H364" s="10" t="str">
        <f t="shared" si="171"/>
        <v/>
      </c>
      <c r="I364" s="49" t="str">
        <f t="shared" si="172"/>
        <v/>
      </c>
      <c r="J364" s="11" t="str">
        <f t="shared" si="173"/>
        <v/>
      </c>
      <c r="K364" s="11" t="str">
        <f>IF(B364&lt;&gt;"",IF($B$16=listy!$K$8,'RZĄDOWY PROGRAM'!$F$3*'RZĄDOWY PROGRAM'!$F$15,F363*$F$15),"")</f>
        <v/>
      </c>
      <c r="L364" s="11" t="str">
        <f t="shared" si="174"/>
        <v/>
      </c>
      <c r="N364" s="55" t="str">
        <f t="shared" si="175"/>
        <v/>
      </c>
      <c r="O364" s="8" t="str">
        <f t="shared" si="195"/>
        <v/>
      </c>
      <c r="P364" s="8"/>
      <c r="Q364" s="33" t="str">
        <f>IF(O364&lt;&gt;"",ROUND(IF($F$11="raty równe",-PMT(W364/12,$F$4-O363+SUM($P$28:P364),T363,2),R364+S364),2),"")</f>
        <v/>
      </c>
      <c r="R364" s="11" t="str">
        <f>IF(O364&lt;&gt;"",IF($F$11="raty malejące",T363/($F$4-O363+SUM($P$28:P364)),IF(Q364-S364&gt;T363,T363,Q364-S364)),"")</f>
        <v/>
      </c>
      <c r="S364" s="11" t="str">
        <f t="shared" si="176"/>
        <v/>
      </c>
      <c r="T364" s="9" t="str">
        <f t="shared" si="177"/>
        <v/>
      </c>
      <c r="U364" s="10" t="str">
        <f t="shared" si="178"/>
        <v/>
      </c>
      <c r="V364" s="10" t="str">
        <f t="shared" si="179"/>
        <v/>
      </c>
      <c r="W364" s="49" t="str">
        <f t="shared" si="180"/>
        <v/>
      </c>
      <c r="X364" s="11" t="str">
        <f t="shared" si="181"/>
        <v/>
      </c>
      <c r="Y364" s="11" t="str">
        <f>IF(O364&lt;&gt;"",IF($B$16=listy!$K$8,'RZĄDOWY PROGRAM'!$F$3*'RZĄDOWY PROGRAM'!$F$15,T363*$F$15),"")</f>
        <v/>
      </c>
      <c r="Z364" s="11" t="str">
        <f t="shared" si="182"/>
        <v/>
      </c>
      <c r="AB364" s="8" t="str">
        <f t="shared" si="183"/>
        <v/>
      </c>
      <c r="AC364" s="8"/>
      <c r="AD364" s="33" t="str">
        <f>IF(AB364&lt;&gt;"",ROUND(IF($F$11="raty równe",-PMT(W364/12,$F$4-AB363+SUM($AC$28:AC364),AG363,2),AE364+AF364),2),"")</f>
        <v/>
      </c>
      <c r="AE364" s="11" t="str">
        <f>IF(AB364&lt;&gt;"",IF($F$11="raty malejące",AG363/($F$4-AB363+SUM($AC$28:AC363)),MIN(AD364-AF364,AG363)),"")</f>
        <v/>
      </c>
      <c r="AF364" s="11" t="str">
        <f t="shared" si="184"/>
        <v/>
      </c>
      <c r="AG364" s="9" t="str">
        <f t="shared" si="185"/>
        <v/>
      </c>
      <c r="AH364" s="11"/>
      <c r="AI364" s="33" t="str">
        <f>IF(AB364&lt;&gt;"",ROUND(IF($F$11="raty równe",-PMT(W364/12,($F$4-AB363+SUM($AC$27:AC363)),AG363,2),AG363/($F$4-AB363+SUM($AC$27:AC363))+AG363*W364/12),2),"")</f>
        <v/>
      </c>
      <c r="AJ364" s="33" t="str">
        <f t="shared" si="186"/>
        <v/>
      </c>
      <c r="AK364" s="33" t="str">
        <f t="shared" si="187"/>
        <v/>
      </c>
      <c r="AL364" s="33" t="str">
        <f>IF(AB364&lt;&gt;"",AK364-SUM($AJ$28:AJ364),"")</f>
        <v/>
      </c>
      <c r="AM364" s="11" t="str">
        <f t="shared" si="188"/>
        <v/>
      </c>
      <c r="AN364" s="11" t="str">
        <f>IF(AB364&lt;&gt;"",IF($B$16=listy!$K$8,'RZĄDOWY PROGRAM'!$F$3*'RZĄDOWY PROGRAM'!$F$15,AG363*$F$15),"")</f>
        <v/>
      </c>
      <c r="AO364" s="11" t="str">
        <f t="shared" si="189"/>
        <v/>
      </c>
      <c r="AQ364" s="49" t="str">
        <f t="shared" si="190"/>
        <v/>
      </c>
      <c r="AR364" s="18" t="str">
        <f t="shared" si="191"/>
        <v/>
      </c>
      <c r="AS364" s="11" t="str">
        <f t="shared" si="192"/>
        <v/>
      </c>
      <c r="AT364" s="11" t="str">
        <f t="shared" si="193"/>
        <v/>
      </c>
      <c r="AU364" s="11" t="str">
        <f>IF(AB364&lt;&gt;"",AT364-SUM($AS$28:AS364),"")</f>
        <v/>
      </c>
    </row>
    <row r="365" spans="1:47" ht="14.5" x14ac:dyDescent="0.35">
      <c r="A365" s="76" t="str">
        <f t="shared" si="165"/>
        <v/>
      </c>
      <c r="B365" s="8" t="str">
        <f t="shared" si="194"/>
        <v/>
      </c>
      <c r="C365" s="11" t="str">
        <f t="shared" si="166"/>
        <v/>
      </c>
      <c r="D365" s="11" t="str">
        <f t="shared" si="167"/>
        <v/>
      </c>
      <c r="E365" s="11" t="str">
        <f t="shared" si="168"/>
        <v/>
      </c>
      <c r="F365" s="9" t="str">
        <f t="shared" si="169"/>
        <v/>
      </c>
      <c r="G365" s="10" t="str">
        <f t="shared" si="170"/>
        <v/>
      </c>
      <c r="H365" s="10" t="str">
        <f t="shared" si="171"/>
        <v/>
      </c>
      <c r="I365" s="49" t="str">
        <f t="shared" si="172"/>
        <v/>
      </c>
      <c r="J365" s="11" t="str">
        <f t="shared" si="173"/>
        <v/>
      </c>
      <c r="K365" s="11" t="str">
        <f>IF(B365&lt;&gt;"",IF($B$16=listy!$K$8,'RZĄDOWY PROGRAM'!$F$3*'RZĄDOWY PROGRAM'!$F$15,F364*$F$15),"")</f>
        <v/>
      </c>
      <c r="L365" s="11" t="str">
        <f t="shared" si="174"/>
        <v/>
      </c>
      <c r="N365" s="55" t="str">
        <f t="shared" si="175"/>
        <v/>
      </c>
      <c r="O365" s="8" t="str">
        <f t="shared" si="195"/>
        <v/>
      </c>
      <c r="P365" s="8"/>
      <c r="Q365" s="33" t="str">
        <f>IF(O365&lt;&gt;"",ROUND(IF($F$11="raty równe",-PMT(W365/12,$F$4-O364+SUM($P$28:P365),T364,2),R365+S365),2),"")</f>
        <v/>
      </c>
      <c r="R365" s="11" t="str">
        <f>IF(O365&lt;&gt;"",IF($F$11="raty malejące",T364/($F$4-O364+SUM($P$28:P365)),IF(Q365-S365&gt;T364,T364,Q365-S365)),"")</f>
        <v/>
      </c>
      <c r="S365" s="11" t="str">
        <f t="shared" si="176"/>
        <v/>
      </c>
      <c r="T365" s="9" t="str">
        <f t="shared" si="177"/>
        <v/>
      </c>
      <c r="U365" s="10" t="str">
        <f t="shared" si="178"/>
        <v/>
      </c>
      <c r="V365" s="10" t="str">
        <f t="shared" si="179"/>
        <v/>
      </c>
      <c r="W365" s="49" t="str">
        <f t="shared" si="180"/>
        <v/>
      </c>
      <c r="X365" s="11" t="str">
        <f t="shared" si="181"/>
        <v/>
      </c>
      <c r="Y365" s="11" t="str">
        <f>IF(O365&lt;&gt;"",IF($B$16=listy!$K$8,'RZĄDOWY PROGRAM'!$F$3*'RZĄDOWY PROGRAM'!$F$15,T364*$F$15),"")</f>
        <v/>
      </c>
      <c r="Z365" s="11" t="str">
        <f t="shared" si="182"/>
        <v/>
      </c>
      <c r="AB365" s="8" t="str">
        <f t="shared" si="183"/>
        <v/>
      </c>
      <c r="AC365" s="8"/>
      <c r="AD365" s="33" t="str">
        <f>IF(AB365&lt;&gt;"",ROUND(IF($F$11="raty równe",-PMT(W365/12,$F$4-AB364+SUM($AC$28:AC365),AG364,2),AE365+AF365),2),"")</f>
        <v/>
      </c>
      <c r="AE365" s="11" t="str">
        <f>IF(AB365&lt;&gt;"",IF($F$11="raty malejące",AG364/($F$4-AB364+SUM($AC$28:AC364)),MIN(AD365-AF365,AG364)),"")</f>
        <v/>
      </c>
      <c r="AF365" s="11" t="str">
        <f t="shared" si="184"/>
        <v/>
      </c>
      <c r="AG365" s="9" t="str">
        <f t="shared" si="185"/>
        <v/>
      </c>
      <c r="AH365" s="11"/>
      <c r="AI365" s="33" t="str">
        <f>IF(AB365&lt;&gt;"",ROUND(IF($F$11="raty równe",-PMT(W365/12,($F$4-AB364+SUM($AC$27:AC364)),AG364,2),AG364/($F$4-AB364+SUM($AC$27:AC364))+AG364*W365/12),2),"")</f>
        <v/>
      </c>
      <c r="AJ365" s="33" t="str">
        <f t="shared" si="186"/>
        <v/>
      </c>
      <c r="AK365" s="33" t="str">
        <f t="shared" si="187"/>
        <v/>
      </c>
      <c r="AL365" s="33" t="str">
        <f>IF(AB365&lt;&gt;"",AK365-SUM($AJ$28:AJ365),"")</f>
        <v/>
      </c>
      <c r="AM365" s="11" t="str">
        <f t="shared" si="188"/>
        <v/>
      </c>
      <c r="AN365" s="11" t="str">
        <f>IF(AB365&lt;&gt;"",IF($B$16=listy!$K$8,'RZĄDOWY PROGRAM'!$F$3*'RZĄDOWY PROGRAM'!$F$15,AG364*$F$15),"")</f>
        <v/>
      </c>
      <c r="AO365" s="11" t="str">
        <f t="shared" si="189"/>
        <v/>
      </c>
      <c r="AQ365" s="49" t="str">
        <f t="shared" si="190"/>
        <v/>
      </c>
      <c r="AR365" s="18" t="str">
        <f t="shared" si="191"/>
        <v/>
      </c>
      <c r="AS365" s="11" t="str">
        <f t="shared" si="192"/>
        <v/>
      </c>
      <c r="AT365" s="11" t="str">
        <f t="shared" si="193"/>
        <v/>
      </c>
      <c r="AU365" s="11" t="str">
        <f>IF(AB365&lt;&gt;"",AT365-SUM($AS$28:AS365),"")</f>
        <v/>
      </c>
    </row>
    <row r="366" spans="1:47" ht="14.5" x14ac:dyDescent="0.35">
      <c r="A366" s="76" t="str">
        <f t="shared" si="165"/>
        <v/>
      </c>
      <c r="B366" s="8" t="str">
        <f t="shared" si="194"/>
        <v/>
      </c>
      <c r="C366" s="11" t="str">
        <f t="shared" si="166"/>
        <v/>
      </c>
      <c r="D366" s="11" t="str">
        <f t="shared" si="167"/>
        <v/>
      </c>
      <c r="E366" s="11" t="str">
        <f t="shared" si="168"/>
        <v/>
      </c>
      <c r="F366" s="9" t="str">
        <f t="shared" si="169"/>
        <v/>
      </c>
      <c r="G366" s="10" t="str">
        <f t="shared" si="170"/>
        <v/>
      </c>
      <c r="H366" s="10" t="str">
        <f t="shared" si="171"/>
        <v/>
      </c>
      <c r="I366" s="49" t="str">
        <f t="shared" si="172"/>
        <v/>
      </c>
      <c r="J366" s="11" t="str">
        <f t="shared" si="173"/>
        <v/>
      </c>
      <c r="K366" s="11" t="str">
        <f>IF(B366&lt;&gt;"",IF($B$16=listy!$K$8,'RZĄDOWY PROGRAM'!$F$3*'RZĄDOWY PROGRAM'!$F$15,F365*$F$15),"")</f>
        <v/>
      </c>
      <c r="L366" s="11" t="str">
        <f t="shared" si="174"/>
        <v/>
      </c>
      <c r="N366" s="55" t="str">
        <f t="shared" si="175"/>
        <v/>
      </c>
      <c r="O366" s="8" t="str">
        <f t="shared" si="195"/>
        <v/>
      </c>
      <c r="P366" s="8"/>
      <c r="Q366" s="33" t="str">
        <f>IF(O366&lt;&gt;"",ROUND(IF($F$11="raty równe",-PMT(W366/12,$F$4-O365+SUM($P$28:P366),T365,2),R366+S366),2),"")</f>
        <v/>
      </c>
      <c r="R366" s="11" t="str">
        <f>IF(O366&lt;&gt;"",IF($F$11="raty malejące",T365/($F$4-O365+SUM($P$28:P366)),IF(Q366-S366&gt;T365,T365,Q366-S366)),"")</f>
        <v/>
      </c>
      <c r="S366" s="11" t="str">
        <f t="shared" si="176"/>
        <v/>
      </c>
      <c r="T366" s="9" t="str">
        <f t="shared" si="177"/>
        <v/>
      </c>
      <c r="U366" s="10" t="str">
        <f t="shared" si="178"/>
        <v/>
      </c>
      <c r="V366" s="10" t="str">
        <f t="shared" si="179"/>
        <v/>
      </c>
      <c r="W366" s="49" t="str">
        <f t="shared" si="180"/>
        <v/>
      </c>
      <c r="X366" s="11" t="str">
        <f t="shared" si="181"/>
        <v/>
      </c>
      <c r="Y366" s="11" t="str">
        <f>IF(O366&lt;&gt;"",IF($B$16=listy!$K$8,'RZĄDOWY PROGRAM'!$F$3*'RZĄDOWY PROGRAM'!$F$15,T365*$F$15),"")</f>
        <v/>
      </c>
      <c r="Z366" s="11" t="str">
        <f t="shared" si="182"/>
        <v/>
      </c>
      <c r="AB366" s="8" t="str">
        <f t="shared" si="183"/>
        <v/>
      </c>
      <c r="AC366" s="8"/>
      <c r="AD366" s="33" t="str">
        <f>IF(AB366&lt;&gt;"",ROUND(IF($F$11="raty równe",-PMT(W366/12,$F$4-AB365+SUM($AC$28:AC366),AG365,2),AE366+AF366),2),"")</f>
        <v/>
      </c>
      <c r="AE366" s="11" t="str">
        <f>IF(AB366&lt;&gt;"",IF($F$11="raty malejące",AG365/($F$4-AB365+SUM($AC$28:AC365)),MIN(AD366-AF366,AG365)),"")</f>
        <v/>
      </c>
      <c r="AF366" s="11" t="str">
        <f t="shared" si="184"/>
        <v/>
      </c>
      <c r="AG366" s="9" t="str">
        <f t="shared" si="185"/>
        <v/>
      </c>
      <c r="AH366" s="11"/>
      <c r="AI366" s="33" t="str">
        <f>IF(AB366&lt;&gt;"",ROUND(IF($F$11="raty równe",-PMT(W366/12,($F$4-AB365+SUM($AC$27:AC365)),AG365,2),AG365/($F$4-AB365+SUM($AC$27:AC365))+AG365*W366/12),2),"")</f>
        <v/>
      </c>
      <c r="AJ366" s="33" t="str">
        <f t="shared" si="186"/>
        <v/>
      </c>
      <c r="AK366" s="33" t="str">
        <f t="shared" si="187"/>
        <v/>
      </c>
      <c r="AL366" s="33" t="str">
        <f>IF(AB366&lt;&gt;"",AK366-SUM($AJ$28:AJ366),"")</f>
        <v/>
      </c>
      <c r="AM366" s="11" t="str">
        <f t="shared" si="188"/>
        <v/>
      </c>
      <c r="AN366" s="11" t="str">
        <f>IF(AB366&lt;&gt;"",IF($B$16=listy!$K$8,'RZĄDOWY PROGRAM'!$F$3*'RZĄDOWY PROGRAM'!$F$15,AG365*$F$15),"")</f>
        <v/>
      </c>
      <c r="AO366" s="11" t="str">
        <f t="shared" si="189"/>
        <v/>
      </c>
      <c r="AQ366" s="49" t="str">
        <f t="shared" si="190"/>
        <v/>
      </c>
      <c r="AR366" s="18" t="str">
        <f t="shared" si="191"/>
        <v/>
      </c>
      <c r="AS366" s="11" t="str">
        <f t="shared" si="192"/>
        <v/>
      </c>
      <c r="AT366" s="11" t="str">
        <f t="shared" si="193"/>
        <v/>
      </c>
      <c r="AU366" s="11" t="str">
        <f>IF(AB366&lt;&gt;"",AT366-SUM($AS$28:AS366),"")</f>
        <v/>
      </c>
    </row>
    <row r="367" spans="1:47" ht="14.5" x14ac:dyDescent="0.35">
      <c r="A367" s="76" t="str">
        <f t="shared" si="165"/>
        <v/>
      </c>
      <c r="B367" s="8" t="str">
        <f t="shared" si="194"/>
        <v/>
      </c>
      <c r="C367" s="11" t="str">
        <f t="shared" si="166"/>
        <v/>
      </c>
      <c r="D367" s="11" t="str">
        <f t="shared" si="167"/>
        <v/>
      </c>
      <c r="E367" s="11" t="str">
        <f t="shared" si="168"/>
        <v/>
      </c>
      <c r="F367" s="9" t="str">
        <f t="shared" si="169"/>
        <v/>
      </c>
      <c r="G367" s="10" t="str">
        <f t="shared" si="170"/>
        <v/>
      </c>
      <c r="H367" s="10" t="str">
        <f t="shared" si="171"/>
        <v/>
      </c>
      <c r="I367" s="49" t="str">
        <f t="shared" si="172"/>
        <v/>
      </c>
      <c r="J367" s="11" t="str">
        <f t="shared" si="173"/>
        <v/>
      </c>
      <c r="K367" s="11" t="str">
        <f>IF(B367&lt;&gt;"",IF($B$16=listy!$K$8,'RZĄDOWY PROGRAM'!$F$3*'RZĄDOWY PROGRAM'!$F$15,F366*$F$15),"")</f>
        <v/>
      </c>
      <c r="L367" s="11" t="str">
        <f t="shared" si="174"/>
        <v/>
      </c>
      <c r="N367" s="55" t="str">
        <f t="shared" si="175"/>
        <v/>
      </c>
      <c r="O367" s="8" t="str">
        <f t="shared" si="195"/>
        <v/>
      </c>
      <c r="P367" s="8"/>
      <c r="Q367" s="33" t="str">
        <f>IF(O367&lt;&gt;"",ROUND(IF($F$11="raty równe",-PMT(W367/12,$F$4-O366+SUM($P$28:P367),T366,2),R367+S367),2),"")</f>
        <v/>
      </c>
      <c r="R367" s="11" t="str">
        <f>IF(O367&lt;&gt;"",IF($F$11="raty malejące",T366/($F$4-O366+SUM($P$28:P367)),IF(Q367-S367&gt;T366,T366,Q367-S367)),"")</f>
        <v/>
      </c>
      <c r="S367" s="11" t="str">
        <f t="shared" si="176"/>
        <v/>
      </c>
      <c r="T367" s="9" t="str">
        <f t="shared" si="177"/>
        <v/>
      </c>
      <c r="U367" s="10" t="str">
        <f t="shared" si="178"/>
        <v/>
      </c>
      <c r="V367" s="10" t="str">
        <f t="shared" si="179"/>
        <v/>
      </c>
      <c r="W367" s="49" t="str">
        <f t="shared" si="180"/>
        <v/>
      </c>
      <c r="X367" s="11" t="str">
        <f t="shared" si="181"/>
        <v/>
      </c>
      <c r="Y367" s="11" t="str">
        <f>IF(O367&lt;&gt;"",IF($B$16=listy!$K$8,'RZĄDOWY PROGRAM'!$F$3*'RZĄDOWY PROGRAM'!$F$15,T366*$F$15),"")</f>
        <v/>
      </c>
      <c r="Z367" s="11" t="str">
        <f t="shared" si="182"/>
        <v/>
      </c>
      <c r="AB367" s="8" t="str">
        <f t="shared" si="183"/>
        <v/>
      </c>
      <c r="AC367" s="8"/>
      <c r="AD367" s="33" t="str">
        <f>IF(AB367&lt;&gt;"",ROUND(IF($F$11="raty równe",-PMT(W367/12,$F$4-AB366+SUM($AC$28:AC367),AG366,2),AE367+AF367),2),"")</f>
        <v/>
      </c>
      <c r="AE367" s="11" t="str">
        <f>IF(AB367&lt;&gt;"",IF($F$11="raty malejące",AG366/($F$4-AB366+SUM($AC$28:AC366)),MIN(AD367-AF367,AG366)),"")</f>
        <v/>
      </c>
      <c r="AF367" s="11" t="str">
        <f t="shared" si="184"/>
        <v/>
      </c>
      <c r="AG367" s="9" t="str">
        <f t="shared" si="185"/>
        <v/>
      </c>
      <c r="AH367" s="11"/>
      <c r="AI367" s="33" t="str">
        <f>IF(AB367&lt;&gt;"",ROUND(IF($F$11="raty równe",-PMT(W367/12,($F$4-AB366+SUM($AC$27:AC366)),AG366,2),AG366/($F$4-AB366+SUM($AC$27:AC366))+AG366*W367/12),2),"")</f>
        <v/>
      </c>
      <c r="AJ367" s="33" t="str">
        <f t="shared" si="186"/>
        <v/>
      </c>
      <c r="AK367" s="33" t="str">
        <f t="shared" si="187"/>
        <v/>
      </c>
      <c r="AL367" s="33" t="str">
        <f>IF(AB367&lt;&gt;"",AK367-SUM($AJ$28:AJ367),"")</f>
        <v/>
      </c>
      <c r="AM367" s="11" t="str">
        <f t="shared" si="188"/>
        <v/>
      </c>
      <c r="AN367" s="11" t="str">
        <f>IF(AB367&lt;&gt;"",IF($B$16=listy!$K$8,'RZĄDOWY PROGRAM'!$F$3*'RZĄDOWY PROGRAM'!$F$15,AG366*$F$15),"")</f>
        <v/>
      </c>
      <c r="AO367" s="11" t="str">
        <f t="shared" si="189"/>
        <v/>
      </c>
      <c r="AQ367" s="49" t="str">
        <f t="shared" si="190"/>
        <v/>
      </c>
      <c r="AR367" s="18" t="str">
        <f t="shared" si="191"/>
        <v/>
      </c>
      <c r="AS367" s="11" t="str">
        <f t="shared" si="192"/>
        <v/>
      </c>
      <c r="AT367" s="11" t="str">
        <f t="shared" si="193"/>
        <v/>
      </c>
      <c r="AU367" s="11" t="str">
        <f>IF(AB367&lt;&gt;"",AT367-SUM($AS$28:AS367),"")</f>
        <v/>
      </c>
    </row>
    <row r="368" spans="1:47" ht="14.5" x14ac:dyDescent="0.35">
      <c r="A368" s="76" t="str">
        <f t="shared" si="165"/>
        <v/>
      </c>
      <c r="B368" s="8" t="str">
        <f t="shared" si="194"/>
        <v/>
      </c>
      <c r="C368" s="11" t="str">
        <f t="shared" si="166"/>
        <v/>
      </c>
      <c r="D368" s="11" t="str">
        <f t="shared" si="167"/>
        <v/>
      </c>
      <c r="E368" s="11" t="str">
        <f t="shared" si="168"/>
        <v/>
      </c>
      <c r="F368" s="9" t="str">
        <f t="shared" si="169"/>
        <v/>
      </c>
      <c r="G368" s="10" t="str">
        <f t="shared" si="170"/>
        <v/>
      </c>
      <c r="H368" s="10" t="str">
        <f t="shared" si="171"/>
        <v/>
      </c>
      <c r="I368" s="49" t="str">
        <f t="shared" si="172"/>
        <v/>
      </c>
      <c r="J368" s="11" t="str">
        <f t="shared" si="173"/>
        <v/>
      </c>
      <c r="K368" s="11" t="str">
        <f>IF(B368&lt;&gt;"",IF($B$16=listy!$K$8,'RZĄDOWY PROGRAM'!$F$3*'RZĄDOWY PROGRAM'!$F$15,F367*$F$15),"")</f>
        <v/>
      </c>
      <c r="L368" s="11" t="str">
        <f t="shared" si="174"/>
        <v/>
      </c>
      <c r="N368" s="55" t="str">
        <f t="shared" si="175"/>
        <v/>
      </c>
      <c r="O368" s="8" t="str">
        <f t="shared" si="195"/>
        <v/>
      </c>
      <c r="P368" s="8"/>
      <c r="Q368" s="33" t="str">
        <f>IF(O368&lt;&gt;"",ROUND(IF($F$11="raty równe",-PMT(W368/12,$F$4-O367+SUM($P$28:P368),T367,2),R368+S368),2),"")</f>
        <v/>
      </c>
      <c r="R368" s="11" t="str">
        <f>IF(O368&lt;&gt;"",IF($F$11="raty malejące",T367/($F$4-O367+SUM($P$28:P368)),IF(Q368-S368&gt;T367,T367,Q368-S368)),"")</f>
        <v/>
      </c>
      <c r="S368" s="11" t="str">
        <f t="shared" si="176"/>
        <v/>
      </c>
      <c r="T368" s="9" t="str">
        <f t="shared" si="177"/>
        <v/>
      </c>
      <c r="U368" s="10" t="str">
        <f t="shared" si="178"/>
        <v/>
      </c>
      <c r="V368" s="10" t="str">
        <f t="shared" si="179"/>
        <v/>
      </c>
      <c r="W368" s="49" t="str">
        <f t="shared" si="180"/>
        <v/>
      </c>
      <c r="X368" s="11" t="str">
        <f t="shared" si="181"/>
        <v/>
      </c>
      <c r="Y368" s="11" t="str">
        <f>IF(O368&lt;&gt;"",IF($B$16=listy!$K$8,'RZĄDOWY PROGRAM'!$F$3*'RZĄDOWY PROGRAM'!$F$15,T367*$F$15),"")</f>
        <v/>
      </c>
      <c r="Z368" s="11" t="str">
        <f t="shared" si="182"/>
        <v/>
      </c>
      <c r="AB368" s="8" t="str">
        <f t="shared" si="183"/>
        <v/>
      </c>
      <c r="AC368" s="8"/>
      <c r="AD368" s="33" t="str">
        <f>IF(AB368&lt;&gt;"",ROUND(IF($F$11="raty równe",-PMT(W368/12,$F$4-AB367+SUM($AC$28:AC368),AG367,2),AE368+AF368),2),"")</f>
        <v/>
      </c>
      <c r="AE368" s="11" t="str">
        <f>IF(AB368&lt;&gt;"",IF($F$11="raty malejące",AG367/($F$4-AB367+SUM($AC$28:AC367)),MIN(AD368-AF368,AG367)),"")</f>
        <v/>
      </c>
      <c r="AF368" s="11" t="str">
        <f t="shared" si="184"/>
        <v/>
      </c>
      <c r="AG368" s="9" t="str">
        <f t="shared" si="185"/>
        <v/>
      </c>
      <c r="AH368" s="11"/>
      <c r="AI368" s="33" t="str">
        <f>IF(AB368&lt;&gt;"",ROUND(IF($F$11="raty równe",-PMT(W368/12,($F$4-AB367+SUM($AC$27:AC367)),AG367,2),AG367/($F$4-AB367+SUM($AC$27:AC367))+AG367*W368/12),2),"")</f>
        <v/>
      </c>
      <c r="AJ368" s="33" t="str">
        <f t="shared" si="186"/>
        <v/>
      </c>
      <c r="AK368" s="33" t="str">
        <f t="shared" si="187"/>
        <v/>
      </c>
      <c r="AL368" s="33" t="str">
        <f>IF(AB368&lt;&gt;"",AK368-SUM($AJ$28:AJ368),"")</f>
        <v/>
      </c>
      <c r="AM368" s="11" t="str">
        <f t="shared" si="188"/>
        <v/>
      </c>
      <c r="AN368" s="11" t="str">
        <f>IF(AB368&lt;&gt;"",IF($B$16=listy!$K$8,'RZĄDOWY PROGRAM'!$F$3*'RZĄDOWY PROGRAM'!$F$15,AG367*$F$15),"")</f>
        <v/>
      </c>
      <c r="AO368" s="11" t="str">
        <f t="shared" si="189"/>
        <v/>
      </c>
      <c r="AQ368" s="49" t="str">
        <f t="shared" si="190"/>
        <v/>
      </c>
      <c r="AR368" s="18" t="str">
        <f t="shared" si="191"/>
        <v/>
      </c>
      <c r="AS368" s="11" t="str">
        <f t="shared" si="192"/>
        <v/>
      </c>
      <c r="AT368" s="11" t="str">
        <f t="shared" si="193"/>
        <v/>
      </c>
      <c r="AU368" s="11" t="str">
        <f>IF(AB368&lt;&gt;"",AT368-SUM($AS$28:AS368),"")</f>
        <v/>
      </c>
    </row>
    <row r="369" spans="1:47" ht="14.5" x14ac:dyDescent="0.35">
      <c r="A369" s="76" t="str">
        <f t="shared" si="165"/>
        <v/>
      </c>
      <c r="B369" s="8" t="str">
        <f t="shared" si="194"/>
        <v/>
      </c>
      <c r="C369" s="11" t="str">
        <f t="shared" si="166"/>
        <v/>
      </c>
      <c r="D369" s="11" t="str">
        <f t="shared" si="167"/>
        <v/>
      </c>
      <c r="E369" s="11" t="str">
        <f t="shared" si="168"/>
        <v/>
      </c>
      <c r="F369" s="9" t="str">
        <f t="shared" si="169"/>
        <v/>
      </c>
      <c r="G369" s="10" t="str">
        <f t="shared" si="170"/>
        <v/>
      </c>
      <c r="H369" s="10" t="str">
        <f t="shared" si="171"/>
        <v/>
      </c>
      <c r="I369" s="49" t="str">
        <f t="shared" si="172"/>
        <v/>
      </c>
      <c r="J369" s="11" t="str">
        <f t="shared" si="173"/>
        <v/>
      </c>
      <c r="K369" s="11" t="str">
        <f>IF(B369&lt;&gt;"",IF($B$16=listy!$K$8,'RZĄDOWY PROGRAM'!$F$3*'RZĄDOWY PROGRAM'!$F$15,F368*$F$15),"")</f>
        <v/>
      </c>
      <c r="L369" s="11" t="str">
        <f t="shared" si="174"/>
        <v/>
      </c>
      <c r="N369" s="55" t="str">
        <f t="shared" si="175"/>
        <v/>
      </c>
      <c r="O369" s="8" t="str">
        <f t="shared" si="195"/>
        <v/>
      </c>
      <c r="P369" s="8"/>
      <c r="Q369" s="33" t="str">
        <f>IF(O369&lt;&gt;"",ROUND(IF($F$11="raty równe",-PMT(W369/12,$F$4-O368+SUM($P$28:P369),T368,2),R369+S369),2),"")</f>
        <v/>
      </c>
      <c r="R369" s="11" t="str">
        <f>IF(O369&lt;&gt;"",IF($F$11="raty malejące",T368/($F$4-O368+SUM($P$28:P369)),IF(Q369-S369&gt;T368,T368,Q369-S369)),"")</f>
        <v/>
      </c>
      <c r="S369" s="11" t="str">
        <f t="shared" si="176"/>
        <v/>
      </c>
      <c r="T369" s="9" t="str">
        <f t="shared" si="177"/>
        <v/>
      </c>
      <c r="U369" s="10" t="str">
        <f t="shared" si="178"/>
        <v/>
      </c>
      <c r="V369" s="10" t="str">
        <f t="shared" si="179"/>
        <v/>
      </c>
      <c r="W369" s="49" t="str">
        <f t="shared" si="180"/>
        <v/>
      </c>
      <c r="X369" s="11" t="str">
        <f t="shared" si="181"/>
        <v/>
      </c>
      <c r="Y369" s="11" t="str">
        <f>IF(O369&lt;&gt;"",IF($B$16=listy!$K$8,'RZĄDOWY PROGRAM'!$F$3*'RZĄDOWY PROGRAM'!$F$15,T368*$F$15),"")</f>
        <v/>
      </c>
      <c r="Z369" s="11" t="str">
        <f t="shared" si="182"/>
        <v/>
      </c>
      <c r="AB369" s="8" t="str">
        <f t="shared" si="183"/>
        <v/>
      </c>
      <c r="AC369" s="8"/>
      <c r="AD369" s="33" t="str">
        <f>IF(AB369&lt;&gt;"",ROUND(IF($F$11="raty równe",-PMT(W369/12,$F$4-AB368+SUM($AC$28:AC369),AG368,2),AE369+AF369),2),"")</f>
        <v/>
      </c>
      <c r="AE369" s="11" t="str">
        <f>IF(AB369&lt;&gt;"",IF($F$11="raty malejące",AG368/($F$4-AB368+SUM($AC$28:AC368)),MIN(AD369-AF369,AG368)),"")</f>
        <v/>
      </c>
      <c r="AF369" s="11" t="str">
        <f t="shared" si="184"/>
        <v/>
      </c>
      <c r="AG369" s="9" t="str">
        <f t="shared" si="185"/>
        <v/>
      </c>
      <c r="AH369" s="11"/>
      <c r="AI369" s="33" t="str">
        <f>IF(AB369&lt;&gt;"",ROUND(IF($F$11="raty równe",-PMT(W369/12,($F$4-AB368+SUM($AC$27:AC368)),AG368,2),AG368/($F$4-AB368+SUM($AC$27:AC368))+AG368*W369/12),2),"")</f>
        <v/>
      </c>
      <c r="AJ369" s="33" t="str">
        <f t="shared" si="186"/>
        <v/>
      </c>
      <c r="AK369" s="33" t="str">
        <f t="shared" si="187"/>
        <v/>
      </c>
      <c r="AL369" s="33" t="str">
        <f>IF(AB369&lt;&gt;"",AK369-SUM($AJ$28:AJ369),"")</f>
        <v/>
      </c>
      <c r="AM369" s="11" t="str">
        <f t="shared" si="188"/>
        <v/>
      </c>
      <c r="AN369" s="11" t="str">
        <f>IF(AB369&lt;&gt;"",IF($B$16=listy!$K$8,'RZĄDOWY PROGRAM'!$F$3*'RZĄDOWY PROGRAM'!$F$15,AG368*$F$15),"")</f>
        <v/>
      </c>
      <c r="AO369" s="11" t="str">
        <f t="shared" si="189"/>
        <v/>
      </c>
      <c r="AQ369" s="49" t="str">
        <f t="shared" si="190"/>
        <v/>
      </c>
      <c r="AR369" s="18" t="str">
        <f t="shared" si="191"/>
        <v/>
      </c>
      <c r="AS369" s="11" t="str">
        <f t="shared" si="192"/>
        <v/>
      </c>
      <c r="AT369" s="11" t="str">
        <f t="shared" si="193"/>
        <v/>
      </c>
      <c r="AU369" s="11" t="str">
        <f>IF(AB369&lt;&gt;"",AT369-SUM($AS$28:AS369),"")</f>
        <v/>
      </c>
    </row>
    <row r="370" spans="1:47" ht="14.5" x14ac:dyDescent="0.35">
      <c r="A370" s="76" t="str">
        <f t="shared" si="165"/>
        <v/>
      </c>
      <c r="B370" s="8" t="str">
        <f t="shared" si="194"/>
        <v/>
      </c>
      <c r="C370" s="11" t="str">
        <f t="shared" si="166"/>
        <v/>
      </c>
      <c r="D370" s="11" t="str">
        <f t="shared" si="167"/>
        <v/>
      </c>
      <c r="E370" s="11" t="str">
        <f t="shared" si="168"/>
        <v/>
      </c>
      <c r="F370" s="9" t="str">
        <f t="shared" si="169"/>
        <v/>
      </c>
      <c r="G370" s="10" t="str">
        <f t="shared" si="170"/>
        <v/>
      </c>
      <c r="H370" s="10" t="str">
        <f t="shared" si="171"/>
        <v/>
      </c>
      <c r="I370" s="49" t="str">
        <f t="shared" si="172"/>
        <v/>
      </c>
      <c r="J370" s="11" t="str">
        <f t="shared" si="173"/>
        <v/>
      </c>
      <c r="K370" s="11" t="str">
        <f>IF(B370&lt;&gt;"",IF($B$16=listy!$K$8,'RZĄDOWY PROGRAM'!$F$3*'RZĄDOWY PROGRAM'!$F$15,F369*$F$15),"")</f>
        <v/>
      </c>
      <c r="L370" s="11" t="str">
        <f t="shared" si="174"/>
        <v/>
      </c>
      <c r="N370" s="55" t="str">
        <f t="shared" si="175"/>
        <v/>
      </c>
      <c r="O370" s="8" t="str">
        <f t="shared" si="195"/>
        <v/>
      </c>
      <c r="P370" s="8"/>
      <c r="Q370" s="33" t="str">
        <f>IF(O370&lt;&gt;"",ROUND(IF($F$11="raty równe",-PMT(W370/12,$F$4-O369+SUM($P$28:P370),T369,2),R370+S370),2),"")</f>
        <v/>
      </c>
      <c r="R370" s="11" t="str">
        <f>IF(O370&lt;&gt;"",IF($F$11="raty malejące",T369/($F$4-O369+SUM($P$28:P370)),IF(Q370-S370&gt;T369,T369,Q370-S370)),"")</f>
        <v/>
      </c>
      <c r="S370" s="11" t="str">
        <f t="shared" si="176"/>
        <v/>
      </c>
      <c r="T370" s="9" t="str">
        <f t="shared" si="177"/>
        <v/>
      </c>
      <c r="U370" s="10" t="str">
        <f t="shared" si="178"/>
        <v/>
      </c>
      <c r="V370" s="10" t="str">
        <f t="shared" si="179"/>
        <v/>
      </c>
      <c r="W370" s="49" t="str">
        <f t="shared" si="180"/>
        <v/>
      </c>
      <c r="X370" s="11" t="str">
        <f t="shared" si="181"/>
        <v/>
      </c>
      <c r="Y370" s="11" t="str">
        <f>IF(O370&lt;&gt;"",IF($B$16=listy!$K$8,'RZĄDOWY PROGRAM'!$F$3*'RZĄDOWY PROGRAM'!$F$15,T369*$F$15),"")</f>
        <v/>
      </c>
      <c r="Z370" s="11" t="str">
        <f t="shared" si="182"/>
        <v/>
      </c>
      <c r="AB370" s="8" t="str">
        <f t="shared" si="183"/>
        <v/>
      </c>
      <c r="AC370" s="8"/>
      <c r="AD370" s="33" t="str">
        <f>IF(AB370&lt;&gt;"",ROUND(IF($F$11="raty równe",-PMT(W370/12,$F$4-AB369+SUM($AC$28:AC370),AG369,2),AE370+AF370),2),"")</f>
        <v/>
      </c>
      <c r="AE370" s="11" t="str">
        <f>IF(AB370&lt;&gt;"",IF($F$11="raty malejące",AG369/($F$4-AB369+SUM($AC$28:AC369)),MIN(AD370-AF370,AG369)),"")</f>
        <v/>
      </c>
      <c r="AF370" s="11" t="str">
        <f t="shared" si="184"/>
        <v/>
      </c>
      <c r="AG370" s="9" t="str">
        <f t="shared" si="185"/>
        <v/>
      </c>
      <c r="AH370" s="11"/>
      <c r="AI370" s="33" t="str">
        <f>IF(AB370&lt;&gt;"",ROUND(IF($F$11="raty równe",-PMT(W370/12,($F$4-AB369+SUM($AC$27:AC369)),AG369,2),AG369/($F$4-AB369+SUM($AC$27:AC369))+AG369*W370/12),2),"")</f>
        <v/>
      </c>
      <c r="AJ370" s="33" t="str">
        <f t="shared" si="186"/>
        <v/>
      </c>
      <c r="AK370" s="33" t="str">
        <f t="shared" si="187"/>
        <v/>
      </c>
      <c r="AL370" s="33" t="str">
        <f>IF(AB370&lt;&gt;"",AK370-SUM($AJ$28:AJ370),"")</f>
        <v/>
      </c>
      <c r="AM370" s="11" t="str">
        <f t="shared" si="188"/>
        <v/>
      </c>
      <c r="AN370" s="11" t="str">
        <f>IF(AB370&lt;&gt;"",IF($B$16=listy!$K$8,'RZĄDOWY PROGRAM'!$F$3*'RZĄDOWY PROGRAM'!$F$15,AG369*$F$15),"")</f>
        <v/>
      </c>
      <c r="AO370" s="11" t="str">
        <f t="shared" si="189"/>
        <v/>
      </c>
      <c r="AQ370" s="49" t="str">
        <f t="shared" si="190"/>
        <v/>
      </c>
      <c r="AR370" s="18" t="str">
        <f t="shared" si="191"/>
        <v/>
      </c>
      <c r="AS370" s="11" t="str">
        <f t="shared" si="192"/>
        <v/>
      </c>
      <c r="AT370" s="11" t="str">
        <f t="shared" si="193"/>
        <v/>
      </c>
      <c r="AU370" s="11" t="str">
        <f>IF(AB370&lt;&gt;"",AT370-SUM($AS$28:AS370),"")</f>
        <v/>
      </c>
    </row>
    <row r="371" spans="1:47" ht="14.5" x14ac:dyDescent="0.35">
      <c r="A371" s="76" t="str">
        <f t="shared" si="165"/>
        <v/>
      </c>
      <c r="B371" s="8" t="str">
        <f t="shared" si="194"/>
        <v/>
      </c>
      <c r="C371" s="11" t="str">
        <f t="shared" si="166"/>
        <v/>
      </c>
      <c r="D371" s="11" t="str">
        <f t="shared" si="167"/>
        <v/>
      </c>
      <c r="E371" s="11" t="str">
        <f t="shared" si="168"/>
        <v/>
      </c>
      <c r="F371" s="9" t="str">
        <f t="shared" si="169"/>
        <v/>
      </c>
      <c r="G371" s="10" t="str">
        <f t="shared" si="170"/>
        <v/>
      </c>
      <c r="H371" s="10" t="str">
        <f t="shared" si="171"/>
        <v/>
      </c>
      <c r="I371" s="49" t="str">
        <f t="shared" si="172"/>
        <v/>
      </c>
      <c r="J371" s="11" t="str">
        <f t="shared" si="173"/>
        <v/>
      </c>
      <c r="K371" s="11" t="str">
        <f>IF(B371&lt;&gt;"",IF($B$16=listy!$K$8,'RZĄDOWY PROGRAM'!$F$3*'RZĄDOWY PROGRAM'!$F$15,F370*$F$15),"")</f>
        <v/>
      </c>
      <c r="L371" s="11" t="str">
        <f t="shared" si="174"/>
        <v/>
      </c>
      <c r="N371" s="55" t="str">
        <f t="shared" si="175"/>
        <v/>
      </c>
      <c r="O371" s="8" t="str">
        <f t="shared" si="195"/>
        <v/>
      </c>
      <c r="P371" s="8"/>
      <c r="Q371" s="33" t="str">
        <f>IF(O371&lt;&gt;"",ROUND(IF($F$11="raty równe",-PMT(W371/12,$F$4-O370+SUM($P$28:P371),T370,2),R371+S371),2),"")</f>
        <v/>
      </c>
      <c r="R371" s="11" t="str">
        <f>IF(O371&lt;&gt;"",IF($F$11="raty malejące",T370/($F$4-O370+SUM($P$28:P371)),IF(Q371-S371&gt;T370,T370,Q371-S371)),"")</f>
        <v/>
      </c>
      <c r="S371" s="11" t="str">
        <f t="shared" si="176"/>
        <v/>
      </c>
      <c r="T371" s="9" t="str">
        <f t="shared" si="177"/>
        <v/>
      </c>
      <c r="U371" s="10" t="str">
        <f t="shared" si="178"/>
        <v/>
      </c>
      <c r="V371" s="10" t="str">
        <f t="shared" si="179"/>
        <v/>
      </c>
      <c r="W371" s="49" t="str">
        <f t="shared" si="180"/>
        <v/>
      </c>
      <c r="X371" s="11" t="str">
        <f t="shared" si="181"/>
        <v/>
      </c>
      <c r="Y371" s="11" t="str">
        <f>IF(O371&lt;&gt;"",IF($B$16=listy!$K$8,'RZĄDOWY PROGRAM'!$F$3*'RZĄDOWY PROGRAM'!$F$15,T370*$F$15),"")</f>
        <v/>
      </c>
      <c r="Z371" s="11" t="str">
        <f t="shared" si="182"/>
        <v/>
      </c>
      <c r="AB371" s="8" t="str">
        <f t="shared" si="183"/>
        <v/>
      </c>
      <c r="AC371" s="8"/>
      <c r="AD371" s="33" t="str">
        <f>IF(AB371&lt;&gt;"",ROUND(IF($F$11="raty równe",-PMT(W371/12,$F$4-AB370+SUM($AC$28:AC371),AG370,2),AE371+AF371),2),"")</f>
        <v/>
      </c>
      <c r="AE371" s="11" t="str">
        <f>IF(AB371&lt;&gt;"",IF($F$11="raty malejące",AG370/($F$4-AB370+SUM($AC$28:AC370)),MIN(AD371-AF371,AG370)),"")</f>
        <v/>
      </c>
      <c r="AF371" s="11" t="str">
        <f t="shared" si="184"/>
        <v/>
      </c>
      <c r="AG371" s="9" t="str">
        <f t="shared" si="185"/>
        <v/>
      </c>
      <c r="AH371" s="11"/>
      <c r="AI371" s="33" t="str">
        <f>IF(AB371&lt;&gt;"",ROUND(IF($F$11="raty równe",-PMT(W371/12,($F$4-AB370+SUM($AC$27:AC370)),AG370,2),AG370/($F$4-AB370+SUM($AC$27:AC370))+AG370*W371/12),2),"")</f>
        <v/>
      </c>
      <c r="AJ371" s="33" t="str">
        <f t="shared" si="186"/>
        <v/>
      </c>
      <c r="AK371" s="33" t="str">
        <f t="shared" si="187"/>
        <v/>
      </c>
      <c r="AL371" s="33" t="str">
        <f>IF(AB371&lt;&gt;"",AK371-SUM($AJ$28:AJ371),"")</f>
        <v/>
      </c>
      <c r="AM371" s="11" t="str">
        <f t="shared" si="188"/>
        <v/>
      </c>
      <c r="AN371" s="11" t="str">
        <f>IF(AB371&lt;&gt;"",IF($B$16=listy!$K$8,'RZĄDOWY PROGRAM'!$F$3*'RZĄDOWY PROGRAM'!$F$15,AG370*$F$15),"")</f>
        <v/>
      </c>
      <c r="AO371" s="11" t="str">
        <f t="shared" si="189"/>
        <v/>
      </c>
      <c r="AQ371" s="49" t="str">
        <f t="shared" si="190"/>
        <v/>
      </c>
      <c r="AR371" s="18" t="str">
        <f t="shared" si="191"/>
        <v/>
      </c>
      <c r="AS371" s="11" t="str">
        <f t="shared" si="192"/>
        <v/>
      </c>
      <c r="AT371" s="11" t="str">
        <f t="shared" si="193"/>
        <v/>
      </c>
      <c r="AU371" s="11" t="str">
        <f>IF(AB371&lt;&gt;"",AT371-SUM($AS$28:AS371),"")</f>
        <v/>
      </c>
    </row>
    <row r="372" spans="1:47" ht="14.5" x14ac:dyDescent="0.35">
      <c r="A372" s="76" t="str">
        <f t="shared" si="165"/>
        <v/>
      </c>
      <c r="B372" s="8" t="str">
        <f t="shared" si="194"/>
        <v/>
      </c>
      <c r="C372" s="11" t="str">
        <f t="shared" si="166"/>
        <v/>
      </c>
      <c r="D372" s="11" t="str">
        <f t="shared" si="167"/>
        <v/>
      </c>
      <c r="E372" s="11" t="str">
        <f t="shared" si="168"/>
        <v/>
      </c>
      <c r="F372" s="9" t="str">
        <f t="shared" si="169"/>
        <v/>
      </c>
      <c r="G372" s="10" t="str">
        <f t="shared" si="170"/>
        <v/>
      </c>
      <c r="H372" s="10" t="str">
        <f t="shared" si="171"/>
        <v/>
      </c>
      <c r="I372" s="49" t="str">
        <f t="shared" si="172"/>
        <v/>
      </c>
      <c r="J372" s="11" t="str">
        <f t="shared" si="173"/>
        <v/>
      </c>
      <c r="K372" s="11" t="str">
        <f>IF(B372&lt;&gt;"",IF($B$16=listy!$K$8,'RZĄDOWY PROGRAM'!$F$3*'RZĄDOWY PROGRAM'!$F$15,F371*$F$15),"")</f>
        <v/>
      </c>
      <c r="L372" s="11" t="str">
        <f t="shared" si="174"/>
        <v/>
      </c>
      <c r="N372" s="55" t="str">
        <f t="shared" si="175"/>
        <v/>
      </c>
      <c r="O372" s="8" t="str">
        <f t="shared" si="195"/>
        <v/>
      </c>
      <c r="P372" s="8"/>
      <c r="Q372" s="33" t="str">
        <f>IF(O372&lt;&gt;"",ROUND(IF($F$11="raty równe",-PMT(W372/12,$F$4-O371+SUM($P$28:P372),T371,2),R372+S372),2),"")</f>
        <v/>
      </c>
      <c r="R372" s="11" t="str">
        <f>IF(O372&lt;&gt;"",IF($F$11="raty malejące",T371/($F$4-O371+SUM($P$28:P372)),IF(Q372-S372&gt;T371,T371,Q372-S372)),"")</f>
        <v/>
      </c>
      <c r="S372" s="11" t="str">
        <f t="shared" si="176"/>
        <v/>
      </c>
      <c r="T372" s="9" t="str">
        <f t="shared" si="177"/>
        <v/>
      </c>
      <c r="U372" s="10" t="str">
        <f t="shared" si="178"/>
        <v/>
      </c>
      <c r="V372" s="10" t="str">
        <f t="shared" si="179"/>
        <v/>
      </c>
      <c r="W372" s="49" t="str">
        <f t="shared" si="180"/>
        <v/>
      </c>
      <c r="X372" s="11" t="str">
        <f t="shared" si="181"/>
        <v/>
      </c>
      <c r="Y372" s="11" t="str">
        <f>IF(O372&lt;&gt;"",IF($B$16=listy!$K$8,'RZĄDOWY PROGRAM'!$F$3*'RZĄDOWY PROGRAM'!$F$15,T371*$F$15),"")</f>
        <v/>
      </c>
      <c r="Z372" s="11" t="str">
        <f t="shared" si="182"/>
        <v/>
      </c>
      <c r="AB372" s="8" t="str">
        <f t="shared" si="183"/>
        <v/>
      </c>
      <c r="AC372" s="8"/>
      <c r="AD372" s="33" t="str">
        <f>IF(AB372&lt;&gt;"",ROUND(IF($F$11="raty równe",-PMT(W372/12,$F$4-AB371+SUM($AC$28:AC372),AG371,2),AE372+AF372),2),"")</f>
        <v/>
      </c>
      <c r="AE372" s="11" t="str">
        <f>IF(AB372&lt;&gt;"",IF($F$11="raty malejące",AG371/($F$4-AB371+SUM($AC$28:AC371)),MIN(AD372-AF372,AG371)),"")</f>
        <v/>
      </c>
      <c r="AF372" s="11" t="str">
        <f t="shared" si="184"/>
        <v/>
      </c>
      <c r="AG372" s="9" t="str">
        <f t="shared" si="185"/>
        <v/>
      </c>
      <c r="AH372" s="11"/>
      <c r="AI372" s="33" t="str">
        <f>IF(AB372&lt;&gt;"",ROUND(IF($F$11="raty równe",-PMT(W372/12,($F$4-AB371+SUM($AC$27:AC371)),AG371,2),AG371/($F$4-AB371+SUM($AC$27:AC371))+AG371*W372/12),2),"")</f>
        <v/>
      </c>
      <c r="AJ372" s="33" t="str">
        <f t="shared" si="186"/>
        <v/>
      </c>
      <c r="AK372" s="33" t="str">
        <f t="shared" si="187"/>
        <v/>
      </c>
      <c r="AL372" s="33" t="str">
        <f>IF(AB372&lt;&gt;"",AK372-SUM($AJ$28:AJ372),"")</f>
        <v/>
      </c>
      <c r="AM372" s="11" t="str">
        <f t="shared" si="188"/>
        <v/>
      </c>
      <c r="AN372" s="11" t="str">
        <f>IF(AB372&lt;&gt;"",IF($B$16=listy!$K$8,'RZĄDOWY PROGRAM'!$F$3*'RZĄDOWY PROGRAM'!$F$15,AG371*$F$15),"")</f>
        <v/>
      </c>
      <c r="AO372" s="11" t="str">
        <f t="shared" si="189"/>
        <v/>
      </c>
      <c r="AQ372" s="49" t="str">
        <f t="shared" si="190"/>
        <v/>
      </c>
      <c r="AR372" s="18" t="str">
        <f t="shared" si="191"/>
        <v/>
      </c>
      <c r="AS372" s="11" t="str">
        <f t="shared" si="192"/>
        <v/>
      </c>
      <c r="AT372" s="11" t="str">
        <f t="shared" si="193"/>
        <v/>
      </c>
      <c r="AU372" s="11" t="str">
        <f>IF(AB372&lt;&gt;"",AT372-SUM($AS$28:AS372),"")</f>
        <v/>
      </c>
    </row>
    <row r="373" spans="1:47" ht="14.5" x14ac:dyDescent="0.35">
      <c r="A373" s="76" t="str">
        <f t="shared" si="165"/>
        <v/>
      </c>
      <c r="B373" s="8" t="str">
        <f t="shared" si="194"/>
        <v/>
      </c>
      <c r="C373" s="11" t="str">
        <f t="shared" si="166"/>
        <v/>
      </c>
      <c r="D373" s="11" t="str">
        <f t="shared" si="167"/>
        <v/>
      </c>
      <c r="E373" s="11" t="str">
        <f t="shared" si="168"/>
        <v/>
      </c>
      <c r="F373" s="9" t="str">
        <f t="shared" si="169"/>
        <v/>
      </c>
      <c r="G373" s="10" t="str">
        <f t="shared" si="170"/>
        <v/>
      </c>
      <c r="H373" s="10" t="str">
        <f t="shared" si="171"/>
        <v/>
      </c>
      <c r="I373" s="49" t="str">
        <f t="shared" si="172"/>
        <v/>
      </c>
      <c r="J373" s="11" t="str">
        <f t="shared" si="173"/>
        <v/>
      </c>
      <c r="K373" s="11" t="str">
        <f>IF(B373&lt;&gt;"",IF($B$16=listy!$K$8,'RZĄDOWY PROGRAM'!$F$3*'RZĄDOWY PROGRAM'!$F$15,F372*$F$15),"")</f>
        <v/>
      </c>
      <c r="L373" s="11" t="str">
        <f t="shared" si="174"/>
        <v/>
      </c>
      <c r="N373" s="55" t="str">
        <f t="shared" si="175"/>
        <v/>
      </c>
      <c r="O373" s="8" t="str">
        <f t="shared" si="195"/>
        <v/>
      </c>
      <c r="P373" s="8"/>
      <c r="Q373" s="33" t="str">
        <f>IF(O373&lt;&gt;"",ROUND(IF($F$11="raty równe",-PMT(W373/12,$F$4-O372+SUM($P$28:P373),T372,2),R373+S373),2),"")</f>
        <v/>
      </c>
      <c r="R373" s="11" t="str">
        <f>IF(O373&lt;&gt;"",IF($F$11="raty malejące",T372/($F$4-O372+SUM($P$28:P373)),IF(Q373-S373&gt;T372,T372,Q373-S373)),"")</f>
        <v/>
      </c>
      <c r="S373" s="11" t="str">
        <f t="shared" si="176"/>
        <v/>
      </c>
      <c r="T373" s="9" t="str">
        <f t="shared" si="177"/>
        <v/>
      </c>
      <c r="U373" s="10" t="str">
        <f t="shared" si="178"/>
        <v/>
      </c>
      <c r="V373" s="10" t="str">
        <f t="shared" si="179"/>
        <v/>
      </c>
      <c r="W373" s="49" t="str">
        <f t="shared" si="180"/>
        <v/>
      </c>
      <c r="X373" s="11" t="str">
        <f t="shared" si="181"/>
        <v/>
      </c>
      <c r="Y373" s="11" t="str">
        <f>IF(O373&lt;&gt;"",IF($B$16=listy!$K$8,'RZĄDOWY PROGRAM'!$F$3*'RZĄDOWY PROGRAM'!$F$15,T372*$F$15),"")</f>
        <v/>
      </c>
      <c r="Z373" s="11" t="str">
        <f t="shared" si="182"/>
        <v/>
      </c>
      <c r="AB373" s="8" t="str">
        <f t="shared" si="183"/>
        <v/>
      </c>
      <c r="AC373" s="8"/>
      <c r="AD373" s="33" t="str">
        <f>IF(AB373&lt;&gt;"",ROUND(IF($F$11="raty równe",-PMT(W373/12,$F$4-AB372+SUM($AC$28:AC373),AG372,2),AE373+AF373),2),"")</f>
        <v/>
      </c>
      <c r="AE373" s="11" t="str">
        <f>IF(AB373&lt;&gt;"",IF($F$11="raty malejące",AG372/($F$4-AB372+SUM($AC$28:AC372)),MIN(AD373-AF373,AG372)),"")</f>
        <v/>
      </c>
      <c r="AF373" s="11" t="str">
        <f t="shared" si="184"/>
        <v/>
      </c>
      <c r="AG373" s="9" t="str">
        <f t="shared" si="185"/>
        <v/>
      </c>
      <c r="AH373" s="11"/>
      <c r="AI373" s="33" t="str">
        <f>IF(AB373&lt;&gt;"",ROUND(IF($F$11="raty równe",-PMT(W373/12,($F$4-AB372+SUM($AC$27:AC372)),AG372,2),AG372/($F$4-AB372+SUM($AC$27:AC372))+AG372*W373/12),2),"")</f>
        <v/>
      </c>
      <c r="AJ373" s="33" t="str">
        <f t="shared" si="186"/>
        <v/>
      </c>
      <c r="AK373" s="33" t="str">
        <f t="shared" si="187"/>
        <v/>
      </c>
      <c r="AL373" s="33" t="str">
        <f>IF(AB373&lt;&gt;"",AK373-SUM($AJ$28:AJ373),"")</f>
        <v/>
      </c>
      <c r="AM373" s="11" t="str">
        <f t="shared" si="188"/>
        <v/>
      </c>
      <c r="AN373" s="11" t="str">
        <f>IF(AB373&lt;&gt;"",IF($B$16=listy!$K$8,'RZĄDOWY PROGRAM'!$F$3*'RZĄDOWY PROGRAM'!$F$15,AG372*$F$15),"")</f>
        <v/>
      </c>
      <c r="AO373" s="11" t="str">
        <f t="shared" si="189"/>
        <v/>
      </c>
      <c r="AQ373" s="49" t="str">
        <f t="shared" si="190"/>
        <v/>
      </c>
      <c r="AR373" s="18" t="str">
        <f t="shared" si="191"/>
        <v/>
      </c>
      <c r="AS373" s="11" t="str">
        <f t="shared" si="192"/>
        <v/>
      </c>
      <c r="AT373" s="11" t="str">
        <f t="shared" si="193"/>
        <v/>
      </c>
      <c r="AU373" s="11" t="str">
        <f>IF(AB373&lt;&gt;"",AT373-SUM($AS$28:AS373),"")</f>
        <v/>
      </c>
    </row>
    <row r="374" spans="1:47" ht="14.5" x14ac:dyDescent="0.35">
      <c r="A374" s="76" t="str">
        <f t="shared" si="165"/>
        <v/>
      </c>
      <c r="B374" s="8" t="str">
        <f t="shared" si="194"/>
        <v/>
      </c>
      <c r="C374" s="11" t="str">
        <f t="shared" si="166"/>
        <v/>
      </c>
      <c r="D374" s="11" t="str">
        <f t="shared" si="167"/>
        <v/>
      </c>
      <c r="E374" s="11" t="str">
        <f t="shared" si="168"/>
        <v/>
      </c>
      <c r="F374" s="9" t="str">
        <f t="shared" si="169"/>
        <v/>
      </c>
      <c r="G374" s="10" t="str">
        <f t="shared" si="170"/>
        <v/>
      </c>
      <c r="H374" s="10" t="str">
        <f t="shared" si="171"/>
        <v/>
      </c>
      <c r="I374" s="49" t="str">
        <f t="shared" si="172"/>
        <v/>
      </c>
      <c r="J374" s="11" t="str">
        <f t="shared" si="173"/>
        <v/>
      </c>
      <c r="K374" s="11" t="str">
        <f>IF(B374&lt;&gt;"",IF($B$16=listy!$K$8,'RZĄDOWY PROGRAM'!$F$3*'RZĄDOWY PROGRAM'!$F$15,F373*$F$15),"")</f>
        <v/>
      </c>
      <c r="L374" s="11" t="str">
        <f t="shared" si="174"/>
        <v/>
      </c>
      <c r="N374" s="55" t="str">
        <f t="shared" si="175"/>
        <v/>
      </c>
      <c r="O374" s="8" t="str">
        <f t="shared" si="195"/>
        <v/>
      </c>
      <c r="P374" s="8"/>
      <c r="Q374" s="33" t="str">
        <f>IF(O374&lt;&gt;"",ROUND(IF($F$11="raty równe",-PMT(W374/12,$F$4-O373+SUM($P$28:P374),T373,2),R374+S374),2),"")</f>
        <v/>
      </c>
      <c r="R374" s="11" t="str">
        <f>IF(O374&lt;&gt;"",IF($F$11="raty malejące",T373/($F$4-O373+SUM($P$28:P374)),IF(Q374-S374&gt;T373,T373,Q374-S374)),"")</f>
        <v/>
      </c>
      <c r="S374" s="11" t="str">
        <f t="shared" si="176"/>
        <v/>
      </c>
      <c r="T374" s="9" t="str">
        <f t="shared" si="177"/>
        <v/>
      </c>
      <c r="U374" s="10" t="str">
        <f t="shared" si="178"/>
        <v/>
      </c>
      <c r="V374" s="10" t="str">
        <f t="shared" si="179"/>
        <v/>
      </c>
      <c r="W374" s="49" t="str">
        <f t="shared" si="180"/>
        <v/>
      </c>
      <c r="X374" s="11" t="str">
        <f t="shared" si="181"/>
        <v/>
      </c>
      <c r="Y374" s="11" t="str">
        <f>IF(O374&lt;&gt;"",IF($B$16=listy!$K$8,'RZĄDOWY PROGRAM'!$F$3*'RZĄDOWY PROGRAM'!$F$15,T373*$F$15),"")</f>
        <v/>
      </c>
      <c r="Z374" s="11" t="str">
        <f t="shared" si="182"/>
        <v/>
      </c>
      <c r="AB374" s="8" t="str">
        <f t="shared" si="183"/>
        <v/>
      </c>
      <c r="AC374" s="8"/>
      <c r="AD374" s="33" t="str">
        <f>IF(AB374&lt;&gt;"",ROUND(IF($F$11="raty równe",-PMT(W374/12,$F$4-AB373+SUM($AC$28:AC374),AG373,2),AE374+AF374),2),"")</f>
        <v/>
      </c>
      <c r="AE374" s="11" t="str">
        <f>IF(AB374&lt;&gt;"",IF($F$11="raty malejące",AG373/($F$4-AB373+SUM($AC$28:AC373)),MIN(AD374-AF374,AG373)),"")</f>
        <v/>
      </c>
      <c r="AF374" s="11" t="str">
        <f t="shared" si="184"/>
        <v/>
      </c>
      <c r="AG374" s="9" t="str">
        <f t="shared" si="185"/>
        <v/>
      </c>
      <c r="AH374" s="11"/>
      <c r="AI374" s="33" t="str">
        <f>IF(AB374&lt;&gt;"",ROUND(IF($F$11="raty równe",-PMT(W374/12,($F$4-AB373+SUM($AC$27:AC373)),AG373,2),AG373/($F$4-AB373+SUM($AC$27:AC373))+AG373*W374/12),2),"")</f>
        <v/>
      </c>
      <c r="AJ374" s="33" t="str">
        <f t="shared" si="186"/>
        <v/>
      </c>
      <c r="AK374" s="33" t="str">
        <f t="shared" si="187"/>
        <v/>
      </c>
      <c r="AL374" s="33" t="str">
        <f>IF(AB374&lt;&gt;"",AK374-SUM($AJ$28:AJ374),"")</f>
        <v/>
      </c>
      <c r="AM374" s="11" t="str">
        <f t="shared" si="188"/>
        <v/>
      </c>
      <c r="AN374" s="11" t="str">
        <f>IF(AB374&lt;&gt;"",IF($B$16=listy!$K$8,'RZĄDOWY PROGRAM'!$F$3*'RZĄDOWY PROGRAM'!$F$15,AG373*$F$15),"")</f>
        <v/>
      </c>
      <c r="AO374" s="11" t="str">
        <f t="shared" si="189"/>
        <v/>
      </c>
      <c r="AQ374" s="49" t="str">
        <f t="shared" si="190"/>
        <v/>
      </c>
      <c r="AR374" s="18" t="str">
        <f t="shared" si="191"/>
        <v/>
      </c>
      <c r="AS374" s="11" t="str">
        <f t="shared" si="192"/>
        <v/>
      </c>
      <c r="AT374" s="11" t="str">
        <f t="shared" si="193"/>
        <v/>
      </c>
      <c r="AU374" s="11" t="str">
        <f>IF(AB374&lt;&gt;"",AT374-SUM($AS$28:AS374),"")</f>
        <v/>
      </c>
    </row>
    <row r="375" spans="1:47" ht="14.5" x14ac:dyDescent="0.35">
      <c r="A375" s="76" t="str">
        <f t="shared" si="165"/>
        <v/>
      </c>
      <c r="B375" s="8" t="str">
        <f t="shared" si="194"/>
        <v/>
      </c>
      <c r="C375" s="11" t="str">
        <f t="shared" si="166"/>
        <v/>
      </c>
      <c r="D375" s="11" t="str">
        <f t="shared" si="167"/>
        <v/>
      </c>
      <c r="E375" s="11" t="str">
        <f t="shared" si="168"/>
        <v/>
      </c>
      <c r="F375" s="9" t="str">
        <f t="shared" si="169"/>
        <v/>
      </c>
      <c r="G375" s="10" t="str">
        <f t="shared" si="170"/>
        <v/>
      </c>
      <c r="H375" s="10" t="str">
        <f t="shared" si="171"/>
        <v/>
      </c>
      <c r="I375" s="49" t="str">
        <f t="shared" si="172"/>
        <v/>
      </c>
      <c r="J375" s="11" t="str">
        <f t="shared" si="173"/>
        <v/>
      </c>
      <c r="K375" s="11" t="str">
        <f>IF(B375&lt;&gt;"",IF($B$16=listy!$K$8,'RZĄDOWY PROGRAM'!$F$3*'RZĄDOWY PROGRAM'!$F$15,F374*$F$15),"")</f>
        <v/>
      </c>
      <c r="L375" s="11" t="str">
        <f t="shared" si="174"/>
        <v/>
      </c>
      <c r="N375" s="55" t="str">
        <f t="shared" si="175"/>
        <v/>
      </c>
      <c r="O375" s="8" t="str">
        <f t="shared" si="195"/>
        <v/>
      </c>
      <c r="P375" s="8"/>
      <c r="Q375" s="33" t="str">
        <f>IF(O375&lt;&gt;"",ROUND(IF($F$11="raty równe",-PMT(W375/12,$F$4-O374+SUM($P$28:P375),T374,2),R375+S375),2),"")</f>
        <v/>
      </c>
      <c r="R375" s="11" t="str">
        <f>IF(O375&lt;&gt;"",IF($F$11="raty malejące",T374/($F$4-O374+SUM($P$28:P375)),IF(Q375-S375&gt;T374,T374,Q375-S375)),"")</f>
        <v/>
      </c>
      <c r="S375" s="11" t="str">
        <f t="shared" si="176"/>
        <v/>
      </c>
      <c r="T375" s="9" t="str">
        <f t="shared" si="177"/>
        <v/>
      </c>
      <c r="U375" s="10" t="str">
        <f t="shared" si="178"/>
        <v/>
      </c>
      <c r="V375" s="10" t="str">
        <f t="shared" si="179"/>
        <v/>
      </c>
      <c r="W375" s="49" t="str">
        <f t="shared" si="180"/>
        <v/>
      </c>
      <c r="X375" s="11" t="str">
        <f t="shared" si="181"/>
        <v/>
      </c>
      <c r="Y375" s="11" t="str">
        <f>IF(O375&lt;&gt;"",IF($B$16=listy!$K$8,'RZĄDOWY PROGRAM'!$F$3*'RZĄDOWY PROGRAM'!$F$15,T374*$F$15),"")</f>
        <v/>
      </c>
      <c r="Z375" s="11" t="str">
        <f t="shared" si="182"/>
        <v/>
      </c>
      <c r="AB375" s="8" t="str">
        <f t="shared" si="183"/>
        <v/>
      </c>
      <c r="AC375" s="8"/>
      <c r="AD375" s="33" t="str">
        <f>IF(AB375&lt;&gt;"",ROUND(IF($F$11="raty równe",-PMT(W375/12,$F$4-AB374+SUM($AC$28:AC375),AG374,2),AE375+AF375),2),"")</f>
        <v/>
      </c>
      <c r="AE375" s="11" t="str">
        <f>IF(AB375&lt;&gt;"",IF($F$11="raty malejące",AG374/($F$4-AB374+SUM($AC$28:AC374)),MIN(AD375-AF375,AG374)),"")</f>
        <v/>
      </c>
      <c r="AF375" s="11" t="str">
        <f t="shared" si="184"/>
        <v/>
      </c>
      <c r="AG375" s="9" t="str">
        <f t="shared" si="185"/>
        <v/>
      </c>
      <c r="AH375" s="11"/>
      <c r="AI375" s="33" t="str">
        <f>IF(AB375&lt;&gt;"",ROUND(IF($F$11="raty równe",-PMT(W375/12,($F$4-AB374+SUM($AC$27:AC374)),AG374,2),AG374/($F$4-AB374+SUM($AC$27:AC374))+AG374*W375/12),2),"")</f>
        <v/>
      </c>
      <c r="AJ375" s="33" t="str">
        <f t="shared" si="186"/>
        <v/>
      </c>
      <c r="AK375" s="33" t="str">
        <f t="shared" si="187"/>
        <v/>
      </c>
      <c r="AL375" s="33" t="str">
        <f>IF(AB375&lt;&gt;"",AK375-SUM($AJ$28:AJ375),"")</f>
        <v/>
      </c>
      <c r="AM375" s="11" t="str">
        <f t="shared" si="188"/>
        <v/>
      </c>
      <c r="AN375" s="11" t="str">
        <f>IF(AB375&lt;&gt;"",IF($B$16=listy!$K$8,'RZĄDOWY PROGRAM'!$F$3*'RZĄDOWY PROGRAM'!$F$15,AG374*$F$15),"")</f>
        <v/>
      </c>
      <c r="AO375" s="11" t="str">
        <f t="shared" si="189"/>
        <v/>
      </c>
      <c r="AQ375" s="49" t="str">
        <f t="shared" si="190"/>
        <v/>
      </c>
      <c r="AR375" s="18" t="str">
        <f t="shared" si="191"/>
        <v/>
      </c>
      <c r="AS375" s="11" t="str">
        <f t="shared" si="192"/>
        <v/>
      </c>
      <c r="AT375" s="11" t="str">
        <f t="shared" si="193"/>
        <v/>
      </c>
      <c r="AU375" s="11" t="str">
        <f>IF(AB375&lt;&gt;"",AT375-SUM($AS$28:AS375),"")</f>
        <v/>
      </c>
    </row>
    <row r="376" spans="1:47" ht="14.5" x14ac:dyDescent="0.35">
      <c r="A376" s="76" t="str">
        <f t="shared" si="165"/>
        <v/>
      </c>
      <c r="B376" s="8" t="str">
        <f t="shared" si="194"/>
        <v/>
      </c>
      <c r="C376" s="11" t="str">
        <f t="shared" si="166"/>
        <v/>
      </c>
      <c r="D376" s="11" t="str">
        <f t="shared" si="167"/>
        <v/>
      </c>
      <c r="E376" s="11" t="str">
        <f t="shared" si="168"/>
        <v/>
      </c>
      <c r="F376" s="9" t="str">
        <f t="shared" si="169"/>
        <v/>
      </c>
      <c r="G376" s="10" t="str">
        <f t="shared" si="170"/>
        <v/>
      </c>
      <c r="H376" s="10" t="str">
        <f t="shared" si="171"/>
        <v/>
      </c>
      <c r="I376" s="49" t="str">
        <f t="shared" si="172"/>
        <v/>
      </c>
      <c r="J376" s="11" t="str">
        <f t="shared" si="173"/>
        <v/>
      </c>
      <c r="K376" s="11" t="str">
        <f>IF(B376&lt;&gt;"",IF($B$16=listy!$K$8,'RZĄDOWY PROGRAM'!$F$3*'RZĄDOWY PROGRAM'!$F$15,F375*$F$15),"")</f>
        <v/>
      </c>
      <c r="L376" s="11" t="str">
        <f t="shared" si="174"/>
        <v/>
      </c>
      <c r="N376" s="55" t="str">
        <f t="shared" si="175"/>
        <v/>
      </c>
      <c r="O376" s="8" t="str">
        <f t="shared" si="195"/>
        <v/>
      </c>
      <c r="P376" s="8"/>
      <c r="Q376" s="33" t="str">
        <f>IF(O376&lt;&gt;"",ROUND(IF($F$11="raty równe",-PMT(W376/12,$F$4-O375+SUM($P$28:P376),T375,2),R376+S376),2),"")</f>
        <v/>
      </c>
      <c r="R376" s="11" t="str">
        <f>IF(O376&lt;&gt;"",IF($F$11="raty malejące",T375/($F$4-O375+SUM($P$28:P376)),IF(Q376-S376&gt;T375,T375,Q376-S376)),"")</f>
        <v/>
      </c>
      <c r="S376" s="11" t="str">
        <f t="shared" si="176"/>
        <v/>
      </c>
      <c r="T376" s="9" t="str">
        <f t="shared" si="177"/>
        <v/>
      </c>
      <c r="U376" s="10" t="str">
        <f t="shared" si="178"/>
        <v/>
      </c>
      <c r="V376" s="10" t="str">
        <f t="shared" si="179"/>
        <v/>
      </c>
      <c r="W376" s="49" t="str">
        <f t="shared" si="180"/>
        <v/>
      </c>
      <c r="X376" s="11" t="str">
        <f t="shared" si="181"/>
        <v/>
      </c>
      <c r="Y376" s="11" t="str">
        <f>IF(O376&lt;&gt;"",IF($B$16=listy!$K$8,'RZĄDOWY PROGRAM'!$F$3*'RZĄDOWY PROGRAM'!$F$15,T375*$F$15),"")</f>
        <v/>
      </c>
      <c r="Z376" s="11" t="str">
        <f t="shared" si="182"/>
        <v/>
      </c>
      <c r="AB376" s="8" t="str">
        <f t="shared" si="183"/>
        <v/>
      </c>
      <c r="AC376" s="8"/>
      <c r="AD376" s="33" t="str">
        <f>IF(AB376&lt;&gt;"",ROUND(IF($F$11="raty równe",-PMT(W376/12,$F$4-AB375+SUM($AC$28:AC376),AG375,2),AE376+AF376),2),"")</f>
        <v/>
      </c>
      <c r="AE376" s="11" t="str">
        <f>IF(AB376&lt;&gt;"",IF($F$11="raty malejące",AG375/($F$4-AB375+SUM($AC$28:AC375)),MIN(AD376-AF376,AG375)),"")</f>
        <v/>
      </c>
      <c r="AF376" s="11" t="str">
        <f t="shared" si="184"/>
        <v/>
      </c>
      <c r="AG376" s="9" t="str">
        <f t="shared" si="185"/>
        <v/>
      </c>
      <c r="AH376" s="11"/>
      <c r="AI376" s="33" t="str">
        <f>IF(AB376&lt;&gt;"",ROUND(IF($F$11="raty równe",-PMT(W376/12,($F$4-AB375+SUM($AC$27:AC375)),AG375,2),AG375/($F$4-AB375+SUM($AC$27:AC375))+AG375*W376/12),2),"")</f>
        <v/>
      </c>
      <c r="AJ376" s="33" t="str">
        <f t="shared" si="186"/>
        <v/>
      </c>
      <c r="AK376" s="33" t="str">
        <f t="shared" si="187"/>
        <v/>
      </c>
      <c r="AL376" s="33" t="str">
        <f>IF(AB376&lt;&gt;"",AK376-SUM($AJ$28:AJ376),"")</f>
        <v/>
      </c>
      <c r="AM376" s="11" t="str">
        <f t="shared" si="188"/>
        <v/>
      </c>
      <c r="AN376" s="11" t="str">
        <f>IF(AB376&lt;&gt;"",IF($B$16=listy!$K$8,'RZĄDOWY PROGRAM'!$F$3*'RZĄDOWY PROGRAM'!$F$15,AG375*$F$15),"")</f>
        <v/>
      </c>
      <c r="AO376" s="11" t="str">
        <f t="shared" si="189"/>
        <v/>
      </c>
      <c r="AQ376" s="49" t="str">
        <f t="shared" si="190"/>
        <v/>
      </c>
      <c r="AR376" s="18" t="str">
        <f t="shared" si="191"/>
        <v/>
      </c>
      <c r="AS376" s="11" t="str">
        <f t="shared" si="192"/>
        <v/>
      </c>
      <c r="AT376" s="11" t="str">
        <f t="shared" si="193"/>
        <v/>
      </c>
      <c r="AU376" s="11" t="str">
        <f>IF(AB376&lt;&gt;"",AT376-SUM($AS$28:AS376),"")</f>
        <v/>
      </c>
    </row>
    <row r="377" spans="1:47" ht="14.5" x14ac:dyDescent="0.35">
      <c r="A377" s="76" t="str">
        <f t="shared" si="165"/>
        <v/>
      </c>
      <c r="B377" s="8" t="str">
        <f t="shared" si="194"/>
        <v/>
      </c>
      <c r="C377" s="11" t="str">
        <f t="shared" si="166"/>
        <v/>
      </c>
      <c r="D377" s="11" t="str">
        <f t="shared" si="167"/>
        <v/>
      </c>
      <c r="E377" s="11" t="str">
        <f t="shared" si="168"/>
        <v/>
      </c>
      <c r="F377" s="9" t="str">
        <f t="shared" si="169"/>
        <v/>
      </c>
      <c r="G377" s="10" t="str">
        <f t="shared" si="170"/>
        <v/>
      </c>
      <c r="H377" s="10" t="str">
        <f t="shared" si="171"/>
        <v/>
      </c>
      <c r="I377" s="49" t="str">
        <f t="shared" si="172"/>
        <v/>
      </c>
      <c r="J377" s="11" t="str">
        <f t="shared" si="173"/>
        <v/>
      </c>
      <c r="K377" s="11" t="str">
        <f>IF(B377&lt;&gt;"",IF($B$16=listy!$K$8,'RZĄDOWY PROGRAM'!$F$3*'RZĄDOWY PROGRAM'!$F$15,F376*$F$15),"")</f>
        <v/>
      </c>
      <c r="L377" s="11" t="str">
        <f t="shared" si="174"/>
        <v/>
      </c>
      <c r="N377" s="55" t="str">
        <f t="shared" si="175"/>
        <v/>
      </c>
      <c r="O377" s="8" t="str">
        <f t="shared" si="195"/>
        <v/>
      </c>
      <c r="P377" s="8"/>
      <c r="Q377" s="33" t="str">
        <f>IF(O377&lt;&gt;"",ROUND(IF($F$11="raty równe",-PMT(W377/12,$F$4-O376+SUM($P$28:P377),T376,2),R377+S377),2),"")</f>
        <v/>
      </c>
      <c r="R377" s="11" t="str">
        <f>IF(O377&lt;&gt;"",IF($F$11="raty malejące",T376/($F$4-O376+SUM($P$28:P377)),IF(Q377-S377&gt;T376,T376,Q377-S377)),"")</f>
        <v/>
      </c>
      <c r="S377" s="11" t="str">
        <f t="shared" si="176"/>
        <v/>
      </c>
      <c r="T377" s="9" t="str">
        <f t="shared" si="177"/>
        <v/>
      </c>
      <c r="U377" s="10" t="str">
        <f t="shared" si="178"/>
        <v/>
      </c>
      <c r="V377" s="10" t="str">
        <f t="shared" si="179"/>
        <v/>
      </c>
      <c r="W377" s="49" t="str">
        <f t="shared" si="180"/>
        <v/>
      </c>
      <c r="X377" s="11" t="str">
        <f t="shared" si="181"/>
        <v/>
      </c>
      <c r="Y377" s="11" t="str">
        <f>IF(O377&lt;&gt;"",IF($B$16=listy!$K$8,'RZĄDOWY PROGRAM'!$F$3*'RZĄDOWY PROGRAM'!$F$15,T376*$F$15),"")</f>
        <v/>
      </c>
      <c r="Z377" s="11" t="str">
        <f t="shared" si="182"/>
        <v/>
      </c>
      <c r="AB377" s="8" t="str">
        <f t="shared" si="183"/>
        <v/>
      </c>
      <c r="AC377" s="8"/>
      <c r="AD377" s="33" t="str">
        <f>IF(AB377&lt;&gt;"",ROUND(IF($F$11="raty równe",-PMT(W377/12,$F$4-AB376+SUM($AC$28:AC377),AG376,2),AE377+AF377),2),"")</f>
        <v/>
      </c>
      <c r="AE377" s="11" t="str">
        <f>IF(AB377&lt;&gt;"",IF($F$11="raty malejące",AG376/($F$4-AB376+SUM($AC$28:AC376)),MIN(AD377-AF377,AG376)),"")</f>
        <v/>
      </c>
      <c r="AF377" s="11" t="str">
        <f t="shared" si="184"/>
        <v/>
      </c>
      <c r="AG377" s="9" t="str">
        <f t="shared" si="185"/>
        <v/>
      </c>
      <c r="AH377" s="11"/>
      <c r="AI377" s="33" t="str">
        <f>IF(AB377&lt;&gt;"",ROUND(IF($F$11="raty równe",-PMT(W377/12,($F$4-AB376+SUM($AC$27:AC376)),AG376,2),AG376/($F$4-AB376+SUM($AC$27:AC376))+AG376*W377/12),2),"")</f>
        <v/>
      </c>
      <c r="AJ377" s="33" t="str">
        <f t="shared" si="186"/>
        <v/>
      </c>
      <c r="AK377" s="33" t="str">
        <f t="shared" si="187"/>
        <v/>
      </c>
      <c r="AL377" s="33" t="str">
        <f>IF(AB377&lt;&gt;"",AK377-SUM($AJ$28:AJ377),"")</f>
        <v/>
      </c>
      <c r="AM377" s="11" t="str">
        <f t="shared" si="188"/>
        <v/>
      </c>
      <c r="AN377" s="11" t="str">
        <f>IF(AB377&lt;&gt;"",IF($B$16=listy!$K$8,'RZĄDOWY PROGRAM'!$F$3*'RZĄDOWY PROGRAM'!$F$15,AG376*$F$15),"")</f>
        <v/>
      </c>
      <c r="AO377" s="11" t="str">
        <f t="shared" si="189"/>
        <v/>
      </c>
      <c r="AQ377" s="49" t="str">
        <f t="shared" si="190"/>
        <v/>
      </c>
      <c r="AR377" s="18" t="str">
        <f t="shared" si="191"/>
        <v/>
      </c>
      <c r="AS377" s="11" t="str">
        <f t="shared" si="192"/>
        <v/>
      </c>
      <c r="AT377" s="11" t="str">
        <f t="shared" si="193"/>
        <v/>
      </c>
      <c r="AU377" s="11" t="str">
        <f>IF(AB377&lt;&gt;"",AT377-SUM($AS$28:AS377),"")</f>
        <v/>
      </c>
    </row>
    <row r="378" spans="1:47" ht="14.5" x14ac:dyDescent="0.35">
      <c r="A378" s="76" t="str">
        <f t="shared" si="165"/>
        <v/>
      </c>
      <c r="B378" s="8" t="str">
        <f t="shared" si="194"/>
        <v/>
      </c>
      <c r="C378" s="11" t="str">
        <f t="shared" si="166"/>
        <v/>
      </c>
      <c r="D378" s="11" t="str">
        <f t="shared" si="167"/>
        <v/>
      </c>
      <c r="E378" s="11" t="str">
        <f t="shared" si="168"/>
        <v/>
      </c>
      <c r="F378" s="9" t="str">
        <f t="shared" si="169"/>
        <v/>
      </c>
      <c r="G378" s="10" t="str">
        <f t="shared" si="170"/>
        <v/>
      </c>
      <c r="H378" s="10" t="str">
        <f t="shared" si="171"/>
        <v/>
      </c>
      <c r="I378" s="49" t="str">
        <f t="shared" si="172"/>
        <v/>
      </c>
      <c r="J378" s="11" t="str">
        <f t="shared" si="173"/>
        <v/>
      </c>
      <c r="K378" s="11" t="str">
        <f>IF(B378&lt;&gt;"",IF($B$16=listy!$K$8,'RZĄDOWY PROGRAM'!$F$3*'RZĄDOWY PROGRAM'!$F$15,F377*$F$15),"")</f>
        <v/>
      </c>
      <c r="L378" s="11" t="str">
        <f t="shared" si="174"/>
        <v/>
      </c>
      <c r="N378" s="55" t="str">
        <f t="shared" si="175"/>
        <v/>
      </c>
      <c r="O378" s="8" t="str">
        <f t="shared" si="195"/>
        <v/>
      </c>
      <c r="P378" s="8"/>
      <c r="Q378" s="33" t="str">
        <f>IF(O378&lt;&gt;"",ROUND(IF($F$11="raty równe",-PMT(W378/12,$F$4-O377+SUM($P$28:P378),T377,2),R378+S378),2),"")</f>
        <v/>
      </c>
      <c r="R378" s="11" t="str">
        <f>IF(O378&lt;&gt;"",IF($F$11="raty malejące",T377/($F$4-O377+SUM($P$28:P378)),IF(Q378-S378&gt;T377,T377,Q378-S378)),"")</f>
        <v/>
      </c>
      <c r="S378" s="11" t="str">
        <f t="shared" si="176"/>
        <v/>
      </c>
      <c r="T378" s="9" t="str">
        <f t="shared" si="177"/>
        <v/>
      </c>
      <c r="U378" s="10" t="str">
        <f t="shared" si="178"/>
        <v/>
      </c>
      <c r="V378" s="10" t="str">
        <f t="shared" si="179"/>
        <v/>
      </c>
      <c r="W378" s="49" t="str">
        <f t="shared" si="180"/>
        <v/>
      </c>
      <c r="X378" s="11" t="str">
        <f t="shared" si="181"/>
        <v/>
      </c>
      <c r="Y378" s="11" t="str">
        <f>IF(O378&lt;&gt;"",IF($B$16=listy!$K$8,'RZĄDOWY PROGRAM'!$F$3*'RZĄDOWY PROGRAM'!$F$15,T377*$F$15),"")</f>
        <v/>
      </c>
      <c r="Z378" s="11" t="str">
        <f t="shared" si="182"/>
        <v/>
      </c>
      <c r="AB378" s="8" t="str">
        <f t="shared" si="183"/>
        <v/>
      </c>
      <c r="AC378" s="8"/>
      <c r="AD378" s="33" t="str">
        <f>IF(AB378&lt;&gt;"",ROUND(IF($F$11="raty równe",-PMT(W378/12,$F$4-AB377+SUM($AC$28:AC378),AG377,2),AE378+AF378),2),"")</f>
        <v/>
      </c>
      <c r="AE378" s="11" t="str">
        <f>IF(AB378&lt;&gt;"",IF($F$11="raty malejące",AG377/($F$4-AB377+SUM($AC$28:AC377)),MIN(AD378-AF378,AG377)),"")</f>
        <v/>
      </c>
      <c r="AF378" s="11" t="str">
        <f t="shared" si="184"/>
        <v/>
      </c>
      <c r="AG378" s="9" t="str">
        <f t="shared" si="185"/>
        <v/>
      </c>
      <c r="AH378" s="11"/>
      <c r="AI378" s="33" t="str">
        <f>IF(AB378&lt;&gt;"",ROUND(IF($F$11="raty równe",-PMT(W378/12,($F$4-AB377+SUM($AC$27:AC377)),AG377,2),AG377/($F$4-AB377+SUM($AC$27:AC377))+AG377*W378/12),2),"")</f>
        <v/>
      </c>
      <c r="AJ378" s="33" t="str">
        <f t="shared" si="186"/>
        <v/>
      </c>
      <c r="AK378" s="33" t="str">
        <f t="shared" si="187"/>
        <v/>
      </c>
      <c r="AL378" s="33" t="str">
        <f>IF(AB378&lt;&gt;"",AK378-SUM($AJ$28:AJ378),"")</f>
        <v/>
      </c>
      <c r="AM378" s="11" t="str">
        <f t="shared" si="188"/>
        <v/>
      </c>
      <c r="AN378" s="11" t="str">
        <f>IF(AB378&lt;&gt;"",IF($B$16=listy!$K$8,'RZĄDOWY PROGRAM'!$F$3*'RZĄDOWY PROGRAM'!$F$15,AG377*$F$15),"")</f>
        <v/>
      </c>
      <c r="AO378" s="11" t="str">
        <f t="shared" si="189"/>
        <v/>
      </c>
      <c r="AQ378" s="49" t="str">
        <f t="shared" si="190"/>
        <v/>
      </c>
      <c r="AR378" s="18" t="str">
        <f t="shared" si="191"/>
        <v/>
      </c>
      <c r="AS378" s="11" t="str">
        <f t="shared" si="192"/>
        <v/>
      </c>
      <c r="AT378" s="11" t="str">
        <f t="shared" si="193"/>
        <v/>
      </c>
      <c r="AU378" s="11" t="str">
        <f>IF(AB378&lt;&gt;"",AT378-SUM($AS$28:AS378),"")</f>
        <v/>
      </c>
    </row>
    <row r="379" spans="1:47" ht="14.5" x14ac:dyDescent="0.35">
      <c r="A379" s="76" t="str">
        <f t="shared" si="165"/>
        <v/>
      </c>
      <c r="B379" s="8" t="str">
        <f t="shared" si="194"/>
        <v/>
      </c>
      <c r="C379" s="11" t="str">
        <f t="shared" si="166"/>
        <v/>
      </c>
      <c r="D379" s="11" t="str">
        <f t="shared" si="167"/>
        <v/>
      </c>
      <c r="E379" s="11" t="str">
        <f t="shared" si="168"/>
        <v/>
      </c>
      <c r="F379" s="9" t="str">
        <f t="shared" si="169"/>
        <v/>
      </c>
      <c r="G379" s="10" t="str">
        <f t="shared" si="170"/>
        <v/>
      </c>
      <c r="H379" s="10" t="str">
        <f t="shared" si="171"/>
        <v/>
      </c>
      <c r="I379" s="49" t="str">
        <f t="shared" si="172"/>
        <v/>
      </c>
      <c r="J379" s="11" t="str">
        <f t="shared" si="173"/>
        <v/>
      </c>
      <c r="K379" s="11" t="str">
        <f>IF(B379&lt;&gt;"",IF($B$16=listy!$K$8,'RZĄDOWY PROGRAM'!$F$3*'RZĄDOWY PROGRAM'!$F$15,F378*$F$15),"")</f>
        <v/>
      </c>
      <c r="L379" s="11" t="str">
        <f t="shared" si="174"/>
        <v/>
      </c>
      <c r="N379" s="55" t="str">
        <f t="shared" si="175"/>
        <v/>
      </c>
      <c r="O379" s="8" t="str">
        <f t="shared" si="195"/>
        <v/>
      </c>
      <c r="P379" s="8"/>
      <c r="Q379" s="33" t="str">
        <f>IF(O379&lt;&gt;"",ROUND(IF($F$11="raty równe",-PMT(W379/12,$F$4-O378+SUM($P$28:P379),T378,2),R379+S379),2),"")</f>
        <v/>
      </c>
      <c r="R379" s="11" t="str">
        <f>IF(O379&lt;&gt;"",IF($F$11="raty malejące",T378/($F$4-O378+SUM($P$28:P379)),IF(Q379-S379&gt;T378,T378,Q379-S379)),"")</f>
        <v/>
      </c>
      <c r="S379" s="11" t="str">
        <f t="shared" si="176"/>
        <v/>
      </c>
      <c r="T379" s="9" t="str">
        <f t="shared" si="177"/>
        <v/>
      </c>
      <c r="U379" s="10" t="str">
        <f t="shared" si="178"/>
        <v/>
      </c>
      <c r="V379" s="10" t="str">
        <f t="shared" si="179"/>
        <v/>
      </c>
      <c r="W379" s="49" t="str">
        <f t="shared" si="180"/>
        <v/>
      </c>
      <c r="X379" s="11" t="str">
        <f t="shared" si="181"/>
        <v/>
      </c>
      <c r="Y379" s="11" t="str">
        <f>IF(O379&lt;&gt;"",IF($B$16=listy!$K$8,'RZĄDOWY PROGRAM'!$F$3*'RZĄDOWY PROGRAM'!$F$15,T378*$F$15),"")</f>
        <v/>
      </c>
      <c r="Z379" s="11" t="str">
        <f t="shared" si="182"/>
        <v/>
      </c>
      <c r="AB379" s="8" t="str">
        <f t="shared" si="183"/>
        <v/>
      </c>
      <c r="AC379" s="8"/>
      <c r="AD379" s="33" t="str">
        <f>IF(AB379&lt;&gt;"",ROUND(IF($F$11="raty równe",-PMT(W379/12,$F$4-AB378+SUM($AC$28:AC379),AG378,2),AE379+AF379),2),"")</f>
        <v/>
      </c>
      <c r="AE379" s="11" t="str">
        <f>IF(AB379&lt;&gt;"",IF($F$11="raty malejące",AG378/($F$4-AB378+SUM($AC$28:AC378)),MIN(AD379-AF379,AG378)),"")</f>
        <v/>
      </c>
      <c r="AF379" s="11" t="str">
        <f t="shared" si="184"/>
        <v/>
      </c>
      <c r="AG379" s="9" t="str">
        <f t="shared" si="185"/>
        <v/>
      </c>
      <c r="AH379" s="11"/>
      <c r="AI379" s="33" t="str">
        <f>IF(AB379&lt;&gt;"",ROUND(IF($F$11="raty równe",-PMT(W379/12,($F$4-AB378+SUM($AC$27:AC378)),AG378,2),AG378/($F$4-AB378+SUM($AC$27:AC378))+AG378*W379/12),2),"")</f>
        <v/>
      </c>
      <c r="AJ379" s="33" t="str">
        <f t="shared" si="186"/>
        <v/>
      </c>
      <c r="AK379" s="33" t="str">
        <f t="shared" si="187"/>
        <v/>
      </c>
      <c r="AL379" s="33" t="str">
        <f>IF(AB379&lt;&gt;"",AK379-SUM($AJ$28:AJ379),"")</f>
        <v/>
      </c>
      <c r="AM379" s="11" t="str">
        <f t="shared" si="188"/>
        <v/>
      </c>
      <c r="AN379" s="11" t="str">
        <f>IF(AB379&lt;&gt;"",IF($B$16=listy!$K$8,'RZĄDOWY PROGRAM'!$F$3*'RZĄDOWY PROGRAM'!$F$15,AG378*$F$15),"")</f>
        <v/>
      </c>
      <c r="AO379" s="11" t="str">
        <f t="shared" si="189"/>
        <v/>
      </c>
      <c r="AQ379" s="49" t="str">
        <f t="shared" si="190"/>
        <v/>
      </c>
      <c r="AR379" s="18" t="str">
        <f t="shared" si="191"/>
        <v/>
      </c>
      <c r="AS379" s="11" t="str">
        <f t="shared" si="192"/>
        <v/>
      </c>
      <c r="AT379" s="11" t="str">
        <f t="shared" si="193"/>
        <v/>
      </c>
      <c r="AU379" s="11" t="str">
        <f>IF(AB379&lt;&gt;"",AT379-SUM($AS$28:AS379),"")</f>
        <v/>
      </c>
    </row>
    <row r="380" spans="1:47" ht="14.5" x14ac:dyDescent="0.35">
      <c r="A380" s="76" t="str">
        <f t="shared" si="165"/>
        <v/>
      </c>
      <c r="B380" s="8" t="str">
        <f t="shared" si="194"/>
        <v/>
      </c>
      <c r="C380" s="11" t="str">
        <f t="shared" si="166"/>
        <v/>
      </c>
      <c r="D380" s="11" t="str">
        <f t="shared" si="167"/>
        <v/>
      </c>
      <c r="E380" s="11" t="str">
        <f t="shared" si="168"/>
        <v/>
      </c>
      <c r="F380" s="9" t="str">
        <f t="shared" si="169"/>
        <v/>
      </c>
      <c r="G380" s="10" t="str">
        <f t="shared" si="170"/>
        <v/>
      </c>
      <c r="H380" s="10" t="str">
        <f t="shared" si="171"/>
        <v/>
      </c>
      <c r="I380" s="49" t="str">
        <f t="shared" si="172"/>
        <v/>
      </c>
      <c r="J380" s="11" t="str">
        <f t="shared" si="173"/>
        <v/>
      </c>
      <c r="K380" s="11" t="str">
        <f>IF(B380&lt;&gt;"",IF($B$16=listy!$K$8,'RZĄDOWY PROGRAM'!$F$3*'RZĄDOWY PROGRAM'!$F$15,F379*$F$15),"")</f>
        <v/>
      </c>
      <c r="L380" s="11" t="str">
        <f t="shared" si="174"/>
        <v/>
      </c>
      <c r="N380" s="55" t="str">
        <f t="shared" si="175"/>
        <v/>
      </c>
      <c r="O380" s="8" t="str">
        <f t="shared" si="195"/>
        <v/>
      </c>
      <c r="P380" s="8"/>
      <c r="Q380" s="33" t="str">
        <f>IF(O380&lt;&gt;"",ROUND(IF($F$11="raty równe",-PMT(W380/12,$F$4-O379+SUM($P$28:P380),T379,2),R380+S380),2),"")</f>
        <v/>
      </c>
      <c r="R380" s="11" t="str">
        <f>IF(O380&lt;&gt;"",IF($F$11="raty malejące",T379/($F$4-O379+SUM($P$28:P380)),IF(Q380-S380&gt;T379,T379,Q380-S380)),"")</f>
        <v/>
      </c>
      <c r="S380" s="11" t="str">
        <f t="shared" si="176"/>
        <v/>
      </c>
      <c r="T380" s="9" t="str">
        <f t="shared" si="177"/>
        <v/>
      </c>
      <c r="U380" s="10" t="str">
        <f t="shared" si="178"/>
        <v/>
      </c>
      <c r="V380" s="10" t="str">
        <f t="shared" si="179"/>
        <v/>
      </c>
      <c r="W380" s="49" t="str">
        <f t="shared" si="180"/>
        <v/>
      </c>
      <c r="X380" s="11" t="str">
        <f t="shared" si="181"/>
        <v/>
      </c>
      <c r="Y380" s="11" t="str">
        <f>IF(O380&lt;&gt;"",IF($B$16=listy!$K$8,'RZĄDOWY PROGRAM'!$F$3*'RZĄDOWY PROGRAM'!$F$15,T379*$F$15),"")</f>
        <v/>
      </c>
      <c r="Z380" s="11" t="str">
        <f t="shared" si="182"/>
        <v/>
      </c>
      <c r="AB380" s="8" t="str">
        <f t="shared" si="183"/>
        <v/>
      </c>
      <c r="AC380" s="8"/>
      <c r="AD380" s="33" t="str">
        <f>IF(AB380&lt;&gt;"",ROUND(IF($F$11="raty równe",-PMT(W380/12,$F$4-AB379+SUM($AC$28:AC380),AG379,2),AE380+AF380),2),"")</f>
        <v/>
      </c>
      <c r="AE380" s="11" t="str">
        <f>IF(AB380&lt;&gt;"",IF($F$11="raty malejące",AG379/($F$4-AB379+SUM($AC$28:AC379)),MIN(AD380-AF380,AG379)),"")</f>
        <v/>
      </c>
      <c r="AF380" s="11" t="str">
        <f t="shared" si="184"/>
        <v/>
      </c>
      <c r="AG380" s="9" t="str">
        <f t="shared" si="185"/>
        <v/>
      </c>
      <c r="AH380" s="11"/>
      <c r="AI380" s="33" t="str">
        <f>IF(AB380&lt;&gt;"",ROUND(IF($F$11="raty równe",-PMT(W380/12,($F$4-AB379+SUM($AC$27:AC379)),AG379,2),AG379/($F$4-AB379+SUM($AC$27:AC379))+AG379*W380/12),2),"")</f>
        <v/>
      </c>
      <c r="AJ380" s="33" t="str">
        <f t="shared" si="186"/>
        <v/>
      </c>
      <c r="AK380" s="33" t="str">
        <f t="shared" si="187"/>
        <v/>
      </c>
      <c r="AL380" s="33" t="str">
        <f>IF(AB380&lt;&gt;"",AK380-SUM($AJ$28:AJ380),"")</f>
        <v/>
      </c>
      <c r="AM380" s="11" t="str">
        <f t="shared" si="188"/>
        <v/>
      </c>
      <c r="AN380" s="11" t="str">
        <f>IF(AB380&lt;&gt;"",IF($B$16=listy!$K$8,'RZĄDOWY PROGRAM'!$F$3*'RZĄDOWY PROGRAM'!$F$15,AG379*$F$15),"")</f>
        <v/>
      </c>
      <c r="AO380" s="11" t="str">
        <f t="shared" si="189"/>
        <v/>
      </c>
      <c r="AQ380" s="49" t="str">
        <f t="shared" si="190"/>
        <v/>
      </c>
      <c r="AR380" s="18" t="str">
        <f t="shared" si="191"/>
        <v/>
      </c>
      <c r="AS380" s="11" t="str">
        <f t="shared" si="192"/>
        <v/>
      </c>
      <c r="AT380" s="11" t="str">
        <f t="shared" si="193"/>
        <v/>
      </c>
      <c r="AU380" s="11" t="str">
        <f>IF(AB380&lt;&gt;"",AT380-SUM($AS$28:AS380),"")</f>
        <v/>
      </c>
    </row>
    <row r="381" spans="1:47" ht="14.5" x14ac:dyDescent="0.35">
      <c r="A381" s="76" t="str">
        <f t="shared" si="165"/>
        <v/>
      </c>
      <c r="B381" s="8" t="str">
        <f t="shared" si="194"/>
        <v/>
      </c>
      <c r="C381" s="11" t="str">
        <f t="shared" si="166"/>
        <v/>
      </c>
      <c r="D381" s="11" t="str">
        <f t="shared" si="167"/>
        <v/>
      </c>
      <c r="E381" s="11" t="str">
        <f t="shared" si="168"/>
        <v/>
      </c>
      <c r="F381" s="9" t="str">
        <f t="shared" si="169"/>
        <v/>
      </c>
      <c r="G381" s="10" t="str">
        <f t="shared" si="170"/>
        <v/>
      </c>
      <c r="H381" s="10" t="str">
        <f t="shared" si="171"/>
        <v/>
      </c>
      <c r="I381" s="49" t="str">
        <f t="shared" si="172"/>
        <v/>
      </c>
      <c r="J381" s="11" t="str">
        <f t="shared" si="173"/>
        <v/>
      </c>
      <c r="K381" s="11" t="str">
        <f>IF(B381&lt;&gt;"",IF($B$16=listy!$K$8,'RZĄDOWY PROGRAM'!$F$3*'RZĄDOWY PROGRAM'!$F$15,F380*$F$15),"")</f>
        <v/>
      </c>
      <c r="L381" s="11" t="str">
        <f t="shared" si="174"/>
        <v/>
      </c>
      <c r="N381" s="55" t="str">
        <f t="shared" si="175"/>
        <v/>
      </c>
      <c r="O381" s="8" t="str">
        <f t="shared" si="195"/>
        <v/>
      </c>
      <c r="P381" s="8"/>
      <c r="Q381" s="33" t="str">
        <f>IF(O381&lt;&gt;"",ROUND(IF($F$11="raty równe",-PMT(W381/12,$F$4-O380+SUM($P$28:P381),T380,2),R381+S381),2),"")</f>
        <v/>
      </c>
      <c r="R381" s="11" t="str">
        <f>IF(O381&lt;&gt;"",IF($F$11="raty malejące",T380/($F$4-O380+SUM($P$28:P381)),IF(Q381-S381&gt;T380,T380,Q381-S381)),"")</f>
        <v/>
      </c>
      <c r="S381" s="11" t="str">
        <f t="shared" si="176"/>
        <v/>
      </c>
      <c r="T381" s="9" t="str">
        <f t="shared" si="177"/>
        <v/>
      </c>
      <c r="U381" s="10" t="str">
        <f t="shared" si="178"/>
        <v/>
      </c>
      <c r="V381" s="10" t="str">
        <f t="shared" si="179"/>
        <v/>
      </c>
      <c r="W381" s="49" t="str">
        <f t="shared" si="180"/>
        <v/>
      </c>
      <c r="X381" s="11" t="str">
        <f t="shared" si="181"/>
        <v/>
      </c>
      <c r="Y381" s="11" t="str">
        <f>IF(O381&lt;&gt;"",IF($B$16=listy!$K$8,'RZĄDOWY PROGRAM'!$F$3*'RZĄDOWY PROGRAM'!$F$15,T380*$F$15),"")</f>
        <v/>
      </c>
      <c r="Z381" s="11" t="str">
        <f t="shared" si="182"/>
        <v/>
      </c>
      <c r="AB381" s="8" t="str">
        <f t="shared" si="183"/>
        <v/>
      </c>
      <c r="AC381" s="8"/>
      <c r="AD381" s="33" t="str">
        <f>IF(AB381&lt;&gt;"",ROUND(IF($F$11="raty równe",-PMT(W381/12,$F$4-AB380+SUM($AC$28:AC381),AG380,2),AE381+AF381),2),"")</f>
        <v/>
      </c>
      <c r="AE381" s="11" t="str">
        <f>IF(AB381&lt;&gt;"",IF($F$11="raty malejące",AG380/($F$4-AB380+SUM($AC$28:AC380)),MIN(AD381-AF381,AG380)),"")</f>
        <v/>
      </c>
      <c r="AF381" s="11" t="str">
        <f t="shared" si="184"/>
        <v/>
      </c>
      <c r="AG381" s="9" t="str">
        <f t="shared" si="185"/>
        <v/>
      </c>
      <c r="AH381" s="11"/>
      <c r="AI381" s="33" t="str">
        <f>IF(AB381&lt;&gt;"",ROUND(IF($F$11="raty równe",-PMT(W381/12,($F$4-AB380+SUM($AC$27:AC380)),AG380,2),AG380/($F$4-AB380+SUM($AC$27:AC380))+AG380*W381/12),2),"")</f>
        <v/>
      </c>
      <c r="AJ381" s="33" t="str">
        <f t="shared" si="186"/>
        <v/>
      </c>
      <c r="AK381" s="33" t="str">
        <f t="shared" si="187"/>
        <v/>
      </c>
      <c r="AL381" s="33" t="str">
        <f>IF(AB381&lt;&gt;"",AK381-SUM($AJ$28:AJ381),"")</f>
        <v/>
      </c>
      <c r="AM381" s="11" t="str">
        <f t="shared" si="188"/>
        <v/>
      </c>
      <c r="AN381" s="11" t="str">
        <f>IF(AB381&lt;&gt;"",IF($B$16=listy!$K$8,'RZĄDOWY PROGRAM'!$F$3*'RZĄDOWY PROGRAM'!$F$15,AG380*$F$15),"")</f>
        <v/>
      </c>
      <c r="AO381" s="11" t="str">
        <f t="shared" si="189"/>
        <v/>
      </c>
      <c r="AQ381" s="49" t="str">
        <f t="shared" si="190"/>
        <v/>
      </c>
      <c r="AR381" s="18" t="str">
        <f t="shared" si="191"/>
        <v/>
      </c>
      <c r="AS381" s="11" t="str">
        <f t="shared" si="192"/>
        <v/>
      </c>
      <c r="AT381" s="11" t="str">
        <f t="shared" si="193"/>
        <v/>
      </c>
      <c r="AU381" s="11" t="str">
        <f>IF(AB381&lt;&gt;"",AT381-SUM($AS$28:AS381),"")</f>
        <v/>
      </c>
    </row>
    <row r="382" spans="1:47" ht="14.5" x14ac:dyDescent="0.35">
      <c r="A382" s="76" t="str">
        <f t="shared" si="165"/>
        <v/>
      </c>
      <c r="B382" s="8" t="str">
        <f t="shared" si="194"/>
        <v/>
      </c>
      <c r="C382" s="11" t="str">
        <f t="shared" si="166"/>
        <v/>
      </c>
      <c r="D382" s="11" t="str">
        <f t="shared" si="167"/>
        <v/>
      </c>
      <c r="E382" s="11" t="str">
        <f t="shared" si="168"/>
        <v/>
      </c>
      <c r="F382" s="9" t="str">
        <f t="shared" si="169"/>
        <v/>
      </c>
      <c r="G382" s="10" t="str">
        <f t="shared" si="170"/>
        <v/>
      </c>
      <c r="H382" s="10" t="str">
        <f t="shared" si="171"/>
        <v/>
      </c>
      <c r="I382" s="49" t="str">
        <f t="shared" si="172"/>
        <v/>
      </c>
      <c r="J382" s="11" t="str">
        <f t="shared" si="173"/>
        <v/>
      </c>
      <c r="K382" s="11" t="str">
        <f>IF(B382&lt;&gt;"",IF($B$16=listy!$K$8,'RZĄDOWY PROGRAM'!$F$3*'RZĄDOWY PROGRAM'!$F$15,F381*$F$15),"")</f>
        <v/>
      </c>
      <c r="L382" s="11" t="str">
        <f t="shared" si="174"/>
        <v/>
      </c>
      <c r="N382" s="55" t="str">
        <f t="shared" si="175"/>
        <v/>
      </c>
      <c r="O382" s="8" t="str">
        <f t="shared" si="195"/>
        <v/>
      </c>
      <c r="P382" s="8"/>
      <c r="Q382" s="33" t="str">
        <f>IF(O382&lt;&gt;"",ROUND(IF($F$11="raty równe",-PMT(W382/12,$F$4-O381+SUM($P$28:P382),T381,2),R382+S382),2),"")</f>
        <v/>
      </c>
      <c r="R382" s="11" t="str">
        <f>IF(O382&lt;&gt;"",IF($F$11="raty malejące",T381/($F$4-O381+SUM($P$28:P382)),IF(Q382-S382&gt;T381,T381,Q382-S382)),"")</f>
        <v/>
      </c>
      <c r="S382" s="11" t="str">
        <f t="shared" si="176"/>
        <v/>
      </c>
      <c r="T382" s="9" t="str">
        <f t="shared" si="177"/>
        <v/>
      </c>
      <c r="U382" s="10" t="str">
        <f t="shared" si="178"/>
        <v/>
      </c>
      <c r="V382" s="10" t="str">
        <f t="shared" si="179"/>
        <v/>
      </c>
      <c r="W382" s="49" t="str">
        <f t="shared" si="180"/>
        <v/>
      </c>
      <c r="X382" s="11" t="str">
        <f t="shared" si="181"/>
        <v/>
      </c>
      <c r="Y382" s="11" t="str">
        <f>IF(O382&lt;&gt;"",IF($B$16=listy!$K$8,'RZĄDOWY PROGRAM'!$F$3*'RZĄDOWY PROGRAM'!$F$15,T381*$F$15),"")</f>
        <v/>
      </c>
      <c r="Z382" s="11" t="str">
        <f t="shared" si="182"/>
        <v/>
      </c>
      <c r="AB382" s="8" t="str">
        <f t="shared" si="183"/>
        <v/>
      </c>
      <c r="AC382" s="8"/>
      <c r="AD382" s="33" t="str">
        <f>IF(AB382&lt;&gt;"",ROUND(IF($F$11="raty równe",-PMT(W382/12,$F$4-AB381+SUM($AC$28:AC382),AG381,2),AE382+AF382),2),"")</f>
        <v/>
      </c>
      <c r="AE382" s="11" t="str">
        <f>IF(AB382&lt;&gt;"",IF($F$11="raty malejące",AG381/($F$4-AB381+SUM($AC$28:AC381)),MIN(AD382-AF382,AG381)),"")</f>
        <v/>
      </c>
      <c r="AF382" s="11" t="str">
        <f t="shared" si="184"/>
        <v/>
      </c>
      <c r="AG382" s="9" t="str">
        <f t="shared" si="185"/>
        <v/>
      </c>
      <c r="AH382" s="11"/>
      <c r="AI382" s="33" t="str">
        <f>IF(AB382&lt;&gt;"",ROUND(IF($F$11="raty równe",-PMT(W382/12,($F$4-AB381+SUM($AC$27:AC381)),AG381,2),AG381/($F$4-AB381+SUM($AC$27:AC381))+AG381*W382/12),2),"")</f>
        <v/>
      </c>
      <c r="AJ382" s="33" t="str">
        <f t="shared" si="186"/>
        <v/>
      </c>
      <c r="AK382" s="33" t="str">
        <f t="shared" si="187"/>
        <v/>
      </c>
      <c r="AL382" s="33" t="str">
        <f>IF(AB382&lt;&gt;"",AK382-SUM($AJ$28:AJ382),"")</f>
        <v/>
      </c>
      <c r="AM382" s="11" t="str">
        <f t="shared" si="188"/>
        <v/>
      </c>
      <c r="AN382" s="11" t="str">
        <f>IF(AB382&lt;&gt;"",IF($B$16=listy!$K$8,'RZĄDOWY PROGRAM'!$F$3*'RZĄDOWY PROGRAM'!$F$15,AG381*$F$15),"")</f>
        <v/>
      </c>
      <c r="AO382" s="11" t="str">
        <f t="shared" si="189"/>
        <v/>
      </c>
      <c r="AQ382" s="49" t="str">
        <f t="shared" si="190"/>
        <v/>
      </c>
      <c r="AR382" s="18" t="str">
        <f t="shared" si="191"/>
        <v/>
      </c>
      <c r="AS382" s="11" t="str">
        <f t="shared" si="192"/>
        <v/>
      </c>
      <c r="AT382" s="11" t="str">
        <f t="shared" si="193"/>
        <v/>
      </c>
      <c r="AU382" s="11" t="str">
        <f>IF(AB382&lt;&gt;"",AT382-SUM($AS$28:AS382),"")</f>
        <v/>
      </c>
    </row>
    <row r="383" spans="1:47" ht="14.5" x14ac:dyDescent="0.35">
      <c r="A383" s="76" t="str">
        <f t="shared" si="165"/>
        <v/>
      </c>
      <c r="B383" s="8" t="str">
        <f t="shared" si="194"/>
        <v/>
      </c>
      <c r="C383" s="11" t="str">
        <f t="shared" si="166"/>
        <v/>
      </c>
      <c r="D383" s="11" t="str">
        <f t="shared" si="167"/>
        <v/>
      </c>
      <c r="E383" s="11" t="str">
        <f t="shared" si="168"/>
        <v/>
      </c>
      <c r="F383" s="9" t="str">
        <f t="shared" si="169"/>
        <v/>
      </c>
      <c r="G383" s="10" t="str">
        <f t="shared" si="170"/>
        <v/>
      </c>
      <c r="H383" s="10" t="str">
        <f t="shared" si="171"/>
        <v/>
      </c>
      <c r="I383" s="49" t="str">
        <f t="shared" si="172"/>
        <v/>
      </c>
      <c r="J383" s="11" t="str">
        <f t="shared" si="173"/>
        <v/>
      </c>
      <c r="K383" s="11" t="str">
        <f>IF(B383&lt;&gt;"",IF($B$16=listy!$K$8,'RZĄDOWY PROGRAM'!$F$3*'RZĄDOWY PROGRAM'!$F$15,F382*$F$15),"")</f>
        <v/>
      </c>
      <c r="L383" s="11" t="str">
        <f t="shared" si="174"/>
        <v/>
      </c>
      <c r="N383" s="55" t="str">
        <f t="shared" si="175"/>
        <v/>
      </c>
      <c r="O383" s="8" t="str">
        <f t="shared" si="195"/>
        <v/>
      </c>
      <c r="P383" s="8"/>
      <c r="Q383" s="33" t="str">
        <f>IF(O383&lt;&gt;"",ROUND(IF($F$11="raty równe",-PMT(W383/12,$F$4-O382+SUM($P$28:P383),T382,2),R383+S383),2),"")</f>
        <v/>
      </c>
      <c r="R383" s="11" t="str">
        <f>IF(O383&lt;&gt;"",IF($F$11="raty malejące",T382/($F$4-O382+SUM($P$28:P383)),IF(Q383-S383&gt;T382,T382,Q383-S383)),"")</f>
        <v/>
      </c>
      <c r="S383" s="11" t="str">
        <f t="shared" si="176"/>
        <v/>
      </c>
      <c r="T383" s="9" t="str">
        <f t="shared" si="177"/>
        <v/>
      </c>
      <c r="U383" s="10" t="str">
        <f t="shared" si="178"/>
        <v/>
      </c>
      <c r="V383" s="10" t="str">
        <f t="shared" si="179"/>
        <v/>
      </c>
      <c r="W383" s="49" t="str">
        <f t="shared" si="180"/>
        <v/>
      </c>
      <c r="X383" s="11" t="str">
        <f t="shared" si="181"/>
        <v/>
      </c>
      <c r="Y383" s="11" t="str">
        <f>IF(O383&lt;&gt;"",IF($B$16=listy!$K$8,'RZĄDOWY PROGRAM'!$F$3*'RZĄDOWY PROGRAM'!$F$15,T382*$F$15),"")</f>
        <v/>
      </c>
      <c r="Z383" s="11" t="str">
        <f t="shared" si="182"/>
        <v/>
      </c>
      <c r="AB383" s="8" t="str">
        <f t="shared" si="183"/>
        <v/>
      </c>
      <c r="AC383" s="8"/>
      <c r="AD383" s="33" t="str">
        <f>IF(AB383&lt;&gt;"",ROUND(IF($F$11="raty równe",-PMT(W383/12,$F$4-AB382+SUM($AC$28:AC383),AG382,2),AE383+AF383),2),"")</f>
        <v/>
      </c>
      <c r="AE383" s="11" t="str">
        <f>IF(AB383&lt;&gt;"",IF($F$11="raty malejące",AG382/($F$4-AB382+SUM($AC$28:AC382)),MIN(AD383-AF383,AG382)),"")</f>
        <v/>
      </c>
      <c r="AF383" s="11" t="str">
        <f t="shared" si="184"/>
        <v/>
      </c>
      <c r="AG383" s="9" t="str">
        <f t="shared" si="185"/>
        <v/>
      </c>
      <c r="AH383" s="11"/>
      <c r="AI383" s="33" t="str">
        <f>IF(AB383&lt;&gt;"",ROUND(IF($F$11="raty równe",-PMT(W383/12,($F$4-AB382+SUM($AC$27:AC382)),AG382,2),AG382/($F$4-AB382+SUM($AC$27:AC382))+AG382*W383/12),2),"")</f>
        <v/>
      </c>
      <c r="AJ383" s="33" t="str">
        <f t="shared" si="186"/>
        <v/>
      </c>
      <c r="AK383" s="33" t="str">
        <f t="shared" si="187"/>
        <v/>
      </c>
      <c r="AL383" s="33" t="str">
        <f>IF(AB383&lt;&gt;"",AK383-SUM($AJ$28:AJ383),"")</f>
        <v/>
      </c>
      <c r="AM383" s="11" t="str">
        <f t="shared" si="188"/>
        <v/>
      </c>
      <c r="AN383" s="11" t="str">
        <f>IF(AB383&lt;&gt;"",IF($B$16=listy!$K$8,'RZĄDOWY PROGRAM'!$F$3*'RZĄDOWY PROGRAM'!$F$15,AG382*$F$15),"")</f>
        <v/>
      </c>
      <c r="AO383" s="11" t="str">
        <f t="shared" si="189"/>
        <v/>
      </c>
      <c r="AQ383" s="49" t="str">
        <f t="shared" si="190"/>
        <v/>
      </c>
      <c r="AR383" s="18" t="str">
        <f t="shared" si="191"/>
        <v/>
      </c>
      <c r="AS383" s="11" t="str">
        <f t="shared" si="192"/>
        <v/>
      </c>
      <c r="AT383" s="11" t="str">
        <f t="shared" si="193"/>
        <v/>
      </c>
      <c r="AU383" s="11" t="str">
        <f>IF(AB383&lt;&gt;"",AT383-SUM($AS$28:AS383),"")</f>
        <v/>
      </c>
    </row>
    <row r="384" spans="1:47" ht="14.5" x14ac:dyDescent="0.35">
      <c r="A384" s="76" t="str">
        <f t="shared" si="165"/>
        <v/>
      </c>
      <c r="B384" s="8" t="str">
        <f t="shared" si="194"/>
        <v/>
      </c>
      <c r="C384" s="11" t="str">
        <f t="shared" si="166"/>
        <v/>
      </c>
      <c r="D384" s="11" t="str">
        <f t="shared" si="167"/>
        <v/>
      </c>
      <c r="E384" s="11" t="str">
        <f t="shared" si="168"/>
        <v/>
      </c>
      <c r="F384" s="9" t="str">
        <f t="shared" si="169"/>
        <v/>
      </c>
      <c r="G384" s="10" t="str">
        <f t="shared" si="170"/>
        <v/>
      </c>
      <c r="H384" s="10" t="str">
        <f t="shared" si="171"/>
        <v/>
      </c>
      <c r="I384" s="49" t="str">
        <f t="shared" si="172"/>
        <v/>
      </c>
      <c r="J384" s="11" t="str">
        <f t="shared" si="173"/>
        <v/>
      </c>
      <c r="K384" s="11" t="str">
        <f>IF(B384&lt;&gt;"",IF($B$16=listy!$K$8,'RZĄDOWY PROGRAM'!$F$3*'RZĄDOWY PROGRAM'!$F$15,F383*$F$15),"")</f>
        <v/>
      </c>
      <c r="L384" s="11" t="str">
        <f t="shared" si="174"/>
        <v/>
      </c>
      <c r="N384" s="55" t="str">
        <f t="shared" si="175"/>
        <v/>
      </c>
      <c r="O384" s="8" t="str">
        <f t="shared" si="195"/>
        <v/>
      </c>
      <c r="P384" s="8"/>
      <c r="Q384" s="33" t="str">
        <f>IF(O384&lt;&gt;"",ROUND(IF($F$11="raty równe",-PMT(W384/12,$F$4-O383+SUM($P$28:P384),T383,2),R384+S384),2),"")</f>
        <v/>
      </c>
      <c r="R384" s="11" t="str">
        <f>IF(O384&lt;&gt;"",IF($F$11="raty malejące",T383/($F$4-O383+SUM($P$28:P384)),IF(Q384-S384&gt;T383,T383,Q384-S384)),"")</f>
        <v/>
      </c>
      <c r="S384" s="11" t="str">
        <f t="shared" si="176"/>
        <v/>
      </c>
      <c r="T384" s="9" t="str">
        <f t="shared" si="177"/>
        <v/>
      </c>
      <c r="U384" s="10" t="str">
        <f t="shared" si="178"/>
        <v/>
      </c>
      <c r="V384" s="10" t="str">
        <f t="shared" si="179"/>
        <v/>
      </c>
      <c r="W384" s="49" t="str">
        <f t="shared" si="180"/>
        <v/>
      </c>
      <c r="X384" s="11" t="str">
        <f t="shared" si="181"/>
        <v/>
      </c>
      <c r="Y384" s="11" t="str">
        <f>IF(O384&lt;&gt;"",IF($B$16=listy!$K$8,'RZĄDOWY PROGRAM'!$F$3*'RZĄDOWY PROGRAM'!$F$15,T383*$F$15),"")</f>
        <v/>
      </c>
      <c r="Z384" s="11" t="str">
        <f t="shared" si="182"/>
        <v/>
      </c>
      <c r="AB384" s="8" t="str">
        <f t="shared" si="183"/>
        <v/>
      </c>
      <c r="AC384" s="8"/>
      <c r="AD384" s="33" t="str">
        <f>IF(AB384&lt;&gt;"",ROUND(IF($F$11="raty równe",-PMT(W384/12,$F$4-AB383+SUM($AC$28:AC384),AG383,2),AE384+AF384),2),"")</f>
        <v/>
      </c>
      <c r="AE384" s="11" t="str">
        <f>IF(AB384&lt;&gt;"",IF($F$11="raty malejące",AG383/($F$4-AB383+SUM($AC$28:AC383)),MIN(AD384-AF384,AG383)),"")</f>
        <v/>
      </c>
      <c r="AF384" s="11" t="str">
        <f t="shared" si="184"/>
        <v/>
      </c>
      <c r="AG384" s="9" t="str">
        <f t="shared" si="185"/>
        <v/>
      </c>
      <c r="AH384" s="11"/>
      <c r="AI384" s="33" t="str">
        <f>IF(AB384&lt;&gt;"",ROUND(IF($F$11="raty równe",-PMT(W384/12,($F$4-AB383+SUM($AC$27:AC383)),AG383,2),AG383/($F$4-AB383+SUM($AC$27:AC383))+AG383*W384/12),2),"")</f>
        <v/>
      </c>
      <c r="AJ384" s="33" t="str">
        <f t="shared" si="186"/>
        <v/>
      </c>
      <c r="AK384" s="33" t="str">
        <f t="shared" si="187"/>
        <v/>
      </c>
      <c r="AL384" s="33" t="str">
        <f>IF(AB384&lt;&gt;"",AK384-SUM($AJ$28:AJ384),"")</f>
        <v/>
      </c>
      <c r="AM384" s="11" t="str">
        <f t="shared" si="188"/>
        <v/>
      </c>
      <c r="AN384" s="11" t="str">
        <f>IF(AB384&lt;&gt;"",IF($B$16=listy!$K$8,'RZĄDOWY PROGRAM'!$F$3*'RZĄDOWY PROGRAM'!$F$15,AG383*$F$15),"")</f>
        <v/>
      </c>
      <c r="AO384" s="11" t="str">
        <f t="shared" si="189"/>
        <v/>
      </c>
      <c r="AQ384" s="49" t="str">
        <f t="shared" si="190"/>
        <v/>
      </c>
      <c r="AR384" s="18" t="str">
        <f t="shared" si="191"/>
        <v/>
      </c>
      <c r="AS384" s="11" t="str">
        <f t="shared" si="192"/>
        <v/>
      </c>
      <c r="AT384" s="11" t="str">
        <f t="shared" si="193"/>
        <v/>
      </c>
      <c r="AU384" s="11" t="str">
        <f>IF(AB384&lt;&gt;"",AT384-SUM($AS$28:AS384),"")</f>
        <v/>
      </c>
    </row>
    <row r="385" spans="1:47" ht="14.5" x14ac:dyDescent="0.35">
      <c r="A385" s="76" t="str">
        <f t="shared" si="165"/>
        <v/>
      </c>
      <c r="B385" s="8" t="str">
        <f t="shared" si="194"/>
        <v/>
      </c>
      <c r="C385" s="11" t="str">
        <f t="shared" si="166"/>
        <v/>
      </c>
      <c r="D385" s="11" t="str">
        <f t="shared" si="167"/>
        <v/>
      </c>
      <c r="E385" s="11" t="str">
        <f t="shared" si="168"/>
        <v/>
      </c>
      <c r="F385" s="9" t="str">
        <f t="shared" si="169"/>
        <v/>
      </c>
      <c r="G385" s="10" t="str">
        <f t="shared" si="170"/>
        <v/>
      </c>
      <c r="H385" s="10" t="str">
        <f t="shared" si="171"/>
        <v/>
      </c>
      <c r="I385" s="49" t="str">
        <f t="shared" si="172"/>
        <v/>
      </c>
      <c r="J385" s="11" t="str">
        <f t="shared" si="173"/>
        <v/>
      </c>
      <c r="K385" s="11" t="str">
        <f>IF(B385&lt;&gt;"",IF($B$16=listy!$K$8,'RZĄDOWY PROGRAM'!$F$3*'RZĄDOWY PROGRAM'!$F$15,F384*$F$15),"")</f>
        <v/>
      </c>
      <c r="L385" s="11" t="str">
        <f t="shared" si="174"/>
        <v/>
      </c>
      <c r="N385" s="55" t="str">
        <f t="shared" si="175"/>
        <v/>
      </c>
      <c r="O385" s="8" t="str">
        <f t="shared" si="195"/>
        <v/>
      </c>
      <c r="P385" s="8"/>
      <c r="Q385" s="33" t="str">
        <f>IF(O385&lt;&gt;"",ROUND(IF($F$11="raty równe",-PMT(W385/12,$F$4-O384+SUM($P$28:P385),T384,2),R385+S385),2),"")</f>
        <v/>
      </c>
      <c r="R385" s="11" t="str">
        <f>IF(O385&lt;&gt;"",IF($F$11="raty malejące",T384/($F$4-O384+SUM($P$28:P385)),IF(Q385-S385&gt;T384,T384,Q385-S385)),"")</f>
        <v/>
      </c>
      <c r="S385" s="11" t="str">
        <f t="shared" si="176"/>
        <v/>
      </c>
      <c r="T385" s="9" t="str">
        <f t="shared" si="177"/>
        <v/>
      </c>
      <c r="U385" s="10" t="str">
        <f t="shared" si="178"/>
        <v/>
      </c>
      <c r="V385" s="10" t="str">
        <f t="shared" si="179"/>
        <v/>
      </c>
      <c r="W385" s="49" t="str">
        <f t="shared" si="180"/>
        <v/>
      </c>
      <c r="X385" s="11" t="str">
        <f t="shared" si="181"/>
        <v/>
      </c>
      <c r="Y385" s="11" t="str">
        <f>IF(O385&lt;&gt;"",IF($B$16=listy!$K$8,'RZĄDOWY PROGRAM'!$F$3*'RZĄDOWY PROGRAM'!$F$15,T384*$F$15),"")</f>
        <v/>
      </c>
      <c r="Z385" s="11" t="str">
        <f t="shared" si="182"/>
        <v/>
      </c>
      <c r="AB385" s="8" t="str">
        <f t="shared" si="183"/>
        <v/>
      </c>
      <c r="AC385" s="8"/>
      <c r="AD385" s="33" t="str">
        <f>IF(AB385&lt;&gt;"",ROUND(IF($F$11="raty równe",-PMT(W385/12,$F$4-AB384+SUM($AC$28:AC385),AG384,2),AE385+AF385),2),"")</f>
        <v/>
      </c>
      <c r="AE385" s="11" t="str">
        <f>IF(AB385&lt;&gt;"",IF($F$11="raty malejące",AG384/($F$4-AB384+SUM($AC$28:AC384)),MIN(AD385-AF385,AG384)),"")</f>
        <v/>
      </c>
      <c r="AF385" s="11" t="str">
        <f t="shared" si="184"/>
        <v/>
      </c>
      <c r="AG385" s="9" t="str">
        <f t="shared" si="185"/>
        <v/>
      </c>
      <c r="AH385" s="11"/>
      <c r="AI385" s="33" t="str">
        <f>IF(AB385&lt;&gt;"",ROUND(IF($F$11="raty równe",-PMT(W385/12,($F$4-AB384+SUM($AC$27:AC384)),AG384,2),AG384/($F$4-AB384+SUM($AC$27:AC384))+AG384*W385/12),2),"")</f>
        <v/>
      </c>
      <c r="AJ385" s="33" t="str">
        <f t="shared" si="186"/>
        <v/>
      </c>
      <c r="AK385" s="33" t="str">
        <f t="shared" si="187"/>
        <v/>
      </c>
      <c r="AL385" s="33" t="str">
        <f>IF(AB385&lt;&gt;"",AK385-SUM($AJ$28:AJ385),"")</f>
        <v/>
      </c>
      <c r="AM385" s="11" t="str">
        <f t="shared" si="188"/>
        <v/>
      </c>
      <c r="AN385" s="11" t="str">
        <f>IF(AB385&lt;&gt;"",IF($B$16=listy!$K$8,'RZĄDOWY PROGRAM'!$F$3*'RZĄDOWY PROGRAM'!$F$15,AG384*$F$15),"")</f>
        <v/>
      </c>
      <c r="AO385" s="11" t="str">
        <f t="shared" si="189"/>
        <v/>
      </c>
      <c r="AQ385" s="49" t="str">
        <f t="shared" si="190"/>
        <v/>
      </c>
      <c r="AR385" s="18" t="str">
        <f t="shared" si="191"/>
        <v/>
      </c>
      <c r="AS385" s="11" t="str">
        <f t="shared" si="192"/>
        <v/>
      </c>
      <c r="AT385" s="11" t="str">
        <f t="shared" si="193"/>
        <v/>
      </c>
      <c r="AU385" s="11" t="str">
        <f>IF(AB385&lt;&gt;"",AT385-SUM($AS$28:AS385),"")</f>
        <v/>
      </c>
    </row>
    <row r="386" spans="1:47" ht="14.5" x14ac:dyDescent="0.35">
      <c r="A386" s="76" t="str">
        <f t="shared" si="165"/>
        <v/>
      </c>
      <c r="B386" s="8" t="str">
        <f t="shared" si="194"/>
        <v/>
      </c>
      <c r="C386" s="11" t="str">
        <f t="shared" si="166"/>
        <v/>
      </c>
      <c r="D386" s="11" t="str">
        <f t="shared" si="167"/>
        <v/>
      </c>
      <c r="E386" s="11" t="str">
        <f t="shared" si="168"/>
        <v/>
      </c>
      <c r="F386" s="9" t="str">
        <f t="shared" si="169"/>
        <v/>
      </c>
      <c r="G386" s="10" t="str">
        <f t="shared" si="170"/>
        <v/>
      </c>
      <c r="H386" s="10" t="str">
        <f t="shared" si="171"/>
        <v/>
      </c>
      <c r="I386" s="49" t="str">
        <f t="shared" si="172"/>
        <v/>
      </c>
      <c r="J386" s="11" t="str">
        <f t="shared" si="173"/>
        <v/>
      </c>
      <c r="K386" s="11" t="str">
        <f>IF(B386&lt;&gt;"",IF($B$16=listy!$K$8,'RZĄDOWY PROGRAM'!$F$3*'RZĄDOWY PROGRAM'!$F$15,F385*$F$15),"")</f>
        <v/>
      </c>
      <c r="L386" s="11" t="str">
        <f t="shared" si="174"/>
        <v/>
      </c>
      <c r="N386" s="55" t="str">
        <f t="shared" si="175"/>
        <v/>
      </c>
      <c r="O386" s="8" t="str">
        <f t="shared" si="195"/>
        <v/>
      </c>
      <c r="P386" s="8"/>
      <c r="Q386" s="33" t="str">
        <f>IF(O386&lt;&gt;"",ROUND(IF($F$11="raty równe",-PMT(W386/12,$F$4-O385+SUM($P$28:P386),T385,2),R386+S386),2),"")</f>
        <v/>
      </c>
      <c r="R386" s="11" t="str">
        <f>IF(O386&lt;&gt;"",IF($F$11="raty malejące",T385/($F$4-O385+SUM($P$28:P386)),IF(Q386-S386&gt;T385,T385,Q386-S386)),"")</f>
        <v/>
      </c>
      <c r="S386" s="11" t="str">
        <f t="shared" si="176"/>
        <v/>
      </c>
      <c r="T386" s="9" t="str">
        <f t="shared" si="177"/>
        <v/>
      </c>
      <c r="U386" s="10" t="str">
        <f t="shared" si="178"/>
        <v/>
      </c>
      <c r="V386" s="10" t="str">
        <f t="shared" si="179"/>
        <v/>
      </c>
      <c r="W386" s="49" t="str">
        <f t="shared" si="180"/>
        <v/>
      </c>
      <c r="X386" s="11" t="str">
        <f t="shared" si="181"/>
        <v/>
      </c>
      <c r="Y386" s="11" t="str">
        <f>IF(O386&lt;&gt;"",IF($B$16=listy!$K$8,'RZĄDOWY PROGRAM'!$F$3*'RZĄDOWY PROGRAM'!$F$15,T385*$F$15),"")</f>
        <v/>
      </c>
      <c r="Z386" s="11" t="str">
        <f t="shared" si="182"/>
        <v/>
      </c>
      <c r="AB386" s="8" t="str">
        <f t="shared" si="183"/>
        <v/>
      </c>
      <c r="AC386" s="8"/>
      <c r="AD386" s="33" t="str">
        <f>IF(AB386&lt;&gt;"",ROUND(IF($F$11="raty równe",-PMT(W386/12,$F$4-AB385+SUM($AC$28:AC386),AG385,2),AE386+AF386),2),"")</f>
        <v/>
      </c>
      <c r="AE386" s="11" t="str">
        <f>IF(AB386&lt;&gt;"",IF($F$11="raty malejące",AG385/($F$4-AB385+SUM($AC$28:AC385)),MIN(AD386-AF386,AG385)),"")</f>
        <v/>
      </c>
      <c r="AF386" s="11" t="str">
        <f t="shared" si="184"/>
        <v/>
      </c>
      <c r="AG386" s="9" t="str">
        <f t="shared" si="185"/>
        <v/>
      </c>
      <c r="AH386" s="11"/>
      <c r="AI386" s="33" t="str">
        <f>IF(AB386&lt;&gt;"",ROUND(IF($F$11="raty równe",-PMT(W386/12,($F$4-AB385+SUM($AC$27:AC385)),AG385,2),AG385/($F$4-AB385+SUM($AC$27:AC385))+AG385*W386/12),2),"")</f>
        <v/>
      </c>
      <c r="AJ386" s="33" t="str">
        <f t="shared" si="186"/>
        <v/>
      </c>
      <c r="AK386" s="33" t="str">
        <f t="shared" si="187"/>
        <v/>
      </c>
      <c r="AL386" s="33" t="str">
        <f>IF(AB386&lt;&gt;"",AK386-SUM($AJ$28:AJ386),"")</f>
        <v/>
      </c>
      <c r="AM386" s="11" t="str">
        <f t="shared" si="188"/>
        <v/>
      </c>
      <c r="AN386" s="11" t="str">
        <f>IF(AB386&lt;&gt;"",IF($B$16=listy!$K$8,'RZĄDOWY PROGRAM'!$F$3*'RZĄDOWY PROGRAM'!$F$15,AG385*$F$15),"")</f>
        <v/>
      </c>
      <c r="AO386" s="11" t="str">
        <f t="shared" si="189"/>
        <v/>
      </c>
      <c r="AQ386" s="49" t="str">
        <f t="shared" si="190"/>
        <v/>
      </c>
      <c r="AR386" s="18" t="str">
        <f t="shared" si="191"/>
        <v/>
      </c>
      <c r="AS386" s="11" t="str">
        <f t="shared" si="192"/>
        <v/>
      </c>
      <c r="AT386" s="11" t="str">
        <f t="shared" si="193"/>
        <v/>
      </c>
      <c r="AU386" s="11" t="str">
        <f>IF(AB386&lt;&gt;"",AT386-SUM($AS$28:AS386),"")</f>
        <v/>
      </c>
    </row>
    <row r="387" spans="1:47" ht="14.5" x14ac:dyDescent="0.35">
      <c r="A387" s="76" t="str">
        <f t="shared" si="165"/>
        <v/>
      </c>
      <c r="B387" s="8" t="str">
        <f t="shared" si="194"/>
        <v/>
      </c>
      <c r="C387" s="11" t="str">
        <f t="shared" si="166"/>
        <v/>
      </c>
      <c r="D387" s="11" t="str">
        <f t="shared" si="167"/>
        <v/>
      </c>
      <c r="E387" s="11" t="str">
        <f t="shared" si="168"/>
        <v/>
      </c>
      <c r="F387" s="9" t="str">
        <f t="shared" si="169"/>
        <v/>
      </c>
      <c r="G387" s="10" t="str">
        <f t="shared" si="170"/>
        <v/>
      </c>
      <c r="H387" s="10" t="str">
        <f t="shared" si="171"/>
        <v/>
      </c>
      <c r="I387" s="49" t="str">
        <f t="shared" si="172"/>
        <v/>
      </c>
      <c r="J387" s="11" t="str">
        <f t="shared" si="173"/>
        <v/>
      </c>
      <c r="K387" s="11" t="str">
        <f>IF(B387&lt;&gt;"",IF($B$16=listy!$K$8,'RZĄDOWY PROGRAM'!$F$3*'RZĄDOWY PROGRAM'!$F$15,F386*$F$15),"")</f>
        <v/>
      </c>
      <c r="L387" s="11" t="str">
        <f t="shared" si="174"/>
        <v/>
      </c>
      <c r="N387" s="55" t="str">
        <f t="shared" si="175"/>
        <v/>
      </c>
      <c r="O387" s="8" t="str">
        <f t="shared" si="195"/>
        <v/>
      </c>
      <c r="P387" s="8"/>
      <c r="Q387" s="33" t="str">
        <f>IF(O387&lt;&gt;"",ROUND(IF($F$11="raty równe",-PMT(W387/12,$F$4-O386+SUM($P$28:P387),T386,2),R387+S387),2),"")</f>
        <v/>
      </c>
      <c r="R387" s="11" t="str">
        <f>IF(O387&lt;&gt;"",IF($F$11="raty malejące",T386/($F$4-O386+SUM($P$28:P387)),IF(Q387-S387&gt;T386,T386,Q387-S387)),"")</f>
        <v/>
      </c>
      <c r="S387" s="11" t="str">
        <f t="shared" si="176"/>
        <v/>
      </c>
      <c r="T387" s="9" t="str">
        <f t="shared" si="177"/>
        <v/>
      </c>
      <c r="U387" s="10" t="str">
        <f t="shared" si="178"/>
        <v/>
      </c>
      <c r="V387" s="10" t="str">
        <f t="shared" si="179"/>
        <v/>
      </c>
      <c r="W387" s="49" t="str">
        <f t="shared" si="180"/>
        <v/>
      </c>
      <c r="X387" s="11" t="str">
        <f t="shared" si="181"/>
        <v/>
      </c>
      <c r="Y387" s="11" t="str">
        <f>IF(O387&lt;&gt;"",IF($B$16=listy!$K$8,'RZĄDOWY PROGRAM'!$F$3*'RZĄDOWY PROGRAM'!$F$15,T386*$F$15),"")</f>
        <v/>
      </c>
      <c r="Z387" s="11" t="str">
        <f t="shared" si="182"/>
        <v/>
      </c>
      <c r="AB387" s="8" t="str">
        <f t="shared" si="183"/>
        <v/>
      </c>
      <c r="AC387" s="8"/>
      <c r="AD387" s="33" t="str">
        <f>IF(AB387&lt;&gt;"",ROUND(IF($F$11="raty równe",-PMT(W387/12,$F$4-AB386+SUM($AC$28:AC387),AG386,2),AE387+AF387),2),"")</f>
        <v/>
      </c>
      <c r="AE387" s="11" t="str">
        <f>IF(AB387&lt;&gt;"",IF($F$11="raty malejące",AG386/($F$4-AB386+SUM($AC$28:AC386)),MIN(AD387-AF387,AG386)),"")</f>
        <v/>
      </c>
      <c r="AF387" s="11" t="str">
        <f t="shared" si="184"/>
        <v/>
      </c>
      <c r="AG387" s="9" t="str">
        <f t="shared" si="185"/>
        <v/>
      </c>
      <c r="AH387" s="11"/>
      <c r="AI387" s="33" t="str">
        <f>IF(AB387&lt;&gt;"",ROUND(IF($F$11="raty równe",-PMT(W387/12,($F$4-AB386+SUM($AC$27:AC386)),AG386,2),AG386/($F$4-AB386+SUM($AC$27:AC386))+AG386*W387/12),2),"")</f>
        <v/>
      </c>
      <c r="AJ387" s="33" t="str">
        <f t="shared" si="186"/>
        <v/>
      </c>
      <c r="AK387" s="33" t="str">
        <f t="shared" si="187"/>
        <v/>
      </c>
      <c r="AL387" s="33" t="str">
        <f>IF(AB387&lt;&gt;"",AK387-SUM($AJ$28:AJ387),"")</f>
        <v/>
      </c>
      <c r="AM387" s="11" t="str">
        <f t="shared" si="188"/>
        <v/>
      </c>
      <c r="AN387" s="11" t="str">
        <f>IF(AB387&lt;&gt;"",IF($B$16=listy!$K$8,'RZĄDOWY PROGRAM'!$F$3*'RZĄDOWY PROGRAM'!$F$15,AG386*$F$15),"")</f>
        <v/>
      </c>
      <c r="AO387" s="11" t="str">
        <f t="shared" si="189"/>
        <v/>
      </c>
      <c r="AQ387" s="49" t="str">
        <f t="shared" si="190"/>
        <v/>
      </c>
      <c r="AR387" s="18" t="str">
        <f t="shared" si="191"/>
        <v/>
      </c>
      <c r="AS387" s="11" t="str">
        <f t="shared" si="192"/>
        <v/>
      </c>
      <c r="AT387" s="11" t="str">
        <f t="shared" si="193"/>
        <v/>
      </c>
      <c r="AU387" s="11" t="str">
        <f>IF(AB387&lt;&gt;"",AT387-SUM($AS$28:AS387),"")</f>
        <v/>
      </c>
    </row>
    <row r="388" spans="1:47" ht="14.5" x14ac:dyDescent="0.35">
      <c r="A388" s="76" t="str">
        <f t="shared" si="165"/>
        <v/>
      </c>
      <c r="B388" s="8" t="str">
        <f t="shared" si="194"/>
        <v/>
      </c>
      <c r="C388" s="11" t="str">
        <f t="shared" si="166"/>
        <v/>
      </c>
      <c r="D388" s="11" t="str">
        <f t="shared" si="167"/>
        <v/>
      </c>
      <c r="E388" s="11" t="str">
        <f t="shared" si="168"/>
        <v/>
      </c>
      <c r="F388" s="9" t="str">
        <f t="shared" si="169"/>
        <v/>
      </c>
      <c r="G388" s="10" t="str">
        <f t="shared" si="170"/>
        <v/>
      </c>
      <c r="H388" s="10" t="str">
        <f t="shared" si="171"/>
        <v/>
      </c>
      <c r="I388" s="49" t="str">
        <f t="shared" si="172"/>
        <v/>
      </c>
      <c r="J388" s="11" t="str">
        <f t="shared" si="173"/>
        <v/>
      </c>
      <c r="K388" s="11" t="str">
        <f>IF(B388&lt;&gt;"",IF($B$16=listy!$K$8,'RZĄDOWY PROGRAM'!$F$3*'RZĄDOWY PROGRAM'!$F$15,F387*$F$15),"")</f>
        <v/>
      </c>
      <c r="L388" s="11" t="str">
        <f t="shared" si="174"/>
        <v/>
      </c>
      <c r="N388" s="55" t="str">
        <f t="shared" si="175"/>
        <v/>
      </c>
      <c r="O388" s="8" t="str">
        <f t="shared" si="195"/>
        <v/>
      </c>
      <c r="P388" s="8"/>
      <c r="Q388" s="33" t="str">
        <f>IF(O388&lt;&gt;"",ROUND(IF($F$11="raty równe",-PMT(W388/12,$F$4-O387+SUM($P$28:P388),T387,2),R388+S388),2),"")</f>
        <v/>
      </c>
      <c r="R388" s="11" t="str">
        <f>IF(O388&lt;&gt;"",IF($F$11="raty malejące",T387/($F$4-O387+SUM($P$28:P388)),IF(Q388-S388&gt;T387,T387,Q388-S388)),"")</f>
        <v/>
      </c>
      <c r="S388" s="11" t="str">
        <f t="shared" si="176"/>
        <v/>
      </c>
      <c r="T388" s="9" t="str">
        <f t="shared" si="177"/>
        <v/>
      </c>
      <c r="U388" s="10" t="str">
        <f t="shared" si="178"/>
        <v/>
      </c>
      <c r="V388" s="10" t="str">
        <f t="shared" si="179"/>
        <v/>
      </c>
      <c r="W388" s="49" t="str">
        <f t="shared" si="180"/>
        <v/>
      </c>
      <c r="X388" s="11" t="str">
        <f t="shared" si="181"/>
        <v/>
      </c>
      <c r="Y388" s="11" t="str">
        <f>IF(O388&lt;&gt;"",IF($B$16=listy!$K$8,'RZĄDOWY PROGRAM'!$F$3*'RZĄDOWY PROGRAM'!$F$15,T387*$F$15),"")</f>
        <v/>
      </c>
      <c r="Z388" s="11" t="str">
        <f t="shared" si="182"/>
        <v/>
      </c>
      <c r="AB388" s="8" t="str">
        <f t="shared" si="183"/>
        <v/>
      </c>
      <c r="AC388" s="8"/>
      <c r="AD388" s="33" t="str">
        <f>IF(AB388&lt;&gt;"",ROUND(IF($F$11="raty równe",-PMT(W388/12,$F$4-AB387+SUM($AC$28:AC388),AG387,2),AE388+AF388),2),"")</f>
        <v/>
      </c>
      <c r="AE388" s="11" t="str">
        <f>IF(AB388&lt;&gt;"",IF($F$11="raty malejące",AG387/($F$4-AB387+SUM($AC$28:AC387)),MIN(AD388-AF388,AG387)),"")</f>
        <v/>
      </c>
      <c r="AF388" s="11" t="str">
        <f t="shared" si="184"/>
        <v/>
      </c>
      <c r="AG388" s="9" t="str">
        <f t="shared" si="185"/>
        <v/>
      </c>
      <c r="AH388" s="11"/>
      <c r="AI388" s="33" t="str">
        <f>IF(AB388&lt;&gt;"",ROUND(IF($F$11="raty równe",-PMT(W388/12,($F$4-AB387+SUM($AC$27:AC387)),AG387,2),AG387/($F$4-AB387+SUM($AC$27:AC387))+AG387*W388/12),2),"")</f>
        <v/>
      </c>
      <c r="AJ388" s="33" t="str">
        <f t="shared" si="186"/>
        <v/>
      </c>
      <c r="AK388" s="33" t="str">
        <f t="shared" si="187"/>
        <v/>
      </c>
      <c r="AL388" s="33" t="str">
        <f>IF(AB388&lt;&gt;"",AK388-SUM($AJ$28:AJ388),"")</f>
        <v/>
      </c>
      <c r="AM388" s="11" t="str">
        <f t="shared" si="188"/>
        <v/>
      </c>
      <c r="AN388" s="11" t="str">
        <f>IF(AB388&lt;&gt;"",IF($B$16=listy!$K$8,'RZĄDOWY PROGRAM'!$F$3*'RZĄDOWY PROGRAM'!$F$15,AG387*$F$15),"")</f>
        <v/>
      </c>
      <c r="AO388" s="11" t="str">
        <f t="shared" si="189"/>
        <v/>
      </c>
      <c r="AQ388" s="49" t="str">
        <f t="shared" si="190"/>
        <v/>
      </c>
      <c r="AR388" s="18" t="str">
        <f t="shared" si="191"/>
        <v/>
      </c>
      <c r="AS388" s="11" t="str">
        <f t="shared" si="192"/>
        <v/>
      </c>
      <c r="AT388" s="11" t="str">
        <f t="shared" si="193"/>
        <v/>
      </c>
      <c r="AU388" s="11" t="str">
        <f>IF(AB388&lt;&gt;"",AT388-SUM($AS$28:AS388),"")</f>
        <v/>
      </c>
    </row>
    <row r="389" spans="1:47" ht="14.5" x14ac:dyDescent="0.35">
      <c r="A389" s="76" t="str">
        <f t="shared" si="165"/>
        <v/>
      </c>
      <c r="B389" s="8" t="str">
        <f t="shared" si="194"/>
        <v/>
      </c>
      <c r="C389" s="11" t="str">
        <f t="shared" si="166"/>
        <v/>
      </c>
      <c r="D389" s="11" t="str">
        <f t="shared" si="167"/>
        <v/>
      </c>
      <c r="E389" s="11" t="str">
        <f t="shared" si="168"/>
        <v/>
      </c>
      <c r="F389" s="9" t="str">
        <f t="shared" si="169"/>
        <v/>
      </c>
      <c r="G389" s="10" t="str">
        <f t="shared" si="170"/>
        <v/>
      </c>
      <c r="H389" s="10" t="str">
        <f t="shared" si="171"/>
        <v/>
      </c>
      <c r="I389" s="49" t="str">
        <f t="shared" si="172"/>
        <v/>
      </c>
      <c r="J389" s="11" t="str">
        <f t="shared" si="173"/>
        <v/>
      </c>
      <c r="K389" s="11" t="str">
        <f>IF(B389&lt;&gt;"",IF($B$16=listy!$K$8,'RZĄDOWY PROGRAM'!$F$3*'RZĄDOWY PROGRAM'!$F$15,F388*$F$15),"")</f>
        <v/>
      </c>
      <c r="L389" s="11" t="str">
        <f t="shared" si="174"/>
        <v/>
      </c>
      <c r="N389" s="55" t="str">
        <f t="shared" si="175"/>
        <v/>
      </c>
      <c r="O389" s="8" t="str">
        <f t="shared" si="195"/>
        <v/>
      </c>
      <c r="P389" s="8"/>
      <c r="Q389" s="33" t="str">
        <f>IF(O389&lt;&gt;"",ROUND(IF($F$11="raty równe",-PMT(W389/12,$F$4-O388+SUM($P$28:P389),T388,2),R389+S389),2),"")</f>
        <v/>
      </c>
      <c r="R389" s="11" t="str">
        <f>IF(O389&lt;&gt;"",IF($F$11="raty malejące",T388/($F$4-O388+SUM($P$28:P389)),IF(Q389-S389&gt;T388,T388,Q389-S389)),"")</f>
        <v/>
      </c>
      <c r="S389" s="11" t="str">
        <f t="shared" si="176"/>
        <v/>
      </c>
      <c r="T389" s="9" t="str">
        <f t="shared" si="177"/>
        <v/>
      </c>
      <c r="U389" s="10" t="str">
        <f t="shared" si="178"/>
        <v/>
      </c>
      <c r="V389" s="10" t="str">
        <f t="shared" si="179"/>
        <v/>
      </c>
      <c r="W389" s="49" t="str">
        <f t="shared" si="180"/>
        <v/>
      </c>
      <c r="X389" s="11" t="str">
        <f t="shared" si="181"/>
        <v/>
      </c>
      <c r="Y389" s="11" t="str">
        <f>IF(O389&lt;&gt;"",IF($B$16=listy!$K$8,'RZĄDOWY PROGRAM'!$F$3*'RZĄDOWY PROGRAM'!$F$15,T388*$F$15),"")</f>
        <v/>
      </c>
      <c r="Z389" s="11" t="str">
        <f t="shared" si="182"/>
        <v/>
      </c>
      <c r="AB389" s="8" t="str">
        <f t="shared" si="183"/>
        <v/>
      </c>
      <c r="AC389" s="8"/>
      <c r="AD389" s="33" t="str">
        <f>IF(AB389&lt;&gt;"",ROUND(IF($F$11="raty równe",-PMT(W389/12,$F$4-AB388+SUM($AC$28:AC389),AG388,2),AE389+AF389),2),"")</f>
        <v/>
      </c>
      <c r="AE389" s="11" t="str">
        <f>IF(AB389&lt;&gt;"",IF($F$11="raty malejące",AG388/($F$4-AB388+SUM($AC$28:AC388)),MIN(AD389-AF389,AG388)),"")</f>
        <v/>
      </c>
      <c r="AF389" s="11" t="str">
        <f t="shared" si="184"/>
        <v/>
      </c>
      <c r="AG389" s="9" t="str">
        <f t="shared" si="185"/>
        <v/>
      </c>
      <c r="AH389" s="11"/>
      <c r="AI389" s="33" t="str">
        <f>IF(AB389&lt;&gt;"",ROUND(IF($F$11="raty równe",-PMT(W389/12,($F$4-AB388+SUM($AC$27:AC388)),AG388,2),AG388/($F$4-AB388+SUM($AC$27:AC388))+AG388*W389/12),2),"")</f>
        <v/>
      </c>
      <c r="AJ389" s="33" t="str">
        <f t="shared" si="186"/>
        <v/>
      </c>
      <c r="AK389" s="33" t="str">
        <f t="shared" si="187"/>
        <v/>
      </c>
      <c r="AL389" s="33" t="str">
        <f>IF(AB389&lt;&gt;"",AK389-SUM($AJ$28:AJ389),"")</f>
        <v/>
      </c>
      <c r="AM389" s="11" t="str">
        <f t="shared" si="188"/>
        <v/>
      </c>
      <c r="AN389" s="11" t="str">
        <f>IF(AB389&lt;&gt;"",IF($B$16=listy!$K$8,'RZĄDOWY PROGRAM'!$F$3*'RZĄDOWY PROGRAM'!$F$15,AG388*$F$15),"")</f>
        <v/>
      </c>
      <c r="AO389" s="11" t="str">
        <f t="shared" si="189"/>
        <v/>
      </c>
      <c r="AQ389" s="49" t="str">
        <f t="shared" si="190"/>
        <v/>
      </c>
      <c r="AR389" s="18" t="str">
        <f t="shared" si="191"/>
        <v/>
      </c>
      <c r="AS389" s="11" t="str">
        <f t="shared" si="192"/>
        <v/>
      </c>
      <c r="AT389" s="11" t="str">
        <f t="shared" si="193"/>
        <v/>
      </c>
      <c r="AU389" s="11" t="str">
        <f>IF(AB389&lt;&gt;"",AT389-SUM($AS$28:AS389),"")</f>
        <v/>
      </c>
    </row>
    <row r="390" spans="1:47" ht="14.5" x14ac:dyDescent="0.35">
      <c r="A390" s="76" t="str">
        <f t="shared" si="165"/>
        <v/>
      </c>
      <c r="B390" s="8" t="str">
        <f t="shared" si="194"/>
        <v/>
      </c>
      <c r="C390" s="11" t="str">
        <f t="shared" si="166"/>
        <v/>
      </c>
      <c r="D390" s="11" t="str">
        <f t="shared" si="167"/>
        <v/>
      </c>
      <c r="E390" s="11" t="str">
        <f t="shared" si="168"/>
        <v/>
      </c>
      <c r="F390" s="9" t="str">
        <f t="shared" si="169"/>
        <v/>
      </c>
      <c r="G390" s="10" t="str">
        <f t="shared" si="170"/>
        <v/>
      </c>
      <c r="H390" s="10" t="str">
        <f t="shared" si="171"/>
        <v/>
      </c>
      <c r="I390" s="49" t="str">
        <f t="shared" si="172"/>
        <v/>
      </c>
      <c r="J390" s="11" t="str">
        <f t="shared" si="173"/>
        <v/>
      </c>
      <c r="K390" s="11" t="str">
        <f>IF(B390&lt;&gt;"",IF($B$16=listy!$K$8,'RZĄDOWY PROGRAM'!$F$3*'RZĄDOWY PROGRAM'!$F$15,F389*$F$15),"")</f>
        <v/>
      </c>
      <c r="L390" s="11" t="str">
        <f t="shared" si="174"/>
        <v/>
      </c>
      <c r="N390" s="55" t="str">
        <f t="shared" si="175"/>
        <v/>
      </c>
      <c r="O390" s="8" t="str">
        <f t="shared" si="195"/>
        <v/>
      </c>
      <c r="P390" s="8"/>
      <c r="Q390" s="33" t="str">
        <f>IF(O390&lt;&gt;"",ROUND(IF($F$11="raty równe",-PMT(W390/12,$F$4-O389+SUM($P$28:P390),T389,2),R390+S390),2),"")</f>
        <v/>
      </c>
      <c r="R390" s="11" t="str">
        <f>IF(O390&lt;&gt;"",IF($F$11="raty malejące",T389/($F$4-O389+SUM($P$28:P390)),IF(Q390-S390&gt;T389,T389,Q390-S390)),"")</f>
        <v/>
      </c>
      <c r="S390" s="11" t="str">
        <f t="shared" si="176"/>
        <v/>
      </c>
      <c r="T390" s="9" t="str">
        <f t="shared" si="177"/>
        <v/>
      </c>
      <c r="U390" s="10" t="str">
        <f t="shared" si="178"/>
        <v/>
      </c>
      <c r="V390" s="10" t="str">
        <f t="shared" si="179"/>
        <v/>
      </c>
      <c r="W390" s="49" t="str">
        <f t="shared" si="180"/>
        <v/>
      </c>
      <c r="X390" s="11" t="str">
        <f t="shared" si="181"/>
        <v/>
      </c>
      <c r="Y390" s="11" t="str">
        <f>IF(O390&lt;&gt;"",IF($B$16=listy!$K$8,'RZĄDOWY PROGRAM'!$F$3*'RZĄDOWY PROGRAM'!$F$15,T389*$F$15),"")</f>
        <v/>
      </c>
      <c r="Z390" s="11" t="str">
        <f t="shared" si="182"/>
        <v/>
      </c>
      <c r="AB390" s="8" t="str">
        <f t="shared" si="183"/>
        <v/>
      </c>
      <c r="AC390" s="8"/>
      <c r="AD390" s="33" t="str">
        <f>IF(AB390&lt;&gt;"",ROUND(IF($F$11="raty równe",-PMT(W390/12,$F$4-AB389+SUM($AC$28:AC390),AG389,2),AE390+AF390),2),"")</f>
        <v/>
      </c>
      <c r="AE390" s="11" t="str">
        <f>IF(AB390&lt;&gt;"",IF($F$11="raty malejące",AG389/($F$4-AB389+SUM($AC$28:AC389)),MIN(AD390-AF390,AG389)),"")</f>
        <v/>
      </c>
      <c r="AF390" s="11" t="str">
        <f t="shared" si="184"/>
        <v/>
      </c>
      <c r="AG390" s="9" t="str">
        <f t="shared" si="185"/>
        <v/>
      </c>
      <c r="AH390" s="11"/>
      <c r="AI390" s="33" t="str">
        <f>IF(AB390&lt;&gt;"",ROUND(IF($F$11="raty równe",-PMT(W390/12,($F$4-AB389+SUM($AC$27:AC389)),AG389,2),AG389/($F$4-AB389+SUM($AC$27:AC389))+AG389*W390/12),2),"")</f>
        <v/>
      </c>
      <c r="AJ390" s="33" t="str">
        <f t="shared" si="186"/>
        <v/>
      </c>
      <c r="AK390" s="33" t="str">
        <f t="shared" si="187"/>
        <v/>
      </c>
      <c r="AL390" s="33" t="str">
        <f>IF(AB390&lt;&gt;"",AK390-SUM($AJ$28:AJ390),"")</f>
        <v/>
      </c>
      <c r="AM390" s="11" t="str">
        <f t="shared" si="188"/>
        <v/>
      </c>
      <c r="AN390" s="11" t="str">
        <f>IF(AB390&lt;&gt;"",IF($B$16=listy!$K$8,'RZĄDOWY PROGRAM'!$F$3*'RZĄDOWY PROGRAM'!$F$15,AG389*$F$15),"")</f>
        <v/>
      </c>
      <c r="AO390" s="11" t="str">
        <f t="shared" si="189"/>
        <v/>
      </c>
      <c r="AQ390" s="49" t="str">
        <f t="shared" si="190"/>
        <v/>
      </c>
      <c r="AR390" s="18" t="str">
        <f t="shared" si="191"/>
        <v/>
      </c>
      <c r="AS390" s="11" t="str">
        <f t="shared" si="192"/>
        <v/>
      </c>
      <c r="AT390" s="11" t="str">
        <f t="shared" si="193"/>
        <v/>
      </c>
      <c r="AU390" s="11" t="str">
        <f>IF(AB390&lt;&gt;"",AT390-SUM($AS$28:AS390),"")</f>
        <v/>
      </c>
    </row>
    <row r="391" spans="1:47" ht="14.5" x14ac:dyDescent="0.35">
      <c r="A391" s="76" t="str">
        <f t="shared" si="165"/>
        <v/>
      </c>
      <c r="B391" s="8" t="str">
        <f t="shared" si="194"/>
        <v/>
      </c>
      <c r="C391" s="11" t="str">
        <f t="shared" si="166"/>
        <v/>
      </c>
      <c r="D391" s="11" t="str">
        <f t="shared" si="167"/>
        <v/>
      </c>
      <c r="E391" s="11" t="str">
        <f t="shared" si="168"/>
        <v/>
      </c>
      <c r="F391" s="9" t="str">
        <f t="shared" si="169"/>
        <v/>
      </c>
      <c r="G391" s="10" t="str">
        <f t="shared" si="170"/>
        <v/>
      </c>
      <c r="H391" s="10" t="str">
        <f t="shared" si="171"/>
        <v/>
      </c>
      <c r="I391" s="49" t="str">
        <f t="shared" si="172"/>
        <v/>
      </c>
      <c r="J391" s="11" t="str">
        <f t="shared" si="173"/>
        <v/>
      </c>
      <c r="K391" s="11" t="str">
        <f>IF(B391&lt;&gt;"",IF($B$16=listy!$K$8,'RZĄDOWY PROGRAM'!$F$3*'RZĄDOWY PROGRAM'!$F$15,F390*$F$15),"")</f>
        <v/>
      </c>
      <c r="L391" s="11" t="str">
        <f t="shared" si="174"/>
        <v/>
      </c>
      <c r="N391" s="55" t="str">
        <f t="shared" si="175"/>
        <v/>
      </c>
      <c r="O391" s="8" t="str">
        <f t="shared" si="195"/>
        <v/>
      </c>
      <c r="P391" s="8"/>
      <c r="Q391" s="33" t="str">
        <f>IF(O391&lt;&gt;"",ROUND(IF($F$11="raty równe",-PMT(W391/12,$F$4-O390+SUM($P$28:P391),T390,2),R391+S391),2),"")</f>
        <v/>
      </c>
      <c r="R391" s="11" t="str">
        <f>IF(O391&lt;&gt;"",IF($F$11="raty malejące",T390/($F$4-O390+SUM($P$28:P391)),IF(Q391-S391&gt;T390,T390,Q391-S391)),"")</f>
        <v/>
      </c>
      <c r="S391" s="11" t="str">
        <f t="shared" si="176"/>
        <v/>
      </c>
      <c r="T391" s="9" t="str">
        <f t="shared" si="177"/>
        <v/>
      </c>
      <c r="U391" s="10" t="str">
        <f t="shared" si="178"/>
        <v/>
      </c>
      <c r="V391" s="10" t="str">
        <f t="shared" si="179"/>
        <v/>
      </c>
      <c r="W391" s="49" t="str">
        <f t="shared" si="180"/>
        <v/>
      </c>
      <c r="X391" s="11" t="str">
        <f t="shared" si="181"/>
        <v/>
      </c>
      <c r="Y391" s="11" t="str">
        <f>IF(O391&lt;&gt;"",IF($B$16=listy!$K$8,'RZĄDOWY PROGRAM'!$F$3*'RZĄDOWY PROGRAM'!$F$15,T390*$F$15),"")</f>
        <v/>
      </c>
      <c r="Z391" s="11" t="str">
        <f t="shared" si="182"/>
        <v/>
      </c>
      <c r="AB391" s="8" t="str">
        <f t="shared" si="183"/>
        <v/>
      </c>
      <c r="AC391" s="8"/>
      <c r="AD391" s="33" t="str">
        <f>IF(AB391&lt;&gt;"",ROUND(IF($F$11="raty równe",-PMT(W391/12,$F$4-AB390+SUM($AC$28:AC391),AG390,2),AE391+AF391),2),"")</f>
        <v/>
      </c>
      <c r="AE391" s="11" t="str">
        <f>IF(AB391&lt;&gt;"",IF($F$11="raty malejące",AG390/($F$4-AB390+SUM($AC$28:AC390)),MIN(AD391-AF391,AG390)),"")</f>
        <v/>
      </c>
      <c r="AF391" s="11" t="str">
        <f t="shared" si="184"/>
        <v/>
      </c>
      <c r="AG391" s="9" t="str">
        <f t="shared" si="185"/>
        <v/>
      </c>
      <c r="AH391" s="11"/>
      <c r="AI391" s="33" t="str">
        <f>IF(AB391&lt;&gt;"",ROUND(IF($F$11="raty równe",-PMT(W391/12,($F$4-AB390+SUM($AC$27:AC390)),AG390,2),AG390/($F$4-AB390+SUM($AC$27:AC390))+AG390*W391/12),2),"")</f>
        <v/>
      </c>
      <c r="AJ391" s="33" t="str">
        <f t="shared" si="186"/>
        <v/>
      </c>
      <c r="AK391" s="33" t="str">
        <f t="shared" si="187"/>
        <v/>
      </c>
      <c r="AL391" s="33" t="str">
        <f>IF(AB391&lt;&gt;"",AK391-SUM($AJ$28:AJ391),"")</f>
        <v/>
      </c>
      <c r="AM391" s="11" t="str">
        <f t="shared" si="188"/>
        <v/>
      </c>
      <c r="AN391" s="11" t="str">
        <f>IF(AB391&lt;&gt;"",IF($B$16=listy!$K$8,'RZĄDOWY PROGRAM'!$F$3*'RZĄDOWY PROGRAM'!$F$15,AG390*$F$15),"")</f>
        <v/>
      </c>
      <c r="AO391" s="11" t="str">
        <f t="shared" si="189"/>
        <v/>
      </c>
      <c r="AQ391" s="49" t="str">
        <f t="shared" si="190"/>
        <v/>
      </c>
      <c r="AR391" s="18" t="str">
        <f t="shared" si="191"/>
        <v/>
      </c>
      <c r="AS391" s="11" t="str">
        <f t="shared" si="192"/>
        <v/>
      </c>
      <c r="AT391" s="11" t="str">
        <f t="shared" si="193"/>
        <v/>
      </c>
      <c r="AU391" s="11" t="str">
        <f>IF(AB391&lt;&gt;"",AT391-SUM($AS$28:AS391),"")</f>
        <v/>
      </c>
    </row>
    <row r="392" spans="1:47" ht="14.5" x14ac:dyDescent="0.35">
      <c r="A392" s="76" t="str">
        <f t="shared" si="165"/>
        <v/>
      </c>
      <c r="B392" s="8" t="str">
        <f t="shared" si="194"/>
        <v/>
      </c>
      <c r="C392" s="11" t="str">
        <f t="shared" si="166"/>
        <v/>
      </c>
      <c r="D392" s="11" t="str">
        <f t="shared" si="167"/>
        <v/>
      </c>
      <c r="E392" s="11" t="str">
        <f t="shared" si="168"/>
        <v/>
      </c>
      <c r="F392" s="9" t="str">
        <f t="shared" si="169"/>
        <v/>
      </c>
      <c r="G392" s="10" t="str">
        <f t="shared" si="170"/>
        <v/>
      </c>
      <c r="H392" s="10" t="str">
        <f t="shared" si="171"/>
        <v/>
      </c>
      <c r="I392" s="49" t="str">
        <f t="shared" si="172"/>
        <v/>
      </c>
      <c r="J392" s="11" t="str">
        <f t="shared" si="173"/>
        <v/>
      </c>
      <c r="K392" s="11" t="str">
        <f>IF(B392&lt;&gt;"",IF($B$16=listy!$K$8,'RZĄDOWY PROGRAM'!$F$3*'RZĄDOWY PROGRAM'!$F$15,F391*$F$15),"")</f>
        <v/>
      </c>
      <c r="L392" s="11" t="str">
        <f t="shared" si="174"/>
        <v/>
      </c>
      <c r="N392" s="55" t="str">
        <f t="shared" si="175"/>
        <v/>
      </c>
      <c r="O392" s="8" t="str">
        <f t="shared" si="195"/>
        <v/>
      </c>
      <c r="P392" s="8"/>
      <c r="Q392" s="33" t="str">
        <f>IF(O392&lt;&gt;"",ROUND(IF($F$11="raty równe",-PMT(W392/12,$F$4-O391+SUM($P$28:P392),T391,2),R392+S392),2),"")</f>
        <v/>
      </c>
      <c r="R392" s="11" t="str">
        <f>IF(O392&lt;&gt;"",IF($F$11="raty malejące",T391/($F$4-O391+SUM($P$28:P392)),IF(Q392-S392&gt;T391,T391,Q392-S392)),"")</f>
        <v/>
      </c>
      <c r="S392" s="11" t="str">
        <f t="shared" si="176"/>
        <v/>
      </c>
      <c r="T392" s="9" t="str">
        <f t="shared" si="177"/>
        <v/>
      </c>
      <c r="U392" s="10" t="str">
        <f t="shared" si="178"/>
        <v/>
      </c>
      <c r="V392" s="10" t="str">
        <f t="shared" si="179"/>
        <v/>
      </c>
      <c r="W392" s="49" t="str">
        <f t="shared" si="180"/>
        <v/>
      </c>
      <c r="X392" s="11" t="str">
        <f t="shared" si="181"/>
        <v/>
      </c>
      <c r="Y392" s="11" t="str">
        <f>IF(O392&lt;&gt;"",IF($B$16=listy!$K$8,'RZĄDOWY PROGRAM'!$F$3*'RZĄDOWY PROGRAM'!$F$15,T391*$F$15),"")</f>
        <v/>
      </c>
      <c r="Z392" s="11" t="str">
        <f t="shared" si="182"/>
        <v/>
      </c>
      <c r="AB392" s="8" t="str">
        <f t="shared" si="183"/>
        <v/>
      </c>
      <c r="AC392" s="8"/>
      <c r="AD392" s="33" t="str">
        <f>IF(AB392&lt;&gt;"",ROUND(IF($F$11="raty równe",-PMT(W392/12,$F$4-AB391+SUM($AC$28:AC392),AG391,2),AE392+AF392),2),"")</f>
        <v/>
      </c>
      <c r="AE392" s="11" t="str">
        <f>IF(AB392&lt;&gt;"",IF($F$11="raty malejące",AG391/($F$4-AB391+SUM($AC$28:AC391)),MIN(AD392-AF392,AG391)),"")</f>
        <v/>
      </c>
      <c r="AF392" s="11" t="str">
        <f t="shared" si="184"/>
        <v/>
      </c>
      <c r="AG392" s="9" t="str">
        <f t="shared" si="185"/>
        <v/>
      </c>
      <c r="AH392" s="11"/>
      <c r="AI392" s="33" t="str">
        <f>IF(AB392&lt;&gt;"",ROUND(IF($F$11="raty równe",-PMT(W392/12,($F$4-AB391+SUM($AC$27:AC391)),AG391,2),AG391/($F$4-AB391+SUM($AC$27:AC391))+AG391*W392/12),2),"")</f>
        <v/>
      </c>
      <c r="AJ392" s="33" t="str">
        <f t="shared" si="186"/>
        <v/>
      </c>
      <c r="AK392" s="33" t="str">
        <f t="shared" si="187"/>
        <v/>
      </c>
      <c r="AL392" s="33" t="str">
        <f>IF(AB392&lt;&gt;"",AK392-SUM($AJ$28:AJ392),"")</f>
        <v/>
      </c>
      <c r="AM392" s="11" t="str">
        <f t="shared" si="188"/>
        <v/>
      </c>
      <c r="AN392" s="11" t="str">
        <f>IF(AB392&lt;&gt;"",IF($B$16=listy!$K$8,'RZĄDOWY PROGRAM'!$F$3*'RZĄDOWY PROGRAM'!$F$15,AG391*$F$15),"")</f>
        <v/>
      </c>
      <c r="AO392" s="11" t="str">
        <f t="shared" si="189"/>
        <v/>
      </c>
      <c r="AQ392" s="49" t="str">
        <f t="shared" si="190"/>
        <v/>
      </c>
      <c r="AR392" s="18" t="str">
        <f t="shared" si="191"/>
        <v/>
      </c>
      <c r="AS392" s="11" t="str">
        <f t="shared" si="192"/>
        <v/>
      </c>
      <c r="AT392" s="11" t="str">
        <f t="shared" si="193"/>
        <v/>
      </c>
      <c r="AU392" s="11" t="str">
        <f>IF(AB392&lt;&gt;"",AT392-SUM($AS$28:AS392),"")</f>
        <v/>
      </c>
    </row>
    <row r="393" spans="1:47" ht="14.5" x14ac:dyDescent="0.35">
      <c r="A393" s="76" t="str">
        <f t="shared" si="165"/>
        <v/>
      </c>
      <c r="B393" s="8" t="str">
        <f t="shared" si="194"/>
        <v/>
      </c>
      <c r="C393" s="11" t="str">
        <f t="shared" si="166"/>
        <v/>
      </c>
      <c r="D393" s="11" t="str">
        <f t="shared" si="167"/>
        <v/>
      </c>
      <c r="E393" s="11" t="str">
        <f t="shared" si="168"/>
        <v/>
      </c>
      <c r="F393" s="9" t="str">
        <f t="shared" si="169"/>
        <v/>
      </c>
      <c r="G393" s="10" t="str">
        <f t="shared" si="170"/>
        <v/>
      </c>
      <c r="H393" s="10" t="str">
        <f t="shared" si="171"/>
        <v/>
      </c>
      <c r="I393" s="49" t="str">
        <f t="shared" si="172"/>
        <v/>
      </c>
      <c r="J393" s="11" t="str">
        <f t="shared" si="173"/>
        <v/>
      </c>
      <c r="K393" s="11" t="str">
        <f>IF(B393&lt;&gt;"",IF($B$16=listy!$K$8,'RZĄDOWY PROGRAM'!$F$3*'RZĄDOWY PROGRAM'!$F$15,F392*$F$15),"")</f>
        <v/>
      </c>
      <c r="L393" s="11" t="str">
        <f t="shared" si="174"/>
        <v/>
      </c>
      <c r="N393" s="55" t="str">
        <f t="shared" si="175"/>
        <v/>
      </c>
      <c r="O393" s="8" t="str">
        <f t="shared" si="195"/>
        <v/>
      </c>
      <c r="P393" s="8"/>
      <c r="Q393" s="33" t="str">
        <f>IF(O393&lt;&gt;"",ROUND(IF($F$11="raty równe",-PMT(W393/12,$F$4-O392+SUM($P$28:P393),T392,2),R393+S393),2),"")</f>
        <v/>
      </c>
      <c r="R393" s="11" t="str">
        <f>IF(O393&lt;&gt;"",IF($F$11="raty malejące",T392/($F$4-O392+SUM($P$28:P393)),IF(Q393-S393&gt;T392,T392,Q393-S393)),"")</f>
        <v/>
      </c>
      <c r="S393" s="11" t="str">
        <f t="shared" si="176"/>
        <v/>
      </c>
      <c r="T393" s="9" t="str">
        <f t="shared" si="177"/>
        <v/>
      </c>
      <c r="U393" s="10" t="str">
        <f t="shared" si="178"/>
        <v/>
      </c>
      <c r="V393" s="10" t="str">
        <f t="shared" si="179"/>
        <v/>
      </c>
      <c r="W393" s="49" t="str">
        <f t="shared" si="180"/>
        <v/>
      </c>
      <c r="X393" s="11" t="str">
        <f t="shared" si="181"/>
        <v/>
      </c>
      <c r="Y393" s="11" t="str">
        <f>IF(O393&lt;&gt;"",IF($B$16=listy!$K$8,'RZĄDOWY PROGRAM'!$F$3*'RZĄDOWY PROGRAM'!$F$15,T392*$F$15),"")</f>
        <v/>
      </c>
      <c r="Z393" s="11" t="str">
        <f t="shared" si="182"/>
        <v/>
      </c>
      <c r="AB393" s="8" t="str">
        <f t="shared" si="183"/>
        <v/>
      </c>
      <c r="AC393" s="8"/>
      <c r="AD393" s="33" t="str">
        <f>IF(AB393&lt;&gt;"",ROUND(IF($F$11="raty równe",-PMT(W393/12,$F$4-AB392+SUM($AC$28:AC393),AG392,2),AE393+AF393),2),"")</f>
        <v/>
      </c>
      <c r="AE393" s="11" t="str">
        <f>IF(AB393&lt;&gt;"",IF($F$11="raty malejące",AG392/($F$4-AB392+SUM($AC$28:AC392)),MIN(AD393-AF393,AG392)),"")</f>
        <v/>
      </c>
      <c r="AF393" s="11" t="str">
        <f t="shared" si="184"/>
        <v/>
      </c>
      <c r="AG393" s="9" t="str">
        <f t="shared" si="185"/>
        <v/>
      </c>
      <c r="AH393" s="11"/>
      <c r="AI393" s="33" t="str">
        <f>IF(AB393&lt;&gt;"",ROUND(IF($F$11="raty równe",-PMT(W393/12,($F$4-AB392+SUM($AC$27:AC392)),AG392,2),AG392/($F$4-AB392+SUM($AC$27:AC392))+AG392*W393/12),2),"")</f>
        <v/>
      </c>
      <c r="AJ393" s="33" t="str">
        <f t="shared" si="186"/>
        <v/>
      </c>
      <c r="AK393" s="33" t="str">
        <f t="shared" si="187"/>
        <v/>
      </c>
      <c r="AL393" s="33" t="str">
        <f>IF(AB393&lt;&gt;"",AK393-SUM($AJ$28:AJ393),"")</f>
        <v/>
      </c>
      <c r="AM393" s="11" t="str">
        <f t="shared" si="188"/>
        <v/>
      </c>
      <c r="AN393" s="11" t="str">
        <f>IF(AB393&lt;&gt;"",IF($B$16=listy!$K$8,'RZĄDOWY PROGRAM'!$F$3*'RZĄDOWY PROGRAM'!$F$15,AG392*$F$15),"")</f>
        <v/>
      </c>
      <c r="AO393" s="11" t="str">
        <f t="shared" si="189"/>
        <v/>
      </c>
      <c r="AQ393" s="49" t="str">
        <f t="shared" si="190"/>
        <v/>
      </c>
      <c r="AR393" s="18" t="str">
        <f t="shared" si="191"/>
        <v/>
      </c>
      <c r="AS393" s="11" t="str">
        <f t="shared" si="192"/>
        <v/>
      </c>
      <c r="AT393" s="11" t="str">
        <f t="shared" si="193"/>
        <v/>
      </c>
      <c r="AU393" s="11" t="str">
        <f>IF(AB393&lt;&gt;"",AT393-SUM($AS$28:AS393),"")</f>
        <v/>
      </c>
    </row>
    <row r="394" spans="1:47" ht="14.5" x14ac:dyDescent="0.35">
      <c r="A394" s="76" t="str">
        <f t="shared" si="165"/>
        <v/>
      </c>
      <c r="B394" s="8" t="str">
        <f t="shared" si="194"/>
        <v/>
      </c>
      <c r="C394" s="11" t="str">
        <f t="shared" si="166"/>
        <v/>
      </c>
      <c r="D394" s="11" t="str">
        <f t="shared" si="167"/>
        <v/>
      </c>
      <c r="E394" s="11" t="str">
        <f t="shared" si="168"/>
        <v/>
      </c>
      <c r="F394" s="9" t="str">
        <f t="shared" si="169"/>
        <v/>
      </c>
      <c r="G394" s="10" t="str">
        <f t="shared" si="170"/>
        <v/>
      </c>
      <c r="H394" s="10" t="str">
        <f t="shared" si="171"/>
        <v/>
      </c>
      <c r="I394" s="49" t="str">
        <f t="shared" si="172"/>
        <v/>
      </c>
      <c r="J394" s="11" t="str">
        <f t="shared" si="173"/>
        <v/>
      </c>
      <c r="K394" s="11" t="str">
        <f>IF(B394&lt;&gt;"",IF($B$16=listy!$K$8,'RZĄDOWY PROGRAM'!$F$3*'RZĄDOWY PROGRAM'!$F$15,F393*$F$15),"")</f>
        <v/>
      </c>
      <c r="L394" s="11" t="str">
        <f t="shared" si="174"/>
        <v/>
      </c>
      <c r="N394" s="55" t="str">
        <f t="shared" si="175"/>
        <v/>
      </c>
      <c r="O394" s="8" t="str">
        <f t="shared" si="195"/>
        <v/>
      </c>
      <c r="P394" s="8"/>
      <c r="Q394" s="33" t="str">
        <f>IF(O394&lt;&gt;"",ROUND(IF($F$11="raty równe",-PMT(W394/12,$F$4-O393+SUM($P$28:P394),T393,2),R394+S394),2),"")</f>
        <v/>
      </c>
      <c r="R394" s="11" t="str">
        <f>IF(O394&lt;&gt;"",IF($F$11="raty malejące",T393/($F$4-O393+SUM($P$28:P394)),IF(Q394-S394&gt;T393,T393,Q394-S394)),"")</f>
        <v/>
      </c>
      <c r="S394" s="11" t="str">
        <f t="shared" si="176"/>
        <v/>
      </c>
      <c r="T394" s="9" t="str">
        <f t="shared" si="177"/>
        <v/>
      </c>
      <c r="U394" s="10" t="str">
        <f t="shared" si="178"/>
        <v/>
      </c>
      <c r="V394" s="10" t="str">
        <f t="shared" si="179"/>
        <v/>
      </c>
      <c r="W394" s="49" t="str">
        <f t="shared" si="180"/>
        <v/>
      </c>
      <c r="X394" s="11" t="str">
        <f t="shared" si="181"/>
        <v/>
      </c>
      <c r="Y394" s="11" t="str">
        <f>IF(O394&lt;&gt;"",IF($B$16=listy!$K$8,'RZĄDOWY PROGRAM'!$F$3*'RZĄDOWY PROGRAM'!$F$15,T393*$F$15),"")</f>
        <v/>
      </c>
      <c r="Z394" s="11" t="str">
        <f t="shared" si="182"/>
        <v/>
      </c>
      <c r="AB394" s="8" t="str">
        <f t="shared" si="183"/>
        <v/>
      </c>
      <c r="AC394" s="8"/>
      <c r="AD394" s="33" t="str">
        <f>IF(AB394&lt;&gt;"",ROUND(IF($F$11="raty równe",-PMT(W394/12,$F$4-AB393+SUM($AC$28:AC394),AG393,2),AE394+AF394),2),"")</f>
        <v/>
      </c>
      <c r="AE394" s="11" t="str">
        <f>IF(AB394&lt;&gt;"",IF($F$11="raty malejące",AG393/($F$4-AB393+SUM($AC$28:AC393)),MIN(AD394-AF394,AG393)),"")</f>
        <v/>
      </c>
      <c r="AF394" s="11" t="str">
        <f t="shared" si="184"/>
        <v/>
      </c>
      <c r="AG394" s="9" t="str">
        <f t="shared" si="185"/>
        <v/>
      </c>
      <c r="AH394" s="11"/>
      <c r="AI394" s="33" t="str">
        <f>IF(AB394&lt;&gt;"",ROUND(IF($F$11="raty równe",-PMT(W394/12,($F$4-AB393+SUM($AC$27:AC393)),AG393,2),AG393/($F$4-AB393+SUM($AC$27:AC393))+AG393*W394/12),2),"")</f>
        <v/>
      </c>
      <c r="AJ394" s="33" t="str">
        <f t="shared" si="186"/>
        <v/>
      </c>
      <c r="AK394" s="33" t="str">
        <f t="shared" si="187"/>
        <v/>
      </c>
      <c r="AL394" s="33" t="str">
        <f>IF(AB394&lt;&gt;"",AK394-SUM($AJ$28:AJ394),"")</f>
        <v/>
      </c>
      <c r="AM394" s="11" t="str">
        <f t="shared" si="188"/>
        <v/>
      </c>
      <c r="AN394" s="11" t="str">
        <f>IF(AB394&lt;&gt;"",IF($B$16=listy!$K$8,'RZĄDOWY PROGRAM'!$F$3*'RZĄDOWY PROGRAM'!$F$15,AG393*$F$15),"")</f>
        <v/>
      </c>
      <c r="AO394" s="11" t="str">
        <f t="shared" si="189"/>
        <v/>
      </c>
      <c r="AQ394" s="49" t="str">
        <f t="shared" si="190"/>
        <v/>
      </c>
      <c r="AR394" s="18" t="str">
        <f t="shared" si="191"/>
        <v/>
      </c>
      <c r="AS394" s="11" t="str">
        <f t="shared" si="192"/>
        <v/>
      </c>
      <c r="AT394" s="11" t="str">
        <f t="shared" si="193"/>
        <v/>
      </c>
      <c r="AU394" s="11" t="str">
        <f>IF(AB394&lt;&gt;"",AT394-SUM($AS$28:AS394),"")</f>
        <v/>
      </c>
    </row>
    <row r="395" spans="1:47" ht="14.5" x14ac:dyDescent="0.35">
      <c r="A395" s="76" t="str">
        <f t="shared" si="165"/>
        <v/>
      </c>
      <c r="B395" s="8" t="str">
        <f t="shared" si="194"/>
        <v/>
      </c>
      <c r="C395" s="11" t="str">
        <f t="shared" si="166"/>
        <v/>
      </c>
      <c r="D395" s="11" t="str">
        <f t="shared" si="167"/>
        <v/>
      </c>
      <c r="E395" s="11" t="str">
        <f t="shared" si="168"/>
        <v/>
      </c>
      <c r="F395" s="9" t="str">
        <f t="shared" si="169"/>
        <v/>
      </c>
      <c r="G395" s="10" t="str">
        <f t="shared" si="170"/>
        <v/>
      </c>
      <c r="H395" s="10" t="str">
        <f t="shared" si="171"/>
        <v/>
      </c>
      <c r="I395" s="49" t="str">
        <f t="shared" si="172"/>
        <v/>
      </c>
      <c r="J395" s="11" t="str">
        <f t="shared" si="173"/>
        <v/>
      </c>
      <c r="K395" s="11" t="str">
        <f>IF(B395&lt;&gt;"",IF($B$16=listy!$K$8,'RZĄDOWY PROGRAM'!$F$3*'RZĄDOWY PROGRAM'!$F$15,F394*$F$15),"")</f>
        <v/>
      </c>
      <c r="L395" s="11" t="str">
        <f t="shared" si="174"/>
        <v/>
      </c>
      <c r="N395" s="55" t="str">
        <f t="shared" si="175"/>
        <v/>
      </c>
      <c r="O395" s="8" t="str">
        <f t="shared" si="195"/>
        <v/>
      </c>
      <c r="P395" s="8"/>
      <c r="Q395" s="33" t="str">
        <f>IF(O395&lt;&gt;"",ROUND(IF($F$11="raty równe",-PMT(W395/12,$F$4-O394+SUM($P$28:P395),T394,2),R395+S395),2),"")</f>
        <v/>
      </c>
      <c r="R395" s="11" t="str">
        <f>IF(O395&lt;&gt;"",IF($F$11="raty malejące",T394/($F$4-O394+SUM($P$28:P395)),IF(Q395-S395&gt;T394,T394,Q395-S395)),"")</f>
        <v/>
      </c>
      <c r="S395" s="11" t="str">
        <f t="shared" si="176"/>
        <v/>
      </c>
      <c r="T395" s="9" t="str">
        <f t="shared" si="177"/>
        <v/>
      </c>
      <c r="U395" s="10" t="str">
        <f t="shared" si="178"/>
        <v/>
      </c>
      <c r="V395" s="10" t="str">
        <f t="shared" si="179"/>
        <v/>
      </c>
      <c r="W395" s="49" t="str">
        <f t="shared" si="180"/>
        <v/>
      </c>
      <c r="X395" s="11" t="str">
        <f t="shared" si="181"/>
        <v/>
      </c>
      <c r="Y395" s="11" t="str">
        <f>IF(O395&lt;&gt;"",IF($B$16=listy!$K$8,'RZĄDOWY PROGRAM'!$F$3*'RZĄDOWY PROGRAM'!$F$15,T394*$F$15),"")</f>
        <v/>
      </c>
      <c r="Z395" s="11" t="str">
        <f t="shared" si="182"/>
        <v/>
      </c>
      <c r="AB395" s="8" t="str">
        <f t="shared" si="183"/>
        <v/>
      </c>
      <c r="AC395" s="8"/>
      <c r="AD395" s="33" t="str">
        <f>IF(AB395&lt;&gt;"",ROUND(IF($F$11="raty równe",-PMT(W395/12,$F$4-AB394+SUM($AC$28:AC395),AG394,2),AE395+AF395),2),"")</f>
        <v/>
      </c>
      <c r="AE395" s="11" t="str">
        <f>IF(AB395&lt;&gt;"",IF($F$11="raty malejące",AG394/($F$4-AB394+SUM($AC$28:AC394)),MIN(AD395-AF395,AG394)),"")</f>
        <v/>
      </c>
      <c r="AF395" s="11" t="str">
        <f t="shared" si="184"/>
        <v/>
      </c>
      <c r="AG395" s="9" t="str">
        <f t="shared" si="185"/>
        <v/>
      </c>
      <c r="AH395" s="11"/>
      <c r="AI395" s="33" t="str">
        <f>IF(AB395&lt;&gt;"",ROUND(IF($F$11="raty równe",-PMT(W395/12,($F$4-AB394+SUM($AC$27:AC394)),AG394,2),AG394/($F$4-AB394+SUM($AC$27:AC394))+AG394*W395/12),2),"")</f>
        <v/>
      </c>
      <c r="AJ395" s="33" t="str">
        <f t="shared" si="186"/>
        <v/>
      </c>
      <c r="AK395" s="33" t="str">
        <f t="shared" si="187"/>
        <v/>
      </c>
      <c r="AL395" s="33" t="str">
        <f>IF(AB395&lt;&gt;"",AK395-SUM($AJ$28:AJ395),"")</f>
        <v/>
      </c>
      <c r="AM395" s="11" t="str">
        <f t="shared" si="188"/>
        <v/>
      </c>
      <c r="AN395" s="11" t="str">
        <f>IF(AB395&lt;&gt;"",IF($B$16=listy!$K$8,'RZĄDOWY PROGRAM'!$F$3*'RZĄDOWY PROGRAM'!$F$15,AG394*$F$15),"")</f>
        <v/>
      </c>
      <c r="AO395" s="11" t="str">
        <f t="shared" si="189"/>
        <v/>
      </c>
      <c r="AQ395" s="49" t="str">
        <f t="shared" si="190"/>
        <v/>
      </c>
      <c r="AR395" s="18" t="str">
        <f t="shared" si="191"/>
        <v/>
      </c>
      <c r="AS395" s="11" t="str">
        <f t="shared" si="192"/>
        <v/>
      </c>
      <c r="AT395" s="11" t="str">
        <f t="shared" si="193"/>
        <v/>
      </c>
      <c r="AU395" s="11" t="str">
        <f>IF(AB395&lt;&gt;"",AT395-SUM($AS$28:AS395),"")</f>
        <v/>
      </c>
    </row>
    <row r="396" spans="1:47" ht="14.5" x14ac:dyDescent="0.35">
      <c r="A396" s="76" t="str">
        <f t="shared" ref="A396:A398" si="196">IF(B396&lt;&gt;"",EDATE(A395,1),"")</f>
        <v/>
      </c>
      <c r="B396" s="8" t="str">
        <f t="shared" si="194"/>
        <v/>
      </c>
      <c r="C396" s="11" t="str">
        <f t="shared" ref="C396:C398" si="197">IF(B396&lt;&gt;"",ROUND(IF($F$11="raty równe",-PMT(I396/12,$F$4-B395,F395,2),D396+E396),2),"")</f>
        <v/>
      </c>
      <c r="D396" s="11" t="str">
        <f t="shared" ref="D396:D398" si="198">IF(B396&lt;&gt;"",IF($F$11="raty malejące",F395/($F$4-B395),IF(C396-E396&gt;F395,F395,C396-E396)),"")</f>
        <v/>
      </c>
      <c r="E396" s="11" t="str">
        <f t="shared" ref="E396:E398" si="199">IF(B396&lt;&gt;"",F395*I396/12,"")</f>
        <v/>
      </c>
      <c r="F396" s="9" t="str">
        <f t="shared" ref="F396:F398" si="200">IF(B396&lt;&gt;"",F395-D396,"")</f>
        <v/>
      </c>
      <c r="G396" s="10" t="str">
        <f t="shared" ref="G396:G398" si="201">IF(B396&lt;&gt;"",$F$5,"")</f>
        <v/>
      </c>
      <c r="H396" s="10" t="str">
        <f t="shared" ref="H396:H398" si="202">IF(B396&lt;&gt;"",$F$6,"")</f>
        <v/>
      </c>
      <c r="I396" s="49" t="str">
        <f t="shared" ref="I396:I398" si="203">IF($B396&lt;&gt;"",IF(AND($F$8="TAK",$B396&lt;=$F$9),$F$10,G396+H396),"")</f>
        <v/>
      </c>
      <c r="J396" s="11" t="str">
        <f t="shared" ref="J396:J398" si="204">IF(B396&lt;=$F$4,$F$14,"")</f>
        <v/>
      </c>
      <c r="K396" s="11" t="str">
        <f>IF(B396&lt;&gt;"",IF($B$16=listy!$K$8,'RZĄDOWY PROGRAM'!$F$3*'RZĄDOWY PROGRAM'!$F$15,F395*$F$15),"")</f>
        <v/>
      </c>
      <c r="L396" s="11" t="str">
        <f t="shared" ref="L396:L398" si="205">IF(B396&lt;&gt;"",J396+K396,"")</f>
        <v/>
      </c>
      <c r="N396" s="55" t="str">
        <f t="shared" si="175"/>
        <v/>
      </c>
      <c r="O396" s="8" t="str">
        <f t="shared" si="195"/>
        <v/>
      </c>
      <c r="P396" s="8"/>
      <c r="Q396" s="33" t="str">
        <f>IF(O396&lt;&gt;"",ROUND(IF($F$11="raty równe",-PMT(W396/12,$F$4-O395+SUM($P$28:P396),T395,2),R396+S396),2),"")</f>
        <v/>
      </c>
      <c r="R396" s="11" t="str">
        <f>IF(O396&lt;&gt;"",IF($F$11="raty malejące",T395/($F$4-O395+SUM($P$28:P396)),IF(Q396-S396&gt;T395,T395,Q396-S396)),"")</f>
        <v/>
      </c>
      <c r="S396" s="11" t="str">
        <f t="shared" si="176"/>
        <v/>
      </c>
      <c r="T396" s="9" t="str">
        <f t="shared" si="177"/>
        <v/>
      </c>
      <c r="U396" s="10" t="str">
        <f t="shared" si="178"/>
        <v/>
      </c>
      <c r="V396" s="10" t="str">
        <f t="shared" si="179"/>
        <v/>
      </c>
      <c r="W396" s="49" t="str">
        <f t="shared" si="180"/>
        <v/>
      </c>
      <c r="X396" s="11" t="str">
        <f t="shared" si="181"/>
        <v/>
      </c>
      <c r="Y396" s="11" t="str">
        <f>IF(O396&lt;&gt;"",IF($B$16=listy!$K$8,'RZĄDOWY PROGRAM'!$F$3*'RZĄDOWY PROGRAM'!$F$15,T395*$F$15),"")</f>
        <v/>
      </c>
      <c r="Z396" s="11" t="str">
        <f t="shared" si="182"/>
        <v/>
      </c>
      <c r="AB396" s="8" t="str">
        <f t="shared" si="183"/>
        <v/>
      </c>
      <c r="AC396" s="8"/>
      <c r="AD396" s="33" t="str">
        <f>IF(AB396&lt;&gt;"",ROUND(IF($F$11="raty równe",-PMT(W396/12,$F$4-AB395+SUM($AC$28:AC396),AG395,2),AE396+AF396),2),"")</f>
        <v/>
      </c>
      <c r="AE396" s="11" t="str">
        <f>IF(AB396&lt;&gt;"",IF($F$11="raty malejące",AG395/($F$4-AB395+SUM($AC$28:AC395)),MIN(AD396-AF396,AG395)),"")</f>
        <v/>
      </c>
      <c r="AF396" s="11" t="str">
        <f t="shared" si="184"/>
        <v/>
      </c>
      <c r="AG396" s="9" t="str">
        <f t="shared" si="185"/>
        <v/>
      </c>
      <c r="AH396" s="11"/>
      <c r="AI396" s="33" t="str">
        <f>IF(AB396&lt;&gt;"",ROUND(IF($F$11="raty równe",-PMT(W396/12,($F$4-AB395+SUM($AC$27:AC395)),AG395,2),AG395/($F$4-AB395+SUM($AC$27:AC395))+AG395*W396/12),2),"")</f>
        <v/>
      </c>
      <c r="AJ396" s="33" t="str">
        <f t="shared" si="186"/>
        <v/>
      </c>
      <c r="AK396" s="33" t="str">
        <f t="shared" si="187"/>
        <v/>
      </c>
      <c r="AL396" s="33" t="str">
        <f>IF(AB396&lt;&gt;"",AK396-SUM($AJ$28:AJ396),"")</f>
        <v/>
      </c>
      <c r="AM396" s="11" t="str">
        <f t="shared" si="188"/>
        <v/>
      </c>
      <c r="AN396" s="11" t="str">
        <f>IF(AB396&lt;&gt;"",IF($B$16=listy!$K$8,'RZĄDOWY PROGRAM'!$F$3*'RZĄDOWY PROGRAM'!$F$15,AG395*$F$15),"")</f>
        <v/>
      </c>
      <c r="AO396" s="11" t="str">
        <f t="shared" si="189"/>
        <v/>
      </c>
      <c r="AQ396" s="49" t="str">
        <f t="shared" si="190"/>
        <v/>
      </c>
      <c r="AR396" s="18" t="str">
        <f t="shared" si="191"/>
        <v/>
      </c>
      <c r="AS396" s="11" t="str">
        <f t="shared" si="192"/>
        <v/>
      </c>
      <c r="AT396" s="11" t="str">
        <f t="shared" si="193"/>
        <v/>
      </c>
      <c r="AU396" s="11" t="str">
        <f>IF(AB396&lt;&gt;"",AT396-SUM($AS$28:AS396),"")</f>
        <v/>
      </c>
    </row>
    <row r="397" spans="1:47" ht="14.5" x14ac:dyDescent="0.35">
      <c r="A397" s="76" t="str">
        <f t="shared" si="196"/>
        <v/>
      </c>
      <c r="B397" s="8" t="str">
        <f t="shared" si="194"/>
        <v/>
      </c>
      <c r="C397" s="11" t="str">
        <f t="shared" si="197"/>
        <v/>
      </c>
      <c r="D397" s="11" t="str">
        <f t="shared" si="198"/>
        <v/>
      </c>
      <c r="E397" s="11" t="str">
        <f t="shared" si="199"/>
        <v/>
      </c>
      <c r="F397" s="9" t="str">
        <f t="shared" si="200"/>
        <v/>
      </c>
      <c r="G397" s="10" t="str">
        <f t="shared" si="201"/>
        <v/>
      </c>
      <c r="H397" s="10" t="str">
        <f t="shared" si="202"/>
        <v/>
      </c>
      <c r="I397" s="49" t="str">
        <f t="shared" si="203"/>
        <v/>
      </c>
      <c r="J397" s="11" t="str">
        <f t="shared" si="204"/>
        <v/>
      </c>
      <c r="K397" s="11" t="str">
        <f>IF(B397&lt;&gt;"",IF($B$16=listy!$K$8,'RZĄDOWY PROGRAM'!$F$3*'RZĄDOWY PROGRAM'!$F$15,F396*$F$15),"")</f>
        <v/>
      </c>
      <c r="L397" s="11" t="str">
        <f t="shared" si="205"/>
        <v/>
      </c>
      <c r="N397" s="55" t="str">
        <f t="shared" si="175"/>
        <v/>
      </c>
      <c r="O397" s="8" t="str">
        <f t="shared" si="195"/>
        <v/>
      </c>
      <c r="P397" s="8"/>
      <c r="Q397" s="33" t="str">
        <f>IF(O397&lt;&gt;"",ROUND(IF($F$11="raty równe",-PMT(W397/12,$F$4-O396+SUM($P$28:P397),T396,2),R397+S397),2),"")</f>
        <v/>
      </c>
      <c r="R397" s="11" t="str">
        <f>IF(O397&lt;&gt;"",IF($F$11="raty malejące",T396/($F$4-O396+SUM($P$28:P397)),IF(Q397-S397&gt;T396,T396,Q397-S397)),"")</f>
        <v/>
      </c>
      <c r="S397" s="11" t="str">
        <f t="shared" si="176"/>
        <v/>
      </c>
      <c r="T397" s="9" t="str">
        <f t="shared" si="177"/>
        <v/>
      </c>
      <c r="U397" s="10" t="str">
        <f t="shared" si="178"/>
        <v/>
      </c>
      <c r="V397" s="10" t="str">
        <f t="shared" si="179"/>
        <v/>
      </c>
      <c r="W397" s="49" t="str">
        <f t="shared" si="180"/>
        <v/>
      </c>
      <c r="X397" s="11" t="str">
        <f t="shared" si="181"/>
        <v/>
      </c>
      <c r="Y397" s="11" t="str">
        <f>IF(O397&lt;&gt;"",IF($B$16=listy!$K$8,'RZĄDOWY PROGRAM'!$F$3*'RZĄDOWY PROGRAM'!$F$15,T396*$F$15),"")</f>
        <v/>
      </c>
      <c r="Z397" s="11" t="str">
        <f t="shared" si="182"/>
        <v/>
      </c>
      <c r="AB397" s="8" t="str">
        <f t="shared" si="183"/>
        <v/>
      </c>
      <c r="AC397" s="8"/>
      <c r="AD397" s="33" t="str">
        <f>IF(AB397&lt;&gt;"",ROUND(IF($F$11="raty równe",-PMT(W397/12,$F$4-AB396+SUM($AC$28:AC397),AG396,2),AE397+AF397),2),"")</f>
        <v/>
      </c>
      <c r="AE397" s="11" t="str">
        <f>IF(AB397&lt;&gt;"",IF($F$11="raty malejące",AG396/($F$4-AB396+SUM($AC$28:AC396)),MIN(AD397-AF397,AG396)),"")</f>
        <v/>
      </c>
      <c r="AF397" s="11" t="str">
        <f t="shared" si="184"/>
        <v/>
      </c>
      <c r="AG397" s="9" t="str">
        <f t="shared" si="185"/>
        <v/>
      </c>
      <c r="AH397" s="11"/>
      <c r="AI397" s="33" t="str">
        <f>IF(AB397&lt;&gt;"",ROUND(IF($F$11="raty równe",-PMT(W397/12,($F$4-AB396+SUM($AC$27:AC396)),AG396,2),AG396/($F$4-AB396+SUM($AC$27:AC396))+AG396*W397/12),2),"")</f>
        <v/>
      </c>
      <c r="AJ397" s="33" t="str">
        <f t="shared" si="186"/>
        <v/>
      </c>
      <c r="AK397" s="33" t="str">
        <f t="shared" si="187"/>
        <v/>
      </c>
      <c r="AL397" s="33" t="str">
        <f>IF(AB397&lt;&gt;"",AK397-SUM($AJ$28:AJ397),"")</f>
        <v/>
      </c>
      <c r="AM397" s="11" t="str">
        <f t="shared" si="188"/>
        <v/>
      </c>
      <c r="AN397" s="11" t="str">
        <f>IF(AB397&lt;&gt;"",IF($B$16=listy!$K$8,'RZĄDOWY PROGRAM'!$F$3*'RZĄDOWY PROGRAM'!$F$15,AG396*$F$15),"")</f>
        <v/>
      </c>
      <c r="AO397" s="11" t="str">
        <f t="shared" si="189"/>
        <v/>
      </c>
      <c r="AQ397" s="49" t="str">
        <f t="shared" si="190"/>
        <v/>
      </c>
      <c r="AR397" s="18" t="str">
        <f t="shared" si="191"/>
        <v/>
      </c>
      <c r="AS397" s="11" t="str">
        <f t="shared" si="192"/>
        <v/>
      </c>
      <c r="AT397" s="11" t="str">
        <f t="shared" si="193"/>
        <v/>
      </c>
      <c r="AU397" s="11" t="str">
        <f>IF(AB397&lt;&gt;"",AT397-SUM($AS$28:AS397),"")</f>
        <v/>
      </c>
    </row>
    <row r="398" spans="1:47" ht="14.5" x14ac:dyDescent="0.35">
      <c r="A398" s="76" t="str">
        <f t="shared" si="196"/>
        <v/>
      </c>
      <c r="B398" s="8" t="str">
        <f t="shared" si="194"/>
        <v/>
      </c>
      <c r="C398" s="11" t="str">
        <f t="shared" si="197"/>
        <v/>
      </c>
      <c r="D398" s="11" t="str">
        <f t="shared" si="198"/>
        <v/>
      </c>
      <c r="E398" s="11" t="str">
        <f t="shared" si="199"/>
        <v/>
      </c>
      <c r="F398" s="9" t="str">
        <f t="shared" si="200"/>
        <v/>
      </c>
      <c r="G398" s="10" t="str">
        <f t="shared" si="201"/>
        <v/>
      </c>
      <c r="H398" s="10" t="str">
        <f t="shared" si="202"/>
        <v/>
      </c>
      <c r="I398" s="49" t="str">
        <f t="shared" si="203"/>
        <v/>
      </c>
      <c r="J398" s="11" t="str">
        <f t="shared" si="204"/>
        <v/>
      </c>
      <c r="K398" s="11" t="str">
        <f>IF(B398&lt;&gt;"",IF($B$16=listy!$K$8,'RZĄDOWY PROGRAM'!$F$3*'RZĄDOWY PROGRAM'!$F$15,F397*$F$15),"")</f>
        <v/>
      </c>
      <c r="L398" s="11" t="str">
        <f t="shared" si="205"/>
        <v/>
      </c>
      <c r="N398" s="55" t="str">
        <f t="shared" si="175"/>
        <v/>
      </c>
      <c r="O398" s="8" t="str">
        <f t="shared" si="195"/>
        <v/>
      </c>
      <c r="P398" s="8"/>
      <c r="Q398" s="33" t="str">
        <f>IF(O398&lt;&gt;"",ROUND(IF($F$11="raty równe",-PMT(W398/12,$F$4-O397+SUM($P$28:P398),T397,2),R398+S398),2),"")</f>
        <v/>
      </c>
      <c r="R398" s="11" t="str">
        <f>IF(O398&lt;&gt;"",IF($F$11="raty malejące",T397/($F$4-O397+SUM($P$28:P398)),IF(Q398-S398&gt;T397,T397,Q398-S398)),"")</f>
        <v/>
      </c>
      <c r="S398" s="11" t="str">
        <f t="shared" si="176"/>
        <v/>
      </c>
      <c r="T398" s="9" t="str">
        <f t="shared" si="177"/>
        <v/>
      </c>
      <c r="U398" s="10" t="str">
        <f t="shared" si="178"/>
        <v/>
      </c>
      <c r="V398" s="10" t="str">
        <f t="shared" si="179"/>
        <v/>
      </c>
      <c r="W398" s="49" t="str">
        <f t="shared" si="180"/>
        <v/>
      </c>
      <c r="X398" s="11" t="str">
        <f t="shared" si="181"/>
        <v/>
      </c>
      <c r="Y398" s="11" t="str">
        <f>IF(O398&lt;&gt;"",IF($B$16=listy!$K$8,'RZĄDOWY PROGRAM'!$F$3*'RZĄDOWY PROGRAM'!$F$15,T397*$F$15),"")</f>
        <v/>
      </c>
      <c r="Z398" s="11" t="str">
        <f t="shared" si="182"/>
        <v/>
      </c>
      <c r="AB398" s="8" t="str">
        <f t="shared" si="183"/>
        <v/>
      </c>
      <c r="AC398" s="8"/>
      <c r="AD398" s="33" t="str">
        <f>IF(AB398&lt;&gt;"",ROUND(IF($F$11="raty równe",-PMT(W398/12,$F$4-AB397+SUM($AC$28:AC398),AG397,2),AE398+AF398),2),"")</f>
        <v/>
      </c>
      <c r="AE398" s="11" t="str">
        <f>IF(AB398&lt;&gt;"",IF($F$11="raty malejące",AG397/($F$4-AB397+SUM($AC$28:AC397)),MIN(AD398-AF398,AG397)),"")</f>
        <v/>
      </c>
      <c r="AF398" s="11" t="str">
        <f t="shared" si="184"/>
        <v/>
      </c>
      <c r="AG398" s="9" t="str">
        <f t="shared" si="185"/>
        <v/>
      </c>
      <c r="AH398" s="11"/>
      <c r="AI398" s="33" t="str">
        <f>IF(AB398&lt;&gt;"",ROUND(IF($F$11="raty równe",-PMT(W398/12,($F$4-AB397+SUM($AC$27:AC397)),AG397,2),AG397/($F$4-AB397+SUM($AC$27:AC397))+AG397*W398/12),2),"")</f>
        <v/>
      </c>
      <c r="AJ398" s="33" t="str">
        <f t="shared" si="186"/>
        <v/>
      </c>
      <c r="AK398" s="33" t="str">
        <f t="shared" si="187"/>
        <v/>
      </c>
      <c r="AL398" s="33" t="str">
        <f>IF(AB398&lt;&gt;"",AK398-SUM($AJ$28:AJ398),"")</f>
        <v/>
      </c>
      <c r="AM398" s="11" t="str">
        <f t="shared" si="188"/>
        <v/>
      </c>
      <c r="AN398" s="11" t="str">
        <f>IF(AB398&lt;&gt;"",IF($B$16=listy!$K$8,'RZĄDOWY PROGRAM'!$F$3*'RZĄDOWY PROGRAM'!$F$15,AG397*$F$15),"")</f>
        <v/>
      </c>
      <c r="AO398" s="11" t="str">
        <f t="shared" si="189"/>
        <v/>
      </c>
      <c r="AQ398" s="49" t="str">
        <f t="shared" si="190"/>
        <v/>
      </c>
      <c r="AR398" s="18" t="str">
        <f t="shared" si="191"/>
        <v/>
      </c>
      <c r="AS398" s="11" t="str">
        <f t="shared" si="192"/>
        <v/>
      </c>
      <c r="AT398" s="11" t="str">
        <f t="shared" si="193"/>
        <v/>
      </c>
      <c r="AU398" s="11" t="str">
        <f>IF(AB398&lt;&gt;"",AT398-SUM($AS$28:AS398),"")</f>
        <v/>
      </c>
    </row>
    <row r="399" spans="1:47" x14ac:dyDescent="0.3">
      <c r="C399" s="6"/>
      <c r="P399" s="6"/>
      <c r="AC399" s="6"/>
    </row>
    <row r="400" spans="1:47" x14ac:dyDescent="0.3">
      <c r="C400" s="6"/>
      <c r="P400" s="6"/>
      <c r="AC400" s="6"/>
    </row>
    <row r="401" spans="3:29" x14ac:dyDescent="0.3">
      <c r="C401" s="6"/>
      <c r="P401" s="6"/>
      <c r="AC401" s="6"/>
    </row>
    <row r="402" spans="3:29" x14ac:dyDescent="0.3">
      <c r="C402" s="6"/>
      <c r="P402" s="6"/>
      <c r="AC402" s="6"/>
    </row>
    <row r="403" spans="3:29" x14ac:dyDescent="0.3">
      <c r="C403" s="6"/>
      <c r="P403" s="6"/>
      <c r="AC403" s="6"/>
    </row>
    <row r="404" spans="3:29" x14ac:dyDescent="0.3">
      <c r="C404" s="6"/>
      <c r="P404" s="6"/>
      <c r="AC404" s="6"/>
    </row>
    <row r="405" spans="3:29" x14ac:dyDescent="0.3">
      <c r="C405" s="6"/>
      <c r="P405" s="6"/>
      <c r="AC405" s="6"/>
    </row>
    <row r="406" spans="3:29" x14ac:dyDescent="0.3">
      <c r="C406" s="6"/>
      <c r="P406" s="6"/>
      <c r="AC406" s="6"/>
    </row>
    <row r="407" spans="3:29" x14ac:dyDescent="0.3">
      <c r="C407" s="6"/>
      <c r="P407" s="6"/>
      <c r="AC407" s="6"/>
    </row>
    <row r="514" spans="2:29" x14ac:dyDescent="0.3">
      <c r="B514" s="34"/>
      <c r="C514" s="20"/>
      <c r="D514" s="20"/>
      <c r="E514" s="20"/>
      <c r="F514" s="20"/>
      <c r="G514" s="20"/>
      <c r="H514" s="20"/>
      <c r="I514" s="20"/>
      <c r="J514" s="20"/>
      <c r="K514" s="20"/>
      <c r="L514" s="35"/>
      <c r="O514" s="34"/>
      <c r="P514" s="20"/>
      <c r="Q514" s="20"/>
      <c r="R514" s="20"/>
      <c r="S514" s="20"/>
      <c r="T514" s="20"/>
      <c r="U514" s="20"/>
      <c r="V514" s="20"/>
      <c r="W514" s="20"/>
      <c r="X514" s="20"/>
      <c r="Y514" s="35"/>
      <c r="AC514" s="20"/>
    </row>
    <row r="515" spans="2:29" x14ac:dyDescent="0.3">
      <c r="B515" s="34"/>
      <c r="C515" s="20"/>
      <c r="D515" s="20"/>
      <c r="E515" s="20"/>
      <c r="F515" s="20"/>
      <c r="G515" s="20"/>
      <c r="H515" s="20"/>
      <c r="I515" s="20"/>
      <c r="J515" s="20"/>
      <c r="K515" s="20"/>
      <c r="L515" s="35"/>
      <c r="O515" s="34"/>
      <c r="P515" s="20"/>
      <c r="Q515" s="20"/>
      <c r="R515" s="20"/>
      <c r="S515" s="20"/>
      <c r="T515" s="20"/>
      <c r="U515" s="20"/>
      <c r="V515" s="20"/>
      <c r="W515" s="20"/>
      <c r="X515" s="20"/>
      <c r="Y515" s="35"/>
      <c r="AC515" s="20"/>
    </row>
    <row r="516" spans="2:29" x14ac:dyDescent="0.3">
      <c r="B516" s="34"/>
      <c r="C516" s="20"/>
      <c r="D516" s="20"/>
      <c r="E516" s="20"/>
      <c r="F516" s="20"/>
      <c r="G516" s="20"/>
      <c r="H516" s="20"/>
      <c r="I516" s="20"/>
      <c r="J516" s="20"/>
      <c r="K516" s="20"/>
      <c r="L516" s="35"/>
      <c r="O516" s="34"/>
      <c r="P516" s="20"/>
      <c r="Q516" s="20"/>
      <c r="R516" s="20"/>
      <c r="S516" s="20"/>
      <c r="T516" s="20"/>
      <c r="U516" s="20"/>
      <c r="V516" s="20"/>
      <c r="W516" s="20"/>
      <c r="X516" s="20"/>
      <c r="Y516" s="35"/>
      <c r="AC516" s="20"/>
    </row>
    <row r="517" spans="2:29" x14ac:dyDescent="0.3">
      <c r="B517" s="34"/>
      <c r="C517" s="20"/>
      <c r="D517" s="20"/>
      <c r="E517" s="20"/>
      <c r="F517" s="20"/>
      <c r="G517" s="20"/>
      <c r="H517" s="20"/>
      <c r="I517" s="20"/>
      <c r="J517" s="20"/>
      <c r="K517" s="20"/>
      <c r="L517" s="35"/>
      <c r="O517" s="34"/>
      <c r="P517" s="20"/>
      <c r="Q517" s="20"/>
      <c r="R517" s="20"/>
      <c r="S517" s="20"/>
      <c r="T517" s="20"/>
      <c r="U517" s="20"/>
      <c r="V517" s="20"/>
      <c r="W517" s="20"/>
      <c r="X517" s="20"/>
      <c r="Y517" s="35"/>
      <c r="AC517" s="20"/>
    </row>
    <row r="518" spans="2:29" x14ac:dyDescent="0.3">
      <c r="B518" s="34"/>
      <c r="C518" s="20"/>
      <c r="D518" s="20"/>
      <c r="E518" s="20"/>
      <c r="F518" s="20"/>
      <c r="G518" s="20"/>
      <c r="H518" s="20"/>
      <c r="I518" s="20"/>
      <c r="J518" s="20"/>
      <c r="K518" s="20"/>
      <c r="L518" s="35"/>
      <c r="O518" s="34"/>
      <c r="P518" s="20"/>
      <c r="Q518" s="20"/>
      <c r="R518" s="20"/>
      <c r="S518" s="20"/>
      <c r="T518" s="20"/>
      <c r="U518" s="20"/>
      <c r="V518" s="20"/>
      <c r="W518" s="20"/>
      <c r="X518" s="20"/>
      <c r="Y518" s="35"/>
      <c r="AC518" s="20"/>
    </row>
    <row r="519" spans="2:29" x14ac:dyDescent="0.3">
      <c r="B519" s="34"/>
      <c r="C519" s="20"/>
      <c r="D519" s="20"/>
      <c r="E519" s="20"/>
      <c r="F519" s="20"/>
      <c r="G519" s="20"/>
      <c r="H519" s="20"/>
      <c r="I519" s="20"/>
      <c r="J519" s="20"/>
      <c r="K519" s="20"/>
      <c r="L519" s="35"/>
      <c r="O519" s="34"/>
      <c r="P519" s="20"/>
      <c r="Q519" s="20"/>
      <c r="R519" s="20"/>
      <c r="S519" s="20"/>
      <c r="T519" s="20"/>
      <c r="U519" s="20"/>
      <c r="V519" s="20"/>
      <c r="W519" s="20"/>
      <c r="X519" s="20"/>
      <c r="Y519" s="35"/>
      <c r="AC519" s="20"/>
    </row>
    <row r="520" spans="2:29" x14ac:dyDescent="0.3">
      <c r="B520" s="34"/>
      <c r="C520" s="20"/>
      <c r="D520" s="20"/>
      <c r="E520" s="20"/>
      <c r="F520" s="20"/>
      <c r="G520" s="20"/>
      <c r="H520" s="20"/>
      <c r="I520" s="20"/>
      <c r="J520" s="20"/>
      <c r="K520" s="20"/>
      <c r="L520" s="35"/>
      <c r="O520" s="34"/>
      <c r="P520" s="20"/>
      <c r="Q520" s="20"/>
      <c r="R520" s="20"/>
      <c r="S520" s="20"/>
      <c r="T520" s="20"/>
      <c r="U520" s="20"/>
      <c r="V520" s="20"/>
      <c r="W520" s="20"/>
      <c r="X520" s="20"/>
      <c r="Y520" s="35"/>
      <c r="AC520" s="20"/>
    </row>
    <row r="521" spans="2:29" x14ac:dyDescent="0.3">
      <c r="B521" s="34"/>
      <c r="C521" s="20"/>
      <c r="D521" s="20"/>
      <c r="E521" s="20"/>
      <c r="F521" s="20"/>
      <c r="G521" s="20"/>
      <c r="H521" s="20"/>
      <c r="I521" s="20"/>
      <c r="J521" s="20"/>
      <c r="K521" s="20"/>
      <c r="L521" s="35"/>
      <c r="O521" s="34"/>
      <c r="P521" s="20"/>
      <c r="Q521" s="20"/>
      <c r="R521" s="20"/>
      <c r="S521" s="20"/>
      <c r="T521" s="20"/>
      <c r="U521" s="20"/>
      <c r="V521" s="20"/>
      <c r="W521" s="20"/>
      <c r="X521" s="20"/>
      <c r="Y521" s="35"/>
      <c r="AC521" s="20"/>
    </row>
    <row r="522" spans="2:29" x14ac:dyDescent="0.3">
      <c r="B522" s="34"/>
      <c r="C522" s="20"/>
      <c r="D522" s="20"/>
      <c r="E522" s="20"/>
      <c r="F522" s="20"/>
      <c r="G522" s="20"/>
      <c r="H522" s="20"/>
      <c r="I522" s="20"/>
      <c r="J522" s="20"/>
      <c r="K522" s="20"/>
      <c r="L522" s="35"/>
      <c r="O522" s="34"/>
      <c r="P522" s="20"/>
      <c r="Q522" s="20"/>
      <c r="R522" s="20"/>
      <c r="S522" s="20"/>
      <c r="T522" s="20"/>
      <c r="U522" s="20"/>
      <c r="V522" s="20"/>
      <c r="W522" s="20"/>
      <c r="X522" s="20"/>
      <c r="Y522" s="35"/>
      <c r="AC522" s="20"/>
    </row>
    <row r="523" spans="2:29" x14ac:dyDescent="0.3">
      <c r="B523" s="34"/>
      <c r="C523" s="20"/>
      <c r="D523" s="20"/>
      <c r="E523" s="20"/>
      <c r="F523" s="20"/>
      <c r="G523" s="20"/>
      <c r="H523" s="20"/>
      <c r="I523" s="20"/>
      <c r="J523" s="20"/>
      <c r="K523" s="20"/>
      <c r="L523" s="35"/>
      <c r="O523" s="34"/>
      <c r="P523" s="20"/>
      <c r="Q523" s="20"/>
      <c r="R523" s="20"/>
      <c r="S523" s="20"/>
      <c r="T523" s="20"/>
      <c r="U523" s="20"/>
      <c r="V523" s="20"/>
      <c r="W523" s="20"/>
      <c r="X523" s="20"/>
      <c r="Y523" s="35"/>
      <c r="AC523" s="20"/>
    </row>
    <row r="524" spans="2:29" x14ac:dyDescent="0.3">
      <c r="B524" s="34"/>
      <c r="C524" s="20"/>
      <c r="D524" s="20"/>
      <c r="E524" s="20"/>
      <c r="F524" s="20"/>
      <c r="G524" s="20"/>
      <c r="H524" s="20"/>
      <c r="I524" s="20"/>
      <c r="J524" s="20"/>
      <c r="K524" s="20"/>
      <c r="L524" s="35"/>
      <c r="O524" s="34"/>
      <c r="P524" s="20"/>
      <c r="Q524" s="20"/>
      <c r="R524" s="20"/>
      <c r="S524" s="20"/>
      <c r="T524" s="20"/>
      <c r="U524" s="20"/>
      <c r="V524" s="20"/>
      <c r="W524" s="20"/>
      <c r="X524" s="20"/>
      <c r="Y524" s="35"/>
      <c r="AC524" s="20"/>
    </row>
    <row r="525" spans="2:29" x14ac:dyDescent="0.3">
      <c r="B525" s="34"/>
      <c r="C525" s="20"/>
      <c r="D525" s="20"/>
      <c r="E525" s="20"/>
      <c r="F525" s="20"/>
      <c r="G525" s="20"/>
      <c r="H525" s="20"/>
      <c r="I525" s="20"/>
      <c r="J525" s="20"/>
      <c r="K525" s="20"/>
      <c r="L525" s="35"/>
      <c r="O525" s="34"/>
      <c r="P525" s="20"/>
      <c r="Q525" s="20"/>
      <c r="R525" s="20"/>
      <c r="S525" s="20"/>
      <c r="T525" s="20"/>
      <c r="U525" s="20"/>
      <c r="V525" s="20"/>
      <c r="W525" s="20"/>
      <c r="X525" s="20"/>
      <c r="Y525" s="35"/>
      <c r="AC525" s="20"/>
    </row>
    <row r="526" spans="2:29" x14ac:dyDescent="0.3">
      <c r="B526" s="34"/>
      <c r="C526" s="20"/>
      <c r="D526" s="20"/>
      <c r="E526" s="20"/>
      <c r="F526" s="20"/>
      <c r="G526" s="20"/>
      <c r="H526" s="20"/>
      <c r="I526" s="20"/>
      <c r="J526" s="20"/>
      <c r="K526" s="20"/>
      <c r="L526" s="35"/>
      <c r="O526" s="34"/>
      <c r="P526" s="20"/>
      <c r="Q526" s="20"/>
      <c r="R526" s="20"/>
      <c r="S526" s="20"/>
      <c r="T526" s="20"/>
      <c r="U526" s="20"/>
      <c r="V526" s="20"/>
      <c r="W526" s="20"/>
      <c r="X526" s="20"/>
      <c r="Y526" s="35"/>
      <c r="AC526" s="20"/>
    </row>
    <row r="527" spans="2:29" x14ac:dyDescent="0.3">
      <c r="B527" s="34"/>
      <c r="C527" s="20"/>
      <c r="D527" s="20"/>
      <c r="E527" s="20"/>
      <c r="F527" s="20"/>
      <c r="G527" s="20"/>
      <c r="H527" s="20"/>
      <c r="I527" s="20"/>
      <c r="J527" s="20"/>
      <c r="K527" s="20"/>
      <c r="L527" s="35"/>
      <c r="O527" s="34"/>
      <c r="P527" s="20"/>
      <c r="Q527" s="20"/>
      <c r="R527" s="20"/>
      <c r="S527" s="20"/>
      <c r="T527" s="20"/>
      <c r="U527" s="20"/>
      <c r="V527" s="20"/>
      <c r="W527" s="20"/>
      <c r="X527" s="20"/>
      <c r="Y527" s="35"/>
      <c r="AC527" s="20"/>
    </row>
    <row r="528" spans="2:29" x14ac:dyDescent="0.3">
      <c r="B528" s="34"/>
      <c r="C528" s="20"/>
      <c r="D528" s="20"/>
      <c r="E528" s="20"/>
      <c r="F528" s="20"/>
      <c r="G528" s="20"/>
      <c r="H528" s="20"/>
      <c r="I528" s="20"/>
      <c r="J528" s="20"/>
      <c r="K528" s="20"/>
      <c r="L528" s="35"/>
      <c r="O528" s="34"/>
      <c r="P528" s="20"/>
      <c r="Q528" s="20"/>
      <c r="R528" s="20"/>
      <c r="S528" s="20"/>
      <c r="T528" s="20"/>
      <c r="U528" s="20"/>
      <c r="V528" s="20"/>
      <c r="W528" s="20"/>
      <c r="X528" s="20"/>
      <c r="Y528" s="35"/>
      <c r="AC528" s="20"/>
    </row>
    <row r="529" spans="2:29" x14ac:dyDescent="0.3">
      <c r="B529" s="34"/>
      <c r="C529" s="20"/>
      <c r="D529" s="20"/>
      <c r="E529" s="20"/>
      <c r="F529" s="20"/>
      <c r="G529" s="20"/>
      <c r="H529" s="20"/>
      <c r="I529" s="20"/>
      <c r="J529" s="20"/>
      <c r="K529" s="20"/>
      <c r="L529" s="35"/>
      <c r="O529" s="34"/>
      <c r="P529" s="20"/>
      <c r="Q529" s="20"/>
      <c r="R529" s="20"/>
      <c r="S529" s="20"/>
      <c r="T529" s="20"/>
      <c r="U529" s="20"/>
      <c r="V529" s="20"/>
      <c r="W529" s="20"/>
      <c r="X529" s="20"/>
      <c r="Y529" s="35"/>
      <c r="AC529" s="20"/>
    </row>
    <row r="530" spans="2:29" x14ac:dyDescent="0.3">
      <c r="B530" s="34"/>
      <c r="C530" s="20"/>
      <c r="D530" s="20"/>
      <c r="E530" s="20"/>
      <c r="F530" s="20"/>
      <c r="G530" s="20"/>
      <c r="H530" s="20"/>
      <c r="I530" s="20"/>
      <c r="J530" s="20"/>
      <c r="K530" s="20"/>
      <c r="L530" s="35"/>
      <c r="O530" s="34"/>
      <c r="P530" s="20"/>
      <c r="Q530" s="20"/>
      <c r="R530" s="20"/>
      <c r="S530" s="20"/>
      <c r="T530" s="20"/>
      <c r="U530" s="20"/>
      <c r="V530" s="20"/>
      <c r="W530" s="20"/>
      <c r="X530" s="20"/>
      <c r="Y530" s="35"/>
      <c r="AC530" s="20"/>
    </row>
    <row r="531" spans="2:29" x14ac:dyDescent="0.3">
      <c r="B531" s="34"/>
      <c r="C531" s="20"/>
      <c r="D531" s="20"/>
      <c r="E531" s="20"/>
      <c r="F531" s="20"/>
      <c r="G531" s="20"/>
      <c r="H531" s="20"/>
      <c r="I531" s="20"/>
      <c r="J531" s="20"/>
      <c r="K531" s="20"/>
      <c r="L531" s="35"/>
      <c r="O531" s="34"/>
      <c r="P531" s="20"/>
      <c r="Q531" s="20"/>
      <c r="R531" s="20"/>
      <c r="S531" s="20"/>
      <c r="T531" s="20"/>
      <c r="U531" s="20"/>
      <c r="V531" s="20"/>
      <c r="W531" s="20"/>
      <c r="X531" s="20"/>
      <c r="Y531" s="35"/>
      <c r="AC531" s="20"/>
    </row>
    <row r="532" spans="2:29" x14ac:dyDescent="0.3">
      <c r="B532" s="34"/>
      <c r="C532" s="20"/>
      <c r="D532" s="20"/>
      <c r="E532" s="20"/>
      <c r="F532" s="20"/>
      <c r="G532" s="20"/>
      <c r="H532" s="20"/>
      <c r="I532" s="20"/>
      <c r="J532" s="20"/>
      <c r="K532" s="20"/>
      <c r="L532" s="35"/>
      <c r="O532" s="34"/>
      <c r="P532" s="20"/>
      <c r="Q532" s="20"/>
      <c r="R532" s="20"/>
      <c r="S532" s="20"/>
      <c r="T532" s="20"/>
      <c r="U532" s="20"/>
      <c r="V532" s="20"/>
      <c r="W532" s="20"/>
      <c r="X532" s="20"/>
      <c r="Y532" s="35"/>
      <c r="AC532" s="20"/>
    </row>
    <row r="533" spans="2:29" x14ac:dyDescent="0.3">
      <c r="B533" s="34"/>
      <c r="C533" s="20"/>
      <c r="D533" s="20"/>
      <c r="E533" s="20"/>
      <c r="F533" s="20"/>
      <c r="G533" s="20"/>
      <c r="H533" s="20"/>
      <c r="I533" s="20"/>
      <c r="J533" s="20"/>
      <c r="K533" s="20"/>
      <c r="L533" s="35"/>
      <c r="O533" s="34"/>
      <c r="P533" s="20"/>
      <c r="Q533" s="20"/>
      <c r="R533" s="20"/>
      <c r="S533" s="20"/>
      <c r="T533" s="20"/>
      <c r="U533" s="20"/>
      <c r="V533" s="20"/>
      <c r="W533" s="20"/>
      <c r="X533" s="20"/>
      <c r="Y533" s="35"/>
      <c r="AC533" s="20"/>
    </row>
    <row r="534" spans="2:29" x14ac:dyDescent="0.3">
      <c r="B534" s="34"/>
      <c r="C534" s="20"/>
      <c r="D534" s="20"/>
      <c r="E534" s="20"/>
      <c r="F534" s="20"/>
      <c r="G534" s="20"/>
      <c r="H534" s="20"/>
      <c r="I534" s="20"/>
      <c r="J534" s="20"/>
      <c r="K534" s="20"/>
      <c r="L534" s="35"/>
      <c r="O534" s="34"/>
      <c r="P534" s="20"/>
      <c r="Q534" s="20"/>
      <c r="R534" s="20"/>
      <c r="S534" s="20"/>
      <c r="T534" s="20"/>
      <c r="U534" s="20"/>
      <c r="V534" s="20"/>
      <c r="W534" s="20"/>
      <c r="X534" s="20"/>
      <c r="Y534" s="35"/>
      <c r="AC534" s="20"/>
    </row>
    <row r="535" spans="2:29" x14ac:dyDescent="0.3">
      <c r="B535" s="34"/>
      <c r="C535" s="20"/>
      <c r="D535" s="20"/>
      <c r="E535" s="20"/>
      <c r="F535" s="20"/>
      <c r="G535" s="20"/>
      <c r="H535" s="20"/>
      <c r="I535" s="20"/>
      <c r="J535" s="20"/>
      <c r="K535" s="20"/>
      <c r="L535" s="35"/>
      <c r="O535" s="34"/>
      <c r="P535" s="20"/>
      <c r="Q535" s="20"/>
      <c r="R535" s="20"/>
      <c r="S535" s="20"/>
      <c r="T535" s="20"/>
      <c r="U535" s="20"/>
      <c r="V535" s="20"/>
      <c r="W535" s="20"/>
      <c r="X535" s="20"/>
      <c r="Y535" s="35"/>
      <c r="AC535" s="20"/>
    </row>
    <row r="536" spans="2:29" x14ac:dyDescent="0.3">
      <c r="B536" s="34"/>
      <c r="C536" s="20"/>
      <c r="D536" s="20"/>
      <c r="E536" s="20"/>
      <c r="F536" s="20"/>
      <c r="G536" s="20"/>
      <c r="H536" s="20"/>
      <c r="I536" s="20"/>
      <c r="J536" s="20"/>
      <c r="K536" s="20"/>
      <c r="L536" s="35"/>
      <c r="O536" s="34"/>
      <c r="P536" s="20"/>
      <c r="Q536" s="20"/>
      <c r="R536" s="20"/>
      <c r="S536" s="20"/>
      <c r="T536" s="20"/>
      <c r="U536" s="20"/>
      <c r="V536" s="20"/>
      <c r="W536" s="20"/>
      <c r="X536" s="20"/>
      <c r="Y536" s="35"/>
      <c r="AC536" s="20"/>
    </row>
    <row r="537" spans="2:29" x14ac:dyDescent="0.3">
      <c r="B537" s="34"/>
      <c r="C537" s="20"/>
      <c r="D537" s="20"/>
      <c r="E537" s="20"/>
      <c r="F537" s="20"/>
      <c r="G537" s="20"/>
      <c r="H537" s="20"/>
      <c r="I537" s="20"/>
      <c r="J537" s="20"/>
      <c r="K537" s="20"/>
      <c r="L537" s="35"/>
      <c r="O537" s="34"/>
      <c r="P537" s="20"/>
      <c r="Q537" s="20"/>
      <c r="R537" s="20"/>
      <c r="S537" s="20"/>
      <c r="T537" s="20"/>
      <c r="U537" s="20"/>
      <c r="V537" s="20"/>
      <c r="W537" s="20"/>
      <c r="X537" s="20"/>
      <c r="Y537" s="35"/>
      <c r="AC537" s="20"/>
    </row>
    <row r="538" spans="2:29" x14ac:dyDescent="0.3">
      <c r="B538" s="34"/>
      <c r="C538" s="20"/>
      <c r="D538" s="20"/>
      <c r="E538" s="20"/>
      <c r="F538" s="20"/>
      <c r="G538" s="20"/>
      <c r="H538" s="20"/>
      <c r="I538" s="20"/>
      <c r="J538" s="20"/>
      <c r="K538" s="20"/>
      <c r="L538" s="35"/>
      <c r="O538" s="34"/>
      <c r="P538" s="20"/>
      <c r="Q538" s="20"/>
      <c r="R538" s="20"/>
      <c r="S538" s="20"/>
      <c r="T538" s="20"/>
      <c r="U538" s="20"/>
      <c r="V538" s="20"/>
      <c r="W538" s="20"/>
      <c r="X538" s="20"/>
      <c r="Y538" s="35"/>
      <c r="AC538" s="20"/>
    </row>
    <row r="539" spans="2:29" x14ac:dyDescent="0.3">
      <c r="B539" s="34"/>
      <c r="C539" s="20"/>
      <c r="D539" s="20"/>
      <c r="E539" s="20"/>
      <c r="F539" s="20"/>
      <c r="G539" s="20"/>
      <c r="H539" s="20"/>
      <c r="I539" s="20"/>
      <c r="J539" s="20"/>
      <c r="K539" s="20"/>
      <c r="L539" s="35"/>
      <c r="O539" s="34"/>
      <c r="P539" s="20"/>
      <c r="Q539" s="20"/>
      <c r="R539" s="20"/>
      <c r="S539" s="20"/>
      <c r="T539" s="20"/>
      <c r="U539" s="20"/>
      <c r="V539" s="20"/>
      <c r="W539" s="20"/>
      <c r="X539" s="20"/>
      <c r="Y539" s="35"/>
      <c r="AC539" s="20"/>
    </row>
    <row r="540" spans="2:29" x14ac:dyDescent="0.3">
      <c r="B540" s="34"/>
      <c r="C540" s="20"/>
      <c r="D540" s="20"/>
      <c r="E540" s="20"/>
      <c r="F540" s="20"/>
      <c r="G540" s="20"/>
      <c r="H540" s="20"/>
      <c r="I540" s="20"/>
      <c r="J540" s="20"/>
      <c r="K540" s="20"/>
      <c r="L540" s="35"/>
      <c r="O540" s="34"/>
      <c r="P540" s="20"/>
      <c r="Q540" s="20"/>
      <c r="R540" s="20"/>
      <c r="S540" s="20"/>
      <c r="T540" s="20"/>
      <c r="U540" s="20"/>
      <c r="V540" s="20"/>
      <c r="W540" s="20"/>
      <c r="X540" s="20"/>
      <c r="Y540" s="35"/>
      <c r="AC540" s="20"/>
    </row>
    <row r="541" spans="2:29" x14ac:dyDescent="0.3">
      <c r="B541" s="34"/>
      <c r="C541" s="20"/>
      <c r="D541" s="20"/>
      <c r="E541" s="20"/>
      <c r="F541" s="20"/>
      <c r="G541" s="20"/>
      <c r="H541" s="20"/>
      <c r="I541" s="20"/>
      <c r="J541" s="20"/>
      <c r="K541" s="20"/>
      <c r="L541" s="35"/>
      <c r="O541" s="34"/>
      <c r="P541" s="20"/>
      <c r="Q541" s="20"/>
      <c r="R541" s="20"/>
      <c r="S541" s="20"/>
      <c r="T541" s="20"/>
      <c r="U541" s="20"/>
      <c r="V541" s="20"/>
      <c r="W541" s="20"/>
      <c r="X541" s="20"/>
      <c r="Y541" s="35"/>
      <c r="AC541" s="20"/>
    </row>
    <row r="542" spans="2:29" x14ac:dyDescent="0.3">
      <c r="B542" s="34"/>
      <c r="C542" s="20"/>
      <c r="D542" s="20"/>
      <c r="E542" s="20"/>
      <c r="F542" s="20"/>
      <c r="G542" s="20"/>
      <c r="H542" s="20"/>
      <c r="I542" s="20"/>
      <c r="J542" s="20"/>
      <c r="K542" s="20"/>
      <c r="L542" s="35"/>
      <c r="O542" s="34"/>
      <c r="P542" s="20"/>
      <c r="Q542" s="20"/>
      <c r="R542" s="20"/>
      <c r="S542" s="20"/>
      <c r="T542" s="20"/>
      <c r="U542" s="20"/>
      <c r="V542" s="20"/>
      <c r="W542" s="20"/>
      <c r="X542" s="20"/>
      <c r="Y542" s="35"/>
      <c r="AC542" s="20"/>
    </row>
    <row r="543" spans="2:29" x14ac:dyDescent="0.3">
      <c r="B543" s="34"/>
      <c r="C543" s="20"/>
      <c r="D543" s="20"/>
      <c r="E543" s="20"/>
      <c r="F543" s="20"/>
      <c r="G543" s="20"/>
      <c r="H543" s="20"/>
      <c r="I543" s="20"/>
      <c r="J543" s="20"/>
      <c r="K543" s="20"/>
      <c r="L543" s="35"/>
      <c r="O543" s="34"/>
      <c r="P543" s="20"/>
      <c r="Q543" s="20"/>
      <c r="R543" s="20"/>
      <c r="S543" s="20"/>
      <c r="T543" s="20"/>
      <c r="U543" s="20"/>
      <c r="V543" s="20"/>
      <c r="W543" s="20"/>
      <c r="X543" s="20"/>
      <c r="Y543" s="35"/>
      <c r="AC543" s="20"/>
    </row>
    <row r="544" spans="2:29" x14ac:dyDescent="0.3">
      <c r="B544" s="34"/>
      <c r="C544" s="20"/>
      <c r="D544" s="20"/>
      <c r="E544" s="20"/>
      <c r="F544" s="20"/>
      <c r="G544" s="20"/>
      <c r="H544" s="20"/>
      <c r="I544" s="20"/>
      <c r="J544" s="20"/>
      <c r="K544" s="20"/>
      <c r="L544" s="35"/>
      <c r="O544" s="34"/>
      <c r="P544" s="20"/>
      <c r="Q544" s="20"/>
      <c r="R544" s="20"/>
      <c r="S544" s="20"/>
      <c r="T544" s="20"/>
      <c r="U544" s="20"/>
      <c r="V544" s="20"/>
      <c r="W544" s="20"/>
      <c r="X544" s="20"/>
      <c r="Y544" s="35"/>
      <c r="AC544" s="20"/>
    </row>
    <row r="545" spans="2:29" x14ac:dyDescent="0.3">
      <c r="B545" s="34"/>
      <c r="C545" s="20"/>
      <c r="D545" s="20"/>
      <c r="E545" s="20"/>
      <c r="F545" s="20"/>
      <c r="G545" s="20"/>
      <c r="H545" s="20"/>
      <c r="I545" s="20"/>
      <c r="J545" s="20"/>
      <c r="K545" s="20"/>
      <c r="L545" s="35"/>
      <c r="O545" s="34"/>
      <c r="P545" s="20"/>
      <c r="Q545" s="20"/>
      <c r="R545" s="20"/>
      <c r="S545" s="20"/>
      <c r="T545" s="20"/>
      <c r="U545" s="20"/>
      <c r="V545" s="20"/>
      <c r="W545" s="20"/>
      <c r="X545" s="20"/>
      <c r="Y545" s="35"/>
      <c r="AC545" s="20"/>
    </row>
    <row r="546" spans="2:29" x14ac:dyDescent="0.3">
      <c r="B546" s="34"/>
      <c r="C546" s="20"/>
      <c r="D546" s="20"/>
      <c r="E546" s="20"/>
      <c r="F546" s="20"/>
      <c r="G546" s="20"/>
      <c r="H546" s="20"/>
      <c r="I546" s="20"/>
      <c r="J546" s="20"/>
      <c r="K546" s="20"/>
      <c r="L546" s="35"/>
      <c r="O546" s="34"/>
      <c r="P546" s="20"/>
      <c r="Q546" s="20"/>
      <c r="R546" s="20"/>
      <c r="S546" s="20"/>
      <c r="T546" s="20"/>
      <c r="U546" s="20"/>
      <c r="V546" s="20"/>
      <c r="W546" s="20"/>
      <c r="X546" s="20"/>
      <c r="Y546" s="35"/>
      <c r="AC546" s="20"/>
    </row>
    <row r="547" spans="2:29" x14ac:dyDescent="0.3">
      <c r="B547" s="34"/>
      <c r="C547" s="20"/>
      <c r="D547" s="20"/>
      <c r="E547" s="20"/>
      <c r="F547" s="20"/>
      <c r="G547" s="20"/>
      <c r="H547" s="20"/>
      <c r="I547" s="20"/>
      <c r="J547" s="20"/>
      <c r="K547" s="20"/>
      <c r="L547" s="35"/>
      <c r="O547" s="34"/>
      <c r="P547" s="20"/>
      <c r="Q547" s="20"/>
      <c r="R547" s="20"/>
      <c r="S547" s="20"/>
      <c r="T547" s="20"/>
      <c r="U547" s="20"/>
      <c r="V547" s="20"/>
      <c r="W547" s="20"/>
      <c r="X547" s="20"/>
      <c r="Y547" s="35"/>
      <c r="AC547" s="20"/>
    </row>
    <row r="548" spans="2:29" x14ac:dyDescent="0.3">
      <c r="B548" s="34"/>
      <c r="C548" s="20"/>
      <c r="D548" s="20"/>
      <c r="E548" s="20"/>
      <c r="F548" s="20"/>
      <c r="G548" s="20"/>
      <c r="H548" s="20"/>
      <c r="I548" s="20"/>
      <c r="J548" s="20"/>
      <c r="K548" s="20"/>
      <c r="L548" s="35"/>
      <c r="O548" s="34"/>
      <c r="P548" s="20"/>
      <c r="Q548" s="20"/>
      <c r="R548" s="20"/>
      <c r="S548" s="20"/>
      <c r="T548" s="20"/>
      <c r="U548" s="20"/>
      <c r="V548" s="20"/>
      <c r="W548" s="20"/>
      <c r="X548" s="20"/>
      <c r="Y548" s="35"/>
      <c r="AC548" s="20"/>
    </row>
    <row r="549" spans="2:29" x14ac:dyDescent="0.3">
      <c r="B549" s="34"/>
      <c r="C549" s="20"/>
      <c r="D549" s="20"/>
      <c r="E549" s="20"/>
      <c r="F549" s="20"/>
      <c r="G549" s="20"/>
      <c r="H549" s="20"/>
      <c r="I549" s="20"/>
      <c r="J549" s="20"/>
      <c r="K549" s="20"/>
      <c r="L549" s="35"/>
      <c r="O549" s="34"/>
      <c r="P549" s="20"/>
      <c r="Q549" s="20"/>
      <c r="R549" s="20"/>
      <c r="S549" s="20"/>
      <c r="T549" s="20"/>
      <c r="U549" s="20"/>
      <c r="V549" s="20"/>
      <c r="W549" s="20"/>
      <c r="X549" s="20"/>
      <c r="Y549" s="35"/>
      <c r="AC549" s="20"/>
    </row>
    <row r="550" spans="2:29" x14ac:dyDescent="0.3">
      <c r="B550" s="34"/>
      <c r="C550" s="20"/>
      <c r="D550" s="20"/>
      <c r="E550" s="20"/>
      <c r="F550" s="20"/>
      <c r="G550" s="20"/>
      <c r="H550" s="20"/>
      <c r="I550" s="20"/>
      <c r="J550" s="20"/>
      <c r="K550" s="20"/>
      <c r="L550" s="35"/>
      <c r="O550" s="34"/>
      <c r="P550" s="20"/>
      <c r="Q550" s="20"/>
      <c r="R550" s="20"/>
      <c r="S550" s="20"/>
      <c r="T550" s="20"/>
      <c r="U550" s="20"/>
      <c r="V550" s="20"/>
      <c r="W550" s="20"/>
      <c r="X550" s="20"/>
      <c r="Y550" s="35"/>
      <c r="AC550" s="20"/>
    </row>
    <row r="551" spans="2:29" x14ac:dyDescent="0.3">
      <c r="B551" s="34"/>
      <c r="C551" s="20"/>
      <c r="D551" s="20"/>
      <c r="E551" s="20"/>
      <c r="F551" s="20"/>
      <c r="G551" s="20"/>
      <c r="H551" s="20"/>
      <c r="I551" s="20"/>
      <c r="J551" s="20"/>
      <c r="K551" s="20"/>
      <c r="L551" s="35"/>
      <c r="O551" s="34"/>
      <c r="P551" s="20"/>
      <c r="Q551" s="20"/>
      <c r="R551" s="20"/>
      <c r="S551" s="20"/>
      <c r="T551" s="20"/>
      <c r="U551" s="20"/>
      <c r="V551" s="20"/>
      <c r="W551" s="20"/>
      <c r="X551" s="20"/>
      <c r="Y551" s="35"/>
      <c r="AC551" s="20"/>
    </row>
    <row r="552" spans="2:29" x14ac:dyDescent="0.3">
      <c r="B552" s="34"/>
      <c r="C552" s="20"/>
      <c r="D552" s="20"/>
      <c r="E552" s="20"/>
      <c r="F552" s="20"/>
      <c r="G552" s="20"/>
      <c r="H552" s="20"/>
      <c r="I552" s="20"/>
      <c r="J552" s="20"/>
      <c r="K552" s="20"/>
      <c r="L552" s="35"/>
      <c r="O552" s="34"/>
      <c r="P552" s="20"/>
      <c r="Q552" s="20"/>
      <c r="R552" s="20"/>
      <c r="S552" s="20"/>
      <c r="T552" s="20"/>
      <c r="U552" s="20"/>
      <c r="V552" s="20"/>
      <c r="W552" s="20"/>
      <c r="X552" s="20"/>
      <c r="Y552" s="35"/>
      <c r="AC552" s="20"/>
    </row>
    <row r="553" spans="2:29" x14ac:dyDescent="0.3">
      <c r="B553" s="34"/>
      <c r="C553" s="20"/>
      <c r="D553" s="20"/>
      <c r="E553" s="20"/>
      <c r="F553" s="20"/>
      <c r="G553" s="20"/>
      <c r="H553" s="20"/>
      <c r="I553" s="20"/>
      <c r="J553" s="20"/>
      <c r="K553" s="20"/>
      <c r="L553" s="35"/>
      <c r="O553" s="34"/>
      <c r="P553" s="20"/>
      <c r="Q553" s="20"/>
      <c r="R553" s="20"/>
      <c r="S553" s="20"/>
      <c r="T553" s="20"/>
      <c r="U553" s="20"/>
      <c r="V553" s="20"/>
      <c r="W553" s="20"/>
      <c r="X553" s="20"/>
      <c r="Y553" s="35"/>
      <c r="AC553" s="20"/>
    </row>
    <row r="554" spans="2:29" x14ac:dyDescent="0.3">
      <c r="B554" s="34"/>
      <c r="C554" s="20"/>
      <c r="D554" s="20"/>
      <c r="E554" s="20"/>
      <c r="F554" s="20"/>
      <c r="G554" s="20"/>
      <c r="H554" s="20"/>
      <c r="I554" s="20"/>
      <c r="J554" s="20"/>
      <c r="K554" s="20"/>
      <c r="L554" s="35"/>
      <c r="O554" s="34"/>
      <c r="P554" s="20"/>
      <c r="Q554" s="20"/>
      <c r="R554" s="20"/>
      <c r="S554" s="20"/>
      <c r="T554" s="20"/>
      <c r="U554" s="20"/>
      <c r="V554" s="20"/>
      <c r="W554" s="20"/>
      <c r="X554" s="20"/>
      <c r="Y554" s="35"/>
      <c r="AC554" s="20"/>
    </row>
    <row r="555" spans="2:29" x14ac:dyDescent="0.3">
      <c r="B555" s="34"/>
      <c r="C555" s="20"/>
      <c r="D555" s="20"/>
      <c r="E555" s="20"/>
      <c r="F555" s="20"/>
      <c r="G555" s="20"/>
      <c r="H555" s="20"/>
      <c r="I555" s="20"/>
      <c r="J555" s="20"/>
      <c r="K555" s="20"/>
      <c r="L555" s="35"/>
      <c r="O555" s="34"/>
      <c r="P555" s="20"/>
      <c r="Q555" s="20"/>
      <c r="R555" s="20"/>
      <c r="S555" s="20"/>
      <c r="T555" s="20"/>
      <c r="U555" s="20"/>
      <c r="V555" s="20"/>
      <c r="W555" s="20"/>
      <c r="X555" s="20"/>
      <c r="Y555" s="35"/>
      <c r="AC555" s="20"/>
    </row>
    <row r="556" spans="2:29" x14ac:dyDescent="0.3">
      <c r="B556" s="34"/>
      <c r="C556" s="20"/>
      <c r="D556" s="20"/>
      <c r="E556" s="20"/>
      <c r="F556" s="20"/>
      <c r="G556" s="20"/>
      <c r="H556" s="20"/>
      <c r="I556" s="20"/>
      <c r="J556" s="20"/>
      <c r="K556" s="20"/>
      <c r="L556" s="35"/>
      <c r="O556" s="34"/>
      <c r="P556" s="20"/>
      <c r="Q556" s="20"/>
      <c r="R556" s="20"/>
      <c r="S556" s="20"/>
      <c r="T556" s="20"/>
      <c r="U556" s="20"/>
      <c r="V556" s="20"/>
      <c r="W556" s="20"/>
      <c r="X556" s="20"/>
      <c r="Y556" s="35"/>
      <c r="AC556" s="20"/>
    </row>
    <row r="557" spans="2:29" x14ac:dyDescent="0.3">
      <c r="B557" s="34"/>
      <c r="C557" s="20"/>
      <c r="D557" s="20"/>
      <c r="E557" s="20"/>
      <c r="F557" s="20"/>
      <c r="G557" s="20"/>
      <c r="H557" s="20"/>
      <c r="I557" s="20"/>
      <c r="J557" s="20"/>
      <c r="K557" s="20"/>
      <c r="L557" s="35"/>
      <c r="O557" s="34"/>
      <c r="P557" s="20"/>
      <c r="Q557" s="20"/>
      <c r="R557" s="20"/>
      <c r="S557" s="20"/>
      <c r="T557" s="20"/>
      <c r="U557" s="20"/>
      <c r="V557" s="20"/>
      <c r="W557" s="20"/>
      <c r="X557" s="20"/>
      <c r="Y557" s="35"/>
      <c r="AC557" s="20"/>
    </row>
    <row r="558" spans="2:29" x14ac:dyDescent="0.3">
      <c r="B558" s="34"/>
      <c r="C558" s="20"/>
      <c r="D558" s="20"/>
      <c r="E558" s="20"/>
      <c r="F558" s="20"/>
      <c r="G558" s="20"/>
      <c r="H558" s="20"/>
      <c r="I558" s="20"/>
      <c r="J558" s="20"/>
      <c r="K558" s="20"/>
      <c r="L558" s="35"/>
      <c r="O558" s="34"/>
      <c r="P558" s="20"/>
      <c r="Q558" s="20"/>
      <c r="R558" s="20"/>
      <c r="S558" s="20"/>
      <c r="T558" s="20"/>
      <c r="U558" s="20"/>
      <c r="V558" s="20"/>
      <c r="W558" s="20"/>
      <c r="X558" s="20"/>
      <c r="Y558" s="35"/>
      <c r="AC558" s="20"/>
    </row>
    <row r="559" spans="2:29" x14ac:dyDescent="0.3">
      <c r="B559" s="34"/>
      <c r="C559" s="20"/>
      <c r="D559" s="20"/>
      <c r="E559" s="20"/>
      <c r="F559" s="20"/>
      <c r="G559" s="20"/>
      <c r="H559" s="20"/>
      <c r="I559" s="20"/>
      <c r="J559" s="20"/>
      <c r="K559" s="20"/>
      <c r="L559" s="35"/>
      <c r="O559" s="34"/>
      <c r="P559" s="20"/>
      <c r="Q559" s="20"/>
      <c r="R559" s="20"/>
      <c r="S559" s="20"/>
      <c r="T559" s="20"/>
      <c r="U559" s="20"/>
      <c r="V559" s="20"/>
      <c r="W559" s="20"/>
      <c r="X559" s="20"/>
      <c r="Y559" s="35"/>
      <c r="AC559" s="20"/>
    </row>
    <row r="560" spans="2:29" x14ac:dyDescent="0.3">
      <c r="B560" s="34"/>
      <c r="C560" s="20"/>
      <c r="D560" s="20"/>
      <c r="E560" s="20"/>
      <c r="F560" s="20"/>
      <c r="G560" s="20"/>
      <c r="H560" s="20"/>
      <c r="I560" s="20"/>
      <c r="J560" s="20"/>
      <c r="K560" s="20"/>
      <c r="L560" s="35"/>
      <c r="O560" s="34"/>
      <c r="P560" s="20"/>
      <c r="Q560" s="20"/>
      <c r="R560" s="20"/>
      <c r="S560" s="20"/>
      <c r="T560" s="20"/>
      <c r="U560" s="20"/>
      <c r="V560" s="20"/>
      <c r="W560" s="20"/>
      <c r="X560" s="20"/>
      <c r="Y560" s="35"/>
      <c r="AC560" s="20"/>
    </row>
    <row r="561" spans="2:29" x14ac:dyDescent="0.3">
      <c r="B561" s="34"/>
      <c r="C561" s="20"/>
      <c r="D561" s="20"/>
      <c r="E561" s="20"/>
      <c r="F561" s="20"/>
      <c r="G561" s="20"/>
      <c r="H561" s="20"/>
      <c r="I561" s="20"/>
      <c r="J561" s="20"/>
      <c r="K561" s="20"/>
      <c r="L561" s="35"/>
      <c r="O561" s="34"/>
      <c r="P561" s="20"/>
      <c r="Q561" s="20"/>
      <c r="R561" s="20"/>
      <c r="S561" s="20"/>
      <c r="T561" s="20"/>
      <c r="U561" s="20"/>
      <c r="V561" s="20"/>
      <c r="W561" s="20"/>
      <c r="X561" s="20"/>
      <c r="Y561" s="35"/>
      <c r="AC561" s="20"/>
    </row>
    <row r="562" spans="2:29" x14ac:dyDescent="0.3">
      <c r="B562" s="34"/>
      <c r="C562" s="20"/>
      <c r="D562" s="20"/>
      <c r="E562" s="20"/>
      <c r="F562" s="20"/>
      <c r="G562" s="20"/>
      <c r="H562" s="20"/>
      <c r="I562" s="20"/>
      <c r="J562" s="20"/>
      <c r="K562" s="20"/>
      <c r="L562" s="35"/>
      <c r="O562" s="34"/>
      <c r="P562" s="20"/>
      <c r="Q562" s="20"/>
      <c r="R562" s="20"/>
      <c r="S562" s="20"/>
      <c r="T562" s="20"/>
      <c r="U562" s="20"/>
      <c r="V562" s="20"/>
      <c r="W562" s="20"/>
      <c r="X562" s="20"/>
      <c r="Y562" s="35"/>
      <c r="AC562" s="20"/>
    </row>
    <row r="563" spans="2:29" x14ac:dyDescent="0.3">
      <c r="B563" s="34"/>
      <c r="C563" s="20"/>
      <c r="D563" s="20"/>
      <c r="E563" s="20"/>
      <c r="F563" s="20"/>
      <c r="G563" s="20"/>
      <c r="H563" s="20"/>
      <c r="I563" s="20"/>
      <c r="J563" s="20"/>
      <c r="K563" s="20"/>
      <c r="L563" s="35"/>
      <c r="O563" s="34"/>
      <c r="P563" s="20"/>
      <c r="Q563" s="20"/>
      <c r="R563" s="20"/>
      <c r="S563" s="20"/>
      <c r="T563" s="20"/>
      <c r="U563" s="20"/>
      <c r="V563" s="20"/>
      <c r="W563" s="20"/>
      <c r="X563" s="20"/>
      <c r="Y563" s="35"/>
      <c r="AC563" s="20"/>
    </row>
    <row r="564" spans="2:29" x14ac:dyDescent="0.3">
      <c r="B564" s="34"/>
      <c r="C564" s="20"/>
      <c r="D564" s="20"/>
      <c r="E564" s="20"/>
      <c r="F564" s="20"/>
      <c r="G564" s="20"/>
      <c r="H564" s="20"/>
      <c r="I564" s="20"/>
      <c r="J564" s="20"/>
      <c r="K564" s="20"/>
      <c r="L564" s="35"/>
      <c r="O564" s="34"/>
      <c r="P564" s="20"/>
      <c r="Q564" s="20"/>
      <c r="R564" s="20"/>
      <c r="S564" s="20"/>
      <c r="T564" s="20"/>
      <c r="U564" s="20"/>
      <c r="V564" s="20"/>
      <c r="W564" s="20"/>
      <c r="X564" s="20"/>
      <c r="Y564" s="35"/>
      <c r="AC564" s="20"/>
    </row>
    <row r="565" spans="2:29" x14ac:dyDescent="0.3">
      <c r="B565" s="34"/>
      <c r="C565" s="20"/>
      <c r="D565" s="20"/>
      <c r="E565" s="20"/>
      <c r="F565" s="20"/>
      <c r="G565" s="20"/>
      <c r="H565" s="20"/>
      <c r="I565" s="20"/>
      <c r="J565" s="20"/>
      <c r="K565" s="20"/>
      <c r="L565" s="35"/>
      <c r="O565" s="34"/>
      <c r="P565" s="20"/>
      <c r="Q565" s="20"/>
      <c r="R565" s="20"/>
      <c r="S565" s="20"/>
      <c r="T565" s="20"/>
      <c r="U565" s="20"/>
      <c r="V565" s="20"/>
      <c r="W565" s="20"/>
      <c r="X565" s="20"/>
      <c r="Y565" s="35"/>
      <c r="AC565" s="20"/>
    </row>
    <row r="566" spans="2:29" x14ac:dyDescent="0.3">
      <c r="B566" s="34"/>
      <c r="C566" s="20"/>
      <c r="D566" s="20"/>
      <c r="E566" s="20"/>
      <c r="F566" s="20"/>
      <c r="G566" s="20"/>
      <c r="H566" s="20"/>
      <c r="I566" s="20"/>
      <c r="J566" s="20"/>
      <c r="K566" s="20"/>
      <c r="L566" s="35"/>
      <c r="O566" s="34"/>
      <c r="P566" s="20"/>
      <c r="Q566" s="20"/>
      <c r="R566" s="20"/>
      <c r="S566" s="20"/>
      <c r="T566" s="20"/>
      <c r="U566" s="20"/>
      <c r="V566" s="20"/>
      <c r="W566" s="20"/>
      <c r="X566" s="20"/>
      <c r="Y566" s="35"/>
      <c r="AC566" s="20"/>
    </row>
    <row r="567" spans="2:29" x14ac:dyDescent="0.3">
      <c r="B567" s="34"/>
      <c r="C567" s="20"/>
      <c r="D567" s="20"/>
      <c r="E567" s="20"/>
      <c r="F567" s="20"/>
      <c r="G567" s="20"/>
      <c r="H567" s="20"/>
      <c r="I567" s="20"/>
      <c r="J567" s="20"/>
      <c r="K567" s="20"/>
      <c r="L567" s="35"/>
      <c r="O567" s="34"/>
      <c r="P567" s="20"/>
      <c r="Q567" s="20"/>
      <c r="R567" s="20"/>
      <c r="S567" s="20"/>
      <c r="T567" s="20"/>
      <c r="U567" s="20"/>
      <c r="V567" s="20"/>
      <c r="W567" s="20"/>
      <c r="X567" s="20"/>
      <c r="Y567" s="35"/>
      <c r="AC567" s="20"/>
    </row>
    <row r="568" spans="2:29" x14ac:dyDescent="0.3">
      <c r="B568" s="34"/>
      <c r="C568" s="20"/>
      <c r="D568" s="20"/>
      <c r="E568" s="20"/>
      <c r="F568" s="20"/>
      <c r="G568" s="20"/>
      <c r="H568" s="20"/>
      <c r="I568" s="20"/>
      <c r="J568" s="20"/>
      <c r="K568" s="20"/>
      <c r="L568" s="35"/>
      <c r="O568" s="34"/>
      <c r="P568" s="20"/>
      <c r="Q568" s="20"/>
      <c r="R568" s="20"/>
      <c r="S568" s="20"/>
      <c r="T568" s="20"/>
      <c r="U568" s="20"/>
      <c r="V568" s="20"/>
      <c r="W568" s="20"/>
      <c r="X568" s="20"/>
      <c r="Y568" s="35"/>
      <c r="AC568" s="20"/>
    </row>
    <row r="569" spans="2:29" x14ac:dyDescent="0.3">
      <c r="B569" s="34"/>
      <c r="C569" s="20"/>
      <c r="D569" s="20"/>
      <c r="E569" s="20"/>
      <c r="F569" s="20"/>
      <c r="G569" s="20"/>
      <c r="H569" s="20"/>
      <c r="I569" s="20"/>
      <c r="J569" s="20"/>
      <c r="K569" s="20"/>
      <c r="L569" s="35"/>
      <c r="O569" s="34"/>
      <c r="P569" s="20"/>
      <c r="Q569" s="20"/>
      <c r="R569" s="20"/>
      <c r="S569" s="20"/>
      <c r="T569" s="20"/>
      <c r="U569" s="20"/>
      <c r="V569" s="20"/>
      <c r="W569" s="20"/>
      <c r="X569" s="20"/>
      <c r="Y569" s="35"/>
      <c r="AC569" s="20"/>
    </row>
    <row r="570" spans="2:29" x14ac:dyDescent="0.3">
      <c r="B570" s="34"/>
      <c r="C570" s="20"/>
      <c r="D570" s="20"/>
      <c r="E570" s="20"/>
      <c r="F570" s="20"/>
      <c r="G570" s="20"/>
      <c r="H570" s="20"/>
      <c r="I570" s="20"/>
      <c r="J570" s="20"/>
      <c r="K570" s="20"/>
      <c r="L570" s="35"/>
      <c r="O570" s="34"/>
      <c r="P570" s="20"/>
      <c r="Q570" s="20"/>
      <c r="R570" s="20"/>
      <c r="S570" s="20"/>
      <c r="T570" s="20"/>
      <c r="U570" s="20"/>
      <c r="V570" s="20"/>
      <c r="W570" s="20"/>
      <c r="X570" s="20"/>
      <c r="Y570" s="35"/>
      <c r="AC570" s="20"/>
    </row>
    <row r="571" spans="2:29" x14ac:dyDescent="0.3">
      <c r="B571" s="34"/>
      <c r="C571" s="20"/>
      <c r="D571" s="20"/>
      <c r="E571" s="20"/>
      <c r="F571" s="20"/>
      <c r="G571" s="20"/>
      <c r="H571" s="20"/>
      <c r="I571" s="20"/>
      <c r="J571" s="20"/>
      <c r="K571" s="20"/>
      <c r="L571" s="35"/>
      <c r="O571" s="34"/>
      <c r="P571" s="20"/>
      <c r="Q571" s="20"/>
      <c r="R571" s="20"/>
      <c r="S571" s="20"/>
      <c r="T571" s="20"/>
      <c r="U571" s="20"/>
      <c r="V571" s="20"/>
      <c r="W571" s="20"/>
      <c r="X571" s="20"/>
      <c r="Y571" s="35"/>
      <c r="AC571" s="20"/>
    </row>
    <row r="572" spans="2:29" x14ac:dyDescent="0.3">
      <c r="B572" s="34"/>
      <c r="C572" s="20"/>
      <c r="D572" s="20"/>
      <c r="E572" s="20"/>
      <c r="F572" s="20"/>
      <c r="G572" s="20"/>
      <c r="H572" s="20"/>
      <c r="I572" s="20"/>
      <c r="J572" s="20"/>
      <c r="K572" s="20"/>
      <c r="L572" s="35"/>
      <c r="O572" s="34"/>
      <c r="P572" s="20"/>
      <c r="Q572" s="20"/>
      <c r="R572" s="20"/>
      <c r="S572" s="20"/>
      <c r="T572" s="20"/>
      <c r="U572" s="20"/>
      <c r="V572" s="20"/>
      <c r="W572" s="20"/>
      <c r="X572" s="20"/>
      <c r="Y572" s="35"/>
      <c r="AC572" s="20"/>
    </row>
    <row r="573" spans="2:29" x14ac:dyDescent="0.3">
      <c r="B573" s="34"/>
      <c r="C573" s="20"/>
      <c r="D573" s="20"/>
      <c r="E573" s="20"/>
      <c r="F573" s="20"/>
      <c r="G573" s="20"/>
      <c r="H573" s="20"/>
      <c r="I573" s="20"/>
      <c r="J573" s="20"/>
      <c r="K573" s="20"/>
      <c r="L573" s="35"/>
      <c r="O573" s="34"/>
      <c r="P573" s="20"/>
      <c r="Q573" s="20"/>
      <c r="R573" s="20"/>
      <c r="S573" s="20"/>
      <c r="T573" s="20"/>
      <c r="U573" s="20"/>
      <c r="V573" s="20"/>
      <c r="W573" s="20"/>
      <c r="X573" s="20"/>
      <c r="Y573" s="35"/>
      <c r="AC573" s="20"/>
    </row>
    <row r="574" spans="2:29" x14ac:dyDescent="0.3">
      <c r="B574" s="34"/>
      <c r="C574" s="20"/>
      <c r="D574" s="20"/>
      <c r="E574" s="20"/>
      <c r="F574" s="20"/>
      <c r="G574" s="20"/>
      <c r="H574" s="20"/>
      <c r="I574" s="20"/>
      <c r="J574" s="20"/>
      <c r="K574" s="20"/>
      <c r="L574" s="35"/>
      <c r="O574" s="34"/>
      <c r="P574" s="20"/>
      <c r="Q574" s="20"/>
      <c r="R574" s="20"/>
      <c r="S574" s="20"/>
      <c r="T574" s="20"/>
      <c r="U574" s="20"/>
      <c r="V574" s="20"/>
      <c r="W574" s="20"/>
      <c r="X574" s="20"/>
      <c r="Y574" s="35"/>
      <c r="AC574" s="20"/>
    </row>
    <row r="575" spans="2:29" x14ac:dyDescent="0.3">
      <c r="B575" s="34"/>
      <c r="C575" s="20"/>
      <c r="D575" s="20"/>
      <c r="E575" s="20"/>
      <c r="F575" s="20"/>
      <c r="G575" s="20"/>
      <c r="H575" s="20"/>
      <c r="I575" s="20"/>
      <c r="J575" s="20"/>
      <c r="K575" s="20"/>
      <c r="L575" s="35"/>
      <c r="O575" s="34"/>
      <c r="P575" s="20"/>
      <c r="Q575" s="20"/>
      <c r="R575" s="20"/>
      <c r="S575" s="20"/>
      <c r="T575" s="20"/>
      <c r="U575" s="20"/>
      <c r="V575" s="20"/>
      <c r="W575" s="20"/>
      <c r="X575" s="20"/>
      <c r="Y575" s="35"/>
      <c r="AC575" s="20"/>
    </row>
    <row r="576" spans="2:29" x14ac:dyDescent="0.3">
      <c r="B576" s="34"/>
      <c r="C576" s="20"/>
      <c r="D576" s="20"/>
      <c r="E576" s="20"/>
      <c r="F576" s="20"/>
      <c r="G576" s="20"/>
      <c r="H576" s="20"/>
      <c r="I576" s="20"/>
      <c r="J576" s="20"/>
      <c r="K576" s="20"/>
      <c r="L576" s="35"/>
      <c r="O576" s="34"/>
      <c r="P576" s="20"/>
      <c r="Q576" s="20"/>
      <c r="R576" s="20"/>
      <c r="S576" s="20"/>
      <c r="T576" s="20"/>
      <c r="U576" s="20"/>
      <c r="V576" s="20"/>
      <c r="W576" s="20"/>
      <c r="X576" s="20"/>
      <c r="Y576" s="35"/>
      <c r="AC576" s="20"/>
    </row>
    <row r="577" spans="2:29" x14ac:dyDescent="0.3">
      <c r="B577" s="34"/>
      <c r="C577" s="20"/>
      <c r="D577" s="20"/>
      <c r="E577" s="20"/>
      <c r="F577" s="20"/>
      <c r="G577" s="20"/>
      <c r="H577" s="20"/>
      <c r="I577" s="20"/>
      <c r="J577" s="20"/>
      <c r="K577" s="20"/>
      <c r="L577" s="35"/>
      <c r="O577" s="34"/>
      <c r="P577" s="20"/>
      <c r="Q577" s="20"/>
      <c r="R577" s="20"/>
      <c r="S577" s="20"/>
      <c r="T577" s="20"/>
      <c r="U577" s="20"/>
      <c r="V577" s="20"/>
      <c r="W577" s="20"/>
      <c r="X577" s="20"/>
      <c r="Y577" s="35"/>
      <c r="AC577" s="20"/>
    </row>
    <row r="578" spans="2:29" x14ac:dyDescent="0.3">
      <c r="B578" s="34"/>
      <c r="C578" s="20"/>
      <c r="D578" s="20"/>
      <c r="E578" s="20"/>
      <c r="F578" s="20"/>
      <c r="G578" s="20"/>
      <c r="H578" s="20"/>
      <c r="I578" s="20"/>
      <c r="J578" s="20"/>
      <c r="K578" s="20"/>
      <c r="L578" s="35"/>
      <c r="O578" s="34"/>
      <c r="P578" s="20"/>
      <c r="Q578" s="20"/>
      <c r="R578" s="20"/>
      <c r="S578" s="20"/>
      <c r="T578" s="20"/>
      <c r="U578" s="20"/>
      <c r="V578" s="20"/>
      <c r="W578" s="20"/>
      <c r="X578" s="20"/>
      <c r="Y578" s="35"/>
      <c r="AC578" s="20"/>
    </row>
    <row r="579" spans="2:29" x14ac:dyDescent="0.3">
      <c r="B579" s="34"/>
      <c r="C579" s="20"/>
      <c r="D579" s="20"/>
      <c r="E579" s="20"/>
      <c r="F579" s="20"/>
      <c r="G579" s="20"/>
      <c r="H579" s="20"/>
      <c r="I579" s="20"/>
      <c r="J579" s="20"/>
      <c r="K579" s="20"/>
      <c r="L579" s="35"/>
      <c r="O579" s="34"/>
      <c r="P579" s="20"/>
      <c r="Q579" s="20"/>
      <c r="R579" s="20"/>
      <c r="S579" s="20"/>
      <c r="T579" s="20"/>
      <c r="U579" s="20"/>
      <c r="V579" s="20"/>
      <c r="W579" s="20"/>
      <c r="X579" s="20"/>
      <c r="Y579" s="35"/>
      <c r="AC579" s="20"/>
    </row>
    <row r="580" spans="2:29" x14ac:dyDescent="0.3">
      <c r="B580" s="34"/>
      <c r="C580" s="20"/>
      <c r="D580" s="20"/>
      <c r="E580" s="20"/>
      <c r="F580" s="20"/>
      <c r="G580" s="20"/>
      <c r="H580" s="20"/>
      <c r="I580" s="20"/>
      <c r="J580" s="20"/>
      <c r="K580" s="20"/>
      <c r="L580" s="35"/>
      <c r="O580" s="34"/>
      <c r="P580" s="20"/>
      <c r="Q580" s="20"/>
      <c r="R580" s="20"/>
      <c r="S580" s="20"/>
      <c r="T580" s="20"/>
      <c r="U580" s="20"/>
      <c r="V580" s="20"/>
      <c r="W580" s="20"/>
      <c r="X580" s="20"/>
      <c r="Y580" s="35"/>
      <c r="AC580" s="20"/>
    </row>
    <row r="581" spans="2:29" x14ac:dyDescent="0.3">
      <c r="B581" s="34"/>
      <c r="C581" s="20"/>
      <c r="D581" s="20"/>
      <c r="E581" s="20"/>
      <c r="F581" s="20"/>
      <c r="G581" s="20"/>
      <c r="H581" s="20"/>
      <c r="I581" s="20"/>
      <c r="J581" s="20"/>
      <c r="K581" s="20"/>
      <c r="L581" s="35"/>
      <c r="O581" s="34"/>
      <c r="P581" s="20"/>
      <c r="Q581" s="20"/>
      <c r="R581" s="20"/>
      <c r="S581" s="20"/>
      <c r="T581" s="20"/>
      <c r="U581" s="20"/>
      <c r="V581" s="20"/>
      <c r="W581" s="20"/>
      <c r="X581" s="20"/>
      <c r="Y581" s="35"/>
      <c r="AC581" s="20"/>
    </row>
    <row r="582" spans="2:29" x14ac:dyDescent="0.3">
      <c r="B582" s="34"/>
      <c r="C582" s="20"/>
      <c r="D582" s="20"/>
      <c r="E582" s="20"/>
      <c r="F582" s="20"/>
      <c r="G582" s="20"/>
      <c r="H582" s="20"/>
      <c r="I582" s="20"/>
      <c r="J582" s="20"/>
      <c r="K582" s="20"/>
      <c r="L582" s="35"/>
      <c r="O582" s="34"/>
      <c r="P582" s="20"/>
      <c r="Q582" s="20"/>
      <c r="R582" s="20"/>
      <c r="S582" s="20"/>
      <c r="T582" s="20"/>
      <c r="U582" s="20"/>
      <c r="V582" s="20"/>
      <c r="W582" s="20"/>
      <c r="X582" s="20"/>
      <c r="Y582" s="35"/>
      <c r="AC582" s="20"/>
    </row>
    <row r="583" spans="2:29" x14ac:dyDescent="0.3">
      <c r="B583" s="34"/>
      <c r="C583" s="20"/>
      <c r="D583" s="20"/>
      <c r="E583" s="20"/>
      <c r="F583" s="20"/>
      <c r="G583" s="20"/>
      <c r="H583" s="20"/>
      <c r="I583" s="20"/>
      <c r="J583" s="20"/>
      <c r="K583" s="20"/>
      <c r="L583" s="35"/>
      <c r="O583" s="34"/>
      <c r="P583" s="20"/>
      <c r="Q583" s="20"/>
      <c r="R583" s="20"/>
      <c r="S583" s="20"/>
      <c r="T583" s="20"/>
      <c r="U583" s="20"/>
      <c r="V583" s="20"/>
      <c r="W583" s="20"/>
      <c r="X583" s="20"/>
      <c r="Y583" s="35"/>
      <c r="AC583" s="20"/>
    </row>
    <row r="584" spans="2:29" x14ac:dyDescent="0.3">
      <c r="B584" s="34"/>
      <c r="C584" s="20"/>
      <c r="D584" s="20"/>
      <c r="E584" s="20"/>
      <c r="F584" s="20"/>
      <c r="G584" s="20"/>
      <c r="H584" s="20"/>
      <c r="I584" s="20"/>
      <c r="J584" s="20"/>
      <c r="K584" s="20"/>
      <c r="L584" s="35"/>
      <c r="O584" s="34"/>
      <c r="P584" s="20"/>
      <c r="Q584" s="20"/>
      <c r="R584" s="20"/>
      <c r="S584" s="20"/>
      <c r="T584" s="20"/>
      <c r="U584" s="20"/>
      <c r="V584" s="20"/>
      <c r="W584" s="20"/>
      <c r="X584" s="20"/>
      <c r="Y584" s="35"/>
      <c r="AC584" s="20"/>
    </row>
    <row r="585" spans="2:29" x14ac:dyDescent="0.3">
      <c r="B585" s="34"/>
      <c r="C585" s="20"/>
      <c r="D585" s="20"/>
      <c r="E585" s="20"/>
      <c r="F585" s="20"/>
      <c r="G585" s="20"/>
      <c r="H585" s="20"/>
      <c r="I585" s="20"/>
      <c r="J585" s="20"/>
      <c r="K585" s="20"/>
      <c r="L585" s="35"/>
      <c r="O585" s="34"/>
      <c r="P585" s="20"/>
      <c r="Q585" s="20"/>
      <c r="R585" s="20"/>
      <c r="S585" s="20"/>
      <c r="T585" s="20"/>
      <c r="U585" s="20"/>
      <c r="V585" s="20"/>
      <c r="W585" s="20"/>
      <c r="X585" s="20"/>
      <c r="Y585" s="35"/>
      <c r="AC585" s="20"/>
    </row>
    <row r="586" spans="2:29" x14ac:dyDescent="0.3">
      <c r="B586" s="34"/>
      <c r="C586" s="20"/>
      <c r="D586" s="20"/>
      <c r="E586" s="20"/>
      <c r="F586" s="20"/>
      <c r="G586" s="20"/>
      <c r="H586" s="20"/>
      <c r="I586" s="20"/>
      <c r="J586" s="20"/>
      <c r="K586" s="20"/>
      <c r="L586" s="35"/>
      <c r="O586" s="34"/>
      <c r="P586" s="20"/>
      <c r="Q586" s="20"/>
      <c r="R586" s="20"/>
      <c r="S586" s="20"/>
      <c r="T586" s="20"/>
      <c r="U586" s="20"/>
      <c r="V586" s="20"/>
      <c r="W586" s="20"/>
      <c r="X586" s="20"/>
      <c r="Y586" s="35"/>
      <c r="AC586" s="20"/>
    </row>
    <row r="587" spans="2:29" x14ac:dyDescent="0.3">
      <c r="B587" s="34"/>
      <c r="C587" s="20"/>
      <c r="D587" s="20"/>
      <c r="E587" s="20"/>
      <c r="F587" s="20"/>
      <c r="G587" s="20"/>
      <c r="H587" s="20"/>
      <c r="I587" s="20"/>
      <c r="J587" s="20"/>
      <c r="K587" s="20"/>
      <c r="L587" s="35"/>
      <c r="O587" s="34"/>
      <c r="P587" s="20"/>
      <c r="Q587" s="20"/>
      <c r="R587" s="20"/>
      <c r="S587" s="20"/>
      <c r="T587" s="20"/>
      <c r="U587" s="20"/>
      <c r="V587" s="20"/>
      <c r="W587" s="20"/>
      <c r="X587" s="20"/>
      <c r="Y587" s="35"/>
      <c r="AC587" s="20"/>
    </row>
    <row r="588" spans="2:29" x14ac:dyDescent="0.3">
      <c r="B588" s="34"/>
      <c r="C588" s="20"/>
      <c r="D588" s="20"/>
      <c r="E588" s="20"/>
      <c r="F588" s="20"/>
      <c r="G588" s="20"/>
      <c r="H588" s="20"/>
      <c r="I588" s="20"/>
      <c r="J588" s="20"/>
      <c r="K588" s="20"/>
      <c r="L588" s="35"/>
      <c r="O588" s="34"/>
      <c r="P588" s="20"/>
      <c r="Q588" s="20"/>
      <c r="R588" s="20"/>
      <c r="S588" s="20"/>
      <c r="T588" s="20"/>
      <c r="U588" s="20"/>
      <c r="V588" s="20"/>
      <c r="W588" s="20"/>
      <c r="X588" s="20"/>
      <c r="Y588" s="35"/>
      <c r="AC588" s="20"/>
    </row>
    <row r="589" spans="2:29" x14ac:dyDescent="0.3">
      <c r="B589" s="34"/>
      <c r="C589" s="20"/>
      <c r="D589" s="20"/>
      <c r="E589" s="20"/>
      <c r="F589" s="20"/>
      <c r="G589" s="20"/>
      <c r="H589" s="20"/>
      <c r="I589" s="20"/>
      <c r="J589" s="20"/>
      <c r="K589" s="20"/>
      <c r="L589" s="35"/>
      <c r="O589" s="34"/>
      <c r="P589" s="20"/>
      <c r="Q589" s="20"/>
      <c r="R589" s="20"/>
      <c r="S589" s="20"/>
      <c r="T589" s="20"/>
      <c r="U589" s="20"/>
      <c r="V589" s="20"/>
      <c r="W589" s="20"/>
      <c r="X589" s="20"/>
      <c r="Y589" s="35"/>
      <c r="AC589" s="20"/>
    </row>
    <row r="590" spans="2:29" x14ac:dyDescent="0.3">
      <c r="B590" s="34"/>
      <c r="C590" s="20"/>
      <c r="D590" s="20"/>
      <c r="E590" s="20"/>
      <c r="F590" s="20"/>
      <c r="G590" s="20"/>
      <c r="H590" s="20"/>
      <c r="I590" s="20"/>
      <c r="J590" s="20"/>
      <c r="K590" s="20"/>
      <c r="L590" s="35"/>
      <c r="O590" s="34"/>
      <c r="P590" s="20"/>
      <c r="Q590" s="20"/>
      <c r="R590" s="20"/>
      <c r="S590" s="20"/>
      <c r="T590" s="20"/>
      <c r="U590" s="20"/>
      <c r="V590" s="20"/>
      <c r="W590" s="20"/>
      <c r="X590" s="20"/>
      <c r="Y590" s="35"/>
      <c r="AC590" s="20"/>
    </row>
    <row r="591" spans="2:29" x14ac:dyDescent="0.3">
      <c r="B591" s="34"/>
      <c r="C591" s="20"/>
      <c r="D591" s="20"/>
      <c r="E591" s="20"/>
      <c r="F591" s="20"/>
      <c r="G591" s="20"/>
      <c r="H591" s="20"/>
      <c r="I591" s="20"/>
      <c r="J591" s="20"/>
      <c r="K591" s="20"/>
      <c r="L591" s="35"/>
      <c r="O591" s="34"/>
      <c r="P591" s="20"/>
      <c r="Q591" s="20"/>
      <c r="R591" s="20"/>
      <c r="S591" s="20"/>
      <c r="T591" s="20"/>
      <c r="U591" s="20"/>
      <c r="V591" s="20"/>
      <c r="W591" s="20"/>
      <c r="X591" s="20"/>
      <c r="Y591" s="35"/>
      <c r="AC591" s="20"/>
    </row>
    <row r="592" spans="2:29" x14ac:dyDescent="0.3">
      <c r="B592" s="34"/>
      <c r="C592" s="20"/>
      <c r="D592" s="20"/>
      <c r="E592" s="20"/>
      <c r="F592" s="20"/>
      <c r="G592" s="20"/>
      <c r="H592" s="20"/>
      <c r="I592" s="20"/>
      <c r="J592" s="20"/>
      <c r="K592" s="20"/>
      <c r="L592" s="35"/>
      <c r="O592" s="34"/>
      <c r="P592" s="20"/>
      <c r="Q592" s="20"/>
      <c r="R592" s="20"/>
      <c r="S592" s="20"/>
      <c r="T592" s="20"/>
      <c r="U592" s="20"/>
      <c r="V592" s="20"/>
      <c r="W592" s="20"/>
      <c r="X592" s="20"/>
      <c r="Y592" s="35"/>
      <c r="AC592" s="20"/>
    </row>
    <row r="593" spans="2:29" x14ac:dyDescent="0.3">
      <c r="B593" s="34"/>
      <c r="C593" s="20"/>
      <c r="D593" s="20"/>
      <c r="E593" s="20"/>
      <c r="F593" s="20"/>
      <c r="G593" s="20"/>
      <c r="H593" s="20"/>
      <c r="I593" s="20"/>
      <c r="J593" s="20"/>
      <c r="K593" s="20"/>
      <c r="L593" s="35"/>
      <c r="O593" s="34"/>
      <c r="P593" s="20"/>
      <c r="Q593" s="20"/>
      <c r="R593" s="20"/>
      <c r="S593" s="20"/>
      <c r="T593" s="20"/>
      <c r="U593" s="20"/>
      <c r="V593" s="20"/>
      <c r="W593" s="20"/>
      <c r="X593" s="20"/>
      <c r="Y593" s="35"/>
      <c r="AC593" s="20"/>
    </row>
    <row r="594" spans="2:29" x14ac:dyDescent="0.3">
      <c r="B594" s="34"/>
      <c r="C594" s="20"/>
      <c r="D594" s="20"/>
      <c r="E594" s="20"/>
      <c r="F594" s="20"/>
      <c r="G594" s="20"/>
      <c r="H594" s="20"/>
      <c r="I594" s="20"/>
      <c r="J594" s="20"/>
      <c r="K594" s="20"/>
      <c r="L594" s="35"/>
      <c r="O594" s="34"/>
      <c r="P594" s="20"/>
      <c r="Q594" s="20"/>
      <c r="R594" s="20"/>
      <c r="S594" s="20"/>
      <c r="T594" s="20"/>
      <c r="U594" s="20"/>
      <c r="V594" s="20"/>
      <c r="W594" s="20"/>
      <c r="X594" s="20"/>
      <c r="Y594" s="35"/>
      <c r="AC594" s="20"/>
    </row>
    <row r="595" spans="2:29" x14ac:dyDescent="0.3">
      <c r="B595" s="34"/>
      <c r="C595" s="20"/>
      <c r="D595" s="20"/>
      <c r="E595" s="20"/>
      <c r="F595" s="20"/>
      <c r="G595" s="20"/>
      <c r="H595" s="20"/>
      <c r="I595" s="20"/>
      <c r="J595" s="20"/>
      <c r="K595" s="20"/>
      <c r="L595" s="35"/>
      <c r="O595" s="34"/>
      <c r="P595" s="20"/>
      <c r="Q595" s="20"/>
      <c r="R595" s="20"/>
      <c r="S595" s="20"/>
      <c r="T595" s="20"/>
      <c r="U595" s="20"/>
      <c r="V595" s="20"/>
      <c r="W595" s="20"/>
      <c r="X595" s="20"/>
      <c r="Y595" s="35"/>
      <c r="AC595" s="20"/>
    </row>
    <row r="596" spans="2:29" x14ac:dyDescent="0.3">
      <c r="B596" s="34"/>
      <c r="C596" s="20"/>
      <c r="D596" s="20"/>
      <c r="E596" s="20"/>
      <c r="F596" s="20"/>
      <c r="G596" s="20"/>
      <c r="H596" s="20"/>
      <c r="I596" s="20"/>
      <c r="J596" s="20"/>
      <c r="K596" s="20"/>
      <c r="L596" s="35"/>
      <c r="O596" s="34"/>
      <c r="P596" s="20"/>
      <c r="Q596" s="20"/>
      <c r="R596" s="20"/>
      <c r="S596" s="20"/>
      <c r="T596" s="20"/>
      <c r="U596" s="20"/>
      <c r="V596" s="20"/>
      <c r="W596" s="20"/>
      <c r="X596" s="20"/>
      <c r="Y596" s="35"/>
      <c r="AC596" s="20"/>
    </row>
    <row r="597" spans="2:29" x14ac:dyDescent="0.3">
      <c r="B597" s="34"/>
      <c r="C597" s="20"/>
      <c r="D597" s="20"/>
      <c r="E597" s="20"/>
      <c r="F597" s="20"/>
      <c r="G597" s="20"/>
      <c r="H597" s="20"/>
      <c r="I597" s="20"/>
      <c r="J597" s="20"/>
      <c r="K597" s="20"/>
      <c r="L597" s="35"/>
      <c r="O597" s="34"/>
      <c r="P597" s="20"/>
      <c r="Q597" s="20"/>
      <c r="R597" s="20"/>
      <c r="S597" s="20"/>
      <c r="T597" s="20"/>
      <c r="U597" s="20"/>
      <c r="V597" s="20"/>
      <c r="W597" s="20"/>
      <c r="X597" s="20"/>
      <c r="Y597" s="35"/>
      <c r="AC597" s="20"/>
    </row>
    <row r="598" spans="2:29" x14ac:dyDescent="0.3">
      <c r="B598" s="34"/>
      <c r="C598" s="20"/>
      <c r="D598" s="20"/>
      <c r="E598" s="20"/>
      <c r="F598" s="20"/>
      <c r="G598" s="20"/>
      <c r="H598" s="20"/>
      <c r="I598" s="20"/>
      <c r="J598" s="20"/>
      <c r="K598" s="20"/>
      <c r="L598" s="35"/>
      <c r="O598" s="34"/>
      <c r="P598" s="20"/>
      <c r="Q598" s="20"/>
      <c r="R598" s="20"/>
      <c r="S598" s="20"/>
      <c r="T598" s="20"/>
      <c r="U598" s="20"/>
      <c r="V598" s="20"/>
      <c r="W598" s="20"/>
      <c r="X598" s="20"/>
      <c r="Y598" s="35"/>
      <c r="AC598" s="20"/>
    </row>
    <row r="599" spans="2:29" x14ac:dyDescent="0.3">
      <c r="B599" s="34"/>
      <c r="C599" s="20"/>
      <c r="D599" s="20"/>
      <c r="E599" s="20"/>
      <c r="F599" s="20"/>
      <c r="G599" s="20"/>
      <c r="H599" s="20"/>
      <c r="I599" s="20"/>
      <c r="J599" s="20"/>
      <c r="K599" s="20"/>
      <c r="L599" s="35"/>
      <c r="O599" s="34"/>
      <c r="P599" s="20"/>
      <c r="Q599" s="20"/>
      <c r="R599" s="20"/>
      <c r="S599" s="20"/>
      <c r="T599" s="20"/>
      <c r="U599" s="20"/>
      <c r="V599" s="20"/>
      <c r="W599" s="20"/>
      <c r="X599" s="20"/>
      <c r="Y599" s="35"/>
      <c r="AC599" s="20"/>
    </row>
    <row r="600" spans="2:29" x14ac:dyDescent="0.3">
      <c r="B600" s="34"/>
      <c r="C600" s="20"/>
      <c r="D600" s="20"/>
      <c r="E600" s="20"/>
      <c r="F600" s="20"/>
      <c r="G600" s="20"/>
      <c r="H600" s="20"/>
      <c r="I600" s="20"/>
      <c r="J600" s="20"/>
      <c r="K600" s="20"/>
      <c r="L600" s="35"/>
      <c r="O600" s="34"/>
      <c r="P600" s="20"/>
      <c r="Q600" s="20"/>
      <c r="R600" s="20"/>
      <c r="S600" s="20"/>
      <c r="T600" s="20"/>
      <c r="U600" s="20"/>
      <c r="V600" s="20"/>
      <c r="W600" s="20"/>
      <c r="X600" s="20"/>
      <c r="Y600" s="35"/>
      <c r="AC600" s="20"/>
    </row>
    <row r="601" spans="2:29" x14ac:dyDescent="0.3">
      <c r="B601" s="34"/>
      <c r="C601" s="20"/>
      <c r="D601" s="20"/>
      <c r="E601" s="20"/>
      <c r="F601" s="20"/>
      <c r="G601" s="20"/>
      <c r="H601" s="20"/>
      <c r="I601" s="20"/>
      <c r="J601" s="20"/>
      <c r="K601" s="20"/>
      <c r="L601" s="35"/>
      <c r="O601" s="34"/>
      <c r="P601" s="20"/>
      <c r="Q601" s="20"/>
      <c r="R601" s="20"/>
      <c r="S601" s="20"/>
      <c r="T601" s="20"/>
      <c r="U601" s="20"/>
      <c r="V601" s="20"/>
      <c r="W601" s="20"/>
      <c r="X601" s="20"/>
      <c r="Y601" s="35"/>
      <c r="AC601" s="20"/>
    </row>
    <row r="602" spans="2:29" x14ac:dyDescent="0.3">
      <c r="B602" s="34"/>
      <c r="C602" s="20"/>
      <c r="D602" s="20"/>
      <c r="E602" s="20"/>
      <c r="F602" s="20"/>
      <c r="G602" s="20"/>
      <c r="H602" s="20"/>
      <c r="I602" s="20"/>
      <c r="J602" s="20"/>
      <c r="K602" s="20"/>
      <c r="L602" s="35"/>
      <c r="O602" s="34"/>
      <c r="P602" s="20"/>
      <c r="Q602" s="20"/>
      <c r="R602" s="20"/>
      <c r="S602" s="20"/>
      <c r="T602" s="20"/>
      <c r="U602" s="20"/>
      <c r="V602" s="20"/>
      <c r="W602" s="20"/>
      <c r="X602" s="20"/>
      <c r="Y602" s="35"/>
      <c r="AC602" s="20"/>
    </row>
    <row r="603" spans="2:29" x14ac:dyDescent="0.3">
      <c r="B603" s="34"/>
      <c r="C603" s="20"/>
      <c r="D603" s="20"/>
      <c r="E603" s="20"/>
      <c r="F603" s="20"/>
      <c r="G603" s="20"/>
      <c r="H603" s="20"/>
      <c r="I603" s="20"/>
      <c r="J603" s="20"/>
      <c r="K603" s="20"/>
      <c r="L603" s="35"/>
      <c r="O603" s="34"/>
      <c r="P603" s="20"/>
      <c r="Q603" s="20"/>
      <c r="R603" s="20"/>
      <c r="S603" s="20"/>
      <c r="T603" s="20"/>
      <c r="U603" s="20"/>
      <c r="V603" s="20"/>
      <c r="W603" s="20"/>
      <c r="X603" s="20"/>
      <c r="Y603" s="35"/>
      <c r="AC603" s="20"/>
    </row>
    <row r="604" spans="2:29" x14ac:dyDescent="0.3">
      <c r="B604" s="36"/>
      <c r="C604" s="37"/>
      <c r="D604" s="37"/>
      <c r="E604" s="37"/>
      <c r="F604" s="37"/>
      <c r="G604" s="37"/>
      <c r="H604" s="37"/>
      <c r="I604" s="37"/>
      <c r="J604" s="37"/>
      <c r="K604" s="37"/>
      <c r="L604" s="38"/>
      <c r="O604" s="36"/>
      <c r="P604" s="37"/>
      <c r="Q604" s="37"/>
      <c r="R604" s="37"/>
      <c r="S604" s="37"/>
      <c r="T604" s="37"/>
      <c r="U604" s="37"/>
      <c r="V604" s="37"/>
      <c r="W604" s="37"/>
      <c r="X604" s="37"/>
      <c r="Y604" s="38"/>
      <c r="AC604" s="37"/>
    </row>
  </sheetData>
  <mergeCells count="20">
    <mergeCell ref="AB24:AL24"/>
    <mergeCell ref="AQ24:AU24"/>
    <mergeCell ref="B24:L24"/>
    <mergeCell ref="O24:Z24"/>
    <mergeCell ref="G5:G6"/>
    <mergeCell ref="B10:E10"/>
    <mergeCell ref="B7:E7"/>
    <mergeCell ref="B8:E8"/>
    <mergeCell ref="B9:E9"/>
    <mergeCell ref="B19:E19"/>
    <mergeCell ref="B11:E11"/>
    <mergeCell ref="B14:E14"/>
    <mergeCell ref="B16:E16"/>
    <mergeCell ref="B15:E15"/>
    <mergeCell ref="F15:F16"/>
    <mergeCell ref="B4:E4"/>
    <mergeCell ref="B2:E2"/>
    <mergeCell ref="B3:E3"/>
    <mergeCell ref="B6:E6"/>
    <mergeCell ref="B5:E5"/>
  </mergeCells>
  <conditionalFormatting sqref="F9:F10 F19 F21">
    <cfRule type="expression" dxfId="12" priority="15">
      <formula>"jeżeli($D$7=""NIE')"</formula>
    </cfRule>
  </conditionalFormatting>
  <conditionalFormatting sqref="F9:F10">
    <cfRule type="expression" dxfId="11" priority="14">
      <formula>($F$8="NIE")</formula>
    </cfRule>
  </conditionalFormatting>
  <conditionalFormatting sqref="F8">
    <cfRule type="expression" dxfId="10" priority="10">
      <formula>"jeżeli($D$7=""NIE')"</formula>
    </cfRule>
  </conditionalFormatting>
  <conditionalFormatting sqref="F8">
    <cfRule type="expression" dxfId="9" priority="9">
      <formula>($F$8="NIE")</formula>
    </cfRule>
  </conditionalFormatting>
  <conditionalFormatting sqref="B27:C27 L27">
    <cfRule type="expression" dxfId="8" priority="27">
      <formula>$B27&lt;&gt;""</formula>
    </cfRule>
    <cfRule type="expression" dxfId="7" priority="28">
      <formula>"jeżeli($A$44&lt;&gt;"""")"</formula>
    </cfRule>
  </conditionalFormatting>
  <conditionalFormatting sqref="O27:Q27 Z27">
    <cfRule type="expression" dxfId="6" priority="5">
      <formula>$B27&lt;&gt;""</formula>
    </cfRule>
    <cfRule type="expression" dxfId="5" priority="6">
      <formula>"jeżeli($A$44&lt;&gt;"""")"</formula>
    </cfRule>
  </conditionalFormatting>
  <conditionalFormatting sqref="AC27">
    <cfRule type="expression" dxfId="4" priority="3">
      <formula>$B27&lt;&gt;""</formula>
    </cfRule>
    <cfRule type="expression" dxfId="3" priority="4">
      <formula>"jeżeli($A$44&lt;&gt;"""")"</formula>
    </cfRule>
  </conditionalFormatting>
  <conditionalFormatting sqref="F19 F21">
    <cfRule type="expression" dxfId="2" priority="30">
      <formula>($M$3="NIE")</formula>
    </cfRule>
  </conditionalFormatting>
  <conditionalFormatting sqref="AO27">
    <cfRule type="expression" dxfId="1" priority="1">
      <formula>$B27&lt;&gt;""</formula>
    </cfRule>
    <cfRule type="expression" dxfId="0" priority="2">
      <formula>"jeżeli($A$44&lt;&gt;"""")"</formula>
    </cfRule>
  </conditionalFormatting>
  <dataValidations count="7">
    <dataValidation type="decimal" allowBlank="1" showInputMessage="1" showErrorMessage="1" sqref="F20" xr:uid="{C8534F47-B353-48AF-91AB-C3A0A07CEC18}">
      <formula1>0%</formula1>
      <formula2>30%</formula2>
    </dataValidation>
    <dataValidation type="whole" allowBlank="1" showInputMessage="1" showErrorMessage="1" sqref="F9" xr:uid="{B706DDE0-7C54-410F-8855-F829E5290490}">
      <formula1>0</formula1>
      <formula2>84</formula2>
    </dataValidation>
    <dataValidation type="decimal" showInputMessage="1" showErrorMessage="1" error="Wartość nie może być ujemna" sqref="F6" xr:uid="{E933D19D-5B95-4E84-ADD9-7EB0A52929B5}">
      <formula1>0</formula1>
      <formula2>1</formula2>
    </dataValidation>
    <dataValidation type="decimal" showInputMessage="1" showErrorMessage="1" error="Wartość nie może być ujemna" sqref="F19" xr:uid="{A5024943-27BF-4D3D-B6B7-53DBDA57039A}">
      <formula1>0</formula1>
      <formula2>100</formula2>
    </dataValidation>
    <dataValidation type="whole" allowBlank="1" showInputMessage="1" showErrorMessage="1" error="Wprowadź liczbę miesięcy, w których jeszcze będziesz płacić kredyt. Możliwy okres wynosi od 2 do 360 miesięcy." sqref="F4" xr:uid="{AA848F45-0678-4A8E-92A4-4D848E7DFB85}">
      <formula1>12</formula1>
      <formula2>360</formula2>
    </dataValidation>
    <dataValidation type="whole" allowBlank="1" showInputMessage="1" showErrorMessage="1" sqref="F2" xr:uid="{3960866A-32F1-46E0-9E7B-6E87426B7D0E}">
      <formula1>0</formula1>
      <formula2>2000000</formula2>
    </dataValidation>
    <dataValidation type="decimal" showInputMessage="1" showErrorMessage="1" error="Wartość nie może być ujemna" sqref="F5" xr:uid="{3C03DCB7-CEC9-4E4E-99C1-CA8CB195E309}">
      <formula1>-1</formula1>
      <formula2>1</formula2>
    </dataValidation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E54224-EA90-463D-AC12-0ED05771B615}">
          <x14:formula1>
            <xm:f>listy!$H$4:$H$5</xm:f>
          </x14:formula1>
          <xm:sqref>F8</xm:sqref>
        </x14:dataValidation>
        <x14:dataValidation type="list" allowBlank="1" showInputMessage="1" showErrorMessage="1" xr:uid="{93976F00-419B-4099-A06D-54EC39680630}">
          <x14:formula1>
            <xm:f>listy!$B$4:$B$5</xm:f>
          </x14:formula1>
          <xm:sqref>F11:F12</xm:sqref>
        </x14:dataValidation>
        <x14:dataValidation type="list" allowBlank="1" showInputMessage="1" showErrorMessage="1" xr:uid="{9F0CBDDF-9E2C-4277-AEC9-F37B178EB1AE}">
          <x14:formula1>
            <xm:f>listy!$G$14:$G$15</xm:f>
          </x14:formula1>
          <xm:sqref>F21</xm:sqref>
        </x14:dataValidation>
        <x14:dataValidation type="list" allowBlank="1" showInputMessage="1" showErrorMessage="1" xr:uid="{011723AC-A7D3-498F-88F1-47813C59AF3C}">
          <x14:formula1>
            <xm:f>listy!$K$7:$K$8</xm:f>
          </x14:formula1>
          <xm:sqref>B16:B17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2541-4FE8-46CE-9F91-E63E0360D2DB}">
  <dimension ref="B4:K25"/>
  <sheetViews>
    <sheetView workbookViewId="0">
      <selection activeCell="K8" sqref="K8"/>
    </sheetView>
  </sheetViews>
  <sheetFormatPr defaultRowHeight="14.5" x14ac:dyDescent="0.35"/>
  <cols>
    <col min="7" max="7" width="13.81640625" customWidth="1"/>
  </cols>
  <sheetData>
    <row r="4" spans="2:11" x14ac:dyDescent="0.35">
      <c r="B4" t="s">
        <v>7</v>
      </c>
      <c r="H4" t="s">
        <v>12</v>
      </c>
    </row>
    <row r="5" spans="2:11" x14ac:dyDescent="0.35">
      <c r="B5" t="s">
        <v>8</v>
      </c>
      <c r="H5" t="s">
        <v>11</v>
      </c>
    </row>
    <row r="7" spans="2:11" x14ac:dyDescent="0.35">
      <c r="K7" t="s">
        <v>40</v>
      </c>
    </row>
    <row r="8" spans="2:11" x14ac:dyDescent="0.35">
      <c r="G8" t="s">
        <v>18</v>
      </c>
      <c r="K8" t="s">
        <v>35</v>
      </c>
    </row>
    <row r="9" spans="2:11" x14ac:dyDescent="0.35">
      <c r="G9" t="s">
        <v>19</v>
      </c>
    </row>
    <row r="14" spans="2:11" x14ac:dyDescent="0.35">
      <c r="G14" t="s">
        <v>21</v>
      </c>
    </row>
    <row r="15" spans="2:11" x14ac:dyDescent="0.35">
      <c r="G15" t="s">
        <v>18</v>
      </c>
    </row>
    <row r="20" spans="5:8" ht="16.5" x14ac:dyDescent="0.45">
      <c r="E20" s="3"/>
      <c r="F20" s="3" t="s">
        <v>24</v>
      </c>
      <c r="G20" s="3" t="s">
        <v>23</v>
      </c>
      <c r="H20" s="3"/>
    </row>
    <row r="21" spans="5:8" ht="16.5" x14ac:dyDescent="0.45">
      <c r="E21" s="3" t="s">
        <v>25</v>
      </c>
      <c r="F21" s="48" t="e">
        <f>#REF!</f>
        <v>#REF!</v>
      </c>
      <c r="G21" s="48" t="e">
        <f>#REF!</f>
        <v>#REF!</v>
      </c>
      <c r="H21" s="3"/>
    </row>
    <row r="22" spans="5:8" ht="16.5" x14ac:dyDescent="0.45">
      <c r="E22" s="3" t="s">
        <v>26</v>
      </c>
      <c r="F22" s="48" t="e">
        <f>#REF!</f>
        <v>#REF!</v>
      </c>
      <c r="G22" s="48" t="e">
        <f>#REF!</f>
        <v>#REF!</v>
      </c>
      <c r="H22" s="3"/>
    </row>
    <row r="23" spans="5:8" ht="16.5" x14ac:dyDescent="0.45">
      <c r="E23" s="3" t="s">
        <v>27</v>
      </c>
      <c r="F23" s="48" t="e">
        <f>#REF!</f>
        <v>#REF!</v>
      </c>
      <c r="G23" s="48" t="e">
        <f>#REF!</f>
        <v>#REF!</v>
      </c>
      <c r="H23" s="3"/>
    </row>
    <row r="24" spans="5:8" ht="16.5" x14ac:dyDescent="0.45">
      <c r="E24" s="3" t="s">
        <v>28</v>
      </c>
      <c r="F24" s="48" t="e">
        <f>#REF!</f>
        <v>#REF!</v>
      </c>
      <c r="G24" s="48" t="e">
        <f>#REF!</f>
        <v>#REF!</v>
      </c>
      <c r="H24" s="3"/>
    </row>
    <row r="25" spans="5:8" ht="16.5" x14ac:dyDescent="0.45">
      <c r="E25" s="3" t="s">
        <v>29</v>
      </c>
      <c r="F25" s="48" t="e">
        <f>#REF!</f>
        <v>#REF!</v>
      </c>
      <c r="G25" s="48" t="e">
        <f>#REF!</f>
        <v>#REF!</v>
      </c>
      <c r="H25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g E A A B Q S w M E F A A C A A g A U G o x V M v G / w u k A A A A 9 g A A A B I A H A B D b 2 5 m a W c v U G F j a 2 F n Z S 5 4 b W w g o h g A K K A U A A A A A A A A A A A A A A A A A A A A A A A A A A A A h Y 8 x D o I w G I W v Q r r T l m q M I T 9 l c I W E x M S 4 N q V C I x R C i + V u D h 7 J K 4 h R 1 M 3 x f e 8 b 3 r t f b 5 B O b R N c 1 G B 1 Z x I U Y Y o C Z W R X a l M l a H S n c I t S D o W Q Z 1 G p Y J a N j S d b J q h 2 r o 8 J 8 d 5 j v 8 L d U B F G a U S O e b a X t W o F + s j 6 v x x q Y 5 0 w U i E O h 9 c Y z n B E K d 6 s 5 0 1 A F g i 5 N l + B z d 2 z / Y G w G x s 3 D o r 3 T V h k Q J Y I 5 P 2 B P w B Q S w M E F A A C A A g A U G o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B q M V S N H M Q + c g E A A G Y D A A A T A B w A R m 9 y b X V s Y X M v U 2 V j d G l v b j E u b S C i G A A o o B Q A A A A A A A A A A A A A A A A A A A A A A A A A A A B 1 k s 1 K A z E Q g O + F v s M Q L y 0 s y 6 b + K 7 3 Y I p Y e L F o R 7 J Y S d 6 c a 3 U 2 W J N X W 0 o u v 1 J P g r f S 9 T F u r C E 4 O E / g y M 8 w 3 x G L i p F Z w v b n 5 a b l U L t l H Y T C F H d Y V 9 x l G E Y d K R z w g 8 C q D O m T o y i X w Z / l h F v N 0 + a 4 9 7 K T D c J 1 t K + c y w 7 C h l U P l b I U 1 T u I b i 8 b G z 8 I J E 1 8 q b B r 5 g n F n l B X S x e 2 R N d C + A N 9 q + a k Q c J x g h i D B F s K 8 p m + o p A C d J l I 9 L + a v c d s P N n H w K A v t M H l T E x A g 1 T A T y Z O I b 1 t n r e b A x 8 u r w b k c S / U w q E X R g Q + 1 K C z S I a s G 0 G v l R Y a 5 n 0 2 s h O u M h 7 u s X w 0 2 S j / C 9 V + 7 a a + V 1 n 9 W w f q z X t O b 9 L 8 r d t h d L v 2 Q W m l w k 2 K 1 o H V q 2 D V C 2 a E 2 e U N n o 1 x 1 J 4 X f z b Z L M J 2 y D e c s W N U h O B y 7 W Q B b X i P 4 L s H 3 C L 5 P 8 A O C H x L 8 i O D H B O c R 9 U A Z c 0 q Z U 8 6 c k u a U N a e 0 O e X N K X H + 1 3 x W L Z e k + v 9 P n H 4 B U E s B A i 0 A F A A C A A g A U G o x V M v G / w u k A A A A 9 g A A A B I A A A A A A A A A A A A A A A A A A A A A A E N v b m Z p Z y 9 Q Y W N r Y W d l L n h t b F B L A Q I t A B Q A A g A I A F B q M V Q P y u m r p A A A A O k A A A A T A A A A A A A A A A A A A A A A A P A A A A B b Q 2 9 u d G V u d F 9 U e X B l c 1 0 u e G 1 s U E s B A i 0 A F A A C A A g A U G o x V I 0 c x D 5 y A Q A A Z g M A A B M A A A A A A A A A A A A A A A A A 4 Q E A A E Z v c m 1 1 b G F z L 1 N l Y 3 R p b 2 4 x L m 1 Q S w U G A A A A A A M A A w D C A A A A o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R Q A A A A A A A B z F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d U M T E 6 M j Q 6 M j c u N j M x O D Y 4 N V o i I C 8 + P E V u d H J 5 I F R 5 c G U 9 I k Z p b G x D b 2 x 1 b W 5 U e X B l c y I g V m F s d W U 9 I n N C Z 1 l H Q m d Z R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0 N v b H V t b j E s M H 0 m c X V v d D s s J n F 1 b 3 Q 7 U 2 V j d G l v b j E v V G F i b G U w M D E g K F B h Z 2 U g M S k v Q X V 0 b 1 J l b W 9 2 Z W R D b 2 x 1 b W 5 z M S 5 7 Q 2 9 s d W 1 u M i w x f S Z x d W 9 0 O y w m c X V v d D t T Z W N 0 a W 9 u M S 9 U Y W J s Z T A w M S A o U G F n Z S A x K S 9 B d X R v U m V t b 3 Z l Z E N v b H V t b n M x L n t D b 2 x 1 b W 4 z L D J 9 J n F 1 b 3 Q 7 L C Z x d W 9 0 O 1 N l Y 3 R p b 2 4 x L 1 R h Y m x l M D A x I C h Q Y W d l I D E p L 0 F 1 d G 9 S Z W 1 v d m V k Q 2 9 s d W 1 u c z E u e 0 N v b H V t b j Q s M 3 0 m c X V v d D s s J n F 1 b 3 Q 7 U 2 V j d G l v b j E v V G F i b G U w M D E g K F B h Z 2 U g M S k v Q X V 0 b 1 J l b W 9 2 Z W R D b 2 x 1 b W 5 z M S 5 7 Q 2 9 s d W 1 u N S w 0 f S Z x d W 9 0 O y w m c X V v d D t T Z W N 0 a W 9 u M S 9 U Y W J s Z T A w M S A o U G F n Z S A x K S 9 B d X R v U m V t b 3 Z l Z E N v b H V t b n M x L n t D b 2 x 1 b W 4 2 L D V 9 J n F 1 b 3 Q 7 L C Z x d W 9 0 O 1 N l Y 3 R p b 2 4 x L 1 R h Y m x l M D A x I C h Q Y W d l I D E p L 0 F 1 d G 9 S Z W 1 v d m V k Q 2 9 s d W 1 u c z E u e 0 N v b H V t b j c s N n 0 m c X V v d D s s J n F 1 b 3 Q 7 U 2 V j d G l v b j E v V G F i b G U w M D E g K F B h Z 2 U g M S k v Q X V 0 b 1 J l b W 9 2 Z W R D b 2 x 1 b W 5 z M S 5 7 Q 2 9 s d W 1 u O C w 3 f S Z x d W 9 0 O y w m c X V v d D t T Z W N 0 a W 9 u M S 9 U Y W J s Z T A w M S A o U G F n Z S A x K S 9 B d X R v U m V t b 3 Z l Z E N v b H V t b n M x L n t D b 2 x 1 b W 4 5 L D h 9 J n F 1 b 3 Q 7 L C Z x d W 9 0 O 1 N l Y 3 R p b 2 4 x L 1 R h Y m x l M D A x I C h Q Y W d l I D E p L 0 F 1 d G 9 S Z W 1 v d m V k Q 2 9 s d W 1 u c z E u e 0 N v b H V t b j E w L D l 9 J n F 1 b 3 Q 7 L C Z x d W 9 0 O 1 N l Y 3 R p b 2 4 x L 1 R h Y m x l M D A x I C h Q Y W d l I D E p L 0 F 1 d G 9 S Z W 1 v d m V k Q 2 9 s d W 1 u c z E u e 0 N v b H V t b j E x L D E w f S Z x d W 9 0 O y w m c X V v d D t T Z W N 0 a W 9 u M S 9 U Y W J s Z T A w M S A o U G F n Z S A x K S 9 B d X R v U m V t b 3 Z l Z E N v b H V t b n M x L n t D b 2 x 1 b W 4 x M i w x M X 0 m c X V v d D s s J n F 1 b 3 Q 7 U 2 V j d G l v b j E v V G F i b G U w M D E g K F B h Z 2 U g M S k v Q X V 0 b 1 J l b W 9 2 Z W R D b 2 x 1 b W 5 z M S 5 7 Q 2 9 s d W 1 u M T M s M T J 9 J n F 1 b 3 Q 7 L C Z x d W 9 0 O 1 N l Y 3 R p b 2 4 x L 1 R h Y m x l M D A x I C h Q Y W d l I D E p L 0 F 1 d G 9 S Z W 1 v d m V k Q 2 9 s d W 1 u c z E u e 0 N v b H V t b j E 0 L D E z f S Z x d W 9 0 O y w m c X V v d D t T Z W N 0 a W 9 u M S 9 U Y W J s Z T A w M S A o U G F n Z S A x K S 9 B d X R v U m V t b 3 Z l Z E N v b H V t b n M x L n t D b 2 x 1 b W 4 x N S w x N H 0 m c X V v d D s s J n F 1 b 3 Q 7 U 2 V j d G l v b j E v V G F i b G U w M D E g K F B h Z 2 U g M S k v Q X V 0 b 1 J l b W 9 2 Z W R D b 2 x 1 b W 5 z M S 5 7 Q 2 9 s d W 1 u M T Y s M T V 9 J n F 1 b 3 Q 7 L C Z x d W 9 0 O 1 N l Y 3 R p b 2 4 x L 1 R h Y m x l M D A x I C h Q Y W d l I D E p L 0 F 1 d G 9 S Z W 1 v d m V k Q 2 9 s d W 1 u c z E u e 0 N v b H V t b j E 3 L D E 2 f S Z x d W 9 0 O y w m c X V v d D t T Z W N 0 a W 9 u M S 9 U Y W J s Z T A w M S A o U G F n Z S A x K S 9 B d X R v U m V t b 3 Z l Z E N v b H V t b n M x L n t D b 2 x 1 b W 4 x O C w x N 3 0 m c X V v d D s s J n F 1 b 3 Q 7 U 2 V j d G l v b j E v V G F i b G U w M D E g K F B h Z 2 U g M S k v Q X V 0 b 1 J l b W 9 2 Z W R D b 2 x 1 b W 5 z M S 5 7 Q 2 9 s d W 1 u M T k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L C Z x d W 9 0 O 1 N l Y 3 R p b 2 4 x L 1 R h Y m x l M D A x I C h Q Y W d l I D E p L 0 F 1 d G 9 S Z W 1 v d m V k Q 2 9 s d W 1 u c z E u e 0 N v b H V t b j E z L D E y f S Z x d W 9 0 O y w m c X V v d D t T Z W N 0 a W 9 u M S 9 U Y W J s Z T A w M S A o U G F n Z S A x K S 9 B d X R v U m V t b 3 Z l Z E N v b H V t b n M x L n t D b 2 x 1 b W 4 x N C w x M 3 0 m c X V v d D s s J n F 1 b 3 Q 7 U 2 V j d G l v b j E v V G F i b G U w M D E g K F B h Z 2 U g M S k v Q X V 0 b 1 J l b W 9 2 Z W R D b 2 x 1 b W 5 z M S 5 7 Q 2 9 s d W 1 u M T U s M T R 9 J n F 1 b 3 Q 7 L C Z x d W 9 0 O 1 N l Y 3 R p b 2 4 x L 1 R h Y m x l M D A x I C h Q Y W d l I D E p L 0 F 1 d G 9 S Z W 1 v d m V k Q 2 9 s d W 1 u c z E u e 0 N v b H V t b j E 2 L D E 1 f S Z x d W 9 0 O y w m c X V v d D t T Z W N 0 a W 9 u M S 9 U Y W J s Z T A w M S A o U G F n Z S A x K S 9 B d X R v U m V t b 3 Z l Z E N v b H V t b n M x L n t D b 2 x 1 b W 4 x N y w x N n 0 m c X V v d D s s J n F 1 b 3 Q 7 U 2 V j d G l v b j E v V G F i b G U w M D E g K F B h Z 2 U g M S k v Q X V 0 b 1 J l b W 9 2 Z W R D b 2 x 1 b W 5 z M S 5 7 Q 2 9 s d W 1 u M T g s M T d 9 J n F 1 b 3 Q 7 L C Z x d W 9 0 O 1 N l Y 3 R p b 2 4 x L 1 R h Y m x l M D A x I C h Q Y W d l I D E p L 0 F 1 d G 9 S Z W 1 v d m V k Q 2 9 s d W 1 u c z E u e 0 N v b H V t b j E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S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8 L w 4 6 u G 0 i 0 e t k 5 E E Y V 4 Z u A A A A A A C A A A A A A A Q Z g A A A A E A A C A A A A C o y u 1 T H U s M t s H F Z x O i G F B L K 7 Z 8 V F e 8 F b a u C 0 6 i X R Z Y 4 g A A A A A O g A A A A A I A A C A A A A D l N i w G q J 9 D 2 f 0 l R 8 U e 1 C a i / c y e 2 f S 9 G d W r P N / L o 7 n f Y l A A A A C B 4 8 X V q 0 1 Y Y J c a k Y 6 o 9 H a U m q h r g U k w n v O w D + R O h 1 3 w 2 H 6 T c m p s C k I J Y R h K A N n r A 1 X 9 U Q T I P n F P j u 4 d 5 D W + R m 8 X P 2 u g x U 8 s D n Y X 8 p e Y 3 s n r s 0 A A A A D 7 K D t 8 W R z S s 7 P X w m 3 7 R b C 1 8 M e S v f k B L 5 K r j f H Q j f + 5 5 N X x S A e Y q j d 3 m 0 c V j P V H Z w z C X y / k k 0 T X U R 0 o T j 8 F e J V w < / D a t a M a s h u p > 
</file>

<file path=customXml/itemProps1.xml><?xml version="1.0" encoding="utf-8"?>
<ds:datastoreItem xmlns:ds="http://schemas.openxmlformats.org/officeDocument/2006/customXml" ds:itemID="{9B69B891-8686-489F-A04D-AFF210BB85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RZĄDOWY PROGRAM</vt:lpstr>
      <vt:lpstr>listy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Iwuc</dc:creator>
  <cp:lastModifiedBy>Katarzyna Iwuc</cp:lastModifiedBy>
  <dcterms:created xsi:type="dcterms:W3CDTF">2015-06-05T18:19:34Z</dcterms:created>
  <dcterms:modified xsi:type="dcterms:W3CDTF">2022-06-14T17:57:07Z</dcterms:modified>
</cp:coreProperties>
</file>