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f5fe913bd258826/Pulpit/IKE czy IKZE/"/>
    </mc:Choice>
  </mc:AlternateContent>
  <xr:revisionPtr revIDLastSave="206" documentId="13_ncr:1_{3FD0571B-A965-4432-9B62-0B79D372BC54}" xr6:coauthVersionLast="47" xr6:coauthVersionMax="47" xr10:uidLastSave="{0CFA8AEA-E274-4B3F-ACA5-A59E4A1D631B}"/>
  <bookViews>
    <workbookView xWindow="-110" yWindow="-110" windowWidth="19420" windowHeight="10420" activeTab="2" xr2:uid="{00000000-000D-0000-FFFF-FFFF00000000}"/>
  </bookViews>
  <sheets>
    <sheet name="IKE i IKZE w DM" sheetId="1" r:id="rId1"/>
    <sheet name="PROWIZJE" sheetId="3" r:id="rId2"/>
    <sheet name="IKE Obligacje vs SUPER IKE" sheetId="5" r:id="rId3"/>
    <sheet name="Dane robocze" sheetId="4" r:id="rId4"/>
  </sheets>
  <externalReferences>
    <externalReference r:id="rId5"/>
  </externalReferences>
  <definedNames>
    <definedName name="dane_IKE">'[1]Ranking2021 IKE IKZE_ODPOWIEDZI'!$D$5:$D$18</definedName>
    <definedName name="dane_IKZE">'[1]Ranking2021 IKE IKZE_ODPOWIEDZI'!$E$5:$E$18</definedName>
    <definedName name="dane_instytucja">'[1]Ranking2021 IKE IKZE_ODPOWIEDZI'!$B$5:$B$18</definedName>
    <definedName name="dane_prow_akcje_min">'[1]Ranking2021 IKE IKZE_ODPOWIEDZI'!$T$5:$T$18</definedName>
    <definedName name="dane_prow_akcje_proc">'[1]Ranking2021 IKE IKZE_ODPOWIEDZI'!$S$5:$S$18</definedName>
    <definedName name="dane_prow_ETF_min">'[1]Ranking2021 IKE IKZE_ODPOWIEDZI'!$W$5:$W$18</definedName>
    <definedName name="dane_prow_ETF_proc">'[1]Ranking2021 IKE IKZE_ODPOWIEDZI'!$V$5:$V$18</definedName>
    <definedName name="dane_prow_obligacje_min">'[1]Ranking2021 IKE IKZE_ODPOWIEDZI'!$Z$5:$Z$18</definedName>
    <definedName name="dane_prow_obligacje_proc">'[1]Ranking2021 IKE IKZE_ODPOWIEDZI'!$Y$5:$Y$18</definedName>
    <definedName name="dane_prow_spread_kwotowo">'[1]Ranking2021 IKE IKZE_ODPOWIEDZI'!$AO$5:$AO$18</definedName>
    <definedName name="dane_prow_spread_proc">'[1]Ranking2021 IKE IKZE_ODPOWIEDZI'!$AN$5:$AN$18</definedName>
    <definedName name="dane_prow_zag_akcje_min">'[1]Ranking2021 IKE IKZE_ODPOWIEDZI'!$P$5:$P$18</definedName>
    <definedName name="dane_prow_zag_akcje_min_EUR">'[1]Ranking2021 IKE IKZE_ODPOWIEDZI'!$Q$5:$Q$18</definedName>
    <definedName name="dane_prow_zag_akcje_proc">'[1]Ranking2021 IKE IKZE_ODPOWIEDZI'!$O$5:$O$17</definedName>
    <definedName name="dane_prow_zag_ETF_min">'[1]Ranking2021 IKE IKZE_ODPOWIEDZI'!$L$5:$L$18</definedName>
    <definedName name="dane_prow_zag_ETF_min_EUR">'[1]Ranking2021 IKE IKZE_ODPOWIEDZI'!$M$5:$M$18</definedName>
    <definedName name="dane_prow_zag_ETF_proc">'[1]Ranking2021 IKE IKZE_ODPOWIEDZI'!$K$5:$K$18</definedName>
    <definedName name="dane_zagraniczne">'[1]Ranking2021 IKE IKZE_ODPOWIEDZI'!$F$5:$F$18</definedName>
    <definedName name="podatek_IKZE_wpłata">PROWIZJE!#REF!</definedName>
    <definedName name="podatek_IKZE_wyplata">PROWIZJE!#REF!</definedName>
    <definedName name="podatek_IKZE_wyplata_preferencja">PROWIZJE!#REF!</definedName>
    <definedName name="podatek_od_zyskow_kap">PROWIZJE!#REF!</definedName>
    <definedName name="stopa_zwrotu_akcje">PROWIZJE!#REF!</definedName>
    <definedName name="stopa_zwrotu_ETF">PROWIZJE!#REF!</definedName>
    <definedName name="stopa_zwrotu_obligacje">PROWIZJE!#REF!</definedName>
    <definedName name="stopa_zwrotu_zagr_akcje">PROWIZJE!#REF!</definedName>
    <definedName name="stopa_zwrotu_zagr_ETF">PROWIZJE!#REF!</definedName>
    <definedName name="wplaty_IKZE_reinwestycja_proc">PROWIZJE!#REF!</definedName>
    <definedName name="wplaty_ile_rocznie">PROWIZJE!#REF!</definedName>
    <definedName name="wplaty_koszty_waluta_preferowana">PROWIZJE!#REF!</definedName>
    <definedName name="wplaty_kurs_EURPLN">PROWIZJE!#REF!</definedName>
    <definedName name="wplaty_pocz_koniec">PROWIZJE!#REF!</definedName>
    <definedName name="wplaty_preferencja_IKE_ile_lat">PROWIZJE!#REF!</definedName>
    <definedName name="wplaty_preferencja_IKZE_ile_lat">PROWIZJE!#REF!</definedName>
    <definedName name="wplaty_rynki_zagraniczne">[1]liczenie!$K$5</definedName>
    <definedName name="wplaty_skladka_akcje_IKE">PROWIZJE!#REF!</definedName>
    <definedName name="wplaty_skladka_akcje_IKZE">PROWIZJE!#REF!</definedName>
    <definedName name="wplaty_skladka_ETF_IKZE">PROWIZJE!#REF!</definedName>
    <definedName name="wplaty_skladka_obligacje_IKE">PROWIZJE!#REF!</definedName>
    <definedName name="wplaty_skladka_obligacje_IKZE">PROWIZJE!#REF!</definedName>
    <definedName name="wplaty_skladka_zagr_akcje_IKE">PROWIZJE!#REF!</definedName>
    <definedName name="wplaty_skladka_zagr_akcje_IKZE">PROWIZJE!#REF!</definedName>
    <definedName name="wplaty_skladka_zagr_ETF_IKE">PROWIZJE!#REF!</definedName>
    <definedName name="wplaty_skladka_zagr_ETF_IKZE">PROWIZJE!#REF!</definedName>
    <definedName name="wplaty_skladki_suma_roczna_IKE">PROWIZJE!#REF!</definedName>
    <definedName name="wyniki_po_x_latach_1">PROWIZJE!#REF!</definedName>
    <definedName name="wyniki_po_x_latach_2">PROWIZJE!#REF!</definedName>
    <definedName name="wyniki_po_x_latach_3">PROWIZJE!#REF!</definedName>
    <definedName name="wyniki_po_x_latach_4">PROWIZJE!#REF!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7" i="5"/>
  <c r="G7" i="5" s="1"/>
  <c r="H5" i="5"/>
  <c r="D7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6" i="5"/>
  <c r="F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G8" i="5" l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L26" i="3"/>
  <c r="M26" i="3" s="1"/>
  <c r="L25" i="3"/>
  <c r="M25" i="3" s="1"/>
  <c r="L24" i="3"/>
  <c r="M24" i="3" s="1"/>
  <c r="L23" i="3"/>
  <c r="M23" i="3" s="1"/>
  <c r="L22" i="3"/>
  <c r="M22" i="3" s="1"/>
  <c r="J26" i="3"/>
  <c r="K26" i="3" s="1"/>
  <c r="J25" i="3"/>
  <c r="K25" i="3" s="1"/>
  <c r="J24" i="3"/>
  <c r="K24" i="3" s="1"/>
  <c r="J23" i="3"/>
  <c r="K23" i="3" s="1"/>
  <c r="J22" i="3"/>
  <c r="K22" i="3" s="1"/>
  <c r="H26" i="3"/>
  <c r="I26" i="3" s="1"/>
  <c r="H25" i="3"/>
  <c r="I25" i="3" s="1"/>
  <c r="H24" i="3"/>
  <c r="I24" i="3" s="1"/>
  <c r="H23" i="3"/>
  <c r="I23" i="3" s="1"/>
  <c r="H22" i="3"/>
  <c r="I22" i="3" s="1"/>
  <c r="F26" i="3"/>
  <c r="G26" i="3" s="1"/>
  <c r="F25" i="3"/>
  <c r="G25" i="3" s="1"/>
  <c r="F24" i="3"/>
  <c r="G24" i="3" s="1"/>
  <c r="F23" i="3"/>
  <c r="G23" i="3" s="1"/>
  <c r="F22" i="3"/>
  <c r="G22" i="3" s="1"/>
  <c r="D25" i="3"/>
  <c r="E25" i="3" s="1"/>
  <c r="D26" i="3"/>
  <c r="E26" i="3" s="1"/>
  <c r="D24" i="3"/>
  <c r="E24" i="3" s="1"/>
  <c r="D23" i="3"/>
  <c r="E23" i="3" s="1"/>
  <c r="D22" i="3"/>
  <c r="E22" i="3" s="1"/>
  <c r="B24" i="3"/>
  <c r="C24" i="3" s="1"/>
  <c r="B23" i="3"/>
  <c r="C23" i="3" s="1"/>
  <c r="B25" i="3"/>
  <c r="C25" i="3" s="1"/>
  <c r="B26" i="3"/>
  <c r="C26" i="3" s="1"/>
  <c r="B22" i="3"/>
  <c r="C22" i="3" s="1"/>
  <c r="G35" i="3"/>
  <c r="G39" i="3" s="1"/>
  <c r="F35" i="3"/>
  <c r="F37" i="3" s="1"/>
  <c r="E35" i="3"/>
  <c r="E40" i="3" s="1"/>
  <c r="D35" i="3"/>
  <c r="D36" i="3" s="1"/>
  <c r="C35" i="3"/>
  <c r="C36" i="3" s="1"/>
  <c r="B35" i="3"/>
  <c r="B40" i="3" s="1"/>
  <c r="L20" i="3"/>
  <c r="H20" i="3"/>
  <c r="J20" i="3" s="1"/>
  <c r="F20" i="3"/>
  <c r="D20" i="3"/>
  <c r="A7" i="3"/>
  <c r="B52" i="3"/>
  <c r="C52" i="3" s="1"/>
  <c r="B53" i="3"/>
  <c r="C53" i="3" s="1"/>
  <c r="B48" i="3"/>
  <c r="B54" i="3"/>
  <c r="C54" i="3" s="1"/>
  <c r="B55" i="3"/>
  <c r="C55" i="3" s="1"/>
  <c r="B56" i="3"/>
  <c r="C56" i="3" s="1"/>
  <c r="B57" i="3"/>
  <c r="C57" i="3" s="1"/>
  <c r="B58" i="3"/>
  <c r="C58" i="3" s="1"/>
  <c r="B59" i="3"/>
  <c r="C59" i="3" s="1"/>
  <c r="B60" i="3"/>
  <c r="C60" i="3" s="1"/>
  <c r="P5" i="4"/>
  <c r="O5" i="4"/>
  <c r="N5" i="4"/>
  <c r="M5" i="4"/>
  <c r="L5" i="4"/>
  <c r="K5" i="4"/>
  <c r="J5" i="4"/>
  <c r="I5" i="4"/>
  <c r="H5" i="4"/>
  <c r="G5" i="4"/>
  <c r="F5" i="4"/>
  <c r="E5" i="4"/>
  <c r="C5" i="4"/>
  <c r="B5" i="4"/>
  <c r="J7" i="3"/>
  <c r="K7" i="3" s="1"/>
  <c r="L13" i="3"/>
  <c r="M13" i="3" s="1"/>
  <c r="L14" i="3"/>
  <c r="M14" i="3" s="1"/>
  <c r="L9" i="3"/>
  <c r="M9" i="3" s="1"/>
  <c r="L10" i="3"/>
  <c r="M10" i="3" s="1"/>
  <c r="L15" i="3"/>
  <c r="M15" i="3" s="1"/>
  <c r="L16" i="3"/>
  <c r="M16" i="3" s="1"/>
  <c r="L11" i="3"/>
  <c r="M11" i="3" s="1"/>
  <c r="L7" i="3"/>
  <c r="M7" i="3" s="1"/>
  <c r="L12" i="3"/>
  <c r="M12" i="3" s="1"/>
  <c r="L8" i="3"/>
  <c r="M8" i="3" s="1"/>
  <c r="L6" i="3"/>
  <c r="M6" i="3" s="1"/>
  <c r="J14" i="3"/>
  <c r="K14" i="3" s="1"/>
  <c r="J9" i="3"/>
  <c r="K9" i="3" s="1"/>
  <c r="J10" i="3"/>
  <c r="K10" i="3" s="1"/>
  <c r="J15" i="3"/>
  <c r="K15" i="3" s="1"/>
  <c r="J16" i="3"/>
  <c r="K16" i="3" s="1"/>
  <c r="J11" i="3"/>
  <c r="K11" i="3" s="1"/>
  <c r="J12" i="3"/>
  <c r="K12" i="3" s="1"/>
  <c r="J8" i="3"/>
  <c r="K8" i="3" s="1"/>
  <c r="J6" i="3"/>
  <c r="K6" i="3" s="1"/>
  <c r="J13" i="3"/>
  <c r="K13" i="3" s="1"/>
  <c r="F13" i="3"/>
  <c r="G13" i="3" s="1"/>
  <c r="H6" i="3"/>
  <c r="I6" i="3" s="1"/>
  <c r="H14" i="3"/>
  <c r="I14" i="3" s="1"/>
  <c r="H9" i="3"/>
  <c r="I9" i="3" s="1"/>
  <c r="H10" i="3"/>
  <c r="I10" i="3" s="1"/>
  <c r="H15" i="3"/>
  <c r="I15" i="3" s="1"/>
  <c r="H16" i="3"/>
  <c r="I16" i="3" s="1"/>
  <c r="H11" i="3"/>
  <c r="I11" i="3" s="1"/>
  <c r="H7" i="3"/>
  <c r="I7" i="3" s="1"/>
  <c r="H12" i="3"/>
  <c r="I12" i="3" s="1"/>
  <c r="H8" i="3"/>
  <c r="I8" i="3" s="1"/>
  <c r="H13" i="3"/>
  <c r="I13" i="3" s="1"/>
  <c r="F14" i="3"/>
  <c r="G14" i="3" s="1"/>
  <c r="F9" i="3"/>
  <c r="G9" i="3" s="1"/>
  <c r="F10" i="3"/>
  <c r="G10" i="3" s="1"/>
  <c r="F15" i="3"/>
  <c r="G15" i="3" s="1"/>
  <c r="F16" i="3"/>
  <c r="G16" i="3" s="1"/>
  <c r="F11" i="3"/>
  <c r="G11" i="3" s="1"/>
  <c r="F7" i="3"/>
  <c r="G7" i="3" s="1"/>
  <c r="F12" i="3"/>
  <c r="G12" i="3" s="1"/>
  <c r="F8" i="3"/>
  <c r="G8" i="3" s="1"/>
  <c r="F6" i="3"/>
  <c r="G6" i="3" s="1"/>
  <c r="D12" i="3"/>
  <c r="E12" i="3" s="1"/>
  <c r="D14" i="3"/>
  <c r="E14" i="3" s="1"/>
  <c r="D9" i="3"/>
  <c r="E9" i="3" s="1"/>
  <c r="D10" i="3"/>
  <c r="E10" i="3" s="1"/>
  <c r="D15" i="3"/>
  <c r="E15" i="3" s="1"/>
  <c r="D16" i="3"/>
  <c r="E16" i="3" s="1"/>
  <c r="D11" i="3"/>
  <c r="E11" i="3" s="1"/>
  <c r="D7" i="3"/>
  <c r="E7" i="3" s="1"/>
  <c r="D8" i="3"/>
  <c r="E8" i="3" s="1"/>
  <c r="D6" i="3"/>
  <c r="E6" i="3" s="1"/>
  <c r="D13" i="3"/>
  <c r="E13" i="3" s="1"/>
  <c r="B14" i="3"/>
  <c r="C14" i="3" s="1"/>
  <c r="B9" i="3"/>
  <c r="C9" i="3" s="1"/>
  <c r="B10" i="3"/>
  <c r="C10" i="3" s="1"/>
  <c r="B15" i="3"/>
  <c r="C15" i="3" s="1"/>
  <c r="B16" i="3"/>
  <c r="C16" i="3" s="1"/>
  <c r="B11" i="3"/>
  <c r="C11" i="3" s="1"/>
  <c r="B7" i="3"/>
  <c r="C7" i="3" s="1"/>
  <c r="B12" i="3"/>
  <c r="C12" i="3" s="1"/>
  <c r="B8" i="3"/>
  <c r="C8" i="3" s="1"/>
  <c r="B6" i="3"/>
  <c r="C6" i="3" s="1"/>
  <c r="B13" i="3"/>
  <c r="C13" i="3" s="1"/>
  <c r="E36" i="3" l="1"/>
  <c r="E37" i="3"/>
  <c r="C39" i="3"/>
  <c r="E38" i="3"/>
  <c r="C40" i="3"/>
  <c r="B36" i="3"/>
  <c r="E39" i="3"/>
  <c r="D38" i="3"/>
  <c r="B39" i="3"/>
  <c r="D40" i="3"/>
  <c r="B38" i="3"/>
  <c r="B37" i="3"/>
  <c r="F39" i="3"/>
  <c r="F40" i="3"/>
  <c r="G40" i="3"/>
  <c r="G36" i="3"/>
  <c r="G37" i="3"/>
  <c r="F38" i="3"/>
  <c r="G38" i="3"/>
  <c r="F36" i="3"/>
  <c r="C37" i="3"/>
  <c r="C38" i="3"/>
  <c r="D39" i="3"/>
  <c r="D37" i="3"/>
  <c r="A15" i="3"/>
  <c r="A12" i="3"/>
  <c r="A8" i="3"/>
  <c r="A10" i="3"/>
  <c r="A6" i="3"/>
  <c r="A14" i="3"/>
  <c r="A9" i="3"/>
  <c r="A13" i="3"/>
  <c r="A11" i="3"/>
  <c r="A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tc={FCB9834C-82B0-44E1-AADC-3FB0F29C2A16}</author>
  </authors>
  <commentList>
    <comment ref="L5" authorId="0" shapeId="0" xr:uid="{FCB9834C-82B0-44E1-AADC-3FB0F29C2A1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wpisać wysokość opłaty rocznej</t>
      </text>
    </comment>
  </commentList>
</comments>
</file>

<file path=xl/sharedStrings.xml><?xml version="1.0" encoding="utf-8"?>
<sst xmlns="http://schemas.openxmlformats.org/spreadsheetml/2006/main" count="490" uniqueCount="218">
  <si>
    <t xml:space="preserve">PODSTAWOWE INFORMACJE O KONCIE </t>
  </si>
  <si>
    <t>OPŁATY STAŁE</t>
  </si>
  <si>
    <t>OPŁATY TRANSAKCYJNE</t>
  </si>
  <si>
    <r>
      <rPr>
        <b/>
        <sz val="14"/>
        <color theme="4" tint="-0.499984740745262"/>
        <rFont val="Calibri"/>
        <family val="2"/>
        <charset val="238"/>
        <scheme val="minor"/>
      </rPr>
      <t>PIERWSZE 12 MIESIĘCY</t>
    </r>
    <r>
      <rPr>
        <b/>
        <sz val="14"/>
        <rFont val="Calibri"/>
        <family val="2"/>
        <charset val="238"/>
        <scheme val="minor"/>
      </rPr>
      <t>: WYPŁATA/WYPŁATA TRANSFEROWA//ZWROT CAŁKOWITY I CZĘŚCIOWY</t>
    </r>
  </si>
  <si>
    <t>PO PIERWSZYCH 12 MIESIĄCACH: WYPŁATA/WYPŁATA TRANSFEROWA//ZWROT CAŁKOWITY I CZĘŚCIOWY</t>
  </si>
  <si>
    <t>WALUTY I KURSY</t>
  </si>
  <si>
    <t>INNE INFORMACJE</t>
  </si>
  <si>
    <t>↓</t>
  </si>
  <si>
    <t>IKZE lub IKE</t>
  </si>
  <si>
    <t>Dostęp do giełd zagranicznych</t>
  </si>
  <si>
    <t>Opłata za otwarcie IKE lub IKZE</t>
  </si>
  <si>
    <t xml:space="preserve">Opłata za prowadzenie IKE/IKZE </t>
  </si>
  <si>
    <t>Opłata za przechowywanie instrumentów</t>
  </si>
  <si>
    <t>Prowizja rynki zagraniczne -ETF</t>
  </si>
  <si>
    <t>Prowizja rynki zagraniczne -akcje</t>
  </si>
  <si>
    <t>Prowizja rynek krajowy - akcje</t>
  </si>
  <si>
    <t>Prowizja rynek krajowy - ETF</t>
  </si>
  <si>
    <t>Prowizja, rynek krajowy - obligacje</t>
  </si>
  <si>
    <t>Opłata za wypłatę transferową środków pieniężnych w pierwszych 12 miesiącach (dotyczy sytuacji gdy przenosimy środki pienieżnę)</t>
  </si>
  <si>
    <t>Opłata za wypłatę transferową instrumentów finansowych w pierwszych 12 miesiącach. Dotyczy sytuacji gdy przenosimy instrumenty na inne IKE/IKZE prowadzone w formie rachunku maklerskiego</t>
  </si>
  <si>
    <t>Opłata za zwrot całkowity w pierwszych 12 miesiącach (IKE/IKZE)</t>
  </si>
  <si>
    <t>Opłata za częściowy zwrot z IKE w pierwszych 12 miesiącach</t>
  </si>
  <si>
    <t xml:space="preserve">Opłata za wypłatę jednorazową w pierwszych 12 miesiącach </t>
  </si>
  <si>
    <t>Opata za wypłatę w ratach w pierwszych 12 miesiącach  (gdy spełnimy warunki)</t>
  </si>
  <si>
    <t>Opłata za wypłatę transferową środków pieniężnych po 12 miesiącach (dotyczy sytuacji gdy przenosimy środki pienie żnę)</t>
  </si>
  <si>
    <t>Opłata za wypłatę transferową instrumentów finansowych po 12 miesiącach (dotyczy sytuacji przeniesienia instrumentów do innej instytucji)</t>
  </si>
  <si>
    <t>Opłata za  zwrot całkowity z IKE/IKZE po 12 miesiącach</t>
  </si>
  <si>
    <t>Opłata za częściowy zwrot z IKE po 12 miesiącach</t>
  </si>
  <si>
    <t>Opłata za wypłatę jednorazową (gdy spełnimy warunki)</t>
  </si>
  <si>
    <t>Opata za wypłatę w ratach (gdy spełnimy warunki)</t>
  </si>
  <si>
    <t>Kurs  przypadku inwestowania na rynkach zagranicznych</t>
  </si>
  <si>
    <t>Możliwość posiadania rachunku w innej walucie</t>
  </si>
  <si>
    <t>Opłata za prowadzenie konta walutowego</t>
  </si>
  <si>
    <t>Czy wolne (niezainwestowane) środki pieniężne są  oprocentowane</t>
  </si>
  <si>
    <t>Link do tabeli opłat</t>
  </si>
  <si>
    <t>link do listy ETF lub instrumentów</t>
  </si>
  <si>
    <t>Link do innych informacji</t>
  </si>
  <si>
    <t>Inne uwagi</t>
  </si>
  <si>
    <t xml:space="preserve">środki oprocentowane </t>
  </si>
  <si>
    <t>TAK</t>
  </si>
  <si>
    <t>do 500.000 zł bezpłatnie (odrębnie rynek krajowy lub zagraniczny); powyżej 500k kwartalna opłata podstawowa za depozyt papierów wartościowych nie jest pobierana, jeśli wartość prowizji maklerskiej netto, zapłaconej przez Klienta z tytułu obrotu na rachunku w danym kwartale kalendarzowym jest wyższa od naliczonej za ten kwartał opłaty podstawowej za depozyt papierów wartościowych. Wartość zapłaconej prowizji i naliczonej opłaty depozytowej jest rozpatrywana odrębnie dla instrumentów zdeponowanych u różnych Depozytariuszy.</t>
  </si>
  <si>
    <t xml:space="preserve">0,39% min 5 zł </t>
  </si>
  <si>
    <t xml:space="preserve">0,19% min 5 zł </t>
  </si>
  <si>
    <t>za przelew do mbanku 0 zł, poza mbank 10 zł</t>
  </si>
  <si>
    <t>Automaczyne przewalutowanie po kursie średnim midReuters +/- 0,1%,. Przy oczekujacym zleceniu  blokowane jest 2% więcej na ewentualne zmiany kursu walutowego po kursie NBP (odblokowane po transakcji)</t>
  </si>
  <si>
    <t>Wpłata tylko w PLN, każde rozliczenie transakcji (kupno, sprzedaż) odbywa sę po kursie midreuters +/-0,1%, nie ma możliwości przechowywania środków pochodzących ze sprzedaży instrumentów (np. sprzedaż ETF i wpływ w EUR) w walucie innej niż PLN.</t>
  </si>
  <si>
    <t>brak konta walutowego</t>
  </si>
  <si>
    <t>NIE</t>
  </si>
  <si>
    <t>https://www.mdm.pl/ds-server/40863?ticketSource=ui-pub</t>
  </si>
  <si>
    <t>https://www.mdm.pl/ui-pub/site/oferta_indywidualna/rynki_zagraniczne/lista_dostepnych_akcji_etf_i_adrgdr</t>
  </si>
  <si>
    <t>https://www.mbank.pl/indywidualny/inwestycje/gielda/ikze-emakler/    https://www.mbank.pl/indywidualny/inwestycje/gielda/ike-emakler/</t>
  </si>
  <si>
    <t>transfer pomiedzy rachunkami ike eMakler - IKE mBM oraz IKZE eMakler i IKZE mBM bezpłatnie</t>
  </si>
  <si>
    <t>do 500.000 zł bezpłatnie (odrębnie rynek krajowy lub zagraniczny) -powyżej 500k Kwartalna opłata podstawowa za depozyt papierów wartościowych nie jest pobierana, jeśli wartość prowizji maklerskiej netto, zapłaconej przez Klienta z tytułu obrotu na rachunku w danym kwartale kalendarzowym jest wyższa od naliczonej za ten kwartał opłaty podstawowej za depozyt papierów wartościowych. Wartość zapłaconej prowizji i naliczonej opłaty depozytowej jest rozpatrywana odrębnie dla instrumentów zdeponowanych u różnych Depozytariuszy</t>
  </si>
  <si>
    <t>za przelew do mbanku 5 zł poza mbank 10 zł</t>
  </si>
  <si>
    <t xml:space="preserve">Kurs średni midReuters +/- 0,1%, przy oczekującym zleceniu blokowane 2% więcej na ewentualne zmiany kursu walutowego po kursie NBP(odblokowane po transakcji). </t>
  </si>
  <si>
    <t xml:space="preserve">Wplata tylko w PLN, każde rozliczenie transakcji (kupno, sprzedaż) albo w walucie (wówczas na koncie zostaje waluta np. EUR) lub w PLN według wyboru (kurs midreuters +/-0,1%). </t>
  </si>
  <si>
    <t>brak dodatkowego konta walutowego</t>
  </si>
  <si>
    <t>https://www.mdm.pl/ds-server/44127?ticketSource=ui-pub</t>
  </si>
  <si>
    <t>https://www.mdm.pl/ui-pub/site/oferta_indywidualna/rynki_zagraniczne</t>
  </si>
  <si>
    <t>Dom maklerski BDM</t>
  </si>
  <si>
    <t>IKE i IKZE</t>
  </si>
  <si>
    <t>do 500.000 zł bezpłatnie</t>
  </si>
  <si>
    <t>nd</t>
  </si>
  <si>
    <t>0,28% min 5,95 zł</t>
  </si>
  <si>
    <t>0,18% min 5,95 zł</t>
  </si>
  <si>
    <r>
      <rPr>
        <sz val="12"/>
        <rFont val="Calibri"/>
        <family val="2"/>
        <charset val="238"/>
        <scheme val="minor"/>
      </rPr>
      <t xml:space="preserve"> 0,95% wartości instrumentów, min 99 zł </t>
    </r>
    <r>
      <rPr>
        <sz val="12"/>
        <color theme="1"/>
        <rFont val="Calibri"/>
        <family val="2"/>
        <charset val="238"/>
        <scheme val="minor"/>
      </rPr>
      <t>od całego transferowanego portfela</t>
    </r>
  </si>
  <si>
    <t>149 zł od każdej raty</t>
  </si>
  <si>
    <t>https://www.bdm.pl/dokumenty/tabele-oplat-i-prowizji?file=files/bdm/dokumenty/Tabela_oplat_i_prowizji/ws_tabela_oplat_i_prowizji.pdf</t>
  </si>
  <si>
    <t>wszytkie instrumenty dostępne na GPW z wyłączeniem instrumentów kontraktów terminowych i opcji</t>
  </si>
  <si>
    <t>https://www.bdm.pl/dokumenty/regulaminy?file=files/bdm/dokumenty/Regulamin/regulamin_promocji_zostan_online.pdf
https://www.bdm.pl/dokumenty/regulaminy?file=files/bdm/dokumenty/Regulamin/regulamin_promocji_ike_ikze.pdf</t>
  </si>
  <si>
    <t>bezpłatny dostęp do notowań onLine</t>
  </si>
  <si>
    <t>BOSSA S.A.</t>
  </si>
  <si>
    <t>Instrumenty krajowe do 1.000.000 zł bezpłatnie; instrumenty zagraniczne - w ramach promocji do 31 grudnia 2021 bezpłatnie, przewidywane jest przedłużenie promocji na najbliższe pół roku oraz, na stałe dla portfela do 500 000 zł będzie bezpłatnie</t>
  </si>
  <si>
    <t>0,38% min 5 zł</t>
  </si>
  <si>
    <r>
      <t xml:space="preserve">0,38% min 5 zł, </t>
    </r>
    <r>
      <rPr>
        <b/>
        <sz val="12"/>
        <color rgb="FFFF0000"/>
        <rFont val="Calibri"/>
        <family val="2"/>
        <charset val="238"/>
        <scheme val="minor"/>
      </rPr>
      <t>promocja 0,25 % do 31.12.2021 r., zostanie przedłużona do 31.12.2022 r., intencją jest przedłużenie o kolejny rok</t>
    </r>
  </si>
  <si>
    <t>0,19 % min 5 zł</t>
  </si>
  <si>
    <r>
      <rPr>
        <i/>
        <sz val="12"/>
        <rFont val="Calibri"/>
        <family val="2"/>
        <charset val="238"/>
        <scheme val="minor"/>
      </rPr>
      <t xml:space="preserve">Instumenty  notowane na GPW: 150 zł oraz 0,5% wartości rynkowej przenoszonych instrumentów, nie mniej niż 25 PLN od instrumentu" </t>
    </r>
    <r>
      <rPr>
        <b/>
        <i/>
        <sz val="12"/>
        <rFont val="Calibri"/>
        <family val="2"/>
        <charset val="238"/>
        <scheme val="minor"/>
      </rPr>
      <t>Uwaga od BOSSA:</t>
    </r>
    <r>
      <rPr>
        <sz val="12"/>
        <rFont val="Calibri"/>
        <family val="2"/>
        <charset val="238"/>
        <scheme val="minor"/>
      </rPr>
      <t xml:space="preserve"> </t>
    </r>
    <r>
      <rPr>
        <i/>
        <sz val="12"/>
        <rFont val="Calibri"/>
        <family val="2"/>
        <charset val="238"/>
        <scheme val="minor"/>
      </rPr>
      <t>"ta opłata jest aktualnie nie pobierana, będzie pobrane 150 zł"</t>
    </r>
    <r>
      <rPr>
        <sz val="12"/>
        <rFont val="Calibri"/>
        <family val="2"/>
        <charset val="238"/>
        <scheme val="minor"/>
      </rPr>
      <t xml:space="preserve"> ; 15 EUR od instrumentu - rynek zagraniczny</t>
    </r>
  </si>
  <si>
    <t>Brak</t>
  </si>
  <si>
    <t>0,50 % min 25 zł, obecnie niepobierana, dotyczy rynku polskiego, 15 EUR rynek zagraniczny</t>
  </si>
  <si>
    <t>Kurs średni midReuters +/- połowa spreadu. Wysokość spreadu podana tutaj: https://bossa.pl/oferta/rynek-zagraniczny</t>
  </si>
  <si>
    <t>Wpłata na konto IKE/IKZE wyłącznie w zł. Domyślnie, po sprzedaży zagranicznego instrumentu, otrzymujemy kwotę w zł, lecz można zdecydować by środki wpłynęły w walucie sprzedaży.  Można dokonać przewalutowania środów: 3 przewalutowania w roku są bezpłatne, kolejne kosztują  0,19% (min 49 zł).</t>
  </si>
  <si>
    <t>waluty USD, GBP, EUR  , 0 zl</t>
  </si>
  <si>
    <t>https://bossa.pl/oferta/oplaty-i-prowizje</t>
  </si>
  <si>
    <t>https://bossa.pl/oferta/rynek-zagraniczny/kid</t>
  </si>
  <si>
    <t>https://bossa.pl/oferta/IKE-i-IKZE</t>
  </si>
  <si>
    <t>Millenium Dom Maklerski</t>
  </si>
  <si>
    <t>IKZE</t>
  </si>
  <si>
    <r>
      <rPr>
        <b/>
        <sz val="12"/>
        <rFont val="Calibri"/>
        <family val="2"/>
        <charset val="238"/>
        <scheme val="minor"/>
      </rPr>
      <t>kwartalnie 0,001%</t>
    </r>
    <r>
      <rPr>
        <sz val="12"/>
        <rFont val="Calibri"/>
        <family val="2"/>
        <charset val="238"/>
        <scheme val="minor"/>
      </rPr>
      <t xml:space="preserve"> od obligacji lub</t>
    </r>
    <r>
      <rPr>
        <b/>
        <sz val="12"/>
        <rFont val="Calibri"/>
        <family val="2"/>
        <charset val="238"/>
        <scheme val="minor"/>
      </rPr>
      <t xml:space="preserve"> 0,0016%</t>
    </r>
    <r>
      <rPr>
        <sz val="12"/>
        <rFont val="Calibri"/>
        <family val="2"/>
        <charset val="238"/>
        <scheme val="minor"/>
      </rPr>
      <t xml:space="preserve"> (inne papiery wartościowe, dla których KDPW jest jedyną instytucją depozytową) lub</t>
    </r>
    <r>
      <rPr>
        <b/>
        <sz val="12"/>
        <rFont val="Calibri"/>
        <family val="2"/>
        <charset val="238"/>
        <scheme val="minor"/>
      </rPr>
      <t xml:space="preserve"> 0,0022%</t>
    </r>
    <r>
      <rPr>
        <sz val="12"/>
        <rFont val="Calibri"/>
        <family val="2"/>
        <charset val="238"/>
        <scheme val="minor"/>
      </rPr>
      <t xml:space="preserve"> od pozostałych instrumentów, opłata nie jest pobierana jeśli łączna jej wysokość jest niższa niż 5 zł: + podatek VAT</t>
    </r>
  </si>
  <si>
    <t xml:space="preserve">0,38% min 4,9 zł </t>
  </si>
  <si>
    <t xml:space="preserve">0,20% min 4,9 zł </t>
  </si>
  <si>
    <r>
      <rPr>
        <b/>
        <sz val="12"/>
        <rFont val="Calibri"/>
        <family val="2"/>
        <charset val="238"/>
        <scheme val="minor"/>
      </rPr>
      <t>5% wartości portfela</t>
    </r>
    <r>
      <rPr>
        <sz val="12"/>
        <rFont val="Calibri"/>
        <family val="2"/>
        <charset val="238"/>
        <scheme val="minor"/>
      </rPr>
      <t xml:space="preserve"> min 100 zł</t>
    </r>
  </si>
  <si>
    <t>Wolne środki na rachunku, pod warunkiem, że jest to co najmniej 1000 zł, są oprocentowane według stopy BID Banku Millennium SA dla depozytów overnight pomniejszonej o marżę Banku i Millennium DM</t>
  </si>
  <si>
    <t>https://millenniumdm.eu/documents/20143/45607/ikze02112011+%282%29.pdf/82b323bc-8252-a1b8-2a24-4b4dd773d297</t>
  </si>
  <si>
    <t>https://www.gpw.pl/etfy</t>
  </si>
  <si>
    <t>https://millenniumdm.eu/ikze</t>
  </si>
  <si>
    <t>Pobierane jest 50 zł za zwrot środków jeśli wpłaty w danym roku przekroczą ustawowy limit. Niedotrzymanie kwoty minimalnych rocznych wpłat 200 zł. Niedotrzymanie minimalnej kwoty wpłaty jednorazowej 10 zł.</t>
  </si>
  <si>
    <t>Biuro Maklerskie PKO BP</t>
  </si>
  <si>
    <t>IKE (Super IKE)</t>
  </si>
  <si>
    <t>Rocznie 60 zł +0,1% wartości nominalnej obligacji zapisanych na koncie SUPER IKE w ostatnim dniu roku kalendarzowego, nie więcej niż 200 zł. Opłata pobIerana do 20 lutego kolejnego roku.</t>
  </si>
  <si>
    <t>100 zł od każdej dyspozycji zwrotu</t>
  </si>
  <si>
    <t xml:space="preserve"> 0 zł * zg. z Komunikatem BM NR 14/27 pkt. 17 ; https://www.bm.pkobp.pl/o-nas/komunikaty-dyrektora/</t>
  </si>
  <si>
    <t>100,00 zł od każdej
dyspozycji częściowego
zwrotu</t>
  </si>
  <si>
    <t>https://www.bm.pkobp.pl/media_files/a72ea78f-1b94-4329-9ca3-84057fe85a7b.pdf</t>
  </si>
  <si>
    <t>tylko ETF notowane na WWA https://www.gpw.pl/etfy</t>
  </si>
  <si>
    <t>https://www.bm.pkobp.pl/oferta/klient-indywidualny/rachunki-ike/super-ike/#/szczegoly-oferty/</t>
  </si>
  <si>
    <t>To jedyne IKE, które daje równoczesną możliwość kupowania detalicznych obligacji skarbowych oraz inwestowania na GPW</t>
  </si>
  <si>
    <t>Noble Securities</t>
  </si>
  <si>
    <t>0 zł rachunek IKE Premium, 0 zł rachunek IKZE Premium</t>
  </si>
  <si>
    <t>bezpłatnie do 1.000.000 zł</t>
  </si>
  <si>
    <t>Promocja do 31 grudnia 2021 z opcja przedłużenia na kolejny rok: 0,15% min 5 zł do 31 grudnia 2021; poza  promocją 0,2% min 5 zł</t>
  </si>
  <si>
    <t>0,50 % wartości przenoszonych instrumentów (o tym samym kodzie ISIN), ale nie mniej niż 100 zł oraz nie więcej niż 10 000 zł za dany instrument finansowy</t>
  </si>
  <si>
    <t>0,50 % wartości przenoszonych instrumentów, ale nie mniej niż 100 zł oraz nie więcej niż 10 000 zł za dany nstrument finansowy</t>
  </si>
  <si>
    <t>https://noblesecurities.pl/o-nas/regulacje/rachunek-maklerski#t_o</t>
  </si>
  <si>
    <t>https://noblesecurities.pl/dom-maklerski/ike-i-ikze</t>
  </si>
  <si>
    <t>Santander Biuro Maklerskie</t>
  </si>
  <si>
    <t>IKE</t>
  </si>
  <si>
    <r>
      <t xml:space="preserve">krajowe instrumenty finansowe - bezpłatnie do  500.000 zł; </t>
    </r>
    <r>
      <rPr>
        <b/>
        <sz val="12"/>
        <rFont val="Calibri"/>
        <family val="2"/>
        <charset val="238"/>
        <scheme val="minor"/>
      </rPr>
      <t xml:space="preserve">zagraniczne </t>
    </r>
    <r>
      <rPr>
        <sz val="12"/>
        <rFont val="Calibri"/>
        <family val="2"/>
        <charset val="238"/>
        <scheme val="minor"/>
      </rPr>
      <t xml:space="preserve">instrumenty finansowe - opłata miesięczna ponoszona jeżeli miesięczna wartość obrotu liczona dla danej waluty nie osiągnie co najmniej 20%
wartości instrumentów finansowych kwotowanych w danej walucie (EUR/CHF/GBP) wynosi MIESIĘCZNIE 
* dla instrumentów finansowych notowanych w USD 0,01%+ VAT
* o dla instrumentów finansowych notowanych w EUR/CHF/GBP 0,02%+VAT </t>
    </r>
  </si>
  <si>
    <t>0,39% min 5 zł</t>
  </si>
  <si>
    <t>0,19% nie mniej 5 zł</t>
  </si>
  <si>
    <t>150 zł.</t>
  </si>
  <si>
    <t>50 zł od każdej dyspozycji częściowego zwrotu</t>
  </si>
  <si>
    <t>brak opłaty za czynność, może być opłata za przelew do zew. instytucji</t>
  </si>
  <si>
    <t>50 zł od każdej wypłacanej raty</t>
  </si>
  <si>
    <t>Równowartość opłaty pobieranej przez KDPW</t>
  </si>
  <si>
    <t>50 zł od każdej dyspozycji zwrotu</t>
  </si>
  <si>
    <t xml:space="preserve">50 zł od każdej wypłaconej raty </t>
  </si>
  <si>
    <t>Wpłata na konto IKE może nastąpić wyłącznie w zł.  Przewalutowania można dokonać korzystając z uslugi automatycznego przewalutowania według obowiązującego w danym dniu transakcji, kursie. Kurs ogłaszany jest w SPECJALNEJ TABELI KURSOWEJ tabeli każdego dnia i przykładowo wynosi: 4,6410 zł/euro dla kupna i 4,6737zł/ur.  dla sprzedaży (przykładowe dane z 16 listopada). Zasady przewalutowań opisane są tutaj: https://www.santander.pl/klient-indywidualny/oszczednosci-i-inwestycje/rachunki-dla-gield-zagranicznych/automatyczne-przewalutowanie. W przypadku braku środków w obcej walucie na pokrycie zlecenia kupna, na rachunku zostanie zablokowana odpowiednia kwota w złotych. Automatyczne przewalutowanie nastąpi podczas rozliczenia transakcji. Natomiast przy zleceniu sprzedaży instrumentu można samemu zdecydować, czy środki mają trafić na rachunek w obcej walucie czy w złotych. W usłudze automatycznego przewalutowania kurs walut prezentowany w specjalnej tabeli kursowej obowiązuje dla dnia rozliczenia transakcji, a nie złożenia zlecenia. Kurs obowiązujący dla danego dnia jest aktualizowany codziennie w dni robocze do godziny 14.00.
Alternatywą jest skorzystanie z opcji wymiany waluty, dostępnej w opcji Portfel serwisu Inwestor online. Kursy wymiany w ramach automatycznego przewalutowania są jednak najczęściej korzystniejsze od wymiany samodzielnej. Aby inwestować na rynkach zagranicznych potrzebny jest rachunek w walucie danego instrumentu finansowego. Podczas rozszerzania umowy maklerskiej o rynki zagraniczne, następuje otwarcie rachunku w dwóch najbardziej popularnych walutach - EUR i USD - bez dodatkowych opłat. Za dodatkową opłatą (jednorazową) można otworzyć rachunki walutowe w GBP i CHF.</t>
  </si>
  <si>
    <t>Rachunki walutowe - EUR i USD - bez dodatkowych opłat. Za dodatkową opłatą (jednorazową) można otworzyć rachunki walutowe w GBP i CHF. 30 zł za każdy rachunek walutowy inny niż EUR i USD</t>
  </si>
  <si>
    <t>https://www.santander.pl/regulation_file_server/time20200617131642/download?id=160113&amp;lang=pl_PL</t>
  </si>
  <si>
    <t>Specjalne prowizje dla rachunku Trader i TopTrader oraz rachunku VIP</t>
  </si>
  <si>
    <t>Dom Maklerski Banku BPS</t>
  </si>
  <si>
    <t>IKZE i IKE</t>
  </si>
  <si>
    <t>0,13% min 3 zł</t>
  </si>
  <si>
    <t>0,5% wartości transakcji lub portfela min 100 zł</t>
  </si>
  <si>
    <r>
      <rPr>
        <sz val="12"/>
        <rFont val="Calibri"/>
        <family val="2"/>
        <charset val="238"/>
        <scheme val="minor"/>
      </rPr>
      <t>0,5% wartości transakcji lub portfela min 100 zł, transfer instrumentów finansowych do innego podmiotu - 100% opłaty KDPW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</si>
  <si>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>0,5% wartości portfela min 100 zł</t>
  </si>
  <si>
    <t>brak danych - DM nie odpowiedział na zapytanie</t>
  </si>
  <si>
    <t>transfer instrumentów finansowych do innego podmiotu - 100% opłaty KDPW, lub 5 zł w przypadku środków pieniężnych</t>
  </si>
  <si>
    <t>https://maklernet.dmbps.pl/docs/DMBPS_TOIP_17.05.2021.pdf</t>
  </si>
  <si>
    <t>Przejrzysta, prosta tabela opłat.</t>
  </si>
  <si>
    <t>min prowizja [zł]</t>
  </si>
  <si>
    <t>Prowizja</t>
  </si>
  <si>
    <t>BOSSA w promocji</t>
  </si>
  <si>
    <t>BOSSA bez promocji</t>
  </si>
  <si>
    <t>Prowizja jako % wpłaty</t>
  </si>
  <si>
    <t>JEDNORAZOWE WPŁATY--&gt;&gt;&gt;</t>
  </si>
  <si>
    <t>Zakup AKCJI lub ETF notowanych na GPW w Warszawie</t>
  </si>
  <si>
    <t>POLSKA:</t>
  </si>
  <si>
    <t>ZAGRANICA:</t>
  </si>
  <si>
    <t xml:space="preserve">&lt;-- tu możesz wpisać inne kwoty wpłat </t>
  </si>
  <si>
    <t>Prowizja od transakcji w %</t>
  </si>
  <si>
    <t>&lt;-- tu wpisz wysokość prowizji w %</t>
  </si>
  <si>
    <t>&lt;-- tu wpisz minimalną kwotę prowizji</t>
  </si>
  <si>
    <t>INSTYTUCJA</t>
  </si>
  <si>
    <t>GIEŁDY ZAGRANICZNE</t>
  </si>
  <si>
    <t>PROWIZJA JAKO % TRANSAKCJI:</t>
  </si>
  <si>
    <r>
      <t xml:space="preserve">MIEJSCE W RANKINGU - RACHUNKI IKE/IKZE Z DOSTĘPEM DO GIEŁD </t>
    </r>
    <r>
      <rPr>
        <b/>
        <sz val="16"/>
        <color theme="4" tint="0.39997558519241921"/>
        <rFont val="Calibri"/>
        <family val="2"/>
        <charset val="238"/>
        <scheme val="minor"/>
      </rPr>
      <t>ZAGRANICZNYCH</t>
    </r>
  </si>
  <si>
    <t>minimalna transakcja bez podwyższonej prowizji</t>
  </si>
  <si>
    <t>TRANSAKCJA</t>
  </si>
  <si>
    <t>rocznie:</t>
  </si>
  <si>
    <t>co miesiąc 1/12 kwoty</t>
  </si>
  <si>
    <t>co kwartał 1/4 kwoty</t>
  </si>
  <si>
    <t>jednorazowo</t>
  </si>
  <si>
    <t>liczba transakcji w roku</t>
  </si>
  <si>
    <t>kwota każdej transakcji</t>
  </si>
  <si>
    <t>&lt;-- możesz wpisać inne kwoty</t>
  </si>
  <si>
    <t>LATA KALENDARZOWE</t>
  </si>
  <si>
    <t>WSKAŹNIK DO WYLICZENIA OPŁATY</t>
  </si>
  <si>
    <t>IKE OBLIGACJE opłaty</t>
  </si>
  <si>
    <t>SUPER IKE Opłaty</t>
  </si>
  <si>
    <t>mBank emakler</t>
  </si>
  <si>
    <t>Biuro Maklerskie mBank</t>
  </si>
  <si>
    <t>max</t>
  </si>
  <si>
    <t>Opłata stała</t>
  </si>
  <si>
    <t>Opłata zmienna</t>
  </si>
  <si>
    <t>Wartość obligacji na końcu każdego roku</t>
  </si>
  <si>
    <t xml:space="preserve">&lt;----wpisz kwotę, o którą zwiększa się co roku wartość obligacji na koncie </t>
  </si>
  <si>
    <t>IKE OBLIGACJE opłata za dany rok, pobierana w kolejnym roku</t>
  </si>
  <si>
    <t>SUPER IKE Opłata za dany rok, pobierana w kolejnym roku</t>
  </si>
  <si>
    <t>ROK:</t>
  </si>
  <si>
    <t>mBank eMakler</t>
  </si>
  <si>
    <t>Dom Maklerski BDM</t>
  </si>
  <si>
    <t>Dom Maklerski BPS</t>
  </si>
  <si>
    <t>mBank Biuro Maklerskie (MDM)</t>
  </si>
  <si>
    <t>Noble Securities w promocji</t>
  </si>
  <si>
    <t>Noble Securities bez promocji</t>
  </si>
  <si>
    <t>Prowizja jako % transakcji</t>
  </si>
  <si>
    <t>Transakcja:</t>
  </si>
  <si>
    <t>BM Santander</t>
  </si>
  <si>
    <t xml:space="preserve">mBank eMakler </t>
  </si>
  <si>
    <t>RANKING</t>
  </si>
  <si>
    <r>
      <t xml:space="preserve"> </t>
    </r>
    <r>
      <rPr>
        <b/>
        <sz val="14"/>
        <color rgb="FF0070C0"/>
        <rFont val="Calibri"/>
        <family val="2"/>
        <charset val="238"/>
        <scheme val="minor"/>
      </rPr>
      <t>0,29% min 19 zł</t>
    </r>
  </si>
  <si>
    <r>
      <rPr>
        <b/>
        <sz val="14"/>
        <color rgb="FF0070C0"/>
        <rFont val="Calibri"/>
        <family val="2"/>
        <charset val="238"/>
        <scheme val="minor"/>
      </rPr>
      <t>0,29% min 19 zł</t>
    </r>
    <r>
      <rPr>
        <b/>
        <sz val="14"/>
        <rFont val="Calibri"/>
        <family val="2"/>
        <charset val="238"/>
        <scheme val="minor"/>
      </rPr>
      <t xml:space="preserve">/5 EUR/USD/GBP </t>
    </r>
  </si>
  <si>
    <r>
      <t xml:space="preserve">PROMOCJA do 31 grudnia 2021: </t>
    </r>
    <r>
      <rPr>
        <b/>
        <sz val="14"/>
        <color rgb="FF0070C0"/>
        <rFont val="Calibri"/>
        <family val="2"/>
        <charset val="238"/>
        <scheme val="minor"/>
      </rPr>
      <t xml:space="preserve">0,29%, min. 19 PLN/5 </t>
    </r>
    <r>
      <rPr>
        <b/>
        <sz val="14"/>
        <rFont val="Calibri"/>
        <family val="2"/>
        <charset val="238"/>
        <scheme val="minor"/>
      </rPr>
      <t xml:space="preserve">EUR, 5 USD, 5 GBP  </t>
    </r>
    <r>
      <rPr>
        <b/>
        <sz val="14"/>
        <color theme="5" tint="-0.249977111117893"/>
        <rFont val="Calibri"/>
        <family val="2"/>
        <charset val="238"/>
        <scheme val="minor"/>
      </rPr>
      <t xml:space="preserve">poza promocją: </t>
    </r>
    <r>
      <rPr>
        <b/>
        <sz val="14"/>
        <color theme="4" tint="-0.249977111117893"/>
        <rFont val="Calibri"/>
        <family val="2"/>
        <charset val="238"/>
        <scheme val="minor"/>
      </rPr>
      <t>0,29 % min 29 PLN</t>
    </r>
    <r>
      <rPr>
        <b/>
        <sz val="14"/>
        <rFont val="Calibri"/>
        <family val="2"/>
        <charset val="238"/>
        <scheme val="minor"/>
      </rPr>
      <t>/ 7 EUR/ 7,50 USD/ 6 GBP</t>
    </r>
    <r>
      <rPr>
        <b/>
        <sz val="14"/>
        <color rgb="FFFF0000"/>
        <rFont val="Calibri"/>
        <family val="2"/>
        <charset val="238"/>
        <scheme val="minor"/>
      </rPr>
      <t>, Uwaga od BOSSA</t>
    </r>
    <r>
      <rPr>
        <sz val="14"/>
        <rFont val="Calibri"/>
        <family val="2"/>
        <charset val="238"/>
        <scheme val="minor"/>
      </rPr>
      <t xml:space="preserve">: </t>
    </r>
    <r>
      <rPr>
        <i/>
        <sz val="14"/>
        <rFont val="Calibri"/>
        <family val="2"/>
        <charset val="238"/>
        <scheme val="minor"/>
      </rPr>
      <t>"promocja zostanie przedłużona do 31 grudnia 2022 r., intencją jest przedłużanie promocji o kolejny rok"</t>
    </r>
    <r>
      <rPr>
        <b/>
        <sz val="14"/>
        <rFont val="Calibri"/>
        <family val="2"/>
        <charset val="238"/>
        <scheme val="minor"/>
      </rPr>
      <t>.</t>
    </r>
  </si>
  <si>
    <r>
      <t xml:space="preserve">PROMOCJA do 31 grudnia 2021: </t>
    </r>
    <r>
      <rPr>
        <b/>
        <sz val="14"/>
        <color rgb="FF0070C0"/>
        <rFont val="Calibri"/>
        <family val="2"/>
        <charset val="238"/>
        <scheme val="minor"/>
      </rPr>
      <t xml:space="preserve">0,29%, min. 19 PLN/5 </t>
    </r>
    <r>
      <rPr>
        <b/>
        <sz val="14"/>
        <rFont val="Calibri"/>
        <family val="2"/>
        <charset val="238"/>
        <scheme val="minor"/>
      </rPr>
      <t xml:space="preserve">EUR, 5 USD, 5 GBP  </t>
    </r>
    <r>
      <rPr>
        <b/>
        <sz val="14"/>
        <color theme="5" tint="-0.249977111117893"/>
        <rFont val="Calibri"/>
        <family val="2"/>
        <charset val="238"/>
        <scheme val="minor"/>
      </rPr>
      <t xml:space="preserve">poza promocją: </t>
    </r>
    <r>
      <rPr>
        <b/>
        <sz val="14"/>
        <color theme="4" tint="-0.249977111117893"/>
        <rFont val="Calibri"/>
        <family val="2"/>
        <charset val="238"/>
        <scheme val="minor"/>
      </rPr>
      <t>0,29 % min 29 PLN</t>
    </r>
    <r>
      <rPr>
        <b/>
        <sz val="14"/>
        <rFont val="Calibri"/>
        <family val="2"/>
        <charset val="238"/>
        <scheme val="minor"/>
      </rPr>
      <t xml:space="preserve">/ 7 EUR/ 7,50 USD/ 6 GBP, </t>
    </r>
    <r>
      <rPr>
        <b/>
        <sz val="14"/>
        <color rgb="FFFF0000"/>
        <rFont val="Calibri"/>
        <family val="2"/>
        <charset val="238"/>
        <scheme val="minor"/>
      </rPr>
      <t>Uwaga od BOSSA</t>
    </r>
    <r>
      <rPr>
        <sz val="14"/>
        <rFont val="Calibri"/>
        <family val="2"/>
        <charset val="238"/>
        <scheme val="minor"/>
      </rPr>
      <t xml:space="preserve">: </t>
    </r>
    <r>
      <rPr>
        <i/>
        <sz val="14"/>
        <rFont val="Calibri"/>
        <family val="2"/>
        <charset val="238"/>
        <scheme val="minor"/>
      </rPr>
      <t>"promocja zostanie przedłużona do 31 grudnia 2022 r., intencją jest przedłużanie promocji o kolejny rok"</t>
    </r>
    <r>
      <rPr>
        <b/>
        <sz val="14"/>
        <rFont val="Calibri"/>
        <family val="2"/>
        <charset val="238"/>
        <scheme val="minor"/>
      </rPr>
      <t>.</t>
    </r>
  </si>
  <si>
    <r>
      <t>Giełdy europejski</t>
    </r>
    <r>
      <rPr>
        <b/>
        <sz val="14"/>
        <color theme="4" tint="-0.499984740745262"/>
        <rFont val="Calibri"/>
        <family val="2"/>
        <charset val="238"/>
        <scheme val="minor"/>
      </rPr>
      <t>e</t>
    </r>
    <r>
      <rPr>
        <b/>
        <sz val="14"/>
        <color theme="4" tint="-0.249977111117893"/>
        <rFont val="Calibri"/>
        <family val="2"/>
        <charset val="238"/>
        <scheme val="minor"/>
      </rPr>
      <t xml:space="preserve"> 0,39% min 12 EUR/USD/CHF/GBP</t>
    </r>
    <r>
      <rPr>
        <b/>
        <sz val="14"/>
        <color theme="4" tint="-0.499984740745262"/>
        <rFont val="Calibri"/>
        <family val="2"/>
        <charset val="238"/>
        <scheme val="minor"/>
      </rPr>
      <t>;</t>
    </r>
    <r>
      <rPr>
        <sz val="12"/>
        <rFont val="Calibri"/>
        <family val="2"/>
        <charset val="238"/>
        <scheme val="minor"/>
      </rPr>
      <t xml:space="preserve"> giełdy amerykańskie: 0,02 USD od sztuki, nie mniej niż 12 USD.</t>
    </r>
  </si>
  <si>
    <r>
      <t>Giełdy europejskie</t>
    </r>
    <r>
      <rPr>
        <b/>
        <sz val="14"/>
        <color theme="4" tint="-0.249977111117893"/>
        <rFont val="Calibri"/>
        <family val="2"/>
        <charset val="238"/>
        <scheme val="minor"/>
      </rPr>
      <t xml:space="preserve"> 0,39% min 12 EUR/USD/CHF/GBP</t>
    </r>
    <r>
      <rPr>
        <sz val="14"/>
        <rFont val="Calibri"/>
        <family val="2"/>
        <charset val="238"/>
        <scheme val="minor"/>
      </rPr>
      <t>; giełdy amerykańskie: 0,02 USD od sztuki, nie mniej niż 12 USD.</t>
    </r>
  </si>
  <si>
    <t>IKE-Obligacje</t>
  </si>
  <si>
    <t>rok1 : brak opłaty                                                        rok 2.: 0,16%                                                             rok 3.: 0,15%                                                              rok 4.: 0,14%                                                                     rok 5.: 0,13%                                                                   rok 6.: 0,12%                                                                 rok 7.: 0,11%                                                                  rok 8 i kolejne lata: 0,1% wartości nominalnej obligacji zapisanych na koncie IKE Obligacje w ostatnim dniu roku kalendarzowego, nie więcej niż 200,00 zł</t>
  </si>
  <si>
    <t>https://www.obligacjeskarbowe.pl/ike/</t>
  </si>
  <si>
    <t>To jedyne IKE, które daje możliwość kupowania detalicznych obligacji skarbowych</t>
  </si>
  <si>
    <t>Przypadek szczególny: IKE Obligacje</t>
  </si>
  <si>
    <t>www.inwestoronline.pl/r/res/wykaz_tabel/tabela_etf.xls</t>
  </si>
  <si>
    <t>kurs EUR, dla przeliczenia tych ipłat, w których minimum określone jest w EUR</t>
  </si>
  <si>
    <t>opłaty w IKE i Super IKE pobierane są od wartości niminalnej obligacji zapisanych na koncie na 31 grudnia danego roku</t>
  </si>
  <si>
    <t>Opłata w IKE OBLIGACJE - narastająco</t>
  </si>
  <si>
    <t>Opłata w SUPER IKE -  narastajaco</t>
  </si>
  <si>
    <r>
      <rPr>
        <b/>
        <sz val="12"/>
        <rFont val="Calibri"/>
        <family val="2"/>
        <charset val="238"/>
        <scheme val="minor"/>
      </rPr>
      <t>0,39% min 5,00 zł</t>
    </r>
    <r>
      <rPr>
        <sz val="12"/>
        <rFont val="Calibri"/>
        <family val="2"/>
        <charset val="238"/>
        <scheme val="minor"/>
      </rPr>
      <t xml:space="preserve"> (dotyczy zleceń złożonych za pośrednictwem Aplikacji internetowych)</t>
    </r>
  </si>
  <si>
    <r>
      <rPr>
        <b/>
        <sz val="12"/>
        <rFont val="Calibri"/>
        <family val="2"/>
        <charset val="238"/>
        <scheme val="minor"/>
      </rPr>
      <t>0,2% min 5,00 zł*</t>
    </r>
    <r>
      <rPr>
        <sz val="12"/>
        <rFont val="Calibri"/>
        <family val="2"/>
        <charset val="238"/>
        <scheme val="minor"/>
      </rPr>
      <t xml:space="preserve">  dotyczy zleceń złożonych za pośrednictwem Aplikacji internetowych ; detaliczne obligacje skarbowe (rynek pierwotny) - bez prowizji</t>
    </r>
  </si>
  <si>
    <r>
      <t xml:space="preserve">Promocja do 31 grudnia 2021 z opcją przedłużenia na kolejny rok: </t>
    </r>
    <r>
      <rPr>
        <b/>
        <sz val="12"/>
        <rFont val="Calibri"/>
        <family val="2"/>
        <charset val="238"/>
        <scheme val="minor"/>
      </rPr>
      <t>0,19% min 5 zł;</t>
    </r>
    <r>
      <rPr>
        <sz val="12"/>
        <rFont val="Calibri"/>
        <family val="2"/>
        <charset val="238"/>
        <scheme val="minor"/>
      </rPr>
      <t xml:space="preserve"> poza promocją:  0,38% min 10 zł</t>
    </r>
  </si>
  <si>
    <r>
      <t>Promocja do 31 grudnia 2021 z opcją przedłużenia na kolejny rok</t>
    </r>
    <r>
      <rPr>
        <b/>
        <sz val="12"/>
        <rFont val="Calibri"/>
        <family val="2"/>
        <charset val="238"/>
        <scheme val="minor"/>
      </rPr>
      <t>: 0,19% min 5 zł;</t>
    </r>
    <r>
      <rPr>
        <sz val="12"/>
        <rFont val="Calibri"/>
        <family val="2"/>
        <charset val="238"/>
        <scheme val="minor"/>
      </rPr>
      <t xml:space="preserve"> poza promocją:  0,38% min 10 zł</t>
    </r>
  </si>
  <si>
    <r>
      <t>Prowizja w całym roku za zakupy</t>
    </r>
    <r>
      <rPr>
        <b/>
        <sz val="14"/>
        <color rgb="FFC00000"/>
        <rFont val="Calibri"/>
        <family val="2"/>
        <charset val="238"/>
        <scheme val="minor"/>
      </rPr>
      <t xml:space="preserve"> ETF spoza GPW </t>
    </r>
    <r>
      <rPr>
        <b/>
        <sz val="14"/>
        <color theme="1"/>
        <rFont val="Calibri"/>
        <family val="2"/>
        <charset val="238"/>
        <scheme val="minor"/>
      </rPr>
      <t>za kwotę:</t>
    </r>
  </si>
  <si>
    <t xml:space="preserve">Zakup ZAGRANICZNYCH ETF </t>
  </si>
  <si>
    <t>ZAGRANICZNE ETF</t>
  </si>
  <si>
    <t>ZAGRANICZNE AKCJE</t>
  </si>
  <si>
    <t>AKCJE Z GPW</t>
  </si>
  <si>
    <t>ETF Z GPW</t>
  </si>
  <si>
    <t>OBLIGACJE Z GPW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</si>
</sst>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zł&quot;;\-#,##0\ &quot;zł&quot;"/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"/>
    <numFmt numFmtId="165" formatCode="#,##0.00\ &quot;zł&quot;"/>
    <numFmt numFmtId="166" formatCode="#,##0.00\ [$EUR]"/>
    <numFmt numFmtId="167" formatCode="#,##0.0000\ &quot;zł&quot;"/>
    <numFmt numFmtId="168" formatCode="#,##0.000\ [$EUR]"/>
    <numFmt numFmtId="169" formatCode="_-* #,##0\ &quot;zł&quot;_-;\-* #,##0\ &quot;zł&quot;_-;_-* &quot;-&quot;??\ &quot;zł&quot;_-;_-@_-"/>
    <numFmt numFmtId="170" formatCode="General&quot; rok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4A4A4A"/>
      <name val="Poppins"/>
      <charset val="238"/>
    </font>
    <font>
      <b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2"/>
      <color rgb="FFD3544B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6"/>
      <color theme="4" tint="0.3999755851924192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D3544B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D3544B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2"/>
      <color theme="8" tint="-0.49998474074526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8A6B9"/>
        <bgColor indexed="64"/>
      </patternFill>
    </fill>
    <fill>
      <patternFill patternType="solid">
        <fgColor rgb="FFD354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0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1" fillId="7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164" fontId="3" fillId="2" borderId="4" xfId="4" applyNumberFormat="1" applyFill="1" applyBorder="1" applyAlignment="1">
      <alignment vertical="center" wrapText="1"/>
    </xf>
    <xf numFmtId="0" fontId="11" fillId="2" borderId="0" xfId="0" applyFont="1" applyFill="1" applyAlignment="1">
      <alignment wrapText="1"/>
    </xf>
    <xf numFmtId="0" fontId="14" fillId="2" borderId="0" xfId="4" applyFont="1" applyFill="1"/>
    <xf numFmtId="164" fontId="8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4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164" fontId="8" fillId="0" borderId="4" xfId="0" applyNumberFormat="1" applyFont="1" applyBorder="1" applyAlignment="1">
      <alignment vertical="center" wrapText="1"/>
    </xf>
    <xf numFmtId="164" fontId="12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3" fillId="2" borderId="4" xfId="4" applyFill="1" applyBorder="1" applyAlignment="1">
      <alignment vertical="center" wrapText="1"/>
    </xf>
    <xf numFmtId="0" fontId="3" fillId="0" borderId="0" xfId="4" applyAlignment="1">
      <alignment vertical="center" wrapText="1"/>
    </xf>
    <xf numFmtId="164" fontId="15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4" xfId="4" applyFill="1" applyBorder="1" applyAlignment="1">
      <alignment horizontal="center" vertical="center" wrapText="1"/>
    </xf>
    <xf numFmtId="164" fontId="3" fillId="2" borderId="4" xfId="4" applyNumberForma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2" borderId="4" xfId="4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6" fontId="8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0" fontId="8" fillId="2" borderId="4" xfId="0" applyFont="1" applyFill="1" applyBorder="1" applyAlignment="1">
      <alignment wrapText="1"/>
    </xf>
    <xf numFmtId="164" fontId="22" fillId="2" borderId="4" xfId="0" applyNumberFormat="1" applyFont="1" applyFill="1" applyBorder="1" applyAlignment="1">
      <alignment vertical="center" wrapText="1"/>
    </xf>
    <xf numFmtId="0" fontId="23" fillId="2" borderId="0" xfId="0" applyFont="1" applyFill="1"/>
    <xf numFmtId="0" fontId="8" fillId="2" borderId="0" xfId="0" applyFont="1" applyFill="1" applyAlignment="1">
      <alignment horizontal="left"/>
    </xf>
    <xf numFmtId="0" fontId="0" fillId="0" borderId="4" xfId="0" applyBorder="1"/>
    <xf numFmtId="0" fontId="24" fillId="8" borderId="4" xfId="0" applyFont="1" applyFill="1" applyBorder="1" applyAlignment="1">
      <alignment horizontal="left" vertical="center" wrapText="1"/>
    </xf>
    <xf numFmtId="6" fontId="0" fillId="0" borderId="4" xfId="0" applyNumberFormat="1" applyBorder="1"/>
    <xf numFmtId="8" fontId="0" fillId="0" borderId="4" xfId="0" applyNumberFormat="1" applyBorder="1"/>
    <xf numFmtId="8" fontId="0" fillId="10" borderId="4" xfId="0" applyNumberFormat="1" applyFill="1" applyBorder="1"/>
    <xf numFmtId="0" fontId="0" fillId="2" borderId="0" xfId="0" applyFill="1" applyBorder="1"/>
    <xf numFmtId="166" fontId="0" fillId="9" borderId="4" xfId="0" applyNumberFormat="1" applyFill="1" applyBorder="1"/>
    <xf numFmtId="165" fontId="0" fillId="9" borderId="4" xfId="0" applyNumberFormat="1" applyFill="1" applyBorder="1"/>
    <xf numFmtId="0" fontId="0" fillId="9" borderId="0" xfId="0" applyFill="1"/>
    <xf numFmtId="0" fontId="24" fillId="2" borderId="0" xfId="0" applyFont="1" applyFill="1" applyBorder="1" applyAlignment="1">
      <alignment horizontal="left" vertical="center" wrapText="1"/>
    </xf>
    <xf numFmtId="8" fontId="0" fillId="2" borderId="0" xfId="0" applyNumberFormat="1" applyFill="1" applyBorder="1"/>
    <xf numFmtId="1" fontId="0" fillId="2" borderId="0" xfId="0" applyNumberFormat="1" applyFill="1" applyBorder="1"/>
    <xf numFmtId="0" fontId="8" fillId="2" borderId="0" xfId="0" applyFont="1" applyFill="1" applyBorder="1" applyAlignment="1">
      <alignment horizontal="left" vertical="center" wrapText="1"/>
    </xf>
    <xf numFmtId="168" fontId="0" fillId="2" borderId="0" xfId="0" applyNumberFormat="1" applyFill="1" applyBorder="1"/>
    <xf numFmtId="165" fontId="0" fillId="2" borderId="0" xfId="0" applyNumberFormat="1" applyFill="1" applyBorder="1"/>
    <xf numFmtId="0" fontId="0" fillId="2" borderId="6" xfId="0" applyFill="1" applyBorder="1"/>
    <xf numFmtId="5" fontId="25" fillId="2" borderId="8" xfId="2" applyNumberFormat="1" applyFont="1" applyFill="1" applyBorder="1" applyAlignment="1"/>
    <xf numFmtId="0" fontId="8" fillId="2" borderId="9" xfId="0" applyFont="1" applyFill="1" applyBorder="1" applyAlignment="1">
      <alignment horizontal="left" vertical="center" wrapText="1"/>
    </xf>
    <xf numFmtId="165" fontId="0" fillId="0" borderId="9" xfId="0" applyNumberFormat="1" applyBorder="1"/>
    <xf numFmtId="10" fontId="0" fillId="0" borderId="10" xfId="3" applyNumberFormat="1" applyFont="1" applyBorder="1"/>
    <xf numFmtId="165" fontId="0" fillId="0" borderId="11" xfId="0" applyNumberFormat="1" applyBorder="1"/>
    <xf numFmtId="10" fontId="0" fillId="0" borderId="12" xfId="3" applyNumberFormat="1" applyFont="1" applyBorder="1"/>
    <xf numFmtId="0" fontId="26" fillId="2" borderId="5" xfId="0" applyFont="1" applyFill="1" applyBorder="1" applyAlignment="1">
      <alignment horizontal="left" vertical="center" wrapText="1"/>
    </xf>
    <xf numFmtId="0" fontId="2" fillId="2" borderId="0" xfId="0" applyFont="1" applyFill="1"/>
    <xf numFmtId="0" fontId="27" fillId="2" borderId="0" xfId="0" applyFont="1" applyFill="1"/>
    <xf numFmtId="10" fontId="0" fillId="9" borderId="4" xfId="0" applyNumberFormat="1" applyFill="1" applyBorder="1"/>
    <xf numFmtId="8" fontId="0" fillId="9" borderId="4" xfId="0" applyNumberFormat="1" applyFill="1" applyBorder="1"/>
    <xf numFmtId="0" fontId="0" fillId="2" borderId="0" xfId="0" quotePrefix="1" applyFill="1"/>
    <xf numFmtId="0" fontId="0" fillId="0" borderId="4" xfId="0" applyBorder="1" applyAlignment="1">
      <alignment wrapText="1"/>
    </xf>
    <xf numFmtId="10" fontId="0" fillId="2" borderId="4" xfId="3" applyNumberFormat="1" applyFont="1" applyFill="1" applyBorder="1"/>
    <xf numFmtId="167" fontId="0" fillId="2" borderId="0" xfId="0" applyNumberFormat="1" applyFill="1"/>
    <xf numFmtId="0" fontId="0" fillId="2" borderId="0" xfId="0" applyFill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10" fontId="0" fillId="6" borderId="4" xfId="0" applyNumberFormat="1" applyFill="1" applyBorder="1"/>
    <xf numFmtId="165" fontId="0" fillId="6" borderId="4" xfId="0" applyNumberFormat="1" applyFill="1" applyBorder="1"/>
    <xf numFmtId="166" fontId="0" fillId="6" borderId="4" xfId="0" applyNumberFormat="1" applyFill="1" applyBorder="1"/>
    <xf numFmtId="0" fontId="25" fillId="2" borderId="0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4" xfId="0" applyFill="1" applyBorder="1"/>
    <xf numFmtId="165" fontId="0" fillId="0" borderId="4" xfId="0" applyNumberForma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5" fontId="16" fillId="2" borderId="17" xfId="2" applyNumberFormat="1" applyFont="1" applyFill="1" applyBorder="1" applyAlignment="1"/>
    <xf numFmtId="44" fontId="8" fillId="2" borderId="0" xfId="2" applyFont="1" applyFill="1" applyBorder="1" applyAlignment="1">
      <alignment horizontal="left" vertical="center" wrapText="1"/>
    </xf>
    <xf numFmtId="10" fontId="0" fillId="2" borderId="0" xfId="3" applyNumberFormat="1" applyFont="1" applyFill="1" applyBorder="1"/>
    <xf numFmtId="0" fontId="25" fillId="2" borderId="0" xfId="0" applyFont="1" applyFill="1" applyBorder="1" applyAlignment="1">
      <alignment vertical="center"/>
    </xf>
    <xf numFmtId="0" fontId="0" fillId="2" borderId="8" xfId="0" applyFill="1" applyBorder="1"/>
    <xf numFmtId="5" fontId="16" fillId="2" borderId="16" xfId="2" applyNumberFormat="1" applyFont="1" applyFill="1" applyBorder="1" applyAlignment="1"/>
    <xf numFmtId="5" fontId="16" fillId="2" borderId="18" xfId="2" applyNumberFormat="1" applyFont="1" applyFill="1" applyBorder="1" applyAlignment="1"/>
    <xf numFmtId="165" fontId="0" fillId="2" borderId="0" xfId="0" applyNumberFormat="1" applyFill="1"/>
    <xf numFmtId="0" fontId="30" fillId="2" borderId="14" xfId="0" applyFont="1" applyFill="1" applyBorder="1" applyAlignment="1">
      <alignment horizontal="left" vertical="top" wrapText="1"/>
    </xf>
    <xf numFmtId="0" fontId="31" fillId="2" borderId="9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wrapText="1"/>
    </xf>
    <xf numFmtId="0" fontId="25" fillId="2" borderId="19" xfId="0" applyFont="1" applyFill="1" applyBorder="1" applyAlignment="1">
      <alignment horizontal="right" vertical="center"/>
    </xf>
    <xf numFmtId="0" fontId="25" fillId="2" borderId="19" xfId="0" applyFont="1" applyFill="1" applyBorder="1" applyAlignment="1">
      <alignment vertical="center"/>
    </xf>
    <xf numFmtId="5" fontId="25" fillId="2" borderId="20" xfId="2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10" fontId="0" fillId="2" borderId="4" xfId="0" applyNumberFormat="1" applyFill="1" applyBorder="1"/>
    <xf numFmtId="0" fontId="2" fillId="2" borderId="4" xfId="0" applyFont="1" applyFill="1" applyBorder="1" applyAlignment="1">
      <alignment wrapText="1"/>
    </xf>
    <xf numFmtId="169" fontId="0" fillId="2" borderId="4" xfId="2" applyNumberFormat="1" applyFont="1" applyFill="1" applyBorder="1"/>
    <xf numFmtId="44" fontId="0" fillId="2" borderId="0" xfId="2" applyFont="1" applyFill="1"/>
    <xf numFmtId="0" fontId="0" fillId="2" borderId="4" xfId="0" applyFill="1" applyBorder="1" applyAlignment="1"/>
    <xf numFmtId="169" fontId="25" fillId="2" borderId="0" xfId="2" applyNumberFormat="1" applyFont="1" applyFill="1"/>
    <xf numFmtId="169" fontId="0" fillId="2" borderId="4" xfId="2" applyNumberFormat="1" applyFont="1" applyFill="1" applyBorder="1" applyAlignment="1">
      <alignment wrapText="1"/>
    </xf>
    <xf numFmtId="0" fontId="0" fillId="2" borderId="21" xfId="0" applyFill="1" applyBorder="1"/>
    <xf numFmtId="0" fontId="11" fillId="8" borderId="4" xfId="0" applyFont="1" applyFill="1" applyBorder="1" applyAlignment="1">
      <alignment horizontal="left" vertical="center" wrapText="1"/>
    </xf>
    <xf numFmtId="170" fontId="2" fillId="2" borderId="4" xfId="0" applyNumberFormat="1" applyFont="1" applyFill="1" applyBorder="1" applyAlignment="1">
      <alignment horizontal="center" wrapText="1"/>
    </xf>
    <xf numFmtId="170" fontId="2" fillId="2" borderId="4" xfId="0" applyNumberFormat="1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 vertical="center" wrapText="1"/>
    </xf>
    <xf numFmtId="169" fontId="0" fillId="2" borderId="0" xfId="0" applyNumberFormat="1" applyFill="1"/>
    <xf numFmtId="44" fontId="0" fillId="2" borderId="4" xfId="2" applyNumberFormat="1" applyFont="1" applyFill="1" applyBorder="1"/>
    <xf numFmtId="0" fontId="32" fillId="2" borderId="10" xfId="0" applyFont="1" applyFill="1" applyBorder="1" applyAlignment="1">
      <alignment horizontal="left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34" fillId="12" borderId="22" xfId="0" applyFont="1" applyFill="1" applyBorder="1" applyAlignment="1">
      <alignment horizontal="center"/>
    </xf>
    <xf numFmtId="164" fontId="35" fillId="2" borderId="4" xfId="0" applyNumberFormat="1" applyFont="1" applyFill="1" applyBorder="1" applyAlignment="1">
      <alignment horizontal="center" vertical="center" wrapText="1"/>
    </xf>
    <xf numFmtId="0" fontId="35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wrapText="1"/>
    </xf>
    <xf numFmtId="0" fontId="42" fillId="2" borderId="0" xfId="0" applyFont="1" applyFill="1" applyAlignment="1">
      <alignment horizontal="center" vertical="center" wrapText="1"/>
    </xf>
    <xf numFmtId="0" fontId="41" fillId="2" borderId="0" xfId="0" applyFont="1" applyFill="1"/>
    <xf numFmtId="43" fontId="10" fillId="7" borderId="4" xfId="1" applyFont="1" applyFill="1" applyBorder="1" applyAlignment="1">
      <alignment horizontal="center" vertical="center" wrapText="1"/>
    </xf>
    <xf numFmtId="5" fontId="0" fillId="2" borderId="0" xfId="0" applyNumberFormat="1" applyFill="1"/>
    <xf numFmtId="165" fontId="2" fillId="0" borderId="9" xfId="0" applyNumberFormat="1" applyFont="1" applyBorder="1"/>
    <xf numFmtId="9" fontId="2" fillId="0" borderId="10" xfId="3" applyFont="1" applyBorder="1"/>
    <xf numFmtId="10" fontId="2" fillId="0" borderId="10" xfId="3" applyNumberFormat="1" applyFont="1" applyBorder="1"/>
    <xf numFmtId="5" fontId="25" fillId="2" borderId="0" xfId="2" applyNumberFormat="1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9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wrapText="1"/>
    </xf>
    <xf numFmtId="0" fontId="31" fillId="2" borderId="0" xfId="0" applyFont="1" applyFill="1" applyBorder="1" applyAlignment="1">
      <alignment horizontal="center"/>
    </xf>
    <xf numFmtId="5" fontId="16" fillId="2" borderId="0" xfId="2" applyNumberFormat="1" applyFont="1" applyFill="1" applyBorder="1" applyAlignment="1"/>
    <xf numFmtId="0" fontId="3" fillId="2" borderId="4" xfId="4" quotePrefix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43" fontId="11" fillId="7" borderId="25" xfId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21" fillId="2" borderId="25" xfId="4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64" fontId="13" fillId="2" borderId="25" xfId="0" applyNumberFormat="1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/>
    </xf>
    <xf numFmtId="0" fontId="44" fillId="2" borderId="0" xfId="0" applyFont="1" applyFill="1" applyAlignment="1">
      <alignment wrapText="1"/>
    </xf>
    <xf numFmtId="0" fontId="46" fillId="13" borderId="4" xfId="0" applyFont="1" applyFill="1" applyBorder="1" applyAlignment="1">
      <alignment horizontal="left" vertical="center" wrapText="1"/>
    </xf>
    <xf numFmtId="0" fontId="46" fillId="14" borderId="4" xfId="0" applyFont="1" applyFill="1" applyBorder="1" applyAlignment="1">
      <alignment horizontal="left" vertical="center" wrapText="1"/>
    </xf>
    <xf numFmtId="0" fontId="46" fillId="11" borderId="4" xfId="0" applyFont="1" applyFill="1" applyBorder="1" applyAlignment="1">
      <alignment horizontal="left" vertical="center" wrapText="1"/>
    </xf>
    <xf numFmtId="0" fontId="46" fillId="4" borderId="4" xfId="0" applyFont="1" applyFill="1" applyBorder="1" applyAlignment="1">
      <alignment horizontal="left" vertical="center" wrapText="1"/>
    </xf>
    <xf numFmtId="0" fontId="46" fillId="5" borderId="4" xfId="0" applyFont="1" applyFill="1" applyBorder="1" applyAlignment="1">
      <alignment horizontal="left" vertical="center" wrapText="1"/>
    </xf>
    <xf numFmtId="0" fontId="47" fillId="2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top" wrapText="1"/>
    </xf>
    <xf numFmtId="0" fontId="25" fillId="2" borderId="13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9" fillId="9" borderId="2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46" fillId="13" borderId="14" xfId="0" applyFont="1" applyFill="1" applyBorder="1" applyAlignment="1">
      <alignment horizontal="center"/>
    </xf>
    <xf numFmtId="0" fontId="46" fillId="14" borderId="14" xfId="0" applyFont="1" applyFill="1" applyBorder="1" applyAlignment="1">
      <alignment horizontal="center"/>
    </xf>
    <xf numFmtId="0" fontId="46" fillId="11" borderId="14" xfId="0" applyFont="1" applyFill="1" applyBorder="1" applyAlignment="1">
      <alignment horizontal="center"/>
    </xf>
    <xf numFmtId="0" fontId="46" fillId="4" borderId="14" xfId="0" applyFont="1" applyFill="1" applyBorder="1" applyAlignment="1">
      <alignment horizontal="center"/>
    </xf>
    <xf numFmtId="169" fontId="0" fillId="2" borderId="0" xfId="0" applyNumberFormat="1" applyFill="1" applyAlignment="1">
      <alignment wrapText="1"/>
    </xf>
  </cellXfs>
  <cellStyles count="5">
    <cellStyle name="Dziesiętny" xfId="1" builtinId="3"/>
    <cellStyle name="Hiperłącze" xfId="4" builtinId="8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0099CC"/>
      <color rgb="FF33CCCC"/>
      <color rgb="FFFF505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Opłaty w</a:t>
            </a:r>
            <a:r>
              <a:rPr lang="pl-PL" b="1" baseline="0"/>
              <a:t>  IKE i SUPER IKE narastająco</a:t>
            </a:r>
            <a:endParaRPr lang="pl-P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'IKE Obligacje vs SUPER IKE'!$F$5</c:f>
              <c:strCache>
                <c:ptCount val="1"/>
                <c:pt idx="0">
                  <c:v>Opłata w IKE OBLIGACJE - narastająco</c:v>
                </c:pt>
              </c:strCache>
            </c:strRef>
          </c:tx>
          <c:spPr>
            <a:ln w="28575" cap="rnd">
              <a:solidFill>
                <a:srgbClr val="00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CC"/>
              </a:solidFill>
              <a:ln w="9525">
                <a:solidFill>
                  <a:srgbClr val="0099CC"/>
                </a:solidFill>
              </a:ln>
              <a:effectLst/>
            </c:spPr>
          </c:marker>
          <c:val>
            <c:numRef>
              <c:f>'IKE Obligacje vs SUPER IKE'!$F$6:$F$31</c:f>
              <c:numCache>
                <c:formatCode>_("zł"* #,##0.00_);_("zł"* \(#,##0.00\);_("zł"* "-"??_);_(@_)</c:formatCode>
                <c:ptCount val="26"/>
                <c:pt idx="1">
                  <c:v>0</c:v>
                </c:pt>
                <c:pt idx="2">
                  <c:v>50.486400000000003</c:v>
                </c:pt>
                <c:pt idx="3">
                  <c:v>121.4829</c:v>
                </c:pt>
                <c:pt idx="4">
                  <c:v>209.83410000000001</c:v>
                </c:pt>
                <c:pt idx="5">
                  <c:v>312.38459999999998</c:v>
                </c:pt>
                <c:pt idx="6">
                  <c:v>425.97899999999998</c:v>
                </c:pt>
                <c:pt idx="7">
                  <c:v>547.46190000000001</c:v>
                </c:pt>
                <c:pt idx="8">
                  <c:v>673.67790000000002</c:v>
                </c:pt>
                <c:pt idx="9">
                  <c:v>815.67090000000007</c:v>
                </c:pt>
                <c:pt idx="10">
                  <c:v>973.44090000000006</c:v>
                </c:pt>
                <c:pt idx="11">
                  <c:v>1146.9879000000001</c:v>
                </c:pt>
                <c:pt idx="12">
                  <c:v>1336.3119000000002</c:v>
                </c:pt>
                <c:pt idx="13">
                  <c:v>1536.3119000000002</c:v>
                </c:pt>
                <c:pt idx="14">
                  <c:v>1736.3119000000002</c:v>
                </c:pt>
                <c:pt idx="15">
                  <c:v>1936.3119000000002</c:v>
                </c:pt>
                <c:pt idx="16">
                  <c:v>2136.3119000000002</c:v>
                </c:pt>
                <c:pt idx="17">
                  <c:v>2336.3119000000002</c:v>
                </c:pt>
                <c:pt idx="18">
                  <c:v>2536.3119000000002</c:v>
                </c:pt>
                <c:pt idx="19">
                  <c:v>2736.3119000000002</c:v>
                </c:pt>
                <c:pt idx="20">
                  <c:v>2936.3119000000002</c:v>
                </c:pt>
                <c:pt idx="21">
                  <c:v>3136.3119000000002</c:v>
                </c:pt>
                <c:pt idx="22">
                  <c:v>3336.3119000000002</c:v>
                </c:pt>
                <c:pt idx="23">
                  <c:v>3536.3119000000002</c:v>
                </c:pt>
                <c:pt idx="24">
                  <c:v>3736.3119000000002</c:v>
                </c:pt>
                <c:pt idx="25">
                  <c:v>3936.3119000000002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65-4DA5-B0A2-D0E36A6FECA2}"/>
            </c:ext>
          </c:extLst>
        </c:ser>
        <c:ser>
          <c:idx val="5"/>
          <c:order val="5"/>
          <c:tx>
            <c:strRef>
              <c:f>'IKE Obligacje vs SUPER IKE'!$G$5</c:f>
              <c:strCache>
                <c:ptCount val="1"/>
                <c:pt idx="0">
                  <c:v>Opłata w SUPER IKE -  narastajaco</c:v>
                </c:pt>
              </c:strCache>
            </c:strRef>
          </c:tx>
          <c:spPr>
            <a:ln w="28575" cap="rnd">
              <a:solidFill>
                <a:srgbClr val="FF5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5050"/>
              </a:solidFill>
              <a:ln w="9525">
                <a:solidFill>
                  <a:srgbClr val="FF5050"/>
                </a:solidFill>
              </a:ln>
              <a:effectLst/>
            </c:spPr>
          </c:marker>
          <c:val>
            <c:numRef>
              <c:f>'IKE Obligacje vs SUPER IKE'!$G$6:$G$31</c:f>
              <c:numCache>
                <c:formatCode>_("zł"* #,##0.00_);_("zł"* \(#,##0.00\);_("zł"* "-"??_);_(@_)</c:formatCode>
                <c:ptCount val="26"/>
                <c:pt idx="1">
                  <c:v>75.777000000000001</c:v>
                </c:pt>
                <c:pt idx="2">
                  <c:v>167.33100000000002</c:v>
                </c:pt>
                <c:pt idx="3">
                  <c:v>274.66200000000003</c:v>
                </c:pt>
                <c:pt idx="4">
                  <c:v>397.77000000000004</c:v>
                </c:pt>
                <c:pt idx="5">
                  <c:v>536.65499999999997</c:v>
                </c:pt>
                <c:pt idx="6">
                  <c:v>691.31700000000001</c:v>
                </c:pt>
                <c:pt idx="7">
                  <c:v>861.75600000000009</c:v>
                </c:pt>
                <c:pt idx="8">
                  <c:v>1047.9720000000002</c:v>
                </c:pt>
                <c:pt idx="9">
                  <c:v>1249.9650000000001</c:v>
                </c:pt>
                <c:pt idx="10">
                  <c:v>1467.7350000000001</c:v>
                </c:pt>
                <c:pt idx="11">
                  <c:v>1701.2820000000002</c:v>
                </c:pt>
                <c:pt idx="12">
                  <c:v>1950.6060000000002</c:v>
                </c:pt>
                <c:pt idx="13">
                  <c:v>2210.6060000000002</c:v>
                </c:pt>
                <c:pt idx="14">
                  <c:v>2470.6060000000002</c:v>
                </c:pt>
                <c:pt idx="15">
                  <c:v>2730.6060000000002</c:v>
                </c:pt>
                <c:pt idx="16">
                  <c:v>2990.6060000000002</c:v>
                </c:pt>
                <c:pt idx="17">
                  <c:v>3250.6060000000002</c:v>
                </c:pt>
                <c:pt idx="18">
                  <c:v>3510.6060000000002</c:v>
                </c:pt>
                <c:pt idx="19">
                  <c:v>3770.6060000000002</c:v>
                </c:pt>
                <c:pt idx="20">
                  <c:v>4030.6060000000002</c:v>
                </c:pt>
                <c:pt idx="21">
                  <c:v>4290.6059999999998</c:v>
                </c:pt>
                <c:pt idx="22">
                  <c:v>4550.6059999999998</c:v>
                </c:pt>
                <c:pt idx="23">
                  <c:v>4810.6059999999998</c:v>
                </c:pt>
                <c:pt idx="24">
                  <c:v>5070.6059999999998</c:v>
                </c:pt>
                <c:pt idx="25">
                  <c:v>5330.6059999999998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65-4DA5-B0A2-D0E36A6F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63328"/>
        <c:axId val="9199400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'IKE Obligacje vs SUPER IKE'!$B$5</c15:sqref>
                        </c15:formulaRef>
                      </c:ext>
                    </c:extLst>
                    <c:strCache>
                      <c:ptCount val="1"/>
                      <c:pt idx="0">
                        <c:v>ROK: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'IKE Obligacje vs SUPER IKE'!$B$6:$B$31</c15:sqref>
                        </c15:formulaRef>
                      </c:ext>
                    </c:extLst>
                    <c:numCache>
                      <c:formatCode>General" rok"</c:formatCode>
                      <c:ptCount val="2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E65-4DA5-B0A2-D0E36A6FECA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IKE'!$C$5</c15:sqref>
                        </c15:formulaRef>
                      </c:ext>
                    </c:extLst>
                    <c:strCache>
                      <c:ptCount val="1"/>
                      <c:pt idx="0">
                        <c:v>Wartość obligacji na końcu każdego roku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IKE'!$C$6:$C$31</c15:sqref>
                        </c15:formulaRef>
                      </c:ext>
                    </c:extLst>
                    <c:numCache>
                      <c:formatCode>_-* #\ ##0\ "zł"_-;\-* #\ ##0\ "zł"_-;_-* "-"??\ "zł"_-;_-@_-</c:formatCode>
                      <c:ptCount val="26"/>
                      <c:pt idx="0">
                        <c:v>0</c:v>
                      </c:pt>
                      <c:pt idx="1">
                        <c:v>15777</c:v>
                      </c:pt>
                      <c:pt idx="2">
                        <c:v>31554</c:v>
                      </c:pt>
                      <c:pt idx="3">
                        <c:v>47331</c:v>
                      </c:pt>
                      <c:pt idx="4">
                        <c:v>63108</c:v>
                      </c:pt>
                      <c:pt idx="5">
                        <c:v>78885</c:v>
                      </c:pt>
                      <c:pt idx="6">
                        <c:v>94662</c:v>
                      </c:pt>
                      <c:pt idx="7">
                        <c:v>110439</c:v>
                      </c:pt>
                      <c:pt idx="8">
                        <c:v>126216</c:v>
                      </c:pt>
                      <c:pt idx="9">
                        <c:v>141993</c:v>
                      </c:pt>
                      <c:pt idx="10">
                        <c:v>157770</c:v>
                      </c:pt>
                      <c:pt idx="11">
                        <c:v>173547</c:v>
                      </c:pt>
                      <c:pt idx="12">
                        <c:v>189324</c:v>
                      </c:pt>
                      <c:pt idx="13">
                        <c:v>205101</c:v>
                      </c:pt>
                      <c:pt idx="14">
                        <c:v>220878</c:v>
                      </c:pt>
                      <c:pt idx="15">
                        <c:v>236655</c:v>
                      </c:pt>
                      <c:pt idx="16">
                        <c:v>252432</c:v>
                      </c:pt>
                      <c:pt idx="17">
                        <c:v>268209</c:v>
                      </c:pt>
                      <c:pt idx="18">
                        <c:v>283986</c:v>
                      </c:pt>
                      <c:pt idx="19">
                        <c:v>299763</c:v>
                      </c:pt>
                      <c:pt idx="20">
                        <c:v>315540</c:v>
                      </c:pt>
                      <c:pt idx="21">
                        <c:v>331317</c:v>
                      </c:pt>
                      <c:pt idx="22">
                        <c:v>347094</c:v>
                      </c:pt>
                      <c:pt idx="23">
                        <c:v>362871</c:v>
                      </c:pt>
                      <c:pt idx="24">
                        <c:v>378648</c:v>
                      </c:pt>
                      <c:pt idx="25">
                        <c:v>394425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E65-4DA5-B0A2-D0E36A6FECA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IKE'!$D$5</c15:sqref>
                        </c15:formulaRef>
                      </c:ext>
                    </c:extLst>
                    <c:strCache>
                      <c:ptCount val="1"/>
                      <c:pt idx="0">
                        <c:v>IKE OBLIGACJE opłata za dany rok, pobierana w kolejnym roku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IKE'!$D$6:$D$31</c15:sqref>
                        </c15:formulaRef>
                      </c:ext>
                    </c:extLst>
                    <c:numCache>
                      <c:formatCode>_("zł"* #,##0.00_);_("zł"* \(#,##0.00\);_("zł"* "-"??_);_(@_)</c:formatCode>
                      <c:ptCount val="26"/>
                      <c:pt idx="1">
                        <c:v>0</c:v>
                      </c:pt>
                      <c:pt idx="2">
                        <c:v>50.486400000000003</c:v>
                      </c:pt>
                      <c:pt idx="3">
                        <c:v>70.996499999999997</c:v>
                      </c:pt>
                      <c:pt idx="4">
                        <c:v>88.351200000000006</c:v>
                      </c:pt>
                      <c:pt idx="5">
                        <c:v>102.5505</c:v>
                      </c:pt>
                      <c:pt idx="6">
                        <c:v>113.59439999999999</c:v>
                      </c:pt>
                      <c:pt idx="7">
                        <c:v>121.4829</c:v>
                      </c:pt>
                      <c:pt idx="8">
                        <c:v>126.21600000000001</c:v>
                      </c:pt>
                      <c:pt idx="9">
                        <c:v>141.99299999999999</c:v>
                      </c:pt>
                      <c:pt idx="10">
                        <c:v>157.77000000000001</c:v>
                      </c:pt>
                      <c:pt idx="11">
                        <c:v>173.547</c:v>
                      </c:pt>
                      <c:pt idx="12">
                        <c:v>189.32400000000001</c:v>
                      </c:pt>
                      <c:pt idx="13">
                        <c:v>200</c:v>
                      </c:pt>
                      <c:pt idx="14">
                        <c:v>200</c:v>
                      </c:pt>
                      <c:pt idx="15">
                        <c:v>200</c:v>
                      </c:pt>
                      <c:pt idx="16">
                        <c:v>200</c:v>
                      </c:pt>
                      <c:pt idx="17">
                        <c:v>200</c:v>
                      </c:pt>
                      <c:pt idx="18">
                        <c:v>200</c:v>
                      </c:pt>
                      <c:pt idx="19">
                        <c:v>200</c:v>
                      </c:pt>
                      <c:pt idx="20">
                        <c:v>200</c:v>
                      </c:pt>
                      <c:pt idx="21">
                        <c:v>200</c:v>
                      </c:pt>
                      <c:pt idx="22">
                        <c:v>200</c:v>
                      </c:pt>
                      <c:pt idx="23">
                        <c:v>200</c:v>
                      </c:pt>
                      <c:pt idx="24">
                        <c:v>200</c:v>
                      </c:pt>
                      <c:pt idx="25">
                        <c:v>200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65-4DA5-B0A2-D0E36A6FECA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IKE'!$E$5</c15:sqref>
                        </c15:formulaRef>
                      </c:ext>
                    </c:extLst>
                    <c:strCache>
                      <c:ptCount val="1"/>
                      <c:pt idx="0">
                        <c:v>SUPER IKE Opłata za dany rok, pobierana w kolejnym roku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'IKE Obligacje vs SUPER IKE'!$E$6:$E$31</c15:sqref>
                        </c15:formulaRef>
                      </c:ext>
                    </c:extLst>
                    <c:numCache>
                      <c:formatCode>_("zł"* #,##0.00_);_("zł"* \(#,##0.00\);_("zł"* "-"??_);_(@_)</c:formatCode>
                      <c:ptCount val="26"/>
                      <c:pt idx="1">
                        <c:v>75.777000000000001</c:v>
                      </c:pt>
                      <c:pt idx="2">
                        <c:v>91.554000000000002</c:v>
                      </c:pt>
                      <c:pt idx="3">
                        <c:v>107.331</c:v>
                      </c:pt>
                      <c:pt idx="4">
                        <c:v>123.108</c:v>
                      </c:pt>
                      <c:pt idx="5">
                        <c:v>138.88499999999999</c:v>
                      </c:pt>
                      <c:pt idx="6">
                        <c:v>154.66200000000001</c:v>
                      </c:pt>
                      <c:pt idx="7">
                        <c:v>170.43900000000002</c:v>
                      </c:pt>
                      <c:pt idx="8">
                        <c:v>186.21600000000001</c:v>
                      </c:pt>
                      <c:pt idx="9">
                        <c:v>201.99299999999999</c:v>
                      </c:pt>
                      <c:pt idx="10">
                        <c:v>217.77</c:v>
                      </c:pt>
                      <c:pt idx="11">
                        <c:v>233.547</c:v>
                      </c:pt>
                      <c:pt idx="12">
                        <c:v>249.32400000000001</c:v>
                      </c:pt>
                      <c:pt idx="13">
                        <c:v>260</c:v>
                      </c:pt>
                      <c:pt idx="14">
                        <c:v>260</c:v>
                      </c:pt>
                      <c:pt idx="15">
                        <c:v>260</c:v>
                      </c:pt>
                      <c:pt idx="16">
                        <c:v>260</c:v>
                      </c:pt>
                      <c:pt idx="17">
                        <c:v>260</c:v>
                      </c:pt>
                      <c:pt idx="18">
                        <c:v>260</c:v>
                      </c:pt>
                      <c:pt idx="19">
                        <c:v>260</c:v>
                      </c:pt>
                      <c:pt idx="20">
                        <c:v>260</c:v>
                      </c:pt>
                      <c:pt idx="21">
                        <c:v>260</c:v>
                      </c:pt>
                      <c:pt idx="22">
                        <c:v>260</c:v>
                      </c:pt>
                      <c:pt idx="23">
                        <c:v>260</c:v>
                      </c:pt>
                      <c:pt idx="24">
                        <c:v>260</c:v>
                      </c:pt>
                      <c:pt idx="25">
                        <c:v>260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65-4DA5-B0A2-D0E36A6FECA2}"/>
                  </c:ext>
                </c:extLst>
              </c15:ser>
            </c15:filteredLineSeries>
          </c:ext>
        </c:extLst>
      </c:lineChart>
      <c:catAx>
        <c:axId val="919963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9940032"/>
        <c:crosses val="autoZero"/>
        <c:auto val="1"/>
        <c:lblAlgn val="ctr"/>
        <c:lblOffset val="100"/>
        <c:noMultiLvlLbl val="0"/>
      </c:catAx>
      <c:valAx>
        <c:axId val="9199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zł&quot;_-;\-* #\ ##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99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2</xdr:row>
      <xdr:rowOff>31081</xdr:rowOff>
    </xdr:from>
    <xdr:to>
      <xdr:col>12</xdr:col>
      <xdr:colOff>342900</xdr:colOff>
      <xdr:row>2</xdr:row>
      <xdr:rowOff>428477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2988DE2-F641-4F4A-8814-FCCA2DF73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975" y="545431"/>
          <a:ext cx="1644650" cy="397396"/>
        </a:xfrm>
        <a:prstGeom prst="rect">
          <a:avLst/>
        </a:prstGeom>
      </xdr:spPr>
    </xdr:pic>
    <xdr:clientData/>
  </xdr:twoCellAnchor>
  <xdr:oneCellAnchor>
    <xdr:from>
      <xdr:col>0</xdr:col>
      <xdr:colOff>15240</xdr:colOff>
      <xdr:row>31</xdr:row>
      <xdr:rowOff>213360</xdr:rowOff>
    </xdr:from>
    <xdr:ext cx="1644650" cy="400571"/>
    <xdr:pic>
      <xdr:nvPicPr>
        <xdr:cNvPr id="4" name="Obraz 3">
          <a:extLst>
            <a:ext uri="{FF2B5EF4-FFF2-40B4-BE49-F238E27FC236}">
              <a16:creationId xmlns:a16="http://schemas.microsoft.com/office/drawing/2014/main" id="{62B4C100-6CDA-49F0-8AB9-641E59B37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9525000"/>
          <a:ext cx="1644650" cy="400571"/>
        </a:xfrm>
        <a:prstGeom prst="rect">
          <a:avLst/>
        </a:prstGeom>
      </xdr:spPr>
    </xdr:pic>
    <xdr:clientData/>
  </xdr:oneCellAnchor>
  <xdr:oneCellAnchor>
    <xdr:from>
      <xdr:col>10</xdr:col>
      <xdr:colOff>419100</xdr:colOff>
      <xdr:row>18</xdr:row>
      <xdr:rowOff>57150</xdr:rowOff>
    </xdr:from>
    <xdr:ext cx="1644650" cy="400571"/>
    <xdr:pic>
      <xdr:nvPicPr>
        <xdr:cNvPr id="5" name="Obraz 4">
          <a:extLst>
            <a:ext uri="{FF2B5EF4-FFF2-40B4-BE49-F238E27FC236}">
              <a16:creationId xmlns:a16="http://schemas.microsoft.com/office/drawing/2014/main" id="{3BC678D2-C86A-487F-AD75-CAB6A16E5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5" y="7981950"/>
          <a:ext cx="1644650" cy="4005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301625</xdr:colOff>
      <xdr:row>6</xdr:row>
      <xdr:rowOff>152399</xdr:rowOff>
    </xdr:from>
    <xdr:to>
      <xdr:col>16</xdr:col>
      <xdr:colOff>549275</xdr:colOff>
      <xdr:row>16</xdr:row>
      <xdr:rowOff>88898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32E464E-E125-42DE-BC58-CB734A952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f5fe913bd258826/Pulpit/Obligacje%202021/MK%20IKE%20i%20IKZE%20Domy%20Maklersk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2021 IKE IKZE_ODPOWIEDZI"/>
      <sheetName val="liczenie"/>
      <sheetName val="Ranking_robocze 2021"/>
      <sheetName val="2020 IKZE Rachunki maklerskie"/>
    </sheetNames>
    <sheetDataSet>
      <sheetData sheetId="0">
        <row r="5">
          <cell r="B5" t="str">
            <v>Instytucja</v>
          </cell>
          <cell r="D5" t="str">
            <v>IKE</v>
          </cell>
          <cell r="E5" t="str">
            <v>IKZE</v>
          </cell>
          <cell r="F5" t="str">
            <v>Dostęp do giełd zagranicznych</v>
          </cell>
          <cell r="K5" t="str">
            <v>%</v>
          </cell>
          <cell r="L5" t="str">
            <v>min [zł]</v>
          </cell>
          <cell r="M5" t="str">
            <v>min [EUR]</v>
          </cell>
          <cell r="O5" t="str">
            <v>%</v>
          </cell>
          <cell r="P5" t="str">
            <v>min [zł]</v>
          </cell>
          <cell r="Q5" t="str">
            <v>min [EUR]</v>
          </cell>
          <cell r="S5" t="str">
            <v>%</v>
          </cell>
          <cell r="T5" t="str">
            <v>min [zł]</v>
          </cell>
          <cell r="V5" t="str">
            <v>%</v>
          </cell>
          <cell r="W5" t="str">
            <v>min [zł]</v>
          </cell>
          <cell r="Y5" t="str">
            <v>%</v>
          </cell>
          <cell r="Z5" t="str">
            <v>min [zł]</v>
          </cell>
          <cell r="AN5" t="str">
            <v>spread EUR %</v>
          </cell>
          <cell r="AO5" t="str">
            <v>spread EUR zł</v>
          </cell>
        </row>
        <row r="6">
          <cell r="B6"/>
          <cell r="D6"/>
          <cell r="E6"/>
          <cell r="F6"/>
          <cell r="K6"/>
          <cell r="L6"/>
          <cell r="M6"/>
          <cell r="O6"/>
          <cell r="P6"/>
          <cell r="Q6"/>
          <cell r="S6"/>
          <cell r="T6"/>
          <cell r="V6"/>
          <cell r="W6"/>
          <cell r="Y6"/>
          <cell r="Z6"/>
          <cell r="AN6"/>
          <cell r="AO6"/>
        </row>
        <row r="7">
          <cell r="B7" t="str">
            <v>MBank emakler</v>
          </cell>
          <cell r="D7" t="str">
            <v>TAK</v>
          </cell>
          <cell r="E7" t="str">
            <v>TAK</v>
          </cell>
          <cell r="F7" t="str">
            <v>TAK</v>
          </cell>
          <cell r="K7">
            <v>2.8999999999999998E-3</v>
          </cell>
          <cell r="L7">
            <v>19</v>
          </cell>
          <cell r="M7"/>
          <cell r="O7">
            <v>2.8999999999999998E-3</v>
          </cell>
          <cell r="P7">
            <v>19</v>
          </cell>
          <cell r="Q7"/>
          <cell r="S7">
            <v>3.8999999999999998E-3</v>
          </cell>
          <cell r="T7">
            <v>5</v>
          </cell>
          <cell r="V7">
            <v>3.8999999999999998E-3</v>
          </cell>
          <cell r="W7">
            <v>5</v>
          </cell>
          <cell r="Y7">
            <v>1.9E-3</v>
          </cell>
          <cell r="Z7">
            <v>5</v>
          </cell>
          <cell r="AN7">
            <v>2E-3</v>
          </cell>
          <cell r="AO7"/>
        </row>
        <row r="8">
          <cell r="B8" t="str">
            <v>Biuro Maklerskie MBank</v>
          </cell>
          <cell r="D8" t="str">
            <v>TAK</v>
          </cell>
          <cell r="E8" t="str">
            <v>TAK</v>
          </cell>
          <cell r="F8" t="str">
            <v>TAK</v>
          </cell>
          <cell r="K8">
            <v>2.8999999999999998E-3</v>
          </cell>
          <cell r="L8">
            <v>19</v>
          </cell>
          <cell r="M8">
            <v>5</v>
          </cell>
          <cell r="O8">
            <v>2.8999999999999998E-3</v>
          </cell>
          <cell r="P8">
            <v>19</v>
          </cell>
          <cell r="Q8">
            <v>5</v>
          </cell>
          <cell r="S8">
            <v>3.8999999999999998E-3</v>
          </cell>
          <cell r="T8">
            <v>5</v>
          </cell>
          <cell r="V8">
            <v>3.8999999999999998E-3</v>
          </cell>
          <cell r="W8">
            <v>5</v>
          </cell>
          <cell r="Y8">
            <v>1.9E-3</v>
          </cell>
          <cell r="Z8">
            <v>5</v>
          </cell>
          <cell r="AN8">
            <v>2E-3</v>
          </cell>
          <cell r="AO8"/>
        </row>
        <row r="9">
          <cell r="B9" t="str">
            <v>Dom maklerski BDM</v>
          </cell>
          <cell r="D9" t="str">
            <v>TAK</v>
          </cell>
          <cell r="E9" t="str">
            <v>TAK</v>
          </cell>
          <cell r="F9" t="str">
            <v>NIE</v>
          </cell>
          <cell r="K9"/>
          <cell r="L9"/>
          <cell r="M9"/>
          <cell r="O9"/>
          <cell r="P9"/>
          <cell r="Q9"/>
          <cell r="S9">
            <v>2.8E-3</v>
          </cell>
          <cell r="T9">
            <v>5.95</v>
          </cell>
          <cell r="V9">
            <v>2.8E-3</v>
          </cell>
          <cell r="W9">
            <v>5.95</v>
          </cell>
          <cell r="Y9">
            <v>1.8E-3</v>
          </cell>
          <cell r="Z9">
            <v>5.95</v>
          </cell>
          <cell r="AN9"/>
          <cell r="AO9"/>
        </row>
        <row r="10">
          <cell r="B10" t="str">
            <v>BOSSA S.A. - promocja</v>
          </cell>
          <cell r="D10" t="str">
            <v>TAK</v>
          </cell>
          <cell r="E10" t="str">
            <v>TAK</v>
          </cell>
          <cell r="F10" t="str">
            <v>TAK</v>
          </cell>
          <cell r="K10">
            <v>2.8999999999999998E-3</v>
          </cell>
          <cell r="L10">
            <v>19</v>
          </cell>
          <cell r="M10">
            <v>5</v>
          </cell>
          <cell r="O10">
            <v>2.8999999999999998E-3</v>
          </cell>
          <cell r="P10">
            <v>19</v>
          </cell>
          <cell r="Q10">
            <v>5</v>
          </cell>
          <cell r="S10">
            <v>3.8E-3</v>
          </cell>
          <cell r="T10">
            <v>5</v>
          </cell>
          <cell r="V10">
            <v>2.5000000000000001E-3</v>
          </cell>
          <cell r="W10">
            <v>5</v>
          </cell>
          <cell r="Y10">
            <v>1.9E-3</v>
          </cell>
          <cell r="Z10">
            <v>5</v>
          </cell>
          <cell r="AN10"/>
          <cell r="AO10">
            <v>0.02</v>
          </cell>
        </row>
        <row r="11">
          <cell r="B11" t="str">
            <v>BOSSA S.A. - bez promocji</v>
          </cell>
          <cell r="D11" t="str">
            <v>TAK</v>
          </cell>
          <cell r="E11" t="str">
            <v>TAK</v>
          </cell>
          <cell r="F11" t="str">
            <v>TAK</v>
          </cell>
          <cell r="K11">
            <v>2.8999999999999998E-3</v>
          </cell>
          <cell r="L11">
            <v>29</v>
          </cell>
          <cell r="M11">
            <v>7</v>
          </cell>
          <cell r="O11">
            <v>2.8999999999999998E-3</v>
          </cell>
          <cell r="P11">
            <v>29</v>
          </cell>
          <cell r="Q11">
            <v>7</v>
          </cell>
          <cell r="S11">
            <v>3.8E-3</v>
          </cell>
          <cell r="T11">
            <v>5</v>
          </cell>
          <cell r="V11">
            <v>3.8E-3</v>
          </cell>
          <cell r="W11">
            <v>5</v>
          </cell>
          <cell r="Y11">
            <v>1.9E-3</v>
          </cell>
          <cell r="Z11">
            <v>5</v>
          </cell>
          <cell r="AN11"/>
          <cell r="AO11">
            <v>0.02</v>
          </cell>
        </row>
        <row r="12">
          <cell r="B12" t="str">
            <v>Millenium Dom Maklerski</v>
          </cell>
          <cell r="D12" t="str">
            <v>NIE</v>
          </cell>
          <cell r="E12" t="str">
            <v>TAK</v>
          </cell>
          <cell r="F12" t="str">
            <v>NIE</v>
          </cell>
          <cell r="K12"/>
          <cell r="L12"/>
          <cell r="M12"/>
          <cell r="O12"/>
          <cell r="P12"/>
          <cell r="Q12"/>
          <cell r="S12">
            <v>3.8E-3</v>
          </cell>
          <cell r="T12">
            <v>4.9000000000000004</v>
          </cell>
          <cell r="V12">
            <v>3.8E-3</v>
          </cell>
          <cell r="W12">
            <v>4.9000000000000004</v>
          </cell>
          <cell r="Y12">
            <v>2E-3</v>
          </cell>
          <cell r="Z12">
            <v>4.9000000000000004</v>
          </cell>
          <cell r="AN12"/>
          <cell r="AO12"/>
        </row>
        <row r="13">
          <cell r="B13" t="str">
            <v>Biuro Maklerskie PKO BP</v>
          </cell>
          <cell r="D13" t="str">
            <v>TAK</v>
          </cell>
          <cell r="E13" t="str">
            <v>NIE</v>
          </cell>
          <cell r="F13" t="str">
            <v>NIE</v>
          </cell>
          <cell r="K13"/>
          <cell r="L13"/>
          <cell r="M13"/>
          <cell r="O13"/>
          <cell r="P13"/>
          <cell r="Q13"/>
          <cell r="S13">
            <v>3.8999999999999998E-3</v>
          </cell>
          <cell r="T13">
            <v>5</v>
          </cell>
          <cell r="V13">
            <v>3.8999999999999998E-3</v>
          </cell>
          <cell r="W13">
            <v>5</v>
          </cell>
          <cell r="Y13">
            <v>2E-3</v>
          </cell>
          <cell r="Z13">
            <v>5</v>
          </cell>
          <cell r="AN13"/>
          <cell r="AO13"/>
        </row>
        <row r="14">
          <cell r="B14" t="str">
            <v>nobble</v>
          </cell>
          <cell r="D14"/>
          <cell r="E14"/>
          <cell r="F14"/>
          <cell r="K14"/>
          <cell r="L14"/>
          <cell r="M14"/>
          <cell r="O14"/>
          <cell r="P14"/>
          <cell r="Q14"/>
          <cell r="S14"/>
          <cell r="T14"/>
          <cell r="V14"/>
          <cell r="W14"/>
          <cell r="Y14"/>
          <cell r="Z14"/>
          <cell r="AN14"/>
          <cell r="AO14"/>
        </row>
        <row r="15">
          <cell r="B15" t="str">
            <v>pko</v>
          </cell>
          <cell r="D15"/>
          <cell r="E15"/>
          <cell r="F15"/>
          <cell r="K15"/>
          <cell r="L15"/>
          <cell r="M15"/>
          <cell r="O15"/>
          <cell r="P15"/>
          <cell r="Q15"/>
          <cell r="S15"/>
          <cell r="T15"/>
          <cell r="V15"/>
          <cell r="W15"/>
          <cell r="Y15"/>
          <cell r="Z15"/>
          <cell r="AN15"/>
          <cell r="AO15"/>
        </row>
        <row r="16">
          <cell r="B16" t="str">
            <v>pbs</v>
          </cell>
          <cell r="D16"/>
          <cell r="E16"/>
          <cell r="F16"/>
          <cell r="K16"/>
          <cell r="L16"/>
          <cell r="M16"/>
          <cell r="O16"/>
          <cell r="P16"/>
          <cell r="Q16"/>
          <cell r="S16"/>
          <cell r="T16"/>
          <cell r="V16"/>
          <cell r="W16"/>
          <cell r="Y16"/>
          <cell r="Z16"/>
          <cell r="AN16"/>
          <cell r="AO16"/>
        </row>
        <row r="17">
          <cell r="B17"/>
          <cell r="D17"/>
          <cell r="E17"/>
          <cell r="F17"/>
          <cell r="K17"/>
          <cell r="L17"/>
          <cell r="M17"/>
          <cell r="O17"/>
          <cell r="P17"/>
          <cell r="Q17"/>
          <cell r="S17"/>
          <cell r="T17"/>
          <cell r="V17"/>
          <cell r="W17"/>
          <cell r="Y17"/>
          <cell r="Z17"/>
          <cell r="AN17"/>
          <cell r="AO17"/>
        </row>
        <row r="18">
          <cell r="B18"/>
          <cell r="D18"/>
          <cell r="E18"/>
          <cell r="F18"/>
          <cell r="K18"/>
          <cell r="L18"/>
          <cell r="M18"/>
          <cell r="P18"/>
          <cell r="Q18"/>
          <cell r="S18"/>
          <cell r="T18"/>
          <cell r="V18"/>
          <cell r="W18"/>
          <cell r="Y18"/>
          <cell r="Z18"/>
          <cell r="AN18"/>
          <cell r="AO18"/>
        </row>
      </sheetData>
      <sheetData sheetId="1">
        <row r="5">
          <cell r="K5" t="str">
            <v>NIE</v>
          </cell>
        </row>
      </sheetData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atarzyna Iwuc" id="{3FE90B48-D87E-41DC-9C29-198C4617E4EC}" userId="1f5fe913bd25882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" dT="2021-11-09T12:23:01.32" personId="{3FE90B48-D87E-41DC-9C29-198C4617E4EC}" id="{FCB9834C-82B0-44E1-AADC-3FB0F29C2A16}">
    <text>Proszę wpisać wysokość opłaty rocznej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dm.pl/dokumenty/regulaminy?file=files/bdm/dokumenty/Regulamin/regulamin_promocji_zostan_online.pdf" TargetMode="External"/><Relationship Id="rId13" Type="http://schemas.openxmlformats.org/officeDocument/2006/relationships/hyperlink" Target="https://noblesecurities.pl/dom-maklerski/ike-i-ikze" TargetMode="External"/><Relationship Id="rId18" Type="http://schemas.microsoft.com/office/2017/10/relationships/threadedComment" Target="../threadedComments/threadedComment1.xml"/><Relationship Id="rId3" Type="http://schemas.openxmlformats.org/officeDocument/2006/relationships/hyperlink" Target="https://millenniumdm.eu/ikze" TargetMode="External"/><Relationship Id="rId7" Type="http://schemas.openxmlformats.org/officeDocument/2006/relationships/hyperlink" Target="https://www.bdm.pl/dokumenty/tabele-oplat-i-prowizji?file=files/bdm/dokumenty/Tabela_oplat_i_prowizji/ws_tabela_oplat_i_prowizji.pdf" TargetMode="External"/><Relationship Id="rId12" Type="http://schemas.openxmlformats.org/officeDocument/2006/relationships/hyperlink" Target="https://noblesecurities.pl/o-nas/regulacje/rachunek-maklerski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www.gpw.pl/etfy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millenniumdm.eu/documents/20143/45607/ikze02112011+%282%29.pdf/82b323bc-8252-a1b8-2a24-4b4dd773d297" TargetMode="External"/><Relationship Id="rId6" Type="http://schemas.openxmlformats.org/officeDocument/2006/relationships/hyperlink" Target="https://bossa.pl/oferta/IKE-i-IKZE" TargetMode="External"/><Relationship Id="rId11" Type="http://schemas.openxmlformats.org/officeDocument/2006/relationships/hyperlink" Target="https://www.mbank.pl/indywidualny/inwestycje/gielda/ikze-emakler/" TargetMode="External"/><Relationship Id="rId5" Type="http://schemas.openxmlformats.org/officeDocument/2006/relationships/hyperlink" Target="https://bossa.pl/oferta/oplaty-i-prowizj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mdm.pl/ui-pub/site/oferta_indywidualna/rynki_zagraniczne" TargetMode="External"/><Relationship Id="rId4" Type="http://schemas.openxmlformats.org/officeDocument/2006/relationships/hyperlink" Target="https://bossa.pl/oferta/rynek-zagraniczny/kid" TargetMode="External"/><Relationship Id="rId9" Type="http://schemas.openxmlformats.org/officeDocument/2006/relationships/hyperlink" Target="https://www.mdm.pl/ds-server/40863?ticketSource=ui-pub" TargetMode="External"/><Relationship Id="rId14" Type="http://schemas.openxmlformats.org/officeDocument/2006/relationships/hyperlink" Target="http://www.inwestoronline.pl/r/res/wykaz_tabel/tabela_etf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19"/>
  <sheetViews>
    <sheetView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1" sqref="H11"/>
    </sheetView>
  </sheetViews>
  <sheetFormatPr defaultColWidth="8.81640625" defaultRowHeight="26" x14ac:dyDescent="0.6"/>
  <cols>
    <col min="1" max="1" width="4.1796875" style="1" customWidth="1"/>
    <col min="2" max="2" width="18.36328125" style="136" customWidth="1"/>
    <col min="3" max="3" width="7.81640625" style="1" customWidth="1"/>
    <col min="4" max="4" width="10.1796875" style="1" customWidth="1"/>
    <col min="5" max="5" width="14.26953125" style="3" customWidth="1"/>
    <col min="6" max="6" width="38.90625" style="1" customWidth="1"/>
    <col min="7" max="7" width="43" style="1" customWidth="1"/>
    <col min="8" max="8" width="17.08984375" style="1" customWidth="1"/>
    <col min="9" max="9" width="22.36328125" style="1" customWidth="1"/>
    <col min="10" max="10" width="17.7265625" style="1" customWidth="1"/>
    <col min="11" max="11" width="13.1796875" style="1" customWidth="1"/>
    <col min="12" max="12" width="29.7265625" style="1" customWidth="1"/>
    <col min="13" max="13" width="64.453125" style="1" customWidth="1"/>
    <col min="14" max="14" width="19.81640625" style="1" customWidth="1"/>
    <col min="15" max="15" width="26.54296875" style="1" customWidth="1"/>
    <col min="16" max="16" width="19.08984375" style="1" customWidth="1"/>
    <col min="17" max="17" width="17.453125" style="1" customWidth="1"/>
    <col min="18" max="18" width="16.1796875" style="1" customWidth="1"/>
    <col min="19" max="19" width="16.54296875" style="3" customWidth="1"/>
    <col min="20" max="20" width="20.54296875" style="1" customWidth="1"/>
    <col min="21" max="21" width="24.7265625" style="1" customWidth="1"/>
    <col min="22" max="22" width="14.6328125" style="3" customWidth="1"/>
    <col min="23" max="23" width="14.54296875" style="1" customWidth="1"/>
    <col min="24" max="24" width="19.08984375" style="1" customWidth="1"/>
    <col min="25" max="25" width="18.81640625" style="3" customWidth="1"/>
    <col min="26" max="26" width="26.81640625" style="2" customWidth="1"/>
    <col min="27" max="27" width="25.54296875" style="2" customWidth="1"/>
    <col min="28" max="28" width="15.6328125" style="1" customWidth="1"/>
    <col min="29" max="29" width="17.1796875" style="1" customWidth="1"/>
    <col min="30" max="30" width="20.81640625" style="1" customWidth="1"/>
    <col min="31" max="31" width="20.90625" style="1" customWidth="1"/>
    <col min="32" max="32" width="17.54296875" style="1" customWidth="1"/>
    <col min="33" max="33" width="20.453125" style="1" customWidth="1"/>
    <col min="34" max="35" width="8.81640625" style="3"/>
    <col min="36" max="36" width="19.453125" style="1" customWidth="1"/>
    <col min="37" max="16384" width="8.81640625" style="1"/>
  </cols>
  <sheetData>
    <row r="1" spans="2:37" ht="26.5" thickBot="1" x14ac:dyDescent="0.65">
      <c r="E1"/>
      <c r="S1"/>
      <c r="V1"/>
      <c r="Y1"/>
    </row>
    <row r="2" spans="2:37" ht="21.5" thickBot="1" x14ac:dyDescent="0.55000000000000004">
      <c r="B2" s="173" t="s">
        <v>0</v>
      </c>
      <c r="C2" s="174"/>
      <c r="D2" s="175"/>
      <c r="E2" s="130" t="s">
        <v>190</v>
      </c>
      <c r="F2" s="176" t="s">
        <v>2</v>
      </c>
      <c r="G2" s="177"/>
      <c r="H2" s="177"/>
      <c r="I2" s="177"/>
      <c r="J2" s="178"/>
      <c r="K2" s="170" t="s">
        <v>1</v>
      </c>
      <c r="L2" s="171"/>
      <c r="M2" s="172"/>
      <c r="N2" s="176" t="s">
        <v>3</v>
      </c>
      <c r="O2" s="177"/>
      <c r="P2" s="177"/>
      <c r="Q2" s="177"/>
      <c r="R2" s="177"/>
      <c r="S2" s="178"/>
      <c r="T2" s="179" t="s">
        <v>4</v>
      </c>
      <c r="U2" s="180"/>
      <c r="V2" s="180"/>
      <c r="W2" s="180"/>
      <c r="X2" s="180"/>
      <c r="Y2" s="181"/>
      <c r="Z2" s="182" t="s">
        <v>5</v>
      </c>
      <c r="AA2" s="183"/>
      <c r="AB2" s="184"/>
      <c r="AC2" s="170" t="s">
        <v>6</v>
      </c>
      <c r="AD2" s="171"/>
      <c r="AE2" s="171"/>
      <c r="AF2" s="171"/>
      <c r="AG2" s="172"/>
    </row>
    <row r="3" spans="2:37" s="5" customFormat="1" hidden="1" x14ac:dyDescent="0.35">
      <c r="B3" s="137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7" s="5" customFormat="1" ht="17.149999999999999" hidden="1" customHeight="1" x14ac:dyDescent="0.6">
      <c r="B4" s="138"/>
      <c r="C4" s="6" t="s">
        <v>7</v>
      </c>
      <c r="D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7</v>
      </c>
      <c r="AC4" s="6" t="s">
        <v>7</v>
      </c>
      <c r="AD4" s="6" t="s">
        <v>7</v>
      </c>
      <c r="AE4" s="6" t="s">
        <v>7</v>
      </c>
      <c r="AF4" s="6" t="s">
        <v>7</v>
      </c>
      <c r="AG4" s="6" t="s">
        <v>7</v>
      </c>
    </row>
    <row r="5" spans="2:37" s="9" customFormat="1" ht="157" customHeight="1" x14ac:dyDescent="0.6">
      <c r="B5" s="152"/>
      <c r="C5" s="8" t="s">
        <v>8</v>
      </c>
      <c r="D5" s="8" t="s">
        <v>9</v>
      </c>
      <c r="E5" s="8" t="s">
        <v>156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10</v>
      </c>
      <c r="L5" s="8" t="s">
        <v>11</v>
      </c>
      <c r="M5" s="8" t="s">
        <v>12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8" t="s">
        <v>25</v>
      </c>
      <c r="V5" s="8" t="s">
        <v>26</v>
      </c>
      <c r="W5" s="8" t="s">
        <v>27</v>
      </c>
      <c r="X5" s="8" t="s">
        <v>28</v>
      </c>
      <c r="Y5" s="8" t="s">
        <v>29</v>
      </c>
      <c r="Z5" s="8" t="s">
        <v>30</v>
      </c>
      <c r="AA5" s="8" t="s">
        <v>31</v>
      </c>
      <c r="AB5" s="8" t="s">
        <v>32</v>
      </c>
      <c r="AC5" s="8" t="s">
        <v>33</v>
      </c>
      <c r="AD5" s="8" t="s">
        <v>34</v>
      </c>
      <c r="AE5" s="8" t="s">
        <v>35</v>
      </c>
      <c r="AF5" s="8" t="s">
        <v>36</v>
      </c>
      <c r="AG5" s="8" t="s">
        <v>37</v>
      </c>
      <c r="AK5" s="9" t="s">
        <v>38</v>
      </c>
    </row>
    <row r="6" spans="2:37" s="18" customFormat="1" ht="130.5" customHeight="1" x14ac:dyDescent="0.35">
      <c r="B6" s="151" t="s">
        <v>170</v>
      </c>
      <c r="C6" s="11" t="s">
        <v>131</v>
      </c>
      <c r="D6" s="131" t="s">
        <v>39</v>
      </c>
      <c r="E6" s="132">
        <v>3</v>
      </c>
      <c r="F6" s="133" t="s">
        <v>191</v>
      </c>
      <c r="G6" s="133" t="s">
        <v>191</v>
      </c>
      <c r="H6" s="14" t="s">
        <v>41</v>
      </c>
      <c r="I6" s="14" t="s">
        <v>41</v>
      </c>
      <c r="J6" s="14" t="s">
        <v>42</v>
      </c>
      <c r="K6" s="11">
        <v>0</v>
      </c>
      <c r="L6" s="11">
        <v>0</v>
      </c>
      <c r="M6" s="12" t="s">
        <v>40</v>
      </c>
      <c r="N6" s="11">
        <v>0</v>
      </c>
      <c r="O6" s="11">
        <v>0</v>
      </c>
      <c r="P6" s="11" t="s">
        <v>43</v>
      </c>
      <c r="Q6" s="11" t="s">
        <v>43</v>
      </c>
      <c r="R6" s="11" t="s">
        <v>43</v>
      </c>
      <c r="S6" s="11" t="s">
        <v>43</v>
      </c>
      <c r="T6" s="11">
        <v>0</v>
      </c>
      <c r="U6" s="11">
        <v>0</v>
      </c>
      <c r="V6" s="11" t="s">
        <v>43</v>
      </c>
      <c r="W6" s="11" t="s">
        <v>43</v>
      </c>
      <c r="X6" s="11" t="s">
        <v>43</v>
      </c>
      <c r="Y6" s="11" t="s">
        <v>43</v>
      </c>
      <c r="Z6" s="15" t="s">
        <v>44</v>
      </c>
      <c r="AA6" s="15" t="s">
        <v>45</v>
      </c>
      <c r="AB6" s="11" t="s">
        <v>46</v>
      </c>
      <c r="AC6" s="15" t="s">
        <v>47</v>
      </c>
      <c r="AD6" s="16" t="s">
        <v>48</v>
      </c>
      <c r="AE6" s="12" t="s">
        <v>49</v>
      </c>
      <c r="AF6" s="17" t="s">
        <v>50</v>
      </c>
      <c r="AG6" s="12" t="s">
        <v>51</v>
      </c>
      <c r="AJ6" s="19"/>
      <c r="AK6" s="5"/>
    </row>
    <row r="7" spans="2:37" s="5" customFormat="1" ht="130.5" customHeight="1" x14ac:dyDescent="0.35">
      <c r="B7" s="7" t="s">
        <v>171</v>
      </c>
      <c r="C7" s="11" t="s">
        <v>131</v>
      </c>
      <c r="D7" s="131" t="s">
        <v>39</v>
      </c>
      <c r="E7" s="132">
        <v>1</v>
      </c>
      <c r="F7" s="133" t="s">
        <v>192</v>
      </c>
      <c r="G7" s="133" t="s">
        <v>192</v>
      </c>
      <c r="H7" s="14" t="s">
        <v>41</v>
      </c>
      <c r="I7" s="14" t="s">
        <v>41</v>
      </c>
      <c r="J7" s="14" t="s">
        <v>42</v>
      </c>
      <c r="K7" s="11">
        <v>0</v>
      </c>
      <c r="L7" s="11">
        <v>0</v>
      </c>
      <c r="M7" s="11" t="s">
        <v>52</v>
      </c>
      <c r="N7" s="11">
        <v>0</v>
      </c>
      <c r="O7" s="11">
        <v>0</v>
      </c>
      <c r="P7" s="11" t="s">
        <v>53</v>
      </c>
      <c r="Q7" s="11" t="s">
        <v>53</v>
      </c>
      <c r="R7" s="11" t="s">
        <v>53</v>
      </c>
      <c r="S7" s="11" t="s">
        <v>53</v>
      </c>
      <c r="T7" s="11">
        <v>0</v>
      </c>
      <c r="U7" s="11">
        <v>0</v>
      </c>
      <c r="V7" s="12" t="s">
        <v>53</v>
      </c>
      <c r="W7" s="12" t="s">
        <v>53</v>
      </c>
      <c r="X7" s="12" t="s">
        <v>53</v>
      </c>
      <c r="Y7" s="12" t="s">
        <v>53</v>
      </c>
      <c r="Z7" s="15" t="s">
        <v>54</v>
      </c>
      <c r="AA7" s="15" t="s">
        <v>55</v>
      </c>
      <c r="AB7" s="11" t="s">
        <v>56</v>
      </c>
      <c r="AC7" s="15" t="s">
        <v>47</v>
      </c>
      <c r="AD7" s="15" t="s">
        <v>57</v>
      </c>
      <c r="AE7" s="12" t="s">
        <v>49</v>
      </c>
      <c r="AF7" s="17" t="s">
        <v>58</v>
      </c>
      <c r="AG7" s="12" t="s">
        <v>51</v>
      </c>
    </row>
    <row r="8" spans="2:37" s="5" customFormat="1" ht="163" customHeight="1" x14ac:dyDescent="0.35">
      <c r="B8" s="7" t="s">
        <v>71</v>
      </c>
      <c r="C8" s="11" t="s">
        <v>131</v>
      </c>
      <c r="D8" s="131" t="s">
        <v>39</v>
      </c>
      <c r="E8" s="132">
        <v>2</v>
      </c>
      <c r="F8" s="134" t="s">
        <v>193</v>
      </c>
      <c r="G8" s="134" t="s">
        <v>194</v>
      </c>
      <c r="H8" s="28" t="s">
        <v>73</v>
      </c>
      <c r="I8" s="28" t="s">
        <v>74</v>
      </c>
      <c r="J8" s="13" t="s">
        <v>75</v>
      </c>
      <c r="K8" s="11">
        <v>0</v>
      </c>
      <c r="L8" s="11">
        <v>0</v>
      </c>
      <c r="M8" s="27" t="s">
        <v>72</v>
      </c>
      <c r="N8" s="11">
        <v>150</v>
      </c>
      <c r="O8" s="12" t="s">
        <v>76</v>
      </c>
      <c r="P8" s="11">
        <v>150</v>
      </c>
      <c r="Q8" s="11" t="s">
        <v>77</v>
      </c>
      <c r="R8" s="11" t="s">
        <v>77</v>
      </c>
      <c r="S8" s="11" t="s">
        <v>77</v>
      </c>
      <c r="T8" s="11" t="s">
        <v>77</v>
      </c>
      <c r="U8" s="11" t="s">
        <v>78</v>
      </c>
      <c r="V8" s="11" t="s">
        <v>77</v>
      </c>
      <c r="W8" s="11" t="s">
        <v>77</v>
      </c>
      <c r="X8" s="11" t="s">
        <v>77</v>
      </c>
      <c r="Y8" s="11" t="s">
        <v>77</v>
      </c>
      <c r="Z8" s="15" t="s">
        <v>79</v>
      </c>
      <c r="AA8" s="29" t="s">
        <v>80</v>
      </c>
      <c r="AB8" s="11" t="s">
        <v>81</v>
      </c>
      <c r="AC8" s="15" t="s">
        <v>47</v>
      </c>
      <c r="AD8" s="30" t="s">
        <v>82</v>
      </c>
      <c r="AE8" s="17" t="s">
        <v>83</v>
      </c>
      <c r="AF8" s="31" t="s">
        <v>84</v>
      </c>
      <c r="AG8" s="32"/>
      <c r="AJ8" s="26"/>
    </row>
    <row r="9" spans="2:37" s="45" customFormat="1" ht="130.5" customHeight="1" x14ac:dyDescent="0.35">
      <c r="B9" s="7" t="s">
        <v>114</v>
      </c>
      <c r="C9" s="11" t="s">
        <v>115</v>
      </c>
      <c r="D9" s="11" t="s">
        <v>39</v>
      </c>
      <c r="E9" s="129">
        <v>4</v>
      </c>
      <c r="F9" s="135" t="s">
        <v>196</v>
      </c>
      <c r="G9" s="15" t="s">
        <v>195</v>
      </c>
      <c r="H9" s="13" t="s">
        <v>117</v>
      </c>
      <c r="I9" s="13" t="s">
        <v>117</v>
      </c>
      <c r="J9" s="14" t="s">
        <v>118</v>
      </c>
      <c r="K9" s="11">
        <v>0</v>
      </c>
      <c r="L9" s="11">
        <v>0</v>
      </c>
      <c r="M9" s="15" t="s">
        <v>116</v>
      </c>
      <c r="N9" s="11">
        <v>150</v>
      </c>
      <c r="O9" s="15" t="s">
        <v>119</v>
      </c>
      <c r="P9" s="43">
        <v>150</v>
      </c>
      <c r="Q9" s="15" t="s">
        <v>120</v>
      </c>
      <c r="R9" s="15" t="s">
        <v>121</v>
      </c>
      <c r="S9" s="33" t="s">
        <v>122</v>
      </c>
      <c r="T9" s="15" t="s">
        <v>121</v>
      </c>
      <c r="U9" s="15" t="s">
        <v>123</v>
      </c>
      <c r="V9" s="15" t="s">
        <v>121</v>
      </c>
      <c r="W9" s="15" t="s">
        <v>124</v>
      </c>
      <c r="X9" s="15" t="s">
        <v>121</v>
      </c>
      <c r="Y9" s="15" t="s">
        <v>125</v>
      </c>
      <c r="Z9" s="15" t="s">
        <v>126</v>
      </c>
      <c r="AA9" s="33" t="s">
        <v>39</v>
      </c>
      <c r="AB9" s="15" t="s">
        <v>127</v>
      </c>
      <c r="AC9" s="15" t="s">
        <v>47</v>
      </c>
      <c r="AD9" s="15" t="s">
        <v>128</v>
      </c>
      <c r="AE9" s="150" t="s">
        <v>202</v>
      </c>
      <c r="AF9" s="44"/>
      <c r="AG9" s="15" t="s">
        <v>129</v>
      </c>
      <c r="AJ9" s="46"/>
    </row>
    <row r="10" spans="2:37" s="5" customFormat="1" ht="116" customHeight="1" x14ac:dyDescent="0.35">
      <c r="B10" s="7" t="s">
        <v>59</v>
      </c>
      <c r="C10" s="11" t="s">
        <v>60</v>
      </c>
      <c r="D10" s="11" t="s">
        <v>47</v>
      </c>
      <c r="E10" s="129" t="s">
        <v>62</v>
      </c>
      <c r="F10" s="11" t="s">
        <v>62</v>
      </c>
      <c r="G10" s="11" t="s">
        <v>62</v>
      </c>
      <c r="H10" s="14" t="s">
        <v>63</v>
      </c>
      <c r="I10" s="14" t="s">
        <v>63</v>
      </c>
      <c r="J10" s="13" t="s">
        <v>64</v>
      </c>
      <c r="K10" s="11">
        <v>0</v>
      </c>
      <c r="L10" s="11">
        <v>0</v>
      </c>
      <c r="M10" s="11" t="s">
        <v>61</v>
      </c>
      <c r="N10" s="20">
        <v>149</v>
      </c>
      <c r="O10" s="21" t="s">
        <v>65</v>
      </c>
      <c r="P10" s="11">
        <v>149</v>
      </c>
      <c r="Q10" s="11">
        <v>49</v>
      </c>
      <c r="R10" s="22">
        <v>149</v>
      </c>
      <c r="S10" s="22" t="s">
        <v>66</v>
      </c>
      <c r="T10" s="22">
        <v>0</v>
      </c>
      <c r="U10" s="22">
        <v>0</v>
      </c>
      <c r="V10" s="22">
        <v>0</v>
      </c>
      <c r="W10" s="22">
        <v>49</v>
      </c>
      <c r="X10" s="22">
        <v>0</v>
      </c>
      <c r="Y10" s="22">
        <v>0</v>
      </c>
      <c r="Z10" s="23" t="s">
        <v>62</v>
      </c>
      <c r="AA10" s="23" t="s">
        <v>62</v>
      </c>
      <c r="AB10" s="23" t="s">
        <v>62</v>
      </c>
      <c r="AC10" s="24" t="s">
        <v>47</v>
      </c>
      <c r="AD10" s="25" t="s">
        <v>67</v>
      </c>
      <c r="AE10" s="22" t="s">
        <v>68</v>
      </c>
      <c r="AF10" s="25" t="s">
        <v>69</v>
      </c>
      <c r="AG10" s="20" t="s">
        <v>70</v>
      </c>
      <c r="AJ10" s="26"/>
    </row>
    <row r="11" spans="2:37" s="5" customFormat="1" ht="199.5" customHeight="1" x14ac:dyDescent="0.35">
      <c r="B11" s="7" t="s">
        <v>85</v>
      </c>
      <c r="C11" s="13" t="s">
        <v>86</v>
      </c>
      <c r="D11" s="13" t="s">
        <v>47</v>
      </c>
      <c r="E11" s="129" t="s">
        <v>62</v>
      </c>
      <c r="F11" s="11" t="s">
        <v>62</v>
      </c>
      <c r="G11" s="11" t="s">
        <v>62</v>
      </c>
      <c r="H11" s="14" t="s">
        <v>88</v>
      </c>
      <c r="I11" s="14" t="s">
        <v>88</v>
      </c>
      <c r="J11" s="13" t="s">
        <v>89</v>
      </c>
      <c r="K11" s="11">
        <v>0</v>
      </c>
      <c r="L11" s="11">
        <v>0</v>
      </c>
      <c r="M11" s="12" t="s">
        <v>87</v>
      </c>
      <c r="N11" s="11" t="s">
        <v>90</v>
      </c>
      <c r="O11" s="11" t="s">
        <v>90</v>
      </c>
      <c r="P11" s="11" t="s">
        <v>90</v>
      </c>
      <c r="Q11" s="11" t="s">
        <v>77</v>
      </c>
      <c r="R11" s="11" t="s">
        <v>77</v>
      </c>
      <c r="S11" s="11" t="s">
        <v>77</v>
      </c>
      <c r="T11" s="11" t="s">
        <v>77</v>
      </c>
      <c r="U11" s="11" t="s">
        <v>77</v>
      </c>
      <c r="V11" s="11" t="s">
        <v>77</v>
      </c>
      <c r="W11" s="11" t="s">
        <v>77</v>
      </c>
      <c r="X11" s="11" t="s">
        <v>77</v>
      </c>
      <c r="Y11" s="11" t="s">
        <v>62</v>
      </c>
      <c r="Z11" s="33" t="s">
        <v>62</v>
      </c>
      <c r="AA11" s="33" t="s">
        <v>62</v>
      </c>
      <c r="AB11" s="33" t="s">
        <v>62</v>
      </c>
      <c r="AC11" s="11" t="s">
        <v>91</v>
      </c>
      <c r="AD11" s="34" t="s">
        <v>92</v>
      </c>
      <c r="AE11" s="35" t="s">
        <v>93</v>
      </c>
      <c r="AF11" s="35" t="s">
        <v>94</v>
      </c>
      <c r="AG11" s="11" t="s">
        <v>95</v>
      </c>
      <c r="AJ11" s="26"/>
    </row>
    <row r="12" spans="2:37" s="5" customFormat="1" ht="208.5" customHeight="1" x14ac:dyDescent="0.35">
      <c r="B12" s="139" t="s">
        <v>96</v>
      </c>
      <c r="C12" s="11" t="s">
        <v>97</v>
      </c>
      <c r="D12" s="11" t="s">
        <v>47</v>
      </c>
      <c r="E12" s="129" t="s">
        <v>62</v>
      </c>
      <c r="F12" s="11" t="s">
        <v>62</v>
      </c>
      <c r="G12" s="11" t="s">
        <v>62</v>
      </c>
      <c r="H12" s="20" t="s">
        <v>207</v>
      </c>
      <c r="I12" s="20" t="s">
        <v>207</v>
      </c>
      <c r="J12" s="20" t="s">
        <v>208</v>
      </c>
      <c r="K12" s="11">
        <v>0</v>
      </c>
      <c r="L12" s="11" t="s">
        <v>98</v>
      </c>
      <c r="M12" s="11">
        <v>0</v>
      </c>
      <c r="N12" s="11">
        <v>150</v>
      </c>
      <c r="O12" s="11">
        <v>150</v>
      </c>
      <c r="P12" s="11">
        <v>150</v>
      </c>
      <c r="Q12" s="11" t="s">
        <v>99</v>
      </c>
      <c r="R12" s="11">
        <v>150</v>
      </c>
      <c r="S12" s="20">
        <v>0</v>
      </c>
      <c r="T12" s="11">
        <v>0</v>
      </c>
      <c r="U12" s="22">
        <v>0</v>
      </c>
      <c r="V12" s="36" t="s">
        <v>100</v>
      </c>
      <c r="W12" s="22" t="s">
        <v>101</v>
      </c>
      <c r="X12" s="22">
        <v>0</v>
      </c>
      <c r="Y12" s="20" t="s">
        <v>100</v>
      </c>
      <c r="Z12" s="33" t="s">
        <v>62</v>
      </c>
      <c r="AA12" s="33" t="s">
        <v>62</v>
      </c>
      <c r="AB12" s="33" t="s">
        <v>62</v>
      </c>
      <c r="AC12" s="11" t="s">
        <v>47</v>
      </c>
      <c r="AD12" s="37" t="s">
        <v>102</v>
      </c>
      <c r="AE12" s="24" t="s">
        <v>103</v>
      </c>
      <c r="AF12" s="15" t="s">
        <v>104</v>
      </c>
      <c r="AG12" s="38" t="s">
        <v>105</v>
      </c>
    </row>
    <row r="13" spans="2:37" s="5" customFormat="1" ht="139.5" x14ac:dyDescent="0.35">
      <c r="B13" s="7" t="s">
        <v>106</v>
      </c>
      <c r="C13" s="11" t="s">
        <v>60</v>
      </c>
      <c r="D13" s="11" t="s">
        <v>47</v>
      </c>
      <c r="E13" s="129" t="s">
        <v>62</v>
      </c>
      <c r="F13" s="13" t="s">
        <v>62</v>
      </c>
      <c r="G13" s="13" t="s">
        <v>62</v>
      </c>
      <c r="H13" s="15" t="s">
        <v>209</v>
      </c>
      <c r="I13" s="15" t="s">
        <v>210</v>
      </c>
      <c r="J13" s="11" t="s">
        <v>109</v>
      </c>
      <c r="K13" s="11" t="s">
        <v>107</v>
      </c>
      <c r="L13" s="11" t="s">
        <v>107</v>
      </c>
      <c r="M13" s="11" t="s">
        <v>108</v>
      </c>
      <c r="N13" s="11">
        <v>0</v>
      </c>
      <c r="O13" s="11" t="s">
        <v>110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 t="s">
        <v>111</v>
      </c>
      <c r="V13" s="11">
        <v>0</v>
      </c>
      <c r="W13" s="11">
        <v>0</v>
      </c>
      <c r="X13" s="11">
        <v>0</v>
      </c>
      <c r="Y13" s="11">
        <v>0</v>
      </c>
      <c r="Z13" s="39" t="s">
        <v>62</v>
      </c>
      <c r="AA13" s="39" t="s">
        <v>62</v>
      </c>
      <c r="AB13" s="39" t="s">
        <v>62</v>
      </c>
      <c r="AC13" s="40" t="s">
        <v>47</v>
      </c>
      <c r="AD13" s="41" t="s">
        <v>112</v>
      </c>
      <c r="AE13" s="22" t="s">
        <v>68</v>
      </c>
      <c r="AF13" s="35" t="s">
        <v>113</v>
      </c>
      <c r="AG13" s="40"/>
      <c r="AH13" s="42"/>
    </row>
    <row r="14" spans="2:37" s="5" customFormat="1" ht="93.5" customHeight="1" x14ac:dyDescent="0.35">
      <c r="B14" s="7" t="s">
        <v>130</v>
      </c>
      <c r="C14" s="11" t="s">
        <v>131</v>
      </c>
      <c r="D14" s="11" t="s">
        <v>47</v>
      </c>
      <c r="E14" s="129" t="s">
        <v>62</v>
      </c>
      <c r="F14" s="13" t="s">
        <v>62</v>
      </c>
      <c r="G14" s="13" t="s">
        <v>62</v>
      </c>
      <c r="H14" s="13" t="s">
        <v>132</v>
      </c>
      <c r="I14" s="13" t="s">
        <v>132</v>
      </c>
      <c r="J14" s="13" t="s">
        <v>132</v>
      </c>
      <c r="K14" s="11">
        <v>0</v>
      </c>
      <c r="L14" s="11">
        <v>0</v>
      </c>
      <c r="M14" s="12" t="s">
        <v>61</v>
      </c>
      <c r="N14" s="12" t="s">
        <v>133</v>
      </c>
      <c r="O14" s="32" t="s">
        <v>134</v>
      </c>
      <c r="P14" s="12" t="s">
        <v>135</v>
      </c>
      <c r="Q14" s="15" t="s">
        <v>136</v>
      </c>
      <c r="R14" s="15" t="s">
        <v>136</v>
      </c>
      <c r="S14" s="15" t="s">
        <v>136</v>
      </c>
      <c r="T14" s="15" t="s">
        <v>136</v>
      </c>
      <c r="U14" s="12" t="s">
        <v>137</v>
      </c>
      <c r="V14" s="15" t="s">
        <v>136</v>
      </c>
      <c r="W14" s="15" t="s">
        <v>136</v>
      </c>
      <c r="X14" s="15" t="s">
        <v>136</v>
      </c>
      <c r="Y14" s="15" t="s">
        <v>136</v>
      </c>
      <c r="Z14" s="39" t="s">
        <v>62</v>
      </c>
      <c r="AA14" s="39" t="s">
        <v>62</v>
      </c>
      <c r="AB14" s="39" t="s">
        <v>62</v>
      </c>
      <c r="AC14" s="15" t="s">
        <v>47</v>
      </c>
      <c r="AD14" s="47" t="s">
        <v>138</v>
      </c>
      <c r="AE14" s="48"/>
      <c r="AF14" s="48"/>
      <c r="AG14" s="12" t="s">
        <v>139</v>
      </c>
      <c r="AJ14" s="26"/>
    </row>
    <row r="15" spans="2:37" s="5" customFormat="1" x14ac:dyDescent="0.6">
      <c r="B15" s="136"/>
      <c r="V15" s="49"/>
      <c r="Z15" s="50"/>
      <c r="AA15" s="50"/>
    </row>
    <row r="16" spans="2:37" s="5" customFormat="1" ht="104" x14ac:dyDescent="0.6">
      <c r="B16" s="163" t="s">
        <v>201</v>
      </c>
      <c r="V16" s="49"/>
      <c r="Z16" s="50"/>
      <c r="AA16" s="50"/>
    </row>
    <row r="17" spans="2:33" s="5" customFormat="1" ht="208.5" customHeight="1" x14ac:dyDescent="0.35">
      <c r="B17" s="153" t="s">
        <v>96</v>
      </c>
      <c r="C17" s="154" t="s">
        <v>197</v>
      </c>
      <c r="D17" s="154" t="s">
        <v>62</v>
      </c>
      <c r="E17" s="162" t="s">
        <v>62</v>
      </c>
      <c r="F17" s="154" t="s">
        <v>62</v>
      </c>
      <c r="G17" s="154" t="s">
        <v>62</v>
      </c>
      <c r="H17" s="154" t="s">
        <v>62</v>
      </c>
      <c r="I17" s="154" t="s">
        <v>62</v>
      </c>
      <c r="J17" s="154" t="s">
        <v>62</v>
      </c>
      <c r="K17" s="154">
        <v>0</v>
      </c>
      <c r="L17" s="155" t="s">
        <v>198</v>
      </c>
      <c r="M17" s="154">
        <v>0</v>
      </c>
      <c r="N17" s="154">
        <v>150</v>
      </c>
      <c r="O17" s="154">
        <v>150</v>
      </c>
      <c r="P17" s="154">
        <v>150</v>
      </c>
      <c r="Q17" s="154" t="s">
        <v>99</v>
      </c>
      <c r="R17" s="154">
        <v>150</v>
      </c>
      <c r="S17" s="156">
        <v>0</v>
      </c>
      <c r="T17" s="154">
        <v>0</v>
      </c>
      <c r="U17" s="154">
        <v>0</v>
      </c>
      <c r="V17" s="157" t="s">
        <v>100</v>
      </c>
      <c r="W17" s="156" t="s">
        <v>101</v>
      </c>
      <c r="X17" s="156">
        <v>0</v>
      </c>
      <c r="Y17" s="156" t="s">
        <v>100</v>
      </c>
      <c r="Z17" s="158" t="s">
        <v>62</v>
      </c>
      <c r="AA17" s="158" t="s">
        <v>62</v>
      </c>
      <c r="AB17" s="158" t="s">
        <v>62</v>
      </c>
      <c r="AC17" s="154" t="s">
        <v>47</v>
      </c>
      <c r="AD17" s="159" t="s">
        <v>102</v>
      </c>
      <c r="AE17" s="158" t="s">
        <v>62</v>
      </c>
      <c r="AF17" s="160" t="s">
        <v>199</v>
      </c>
      <c r="AG17" s="161" t="s">
        <v>200</v>
      </c>
    </row>
    <row r="18" spans="2:33" s="5" customFormat="1" x14ac:dyDescent="0.6">
      <c r="B18" s="136"/>
      <c r="V18" s="49"/>
      <c r="Z18" s="50"/>
      <c r="AA18" s="50"/>
    </row>
    <row r="19" spans="2:33" s="5" customFormat="1" x14ac:dyDescent="0.6">
      <c r="B19" s="136"/>
      <c r="V19" s="49"/>
      <c r="Z19" s="50"/>
      <c r="AA19" s="50"/>
    </row>
  </sheetData>
  <mergeCells count="7">
    <mergeCell ref="AC2:AG2"/>
    <mergeCell ref="B2:D2"/>
    <mergeCell ref="K2:M2"/>
    <mergeCell ref="F2:J2"/>
    <mergeCell ref="N2:S2"/>
    <mergeCell ref="T2:Y2"/>
    <mergeCell ref="Z2:AB2"/>
  </mergeCells>
  <hyperlinks>
    <hyperlink ref="AD11" r:id="rId1" xr:uid="{71189AF7-71AD-4702-A53A-8A374EEE7C78}"/>
    <hyperlink ref="AE11" r:id="rId2" xr:uid="{8B2798A0-0375-4F14-AD00-9C1DE0B394C4}"/>
    <hyperlink ref="AF11" r:id="rId3" xr:uid="{A819EC64-6497-4625-875C-FF7B94861A49}"/>
    <hyperlink ref="AE8" r:id="rId4" xr:uid="{3D724A65-A230-4367-9447-1E577C9E7693}"/>
    <hyperlink ref="AD8" r:id="rId5" xr:uid="{002332D1-BD64-4CFC-ABDB-F8E9FA7D9DD0}"/>
    <hyperlink ref="AF8" r:id="rId6" xr:uid="{B4C31012-8462-4C7A-8C0E-BC91F5794883}"/>
    <hyperlink ref="AD10" r:id="rId7" xr:uid="{5F3B13BB-59B5-465B-A14D-9D00276DA8BB}"/>
    <hyperlink ref="AF10" r:id="rId8" display="https://www.bdm.pl/dokumenty/regulaminy?file=files/bdm/dokumenty/Regulamin/regulamin_promocji_zostan_online.pdf_x000a__x000a_" xr:uid="{63BCC533-8009-4C03-885F-FD0890E7F269}"/>
    <hyperlink ref="AD6" r:id="rId9" xr:uid="{46F97153-139F-40AC-A6E7-F26C1AEA1FFC}"/>
    <hyperlink ref="AF7" r:id="rId10" xr:uid="{CEFA2B0D-DBB9-4241-B7CD-00FB79B64C68}"/>
    <hyperlink ref="AF6" r:id="rId11" display="https://www.mbank.pl/indywidualny/inwestycje/gielda/ikze-emakler/" xr:uid="{9AD29529-CC65-49CD-892E-517BA6CD306C}"/>
    <hyperlink ref="AD13" r:id="rId12" location="t_o" xr:uid="{27E67666-DABC-4FD0-BBF1-2AA4D519174A}"/>
    <hyperlink ref="AF13" r:id="rId13" xr:uid="{7B09B63D-61C3-4ABF-8DD5-0C4323C1F634}"/>
    <hyperlink ref="AE9" r:id="rId14" xr:uid="{273A9378-CDF1-4FF7-9A1C-0205A2AE77D4}"/>
  </hyperlinks>
  <pageMargins left="0.7" right="0.7" top="0.75" bottom="0.75" header="0.3" footer="0.3"/>
  <pageSetup paperSize="9" orientation="portrait" verticalDpi="300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2501-6200-4263-9A11-4EB352F79FCE}">
  <dimension ref="A2:AO60"/>
  <sheetViews>
    <sheetView topLeftCell="A7" workbookViewId="0">
      <selection activeCell="L16" sqref="L16"/>
    </sheetView>
  </sheetViews>
  <sheetFormatPr defaultColWidth="8.81640625" defaultRowHeight="14.5" x14ac:dyDescent="0.35"/>
  <cols>
    <col min="1" max="1" width="30.54296875" style="3" customWidth="1"/>
    <col min="2" max="2" width="12" style="3" customWidth="1"/>
    <col min="3" max="3" width="12.36328125" style="3" customWidth="1"/>
    <col min="4" max="4" width="12" style="3" customWidth="1"/>
    <col min="5" max="5" width="10.7265625" style="3" customWidth="1"/>
    <col min="6" max="6" width="12" style="3" customWidth="1"/>
    <col min="7" max="7" width="12.36328125" style="3" customWidth="1"/>
    <col min="8" max="8" width="12" style="3" customWidth="1"/>
    <col min="9" max="9" width="12.36328125" style="3" customWidth="1"/>
    <col min="10" max="10" width="12" style="3" customWidth="1"/>
    <col min="11" max="11" width="12.36328125" style="3" customWidth="1"/>
    <col min="12" max="12" width="12" style="3" customWidth="1"/>
    <col min="13" max="13" width="12.36328125" style="3" customWidth="1"/>
    <col min="14" max="14" width="14.1796875" style="3" bestFit="1" customWidth="1"/>
    <col min="15" max="15" width="11.1796875" style="3" bestFit="1" customWidth="1"/>
    <col min="16" max="16" width="12.1796875" style="3" bestFit="1" customWidth="1"/>
    <col min="17" max="17" width="11.1796875" style="3" bestFit="1" customWidth="1"/>
    <col min="18" max="18" width="12.1796875" style="3" bestFit="1" customWidth="1"/>
    <col min="19" max="19" width="12.1796875" style="3" customWidth="1"/>
    <col min="20" max="20" width="10.1796875" style="3" bestFit="1" customWidth="1"/>
    <col min="21" max="22" width="11.1796875" style="3" bestFit="1" customWidth="1"/>
    <col min="23" max="27" width="12.1796875" style="3" bestFit="1" customWidth="1"/>
    <col min="28" max="16384" width="8.81640625" style="3"/>
  </cols>
  <sheetData>
    <row r="2" spans="1:41" ht="26.5" thickBot="1" x14ac:dyDescent="0.65">
      <c r="A2" s="75" t="s">
        <v>147</v>
      </c>
    </row>
    <row r="3" spans="1:41" ht="35" customHeight="1" thickBot="1" x14ac:dyDescent="0.4">
      <c r="B3" s="185" t="s">
        <v>146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41" ht="18.5" x14ac:dyDescent="0.45">
      <c r="A4" s="190" t="s">
        <v>145</v>
      </c>
      <c r="B4" s="66" t="s">
        <v>187</v>
      </c>
      <c r="C4" s="67">
        <v>100</v>
      </c>
      <c r="D4" s="66" t="s">
        <v>187</v>
      </c>
      <c r="E4" s="67">
        <v>500</v>
      </c>
      <c r="F4" s="66" t="s">
        <v>187</v>
      </c>
      <c r="G4" s="67">
        <v>1000</v>
      </c>
      <c r="H4" s="66" t="s">
        <v>187</v>
      </c>
      <c r="I4" s="67">
        <v>2000</v>
      </c>
      <c r="J4" s="66" t="s">
        <v>187</v>
      </c>
      <c r="K4" s="67">
        <v>6310.8</v>
      </c>
      <c r="L4" s="66" t="s">
        <v>187</v>
      </c>
      <c r="M4" s="67">
        <v>15777</v>
      </c>
      <c r="N4" s="59" t="s">
        <v>149</v>
      </c>
    </row>
    <row r="5" spans="1:41" ht="43.5" x14ac:dyDescent="0.35">
      <c r="A5" s="191"/>
      <c r="B5" s="68" t="s">
        <v>141</v>
      </c>
      <c r="C5" s="128" t="s">
        <v>186</v>
      </c>
      <c r="D5" s="68" t="s">
        <v>141</v>
      </c>
      <c r="E5" s="128" t="s">
        <v>186</v>
      </c>
      <c r="F5" s="68" t="s">
        <v>141</v>
      </c>
      <c r="G5" s="128" t="s">
        <v>186</v>
      </c>
      <c r="H5" s="68" t="s">
        <v>141</v>
      </c>
      <c r="I5" s="128" t="s">
        <v>186</v>
      </c>
      <c r="J5" s="68" t="s">
        <v>141</v>
      </c>
      <c r="K5" s="128" t="s">
        <v>186</v>
      </c>
      <c r="L5" s="68" t="s">
        <v>141</v>
      </c>
      <c r="M5" s="128" t="s">
        <v>186</v>
      </c>
    </row>
    <row r="6" spans="1:41" customFormat="1" ht="21" customHeight="1" x14ac:dyDescent="0.35">
      <c r="A6" s="73" t="str">
        <f>'Dane robocze'!A16</f>
        <v>Dom Maklerski BPS</v>
      </c>
      <c r="B6" s="69">
        <f>MAX($C$4*'Dane robocze'!$K16,'Dane robocze'!$L16)</f>
        <v>3</v>
      </c>
      <c r="C6" s="70">
        <f t="shared" ref="C6:C15" si="0">B6/$C$4</f>
        <v>0.03</v>
      </c>
      <c r="D6" s="69">
        <f>MAX($E$4*'Dane robocze'!$K16,'Dane robocze'!$L16)</f>
        <v>3</v>
      </c>
      <c r="E6" s="70">
        <f t="shared" ref="E6:E16" si="1">D6/$E$4</f>
        <v>6.0000000000000001E-3</v>
      </c>
      <c r="F6" s="69">
        <f>MAX($G$4*'Dane robocze'!$K16,'Dane robocze'!$L16)</f>
        <v>3</v>
      </c>
      <c r="G6" s="70">
        <f t="shared" ref="G6:G16" si="2">F6/$G$4</f>
        <v>3.0000000000000001E-3</v>
      </c>
      <c r="H6" s="69">
        <f>MAX($I$4*'Dane robocze'!$K16,'Dane robocze'!$L16)</f>
        <v>3</v>
      </c>
      <c r="I6" s="70">
        <f t="shared" ref="I6:I16" si="3">H6/$I$4</f>
        <v>1.5E-3</v>
      </c>
      <c r="J6" s="69">
        <f>MAX($K$4*'Dane robocze'!$K16,'Dane robocze'!$L16)</f>
        <v>8.2040399999999991</v>
      </c>
      <c r="K6" s="70">
        <f t="shared" ref="K6:K16" si="4">J6/$K$4</f>
        <v>1.2999999999999997E-3</v>
      </c>
      <c r="L6" s="69">
        <f>MAX($M$4*'Dane robocze'!$K16,'Dane robocze'!$L16)</f>
        <v>20.510099999999998</v>
      </c>
      <c r="M6" s="70">
        <f t="shared" ref="M6:M16" si="5">L6/$M$4</f>
        <v>1.2999999999999999E-3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customFormat="1" ht="15.5" x14ac:dyDescent="0.35">
      <c r="A7" s="73" t="str">
        <f>'Dane robocze'!A13</f>
        <v>Noble Securities w promocji</v>
      </c>
      <c r="B7" s="69">
        <f>MAX($C$4*'Dane robocze'!$K13,'Dane robocze'!$L13)</f>
        <v>5</v>
      </c>
      <c r="C7" s="70">
        <f t="shared" si="0"/>
        <v>0.05</v>
      </c>
      <c r="D7" s="69">
        <f>MAX($E$4*'Dane robocze'!$K13,'Dane robocze'!$L13)</f>
        <v>5</v>
      </c>
      <c r="E7" s="70">
        <f t="shared" si="1"/>
        <v>0.01</v>
      </c>
      <c r="F7" s="69">
        <f>MAX($G$4*'Dane robocze'!$K13,'Dane robocze'!$L13)</f>
        <v>5</v>
      </c>
      <c r="G7" s="70">
        <f t="shared" si="2"/>
        <v>5.0000000000000001E-3</v>
      </c>
      <c r="H7" s="69">
        <f>MAX($I$4*'Dane robocze'!$K13,'Dane robocze'!$L13)</f>
        <v>5</v>
      </c>
      <c r="I7" s="70">
        <f t="shared" si="3"/>
        <v>2.5000000000000001E-3</v>
      </c>
      <c r="J7" s="69">
        <f>MAX($K$4*'Dane robocze'!$K13,'Dane robocze'!$L13)</f>
        <v>11.99052</v>
      </c>
      <c r="K7" s="70">
        <f t="shared" si="4"/>
        <v>1.9E-3</v>
      </c>
      <c r="L7" s="69">
        <f>MAX($M$4*'Dane robocze'!$K13,'Dane robocze'!$L13)</f>
        <v>29.976299999999998</v>
      </c>
      <c r="M7" s="70">
        <f t="shared" si="5"/>
        <v>1.9E-3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customFormat="1" ht="21" customHeight="1" x14ac:dyDescent="0.35">
      <c r="A8" s="73" t="str">
        <f>'Dane robocze'!A15</f>
        <v>Dom Maklerski BDM</v>
      </c>
      <c r="B8" s="69">
        <f>MAX($C$4*'Dane robocze'!$K15,'Dane robocze'!$L15)</f>
        <v>5.95</v>
      </c>
      <c r="C8" s="70">
        <f t="shared" si="0"/>
        <v>5.9500000000000004E-2</v>
      </c>
      <c r="D8" s="69">
        <f>MAX($E$4*'Dane robocze'!$K15,'Dane robocze'!$L15)</f>
        <v>5.95</v>
      </c>
      <c r="E8" s="70">
        <f t="shared" si="1"/>
        <v>1.1900000000000001E-2</v>
      </c>
      <c r="F8" s="69">
        <f>MAX($G$4*'Dane robocze'!$K15,'Dane robocze'!$L15)</f>
        <v>5.95</v>
      </c>
      <c r="G8" s="70">
        <f t="shared" si="2"/>
        <v>5.9500000000000004E-3</v>
      </c>
      <c r="H8" s="69">
        <f>MAX($I$4*'Dane robocze'!$K15,'Dane robocze'!$L15)</f>
        <v>5.95</v>
      </c>
      <c r="I8" s="70">
        <f t="shared" si="3"/>
        <v>2.9750000000000002E-3</v>
      </c>
      <c r="J8" s="69">
        <f>MAX($K$4*'Dane robocze'!$K15,'Dane robocze'!$L15)</f>
        <v>17.67024</v>
      </c>
      <c r="K8" s="70">
        <f t="shared" si="4"/>
        <v>2.8E-3</v>
      </c>
      <c r="L8" s="69">
        <f>MAX($M$4*'Dane robocze'!$K15,'Dane robocze'!$L15)</f>
        <v>44.175600000000003</v>
      </c>
      <c r="M8" s="70">
        <f t="shared" si="5"/>
        <v>2.8E-3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customFormat="1" ht="21" customHeight="1" x14ac:dyDescent="0.35">
      <c r="A9" s="73" t="str">
        <f>'Dane robocze'!A8</f>
        <v>BOSSA w promocji</v>
      </c>
      <c r="B9" s="69">
        <f>MAX($C$4*'Dane robocze'!$K8,'Dane robocze'!$L8)</f>
        <v>5</v>
      </c>
      <c r="C9" s="70">
        <f t="shared" si="0"/>
        <v>0.05</v>
      </c>
      <c r="D9" s="69">
        <f>MAX($E$4*'Dane robocze'!$K8,'Dane robocze'!$L8)</f>
        <v>5</v>
      </c>
      <c r="E9" s="70">
        <f t="shared" si="1"/>
        <v>0.01</v>
      </c>
      <c r="F9" s="69">
        <f>MAX($G$4*'Dane robocze'!$K8,'Dane robocze'!$L8)</f>
        <v>5</v>
      </c>
      <c r="G9" s="70">
        <f t="shared" si="2"/>
        <v>5.0000000000000001E-3</v>
      </c>
      <c r="H9" s="69">
        <f>MAX($I$4*'Dane robocze'!$K8,'Dane robocze'!$L8)</f>
        <v>7.6</v>
      </c>
      <c r="I9" s="70">
        <f t="shared" si="3"/>
        <v>3.8E-3</v>
      </c>
      <c r="J9" s="69">
        <f>MAX($K$4*'Dane robocze'!$K8,'Dane robocze'!$L8)</f>
        <v>23.98104</v>
      </c>
      <c r="K9" s="70">
        <f t="shared" si="4"/>
        <v>3.8E-3</v>
      </c>
      <c r="L9" s="69">
        <f>MAX($M$4*'Dane robocze'!$K8,'Dane robocze'!$L8)</f>
        <v>59.952599999999997</v>
      </c>
      <c r="M9" s="70">
        <f t="shared" si="5"/>
        <v>3.8E-3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customFormat="1" ht="21" customHeight="1" x14ac:dyDescent="0.35">
      <c r="A10" s="73" t="str">
        <f>'Dane robocze'!A9</f>
        <v>BOSSA bez promocji</v>
      </c>
      <c r="B10" s="69">
        <f>MAX($C$4*'Dane robocze'!$K9,'Dane robocze'!$L9)</f>
        <v>5</v>
      </c>
      <c r="C10" s="70">
        <f t="shared" si="0"/>
        <v>0.05</v>
      </c>
      <c r="D10" s="69">
        <f>MAX($E$4*'Dane robocze'!$K9,'Dane robocze'!$L9)</f>
        <v>5</v>
      </c>
      <c r="E10" s="70">
        <f>D10/$E$4</f>
        <v>0.01</v>
      </c>
      <c r="F10" s="69">
        <f>MAX($G$4*'Dane robocze'!$K9,'Dane robocze'!$L9)</f>
        <v>5</v>
      </c>
      <c r="G10" s="70">
        <f t="shared" si="2"/>
        <v>5.0000000000000001E-3</v>
      </c>
      <c r="H10" s="69">
        <f>MAX($I$4*'Dane robocze'!$K9,'Dane robocze'!$L9)</f>
        <v>7.6</v>
      </c>
      <c r="I10" s="70">
        <f t="shared" si="3"/>
        <v>3.8E-3</v>
      </c>
      <c r="J10" s="69">
        <f>MAX($K$4*'Dane robocze'!$K9,'Dane robocze'!$L9)</f>
        <v>23.98104</v>
      </c>
      <c r="K10" s="70">
        <f t="shared" si="4"/>
        <v>3.8E-3</v>
      </c>
      <c r="L10" s="69">
        <f>MAX($M$4*'Dane robocze'!$K9,'Dane robocze'!$L9)</f>
        <v>59.952599999999997</v>
      </c>
      <c r="M10" s="70">
        <f t="shared" si="5"/>
        <v>3.8E-3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customFormat="1" ht="21" customHeight="1" x14ac:dyDescent="0.35">
      <c r="A11" s="73" t="str">
        <f>'Dane robocze'!A12</f>
        <v>Millenium Dom Maklerski</v>
      </c>
      <c r="B11" s="69">
        <f>MAX($C$4*'Dane robocze'!$K12,'Dane robocze'!$L12)</f>
        <v>4.9000000000000004</v>
      </c>
      <c r="C11" s="70">
        <f t="shared" si="0"/>
        <v>4.9000000000000002E-2</v>
      </c>
      <c r="D11" s="69">
        <f>MAX($E$4*'Dane robocze'!$K12,'Dane robocze'!$L12)</f>
        <v>4.9000000000000004</v>
      </c>
      <c r="E11" s="70">
        <f t="shared" si="1"/>
        <v>9.8000000000000014E-3</v>
      </c>
      <c r="F11" s="69">
        <f>MAX($G$4*'Dane robocze'!$K12,'Dane robocze'!$L12)</f>
        <v>4.9000000000000004</v>
      </c>
      <c r="G11" s="70">
        <f t="shared" si="2"/>
        <v>4.9000000000000007E-3</v>
      </c>
      <c r="H11" s="69">
        <f>MAX($I$4*'Dane robocze'!$K12,'Dane robocze'!$L12)</f>
        <v>7.6</v>
      </c>
      <c r="I11" s="70">
        <f t="shared" si="3"/>
        <v>3.8E-3</v>
      </c>
      <c r="J11" s="69">
        <f>MAX($K$4*'Dane robocze'!$K12,'Dane robocze'!$L12)</f>
        <v>23.98104</v>
      </c>
      <c r="K11" s="70">
        <f t="shared" si="4"/>
        <v>3.8E-3</v>
      </c>
      <c r="L11" s="69">
        <f>MAX($M$4*'Dane robocze'!$K12,'Dane robocze'!$L12)</f>
        <v>59.952599999999997</v>
      </c>
      <c r="M11" s="70">
        <f t="shared" si="5"/>
        <v>3.8E-3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customFormat="1" ht="21" customHeight="1" x14ac:dyDescent="0.35">
      <c r="A12" s="73" t="str">
        <f>'Dane robocze'!A14</f>
        <v>Noble Securities bez promocji</v>
      </c>
      <c r="B12" s="69">
        <f>MAX($C$4*'Dane robocze'!$K14,'Dane robocze'!$L14)</f>
        <v>10</v>
      </c>
      <c r="C12" s="70">
        <f t="shared" si="0"/>
        <v>0.1</v>
      </c>
      <c r="D12" s="69">
        <f>MAX($E$4*'Dane robocze'!$K14,'Dane robocze'!$L14)</f>
        <v>10</v>
      </c>
      <c r="E12" s="70">
        <f t="shared" si="1"/>
        <v>0.02</v>
      </c>
      <c r="F12" s="69">
        <f>MAX($G$4*'Dane robocze'!$K14,'Dane robocze'!$L14)</f>
        <v>10</v>
      </c>
      <c r="G12" s="70">
        <f t="shared" si="2"/>
        <v>0.01</v>
      </c>
      <c r="H12" s="69">
        <f>MAX($I$4*'Dane robocze'!$K14,'Dane robocze'!$L14)</f>
        <v>10</v>
      </c>
      <c r="I12" s="70">
        <f t="shared" si="3"/>
        <v>5.0000000000000001E-3</v>
      </c>
      <c r="J12" s="69">
        <f>MAX($K$4*'Dane robocze'!$K14,'Dane robocze'!$L14)</f>
        <v>23.98104</v>
      </c>
      <c r="K12" s="70">
        <f t="shared" si="4"/>
        <v>3.8E-3</v>
      </c>
      <c r="L12" s="69">
        <f>MAX($M$4*'Dane robocze'!$K14,'Dane robocze'!$L14)</f>
        <v>59.952599999999997</v>
      </c>
      <c r="M12" s="70">
        <f t="shared" si="5"/>
        <v>3.8E-3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customFormat="1" ht="21" customHeight="1" x14ac:dyDescent="0.35">
      <c r="A13" s="73" t="str">
        <f>'Dane robocze'!A6</f>
        <v>mBank eMakler</v>
      </c>
      <c r="B13" s="69">
        <f>MAX($C$4*'Dane robocze'!$K6,'Dane robocze'!$L6)</f>
        <v>5</v>
      </c>
      <c r="C13" s="70">
        <f t="shared" si="0"/>
        <v>0.05</v>
      </c>
      <c r="D13" s="69">
        <f>MAX($E$4*'Dane robocze'!$K6,'Dane robocze'!$L6)</f>
        <v>5</v>
      </c>
      <c r="E13" s="70">
        <f t="shared" si="1"/>
        <v>0.01</v>
      </c>
      <c r="F13" s="69">
        <f>MAX($G$4*'Dane robocze'!$K6,'Dane robocze'!$L6)</f>
        <v>5</v>
      </c>
      <c r="G13" s="70">
        <f t="shared" si="2"/>
        <v>5.0000000000000001E-3</v>
      </c>
      <c r="H13" s="69">
        <f>MAX($I$4*'Dane robocze'!$K6,'Dane robocze'!$L6)</f>
        <v>7.8</v>
      </c>
      <c r="I13" s="70">
        <f t="shared" si="3"/>
        <v>3.8999999999999998E-3</v>
      </c>
      <c r="J13" s="69">
        <f>MAX($K$4*'Dane robocze'!$K6,'Dane robocze'!$L6)</f>
        <v>24.612120000000001</v>
      </c>
      <c r="K13" s="70">
        <f t="shared" si="4"/>
        <v>3.8999999999999998E-3</v>
      </c>
      <c r="L13" s="69">
        <f>MAX($M$4*'Dane robocze'!$K6,'Dane robocze'!$L6)</f>
        <v>61.530299999999997</v>
      </c>
      <c r="M13" s="70">
        <f t="shared" si="5"/>
        <v>3.8999999999999998E-3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customFormat="1" ht="15.5" x14ac:dyDescent="0.35">
      <c r="A14" s="73" t="str">
        <f>'Dane robocze'!A7</f>
        <v>mBank Biuro Maklerskie (MDM)</v>
      </c>
      <c r="B14" s="69">
        <f>MAX($C$4*'Dane robocze'!$K7,'Dane robocze'!$L7)</f>
        <v>5</v>
      </c>
      <c r="C14" s="70">
        <f t="shared" si="0"/>
        <v>0.05</v>
      </c>
      <c r="D14" s="69">
        <f>MAX($E$4*'Dane robocze'!$K7,'Dane robocze'!$L7)</f>
        <v>5</v>
      </c>
      <c r="E14" s="70">
        <f t="shared" si="1"/>
        <v>0.01</v>
      </c>
      <c r="F14" s="69">
        <f>MAX($G$4*'Dane robocze'!$K7,'Dane robocze'!$L7)</f>
        <v>5</v>
      </c>
      <c r="G14" s="70">
        <f t="shared" si="2"/>
        <v>5.0000000000000001E-3</v>
      </c>
      <c r="H14" s="69">
        <f>MAX($I$4*'Dane robocze'!$K7,'Dane robocze'!$L7)</f>
        <v>7.8</v>
      </c>
      <c r="I14" s="70">
        <f t="shared" si="3"/>
        <v>3.8999999999999998E-3</v>
      </c>
      <c r="J14" s="69">
        <f>MAX($K$4*'Dane robocze'!$K7,'Dane robocze'!$L7)</f>
        <v>24.612120000000001</v>
      </c>
      <c r="K14" s="70">
        <f t="shared" si="4"/>
        <v>3.8999999999999998E-3</v>
      </c>
      <c r="L14" s="69">
        <f>MAX($M$4*'Dane robocze'!$K7,'Dane robocze'!$L7)</f>
        <v>61.530299999999997</v>
      </c>
      <c r="M14" s="70">
        <f t="shared" si="5"/>
        <v>3.8999999999999998E-3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customFormat="1" ht="21" customHeight="1" x14ac:dyDescent="0.35">
      <c r="A15" s="73" t="str">
        <f>'Dane robocze'!A10</f>
        <v>BM Santander</v>
      </c>
      <c r="B15" s="69">
        <f>MAX($C$4*'Dane robocze'!$K10,'Dane robocze'!$L10)</f>
        <v>5</v>
      </c>
      <c r="C15" s="70">
        <f t="shared" si="0"/>
        <v>0.05</v>
      </c>
      <c r="D15" s="69">
        <f>MAX($E$4*'Dane robocze'!$K10,'Dane robocze'!$L10)</f>
        <v>5</v>
      </c>
      <c r="E15" s="70">
        <f t="shared" si="1"/>
        <v>0.01</v>
      </c>
      <c r="F15" s="69">
        <f>MAX($G$4*'Dane robocze'!$K10,'Dane robocze'!$L10)</f>
        <v>5</v>
      </c>
      <c r="G15" s="70">
        <f>F15/$G$4</f>
        <v>5.0000000000000001E-3</v>
      </c>
      <c r="H15" s="69">
        <f>MAX($I$4*'Dane robocze'!$K10,'Dane robocze'!$L10)</f>
        <v>7.8</v>
      </c>
      <c r="I15" s="70">
        <f t="shared" si="3"/>
        <v>3.8999999999999998E-3</v>
      </c>
      <c r="J15" s="69">
        <f>MAX($K$4*'Dane robocze'!$K10,'Dane robocze'!$L10)</f>
        <v>24.612120000000001</v>
      </c>
      <c r="K15" s="70">
        <f t="shared" si="4"/>
        <v>3.8999999999999998E-3</v>
      </c>
      <c r="L15" s="69">
        <f>MAX($M$4*'Dane robocze'!$K10,'Dane robocze'!$L10)</f>
        <v>61.530299999999997</v>
      </c>
      <c r="M15" s="70">
        <f t="shared" si="5"/>
        <v>3.8999999999999998E-3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customFormat="1" ht="21" customHeight="1" thickBot="1" x14ac:dyDescent="0.4">
      <c r="A16" s="73" t="str">
        <f>'Dane robocze'!A11</f>
        <v>Biuro Maklerskie PKO BP</v>
      </c>
      <c r="B16" s="71">
        <f>MAX($C$4*'Dane robocze'!$K11,'Dane robocze'!$L11)</f>
        <v>5</v>
      </c>
      <c r="C16" s="72">
        <f>B16/$C$4</f>
        <v>0.05</v>
      </c>
      <c r="D16" s="71">
        <f>MAX($E$4*'Dane robocze'!$K11,'Dane robocze'!$L11)</f>
        <v>5</v>
      </c>
      <c r="E16" s="72">
        <f t="shared" si="1"/>
        <v>0.01</v>
      </c>
      <c r="F16" s="71">
        <f>MAX($G$4*'Dane robocze'!$K11,'Dane robocze'!$L11)</f>
        <v>5</v>
      </c>
      <c r="G16" s="72">
        <f t="shared" si="2"/>
        <v>5.0000000000000001E-3</v>
      </c>
      <c r="H16" s="71">
        <f>MAX($I$4*'Dane robocze'!$K11,'Dane robocze'!$L11)</f>
        <v>7.8</v>
      </c>
      <c r="I16" s="72">
        <f t="shared" si="3"/>
        <v>3.8999999999999998E-3</v>
      </c>
      <c r="J16" s="71">
        <f>MAX($K$4*'Dane robocze'!$K11,'Dane robocze'!$L11)</f>
        <v>24.612120000000001</v>
      </c>
      <c r="K16" s="72">
        <f t="shared" si="4"/>
        <v>3.8999999999999998E-3</v>
      </c>
      <c r="L16" s="71">
        <f>MAX($M$4*'Dane robocze'!$K11,'Dane robocze'!$L11)</f>
        <v>61.530299999999997</v>
      </c>
      <c r="M16" s="72">
        <f t="shared" si="5"/>
        <v>3.8999999999999998E-3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8" spans="1:18" ht="26.5" thickBot="1" x14ac:dyDescent="0.65">
      <c r="A18" s="75" t="s">
        <v>148</v>
      </c>
    </row>
    <row r="19" spans="1:18" ht="38" customHeight="1" thickBot="1" x14ac:dyDescent="0.4">
      <c r="B19" s="185" t="s">
        <v>212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</row>
    <row r="20" spans="1:18" ht="18.5" x14ac:dyDescent="0.45">
      <c r="A20" s="188" t="s">
        <v>145</v>
      </c>
      <c r="B20" s="66" t="s">
        <v>187</v>
      </c>
      <c r="C20" s="67">
        <v>100</v>
      </c>
      <c r="D20" s="66" t="str">
        <f>B20</f>
        <v>Transakcja:</v>
      </c>
      <c r="E20" s="67">
        <v>500</v>
      </c>
      <c r="F20" s="66" t="str">
        <f>B20</f>
        <v>Transakcja:</v>
      </c>
      <c r="G20" s="67">
        <v>1000</v>
      </c>
      <c r="H20" s="66" t="str">
        <f>B20</f>
        <v>Transakcja:</v>
      </c>
      <c r="I20" s="67">
        <v>2000</v>
      </c>
      <c r="J20" s="66" t="str">
        <f>H20</f>
        <v>Transakcja:</v>
      </c>
      <c r="K20" s="67">
        <v>6310.8</v>
      </c>
      <c r="L20" s="66" t="str">
        <f>B20</f>
        <v>Transakcja:</v>
      </c>
      <c r="M20" s="67">
        <v>15777</v>
      </c>
      <c r="N20" s="59" t="s">
        <v>149</v>
      </c>
    </row>
    <row r="21" spans="1:18" ht="50.5" customHeight="1" x14ac:dyDescent="0.35">
      <c r="A21" s="189"/>
      <c r="B21" s="68" t="s">
        <v>141</v>
      </c>
      <c r="C21" s="128" t="s">
        <v>186</v>
      </c>
      <c r="D21" s="68" t="s">
        <v>141</v>
      </c>
      <c r="E21" s="128" t="s">
        <v>186</v>
      </c>
      <c r="F21" s="68" t="s">
        <v>141</v>
      </c>
      <c r="G21" s="128" t="s">
        <v>186</v>
      </c>
      <c r="H21" s="68" t="s">
        <v>141</v>
      </c>
      <c r="I21" s="128" t="s">
        <v>186</v>
      </c>
      <c r="J21" s="68" t="s">
        <v>141</v>
      </c>
      <c r="K21" s="128" t="s">
        <v>186</v>
      </c>
      <c r="L21" s="68" t="s">
        <v>141</v>
      </c>
      <c r="M21" s="128" t="s">
        <v>186</v>
      </c>
    </row>
    <row r="22" spans="1:18" ht="25.5" customHeight="1" x14ac:dyDescent="0.35">
      <c r="A22" s="73" t="s">
        <v>183</v>
      </c>
      <c r="B22" s="141">
        <f>MAX(C$20*'Dane robocze'!$E6,'Dane robocze'!$F6)</f>
        <v>19</v>
      </c>
      <c r="C22" s="142">
        <f>B22/C$20</f>
        <v>0.19</v>
      </c>
      <c r="D22" s="141">
        <f>MAX(E$20*'Dane robocze'!$E6,'Dane robocze'!$F6)</f>
        <v>19</v>
      </c>
      <c r="E22" s="143">
        <f>D22/E$20</f>
        <v>3.7999999999999999E-2</v>
      </c>
      <c r="F22" s="141">
        <f>MAX(G$20*'Dane robocze'!$E6,'Dane robocze'!$F6)</f>
        <v>19</v>
      </c>
      <c r="G22" s="143">
        <f>F22/G$20</f>
        <v>1.9E-2</v>
      </c>
      <c r="H22" s="141">
        <f>MAX(I$20*'Dane robocze'!$E6,'Dane robocze'!$F6)</f>
        <v>19</v>
      </c>
      <c r="I22" s="143">
        <f>H22/I$20</f>
        <v>9.4999999999999998E-3</v>
      </c>
      <c r="J22" s="141">
        <f>MAX(K$20*'Dane robocze'!$E6,'Dane robocze'!$F6)</f>
        <v>19</v>
      </c>
      <c r="K22" s="143">
        <f>J22/K$20</f>
        <v>3.0107117956518982E-3</v>
      </c>
      <c r="L22" s="141">
        <f>MAX(M$20*'Dane robocze'!$E6,'Dane robocze'!$F6)</f>
        <v>45.753299999999996</v>
      </c>
      <c r="M22" s="143">
        <f>L22/M$20</f>
        <v>2.8999999999999998E-3</v>
      </c>
    </row>
    <row r="23" spans="1:18" ht="25.5" customHeight="1" x14ac:dyDescent="0.35">
      <c r="A23" s="73" t="s">
        <v>189</v>
      </c>
      <c r="B23" s="141">
        <f>MAX(C$20*'Dane robocze'!$E7,'Dane robocze'!$F7)</f>
        <v>19</v>
      </c>
      <c r="C23" s="142">
        <f t="shared" ref="C23:C25" si="6">B23/C$20</f>
        <v>0.19</v>
      </c>
      <c r="D23" s="141">
        <f>MAX(E$20*'Dane robocze'!$E7,'Dane robocze'!$F7)</f>
        <v>19</v>
      </c>
      <c r="E23" s="143">
        <f t="shared" ref="E23:G26" si="7">D23/E$20</f>
        <v>3.7999999999999999E-2</v>
      </c>
      <c r="F23" s="141">
        <f>MAX(G$20*'Dane robocze'!$E7,'Dane robocze'!$F7)</f>
        <v>19</v>
      </c>
      <c r="G23" s="143">
        <f t="shared" si="7"/>
        <v>1.9E-2</v>
      </c>
      <c r="H23" s="141">
        <f>MAX(I$20*'Dane robocze'!$E7,'Dane robocze'!$F7)</f>
        <v>19</v>
      </c>
      <c r="I23" s="143">
        <f t="shared" ref="I23" si="8">H23/I$20</f>
        <v>9.4999999999999998E-3</v>
      </c>
      <c r="J23" s="141">
        <f>MAX(K$20*'Dane robocze'!$E7,'Dane robocze'!$F7)</f>
        <v>19</v>
      </c>
      <c r="K23" s="143">
        <f t="shared" ref="K23" si="9">J23/K$20</f>
        <v>3.0107117956518982E-3</v>
      </c>
      <c r="L23" s="141">
        <f>MAX(M$20*'Dane robocze'!$E7,'Dane robocze'!$F7)</f>
        <v>45.753299999999996</v>
      </c>
      <c r="M23" s="143">
        <f t="shared" ref="M23" si="10">L23/M$20</f>
        <v>2.8999999999999998E-3</v>
      </c>
    </row>
    <row r="24" spans="1:18" ht="25.5" customHeight="1" x14ac:dyDescent="0.35">
      <c r="A24" s="73" t="s">
        <v>142</v>
      </c>
      <c r="B24" s="141">
        <f>MAX(C$20*'Dane robocze'!$E8,'Dane robocze'!$F8)</f>
        <v>19</v>
      </c>
      <c r="C24" s="142">
        <f>B24/C$20</f>
        <v>0.19</v>
      </c>
      <c r="D24" s="141">
        <f>MAX(E$20*'Dane robocze'!$E8,'Dane robocze'!$F8)</f>
        <v>19</v>
      </c>
      <c r="E24" s="143">
        <f t="shared" si="7"/>
        <v>3.7999999999999999E-2</v>
      </c>
      <c r="F24" s="141">
        <f>MAX(G$20*'Dane robocze'!$E8,'Dane robocze'!$F8)</f>
        <v>19</v>
      </c>
      <c r="G24" s="143">
        <f t="shared" si="7"/>
        <v>1.9E-2</v>
      </c>
      <c r="H24" s="141">
        <f>MAX(I$20*'Dane robocze'!$E8,'Dane robocze'!$F8)</f>
        <v>19</v>
      </c>
      <c r="I24" s="143">
        <f t="shared" ref="I24" si="11">H24/I$20</f>
        <v>9.4999999999999998E-3</v>
      </c>
      <c r="J24" s="141">
        <f>MAX(K$20*'Dane robocze'!$E8,'Dane robocze'!$F8)</f>
        <v>19</v>
      </c>
      <c r="K24" s="143">
        <f t="shared" ref="K24" si="12">J24/K$20</f>
        <v>3.0107117956518982E-3</v>
      </c>
      <c r="L24" s="141">
        <f>MAX(M$20*'Dane robocze'!$E8,'Dane robocze'!$F8)</f>
        <v>45.753299999999996</v>
      </c>
      <c r="M24" s="143">
        <f t="shared" ref="M24" si="13">L24/M$20</f>
        <v>2.8999999999999998E-3</v>
      </c>
    </row>
    <row r="25" spans="1:18" ht="25.5" customHeight="1" x14ac:dyDescent="0.35">
      <c r="A25" s="73" t="s">
        <v>143</v>
      </c>
      <c r="B25" s="141">
        <f>MAX(C$20*'Dane robocze'!$E9,'Dane robocze'!$F9)</f>
        <v>29</v>
      </c>
      <c r="C25" s="142">
        <f t="shared" si="6"/>
        <v>0.28999999999999998</v>
      </c>
      <c r="D25" s="141">
        <f>MAX(E$20*'Dane robocze'!$E9,'Dane robocze'!$F9)</f>
        <v>29</v>
      </c>
      <c r="E25" s="143">
        <f t="shared" si="7"/>
        <v>5.8000000000000003E-2</v>
      </c>
      <c r="F25" s="141">
        <f>MAX(G$20*'Dane robocze'!$E9,'Dane robocze'!$F9)</f>
        <v>29</v>
      </c>
      <c r="G25" s="143">
        <f t="shared" si="7"/>
        <v>2.9000000000000001E-2</v>
      </c>
      <c r="H25" s="141">
        <f>MAX(I$20*'Dane robocze'!$E9,'Dane robocze'!$F9)</f>
        <v>29</v>
      </c>
      <c r="I25" s="143">
        <f t="shared" ref="I25" si="14">H25/I$20</f>
        <v>1.4500000000000001E-2</v>
      </c>
      <c r="J25" s="141">
        <f>MAX(K$20*'Dane robocze'!$E9,'Dane robocze'!$F9)</f>
        <v>29</v>
      </c>
      <c r="K25" s="143">
        <f t="shared" ref="K25" si="15">J25/K$20</f>
        <v>4.5952969512581604E-3</v>
      </c>
      <c r="L25" s="141">
        <f>MAX(M$20*'Dane robocze'!$E9,'Dane robocze'!$F9)</f>
        <v>45.753299999999996</v>
      </c>
      <c r="M25" s="143">
        <f t="shared" ref="M25" si="16">L25/M$20</f>
        <v>2.8999999999999998E-3</v>
      </c>
      <c r="O25" s="140"/>
    </row>
    <row r="26" spans="1:18" ht="25.5" customHeight="1" x14ac:dyDescent="0.35">
      <c r="A26" s="73" t="s">
        <v>188</v>
      </c>
      <c r="B26" s="141">
        <f>MAX(C$20*'Dane robocze'!$E10,'Dane robocze'!$F10)</f>
        <v>56.04</v>
      </c>
      <c r="C26" s="142">
        <f>B26/C$20</f>
        <v>0.56040000000000001</v>
      </c>
      <c r="D26" s="141">
        <f>MAX(E$20*'Dane robocze'!$E10,'Dane robocze'!$F10)</f>
        <v>56.04</v>
      </c>
      <c r="E26" s="143">
        <f t="shared" si="7"/>
        <v>0.11208</v>
      </c>
      <c r="F26" s="141">
        <f>MAX(G$20*'Dane robocze'!$E10,'Dane robocze'!$F10)</f>
        <v>56.04</v>
      </c>
      <c r="G26" s="143">
        <f>F26/G$20</f>
        <v>5.604E-2</v>
      </c>
      <c r="H26" s="141">
        <f>MAX(I$20*'Dane robocze'!$E10,'Dane robocze'!$F10)</f>
        <v>56.04</v>
      </c>
      <c r="I26" s="143">
        <f>H26/I$20</f>
        <v>2.802E-2</v>
      </c>
      <c r="J26" s="141">
        <f>MAX(K$20*'Dane robocze'!$E10,'Dane robocze'!$F10)</f>
        <v>56.04</v>
      </c>
      <c r="K26" s="143">
        <f>J26/K$20</f>
        <v>8.8800152120174936E-3</v>
      </c>
      <c r="L26" s="141">
        <f>MAX(M$20*'Dane robocze'!$E10,'Dane robocze'!$F10)</f>
        <v>61.530299999999997</v>
      </c>
      <c r="M26" s="143">
        <f>L26/M$20</f>
        <v>3.8999999999999998E-3</v>
      </c>
    </row>
    <row r="30" spans="1:18" x14ac:dyDescent="0.35">
      <c r="H30" s="56"/>
      <c r="I30" s="56"/>
      <c r="J30" s="56"/>
    </row>
    <row r="31" spans="1:18" ht="19" thickBot="1" x14ac:dyDescent="0.4">
      <c r="B31" s="98" t="s">
        <v>211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8" ht="18.5" x14ac:dyDescent="0.45">
      <c r="B32" s="110" t="s">
        <v>159</v>
      </c>
      <c r="C32" s="112">
        <v>6310</v>
      </c>
      <c r="D32" s="99"/>
      <c r="E32" s="111" t="s">
        <v>159</v>
      </c>
      <c r="F32" s="112">
        <v>15777</v>
      </c>
      <c r="G32" s="99"/>
      <c r="H32" s="192" t="s">
        <v>165</v>
      </c>
      <c r="I32" s="144"/>
      <c r="J32" s="145"/>
      <c r="L32" s="87"/>
      <c r="M32" s="87"/>
      <c r="N32" s="87"/>
      <c r="O32" s="87"/>
      <c r="P32" s="87"/>
      <c r="Q32" s="56"/>
      <c r="R32" s="56"/>
    </row>
    <row r="33" spans="1:18" ht="46.5" x14ac:dyDescent="0.35">
      <c r="A33" s="88"/>
      <c r="B33" s="107" t="s">
        <v>160</v>
      </c>
      <c r="C33" s="108" t="s">
        <v>161</v>
      </c>
      <c r="D33" s="109" t="s">
        <v>162</v>
      </c>
      <c r="E33" s="107" t="s">
        <v>160</v>
      </c>
      <c r="F33" s="108" t="s">
        <v>161</v>
      </c>
      <c r="G33" s="109" t="s">
        <v>162</v>
      </c>
      <c r="H33" s="192"/>
      <c r="I33" s="146"/>
      <c r="J33" s="147"/>
      <c r="K33" s="63"/>
      <c r="L33" s="96"/>
      <c r="M33" s="63"/>
      <c r="N33" s="96"/>
      <c r="O33" s="63"/>
      <c r="P33" s="96"/>
      <c r="Q33" s="56"/>
      <c r="R33" s="56"/>
    </row>
    <row r="34" spans="1:18" ht="15.5" x14ac:dyDescent="0.35">
      <c r="A34" s="103" t="s">
        <v>163</v>
      </c>
      <c r="B34" s="104">
        <v>12</v>
      </c>
      <c r="C34" s="105">
        <v>4</v>
      </c>
      <c r="D34" s="106">
        <v>1</v>
      </c>
      <c r="E34" s="104">
        <v>12</v>
      </c>
      <c r="F34" s="105">
        <v>4</v>
      </c>
      <c r="G34" s="106">
        <v>1</v>
      </c>
      <c r="H34" s="148"/>
      <c r="I34" s="148"/>
      <c r="J34" s="148"/>
      <c r="K34" s="63"/>
      <c r="L34" s="96"/>
      <c r="M34" s="63"/>
      <c r="N34" s="96"/>
      <c r="O34" s="63"/>
      <c r="P34" s="96"/>
      <c r="Q34" s="56"/>
      <c r="R34" s="56"/>
    </row>
    <row r="35" spans="1:18" ht="15.5" x14ac:dyDescent="0.35">
      <c r="A35" s="103" t="s">
        <v>164</v>
      </c>
      <c r="B35" s="100">
        <f>C32/12</f>
        <v>525.83333333333337</v>
      </c>
      <c r="C35" s="95">
        <f>C32/C34</f>
        <v>1577.5</v>
      </c>
      <c r="D35" s="101">
        <f>C32/D34</f>
        <v>6310</v>
      </c>
      <c r="E35" s="100">
        <f>F32/12</f>
        <v>1314.75</v>
      </c>
      <c r="F35" s="95">
        <f>F32/F34</f>
        <v>3944.25</v>
      </c>
      <c r="G35" s="101">
        <f>F32/G34</f>
        <v>15777</v>
      </c>
      <c r="H35" s="149"/>
      <c r="I35" s="149"/>
      <c r="J35" s="149"/>
      <c r="K35" s="63"/>
      <c r="L35" s="96"/>
      <c r="M35" s="63"/>
      <c r="N35" s="96"/>
      <c r="O35" s="63"/>
      <c r="P35" s="96"/>
      <c r="Q35" s="56"/>
      <c r="R35" s="56"/>
    </row>
    <row r="36" spans="1:18" ht="15.5" x14ac:dyDescent="0.35">
      <c r="A36" s="73" t="s">
        <v>183</v>
      </c>
      <c r="B36" s="69">
        <f>MAX(B$34*B$35*'Dane robocze'!$E6,B$34*'Dane robocze'!$F6)</f>
        <v>228</v>
      </c>
      <c r="C36" s="91">
        <f>MAX(C$34*C$35*'Dane robocze'!$E6,C$34*'Dane robocze'!$F6)</f>
        <v>76</v>
      </c>
      <c r="D36" s="92">
        <f>MAX(D$34*D$35*'Dane robocze'!$E6,D$34*'Dane robocze'!$F6)</f>
        <v>19</v>
      </c>
      <c r="E36" s="69">
        <f>MAX(E$34*E$35*'Dane robocze'!$E6,E$34*'Dane robocze'!$F6)</f>
        <v>228</v>
      </c>
      <c r="F36" s="91">
        <f>MAX(F$34*F$35*'Dane robocze'!$E6,F$34*'Dane robocze'!$F6)</f>
        <v>76</v>
      </c>
      <c r="G36" s="92">
        <f>MAX(G$34*G$35*'Dane robocze'!$E6,G$34*'Dane robocze'!$F6)</f>
        <v>45.753299999999996</v>
      </c>
      <c r="H36" s="65"/>
      <c r="I36" s="65"/>
      <c r="J36" s="65"/>
      <c r="K36" s="65"/>
      <c r="L36" s="97"/>
      <c r="M36" s="65"/>
      <c r="N36" s="97"/>
      <c r="O36" s="65"/>
      <c r="P36" s="97"/>
      <c r="Q36" s="56"/>
      <c r="R36" s="56"/>
    </row>
    <row r="37" spans="1:18" ht="15.5" x14ac:dyDescent="0.35">
      <c r="A37" s="73" t="s">
        <v>189</v>
      </c>
      <c r="B37" s="69">
        <f>MAX(B$34*B$35*'Dane robocze'!$E7,B$34*'Dane robocze'!$F7)</f>
        <v>228</v>
      </c>
      <c r="C37" s="91">
        <f>MAX(C$34*C$35*'Dane robocze'!$E7,C$34*'Dane robocze'!$F7)</f>
        <v>76</v>
      </c>
      <c r="D37" s="92">
        <f>MAX(D$34*D$35*'Dane robocze'!$E7,D$34*'Dane robocze'!$F7)</f>
        <v>19</v>
      </c>
      <c r="E37" s="69">
        <f>MAX(E$34*E$35*'Dane robocze'!$E7,E$34*'Dane robocze'!$F7)</f>
        <v>228</v>
      </c>
      <c r="F37" s="91">
        <f>MAX(F$34*F$35*'Dane robocze'!$E7,F$34*'Dane robocze'!$F7)</f>
        <v>76</v>
      </c>
      <c r="G37" s="92">
        <f>MAX(G$34*G$35*'Dane robocze'!$E7,G$34*'Dane robocze'!$F7)</f>
        <v>45.753299999999996</v>
      </c>
      <c r="H37" s="65"/>
      <c r="I37" s="65"/>
      <c r="J37" s="65"/>
      <c r="K37" s="65"/>
      <c r="L37" s="97"/>
      <c r="M37" s="65"/>
      <c r="N37" s="97"/>
      <c r="O37" s="65"/>
      <c r="P37" s="97"/>
      <c r="Q37" s="56"/>
      <c r="R37" s="56"/>
    </row>
    <row r="38" spans="1:18" ht="15.5" x14ac:dyDescent="0.35">
      <c r="A38" s="73" t="s">
        <v>142</v>
      </c>
      <c r="B38" s="69">
        <f>MAX(B$34*B$35*'Dane robocze'!$E8,B$34*'Dane robocze'!$F8)</f>
        <v>228</v>
      </c>
      <c r="C38" s="91">
        <f>MAX(C$34*C$35*'Dane robocze'!$E8,C$34*'Dane robocze'!$F8)</f>
        <v>76</v>
      </c>
      <c r="D38" s="92">
        <f>MAX(D$34*D$35*'Dane robocze'!$E8,D$34*'Dane robocze'!$F8)</f>
        <v>19</v>
      </c>
      <c r="E38" s="69">
        <f>MAX(E$34*E$35*'Dane robocze'!$E8,E$34*'Dane robocze'!$F8)</f>
        <v>228</v>
      </c>
      <c r="F38" s="91">
        <f>MAX(F$34*F$35*'Dane robocze'!$E8,F$34*'Dane robocze'!$F8)</f>
        <v>76</v>
      </c>
      <c r="G38" s="92">
        <f>MAX(G$34*G$35*'Dane robocze'!$E8,G$34*'Dane robocze'!$F8)</f>
        <v>45.753299999999996</v>
      </c>
      <c r="H38" s="65"/>
      <c r="I38" s="65"/>
      <c r="J38" s="65"/>
      <c r="K38" s="65"/>
      <c r="L38" s="97"/>
      <c r="M38" s="65"/>
      <c r="N38" s="97"/>
      <c r="O38" s="65"/>
      <c r="P38" s="97"/>
      <c r="Q38" s="56"/>
      <c r="R38" s="56"/>
    </row>
    <row r="39" spans="1:18" ht="15.5" x14ac:dyDescent="0.35">
      <c r="A39" s="73" t="s">
        <v>143</v>
      </c>
      <c r="B39" s="69">
        <f>MAX(B$34*B$35*'Dane robocze'!$E9,B$34*'Dane robocze'!$F9)</f>
        <v>348</v>
      </c>
      <c r="C39" s="91">
        <f>MAX(C$34*C$35*'Dane robocze'!$E9,C$34*'Dane robocze'!$F9)</f>
        <v>116</v>
      </c>
      <c r="D39" s="92">
        <f>MAX(D$34*D$35*'Dane robocze'!$E9,D$34*'Dane robocze'!$F9)</f>
        <v>29</v>
      </c>
      <c r="E39" s="69">
        <f>MAX(E$34*E$35*'Dane robocze'!$E9,E$34*'Dane robocze'!$F9)</f>
        <v>348</v>
      </c>
      <c r="F39" s="91">
        <f>MAX(F$34*F$35*'Dane robocze'!$E9,F$34*'Dane robocze'!$F9)</f>
        <v>116</v>
      </c>
      <c r="G39" s="92">
        <f>MAX(G$34*G$35*'Dane robocze'!$E9,G$34*'Dane robocze'!$F9)</f>
        <v>45.753299999999996</v>
      </c>
      <c r="H39" s="65"/>
      <c r="I39" s="65"/>
      <c r="J39" s="65"/>
      <c r="K39" s="65"/>
      <c r="L39" s="97"/>
      <c r="M39" s="65"/>
      <c r="N39" s="97"/>
      <c r="O39" s="65"/>
      <c r="P39" s="97"/>
      <c r="Q39" s="56"/>
      <c r="R39" s="56"/>
    </row>
    <row r="40" spans="1:18" ht="16" thickBot="1" x14ac:dyDescent="0.4">
      <c r="A40" s="73" t="s">
        <v>188</v>
      </c>
      <c r="B40" s="69">
        <f>MAX(B$34*B$35*'Dane robocze'!$E10,B$34*'Dane robocze'!$F10)</f>
        <v>672.48</v>
      </c>
      <c r="C40" s="93">
        <f>MAX(C$34*C$35*'Dane robocze'!$E10,C$34*'Dane robocze'!$F10)</f>
        <v>224.16</v>
      </c>
      <c r="D40" s="94">
        <f>MAX(D$34*D$35*'Dane robocze'!$E10,D$34*'Dane robocze'!$F10)</f>
        <v>56.04</v>
      </c>
      <c r="E40" s="71">
        <f>MAX(E$34*E$35*'Dane robocze'!$E10,E$34*'Dane robocze'!$F10)</f>
        <v>672.48</v>
      </c>
      <c r="F40" s="93">
        <f>MAX(F$34*F$35*'Dane robocze'!$E10,F$34*'Dane robocze'!$F10)</f>
        <v>224.16</v>
      </c>
      <c r="G40" s="94">
        <f>MAX(G$34*G$35*'Dane robocze'!$E10,G$34*'Dane robocze'!$F10)</f>
        <v>61.530299999999997</v>
      </c>
      <c r="H40" s="65"/>
      <c r="I40" s="65"/>
      <c r="J40" s="65"/>
      <c r="K40" s="65"/>
      <c r="L40" s="97"/>
      <c r="M40" s="65"/>
      <c r="N40" s="97"/>
      <c r="O40" s="65"/>
      <c r="P40" s="97"/>
      <c r="Q40" s="56"/>
      <c r="R40" s="56"/>
    </row>
    <row r="41" spans="1:18" x14ac:dyDescent="0.35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x14ac:dyDescent="0.35">
      <c r="C42" s="102"/>
    </row>
    <row r="43" spans="1:18" s="56" customFormat="1" ht="15.5" x14ac:dyDescent="0.35">
      <c r="B43" s="63"/>
      <c r="C43" s="63"/>
      <c r="D43" s="63"/>
      <c r="E43" s="63"/>
      <c r="F43" s="63"/>
      <c r="O43" s="60"/>
    </row>
    <row r="44" spans="1:18" s="56" customFormat="1" ht="15.5" x14ac:dyDescent="0.35">
      <c r="A44" s="60"/>
      <c r="B44" s="64"/>
      <c r="C44" s="64"/>
      <c r="D44" s="65"/>
      <c r="E44" s="65"/>
      <c r="F44" s="65"/>
      <c r="G44" s="61"/>
      <c r="H44" s="61"/>
      <c r="I44" s="61"/>
      <c r="J44" s="61"/>
      <c r="K44" s="61"/>
      <c r="L44" s="61"/>
      <c r="M44" s="61"/>
      <c r="N44" s="61"/>
      <c r="O44" s="62"/>
    </row>
    <row r="45" spans="1:18" ht="26" x14ac:dyDescent="0.6">
      <c r="A45" s="75" t="s">
        <v>155</v>
      </c>
    </row>
    <row r="46" spans="1:18" ht="43.5" customHeight="1" x14ac:dyDescent="0.35">
      <c r="A46" s="51" t="s">
        <v>150</v>
      </c>
      <c r="B46" s="76">
        <v>2.8999999999999998E-3</v>
      </c>
      <c r="C46" s="78" t="s">
        <v>151</v>
      </c>
    </row>
    <row r="47" spans="1:18" ht="26.5" customHeight="1" x14ac:dyDescent="0.35">
      <c r="A47" s="51" t="s">
        <v>140</v>
      </c>
      <c r="B47" s="77">
        <v>19</v>
      </c>
      <c r="C47" s="3" t="s">
        <v>152</v>
      </c>
    </row>
    <row r="48" spans="1:18" ht="40" customHeight="1" x14ac:dyDescent="0.35">
      <c r="A48" s="79" t="s">
        <v>157</v>
      </c>
      <c r="B48" s="55">
        <f>B47/B46</f>
        <v>6551.7241379310353</v>
      </c>
    </row>
    <row r="49" spans="1:15" ht="26.5" customHeight="1" x14ac:dyDescent="0.35"/>
    <row r="50" spans="1:15" ht="26.5" customHeight="1" x14ac:dyDescent="0.35">
      <c r="A50" s="56"/>
      <c r="B50" s="56"/>
    </row>
    <row r="51" spans="1:15" ht="48.5" customHeight="1" x14ac:dyDescent="0.35">
      <c r="A51" s="52" t="s">
        <v>158</v>
      </c>
      <c r="B51" s="52" t="s">
        <v>141</v>
      </c>
      <c r="C51" s="52" t="s">
        <v>144</v>
      </c>
    </row>
    <row r="52" spans="1:15" ht="22" customHeight="1" x14ac:dyDescent="0.35">
      <c r="A52" s="53">
        <v>100</v>
      </c>
      <c r="B52" s="54">
        <f t="shared" ref="B52:B60" si="17">MAX($A52*$B$46,$B$47)</f>
        <v>19</v>
      </c>
      <c r="C52" s="80">
        <f t="shared" ref="C52:C60" si="18">B52/A52</f>
        <v>0.19</v>
      </c>
    </row>
    <row r="53" spans="1:15" ht="22" customHeight="1" x14ac:dyDescent="0.35">
      <c r="A53" s="53">
        <v>300</v>
      </c>
      <c r="B53" s="54">
        <f t="shared" si="17"/>
        <v>19</v>
      </c>
      <c r="C53" s="80">
        <f t="shared" si="18"/>
        <v>6.3333333333333339E-2</v>
      </c>
    </row>
    <row r="54" spans="1:15" ht="22" customHeight="1" x14ac:dyDescent="0.35">
      <c r="A54" s="53">
        <v>500</v>
      </c>
      <c r="B54" s="54">
        <f t="shared" si="17"/>
        <v>19</v>
      </c>
      <c r="C54" s="80">
        <f t="shared" si="18"/>
        <v>3.7999999999999999E-2</v>
      </c>
    </row>
    <row r="55" spans="1:15" ht="22" customHeight="1" x14ac:dyDescent="0.35">
      <c r="A55" s="53">
        <v>700</v>
      </c>
      <c r="B55" s="54">
        <f t="shared" si="17"/>
        <v>19</v>
      </c>
      <c r="C55" s="80">
        <f t="shared" si="18"/>
        <v>2.7142857142857142E-2</v>
      </c>
    </row>
    <row r="56" spans="1:15" ht="22" customHeight="1" x14ac:dyDescent="0.35">
      <c r="A56" s="53">
        <v>1000</v>
      </c>
      <c r="B56" s="54">
        <f t="shared" si="17"/>
        <v>19</v>
      </c>
      <c r="C56" s="80">
        <f t="shared" si="18"/>
        <v>1.9E-2</v>
      </c>
    </row>
    <row r="57" spans="1:15" ht="22" customHeight="1" x14ac:dyDescent="0.35">
      <c r="A57" s="53">
        <v>1500</v>
      </c>
      <c r="B57" s="54">
        <f t="shared" si="17"/>
        <v>19</v>
      </c>
      <c r="C57" s="80">
        <f t="shared" si="18"/>
        <v>1.2666666666666666E-2</v>
      </c>
    </row>
    <row r="58" spans="1:15" ht="22" customHeight="1" x14ac:dyDescent="0.35">
      <c r="A58" s="53">
        <v>2000</v>
      </c>
      <c r="B58" s="54">
        <f t="shared" si="17"/>
        <v>19</v>
      </c>
      <c r="C58" s="80">
        <f t="shared" si="18"/>
        <v>9.4999999999999998E-3</v>
      </c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22" customHeight="1" x14ac:dyDescent="0.35">
      <c r="A59" s="53">
        <v>3000</v>
      </c>
      <c r="B59" s="54">
        <f t="shared" si="17"/>
        <v>19</v>
      </c>
      <c r="C59" s="80">
        <f t="shared" si="18"/>
        <v>6.3333333333333332E-3</v>
      </c>
    </row>
    <row r="60" spans="1:15" ht="22" customHeight="1" x14ac:dyDescent="0.35">
      <c r="A60" s="53">
        <v>6000</v>
      </c>
      <c r="B60" s="54">
        <f t="shared" si="17"/>
        <v>19</v>
      </c>
      <c r="C60" s="80">
        <f t="shared" si="18"/>
        <v>3.1666666666666666E-3</v>
      </c>
    </row>
  </sheetData>
  <sortState xmlns:xlrd2="http://schemas.microsoft.com/office/spreadsheetml/2017/richdata2" ref="A7:M16">
    <sortCondition ref="L6:L16"/>
  </sortState>
  <mergeCells count="5">
    <mergeCell ref="B19:M19"/>
    <mergeCell ref="A20:A21"/>
    <mergeCell ref="A4:A5"/>
    <mergeCell ref="B3:M3"/>
    <mergeCell ref="H32:H33"/>
  </mergeCells>
  <conditionalFormatting sqref="B6:B1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1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1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1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1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D4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6:K4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6:M40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6:O4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2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G4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6:J4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D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F2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2:H2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2:J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L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E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6:H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B50" xr:uid="{F750D12C-97A0-48C1-AEA2-C174D20B72D2}">
      <formula1>"początkiem,końcem"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3091-7114-41E1-9808-F47526B768B4}">
  <dimension ref="B3:O33"/>
  <sheetViews>
    <sheetView tabSelected="1" topLeftCell="A2" workbookViewId="0">
      <selection activeCell="L2" sqref="L2"/>
    </sheetView>
  </sheetViews>
  <sheetFormatPr defaultColWidth="8.81640625" defaultRowHeight="14.5" x14ac:dyDescent="0.35"/>
  <cols>
    <col min="1" max="1" width="3.08984375" style="3" customWidth="1"/>
    <col min="2" max="2" width="17.90625" style="74" customWidth="1"/>
    <col min="3" max="3" width="18.453125" style="3" customWidth="1"/>
    <col min="4" max="4" width="12.453125" style="3" customWidth="1"/>
    <col min="5" max="5" width="16.36328125" style="3" customWidth="1"/>
    <col min="6" max="6" width="12.6328125" style="3" customWidth="1"/>
    <col min="7" max="7" width="12.1796875" style="3" customWidth="1"/>
    <col min="8" max="8" width="10.36328125" style="3" bestFit="1" customWidth="1"/>
    <col min="9" max="9" width="8.81640625" style="3"/>
    <col min="10" max="10" width="11.1796875" style="3" bestFit="1" customWidth="1"/>
    <col min="11" max="11" width="8.81640625" style="3"/>
    <col min="12" max="12" width="14.1796875" style="3" bestFit="1" customWidth="1"/>
    <col min="13" max="16384" width="8.81640625" style="3"/>
  </cols>
  <sheetData>
    <row r="3" spans="2:15" ht="18.5" x14ac:dyDescent="0.45">
      <c r="B3" s="119">
        <v>15777</v>
      </c>
      <c r="C3" s="59" t="s">
        <v>176</v>
      </c>
    </row>
    <row r="4" spans="2:15" ht="18.5" x14ac:dyDescent="0.45">
      <c r="C4" s="3" t="s">
        <v>204</v>
      </c>
      <c r="F4" s="119"/>
    </row>
    <row r="5" spans="2:15" s="89" customFormat="1" ht="108" customHeight="1" x14ac:dyDescent="0.35">
      <c r="B5" s="14" t="s">
        <v>179</v>
      </c>
      <c r="C5" s="125" t="s">
        <v>175</v>
      </c>
      <c r="D5" s="10" t="s">
        <v>177</v>
      </c>
      <c r="E5" s="122" t="s">
        <v>178</v>
      </c>
      <c r="F5" s="10" t="s">
        <v>205</v>
      </c>
      <c r="G5" s="122" t="s">
        <v>206</v>
      </c>
      <c r="H5" s="199">
        <f>C7*0.1%</f>
        <v>15.777000000000001</v>
      </c>
    </row>
    <row r="6" spans="2:15" s="89" customFormat="1" ht="20" customHeight="1" x14ac:dyDescent="0.35">
      <c r="B6" s="123">
        <v>0</v>
      </c>
      <c r="C6" s="120">
        <f t="shared" ref="C6:C31" si="0">B6*$B$3</f>
        <v>0</v>
      </c>
      <c r="D6" s="120"/>
      <c r="E6" s="120"/>
      <c r="F6" s="120"/>
      <c r="G6" s="120"/>
    </row>
    <row r="7" spans="2:15" ht="20" customHeight="1" x14ac:dyDescent="0.35">
      <c r="B7" s="124">
        <v>1</v>
      </c>
      <c r="C7" s="120">
        <f t="shared" si="0"/>
        <v>15777</v>
      </c>
      <c r="D7" s="127">
        <f>MIN($B$3*B7*'Dane robocze'!B30,'Dane robocze'!C30)</f>
        <v>0</v>
      </c>
      <c r="E7" s="127">
        <f>MIN($B$3*B7*'Dane robocze'!E30,'Dane robocze'!F30)+'Dane robocze'!D30</f>
        <v>75.777000000000001</v>
      </c>
      <c r="F7" s="127">
        <f>F6+MIN(($B$3*B7)*'Dane robocze'!B30,'Dane robocze'!C30)</f>
        <v>0</v>
      </c>
      <c r="G7" s="127">
        <f>G6+E7</f>
        <v>75.777000000000001</v>
      </c>
    </row>
    <row r="8" spans="2:15" ht="20" customHeight="1" x14ac:dyDescent="0.35">
      <c r="B8" s="124">
        <v>2</v>
      </c>
      <c r="C8" s="120">
        <f t="shared" si="0"/>
        <v>31554</v>
      </c>
      <c r="D8" s="127">
        <f>MIN($B$3*B8*'Dane robocze'!B31,'Dane robocze'!C31)</f>
        <v>50.486400000000003</v>
      </c>
      <c r="E8" s="127">
        <f>MIN($B$3*B8*'Dane robocze'!E31,'Dane robocze'!F31)+'Dane robocze'!D31</f>
        <v>91.554000000000002</v>
      </c>
      <c r="F8" s="127">
        <f>F7+MIN(($B$3*B8)*'Dane robocze'!B31,'Dane robocze'!C31)</f>
        <v>50.486400000000003</v>
      </c>
      <c r="G8" s="127">
        <f t="shared" ref="G8:G31" si="1">G7+E8</f>
        <v>167.33100000000002</v>
      </c>
      <c r="O8" s="121"/>
    </row>
    <row r="9" spans="2:15" ht="20" customHeight="1" x14ac:dyDescent="0.35">
      <c r="B9" s="124">
        <v>3</v>
      </c>
      <c r="C9" s="120">
        <f t="shared" si="0"/>
        <v>47331</v>
      </c>
      <c r="D9" s="127">
        <f>MIN($B$3*B9*'Dane robocze'!B32,'Dane robocze'!C32)</f>
        <v>70.996499999999997</v>
      </c>
      <c r="E9" s="127">
        <f>MIN($B$3*B9*'Dane robocze'!E32,'Dane robocze'!F32)+'Dane robocze'!D32</f>
        <v>107.331</v>
      </c>
      <c r="F9" s="127">
        <f>F8+MIN(($B$3*B9)*'Dane robocze'!B32,'Dane robocze'!C32)</f>
        <v>121.4829</v>
      </c>
      <c r="G9" s="127">
        <f t="shared" si="1"/>
        <v>274.66200000000003</v>
      </c>
    </row>
    <row r="10" spans="2:15" ht="20" customHeight="1" x14ac:dyDescent="0.35">
      <c r="B10" s="124">
        <v>4</v>
      </c>
      <c r="C10" s="120">
        <f t="shared" si="0"/>
        <v>63108</v>
      </c>
      <c r="D10" s="127">
        <f>MIN($B$3*B10*'Dane robocze'!B33,'Dane robocze'!C33)</f>
        <v>88.351200000000006</v>
      </c>
      <c r="E10" s="127">
        <f>MIN($B$3*B10*'Dane robocze'!E33,'Dane robocze'!F33)+'Dane robocze'!D33</f>
        <v>123.108</v>
      </c>
      <c r="F10" s="127">
        <f>F9+MIN(($B$3*B10)*'Dane robocze'!B33,'Dane robocze'!C33)</f>
        <v>209.83410000000001</v>
      </c>
      <c r="G10" s="127">
        <f t="shared" si="1"/>
        <v>397.77000000000004</v>
      </c>
    </row>
    <row r="11" spans="2:15" ht="20" customHeight="1" x14ac:dyDescent="0.35">
      <c r="B11" s="124">
        <v>5</v>
      </c>
      <c r="C11" s="120">
        <f t="shared" si="0"/>
        <v>78885</v>
      </c>
      <c r="D11" s="127">
        <f>MIN($B$3*B11*'Dane robocze'!B34,'Dane robocze'!C34)</f>
        <v>102.5505</v>
      </c>
      <c r="E11" s="127">
        <f>MIN($B$3*B11*'Dane robocze'!E34,'Dane robocze'!F34)+'Dane robocze'!D34</f>
        <v>138.88499999999999</v>
      </c>
      <c r="F11" s="127">
        <f>F10+MIN(($B$3*B11)*'Dane robocze'!B34,'Dane robocze'!C34)</f>
        <v>312.38459999999998</v>
      </c>
      <c r="G11" s="127">
        <f t="shared" si="1"/>
        <v>536.65499999999997</v>
      </c>
    </row>
    <row r="12" spans="2:15" ht="20" customHeight="1" x14ac:dyDescent="0.35">
      <c r="B12" s="124">
        <v>6</v>
      </c>
      <c r="C12" s="120">
        <f t="shared" si="0"/>
        <v>94662</v>
      </c>
      <c r="D12" s="127">
        <f>MIN($B$3*B12*'Dane robocze'!B35,'Dane robocze'!C35)</f>
        <v>113.59439999999999</v>
      </c>
      <c r="E12" s="127">
        <f>MIN($B$3*B12*'Dane robocze'!E35,'Dane robocze'!F35)+'Dane robocze'!D35</f>
        <v>154.66200000000001</v>
      </c>
      <c r="F12" s="127">
        <f>F11+MIN(($B$3*B12)*'Dane robocze'!B35,'Dane robocze'!C35)</f>
        <v>425.97899999999998</v>
      </c>
      <c r="G12" s="127">
        <f t="shared" si="1"/>
        <v>691.31700000000001</v>
      </c>
      <c r="L12" s="117"/>
    </row>
    <row r="13" spans="2:15" ht="20" customHeight="1" x14ac:dyDescent="0.35">
      <c r="B13" s="124">
        <v>7</v>
      </c>
      <c r="C13" s="120">
        <f t="shared" si="0"/>
        <v>110439</v>
      </c>
      <c r="D13" s="127">
        <f>MIN($B$3*B13*'Dane robocze'!B36,'Dane robocze'!C36)</f>
        <v>121.4829</v>
      </c>
      <c r="E13" s="127">
        <f>MIN($B$3*B13*'Dane robocze'!E36,'Dane robocze'!F36)+'Dane robocze'!D36</f>
        <v>170.43900000000002</v>
      </c>
      <c r="F13" s="127">
        <f>F12+MIN(($B$3*B13)*'Dane robocze'!B36,'Dane robocze'!C36)</f>
        <v>547.46190000000001</v>
      </c>
      <c r="G13" s="127">
        <f t="shared" si="1"/>
        <v>861.75600000000009</v>
      </c>
    </row>
    <row r="14" spans="2:15" ht="20" customHeight="1" x14ac:dyDescent="0.35">
      <c r="B14" s="124">
        <v>8</v>
      </c>
      <c r="C14" s="120">
        <f t="shared" si="0"/>
        <v>126216</v>
      </c>
      <c r="D14" s="127">
        <f>MIN($B$3*B14*'Dane robocze'!B37,'Dane robocze'!C37)</f>
        <v>126.21600000000001</v>
      </c>
      <c r="E14" s="127">
        <f>MIN($B$3*B14*'Dane robocze'!E37,'Dane robocze'!F37)+'Dane robocze'!D37</f>
        <v>186.21600000000001</v>
      </c>
      <c r="F14" s="127">
        <f>F13+MIN(($B$3*B14)*'Dane robocze'!B37,'Dane robocze'!C37)</f>
        <v>673.67790000000002</v>
      </c>
      <c r="G14" s="127">
        <f t="shared" si="1"/>
        <v>1047.9720000000002</v>
      </c>
    </row>
    <row r="15" spans="2:15" ht="20" customHeight="1" x14ac:dyDescent="0.35">
      <c r="B15" s="124">
        <v>9</v>
      </c>
      <c r="C15" s="120">
        <f t="shared" si="0"/>
        <v>141993</v>
      </c>
      <c r="D15" s="127">
        <f>MIN($B$3*B15*'Dane robocze'!B38,'Dane robocze'!C38)</f>
        <v>141.99299999999999</v>
      </c>
      <c r="E15" s="127">
        <f>MIN($B$3*B15*'Dane robocze'!E38,'Dane robocze'!F38)+'Dane robocze'!D38</f>
        <v>201.99299999999999</v>
      </c>
      <c r="F15" s="127">
        <f>F14+MIN(($B$3*B15)*'Dane robocze'!B38,'Dane robocze'!C38)</f>
        <v>815.67090000000007</v>
      </c>
      <c r="G15" s="127">
        <f t="shared" si="1"/>
        <v>1249.9650000000001</v>
      </c>
    </row>
    <row r="16" spans="2:15" ht="20" customHeight="1" x14ac:dyDescent="0.35">
      <c r="B16" s="124">
        <v>10</v>
      </c>
      <c r="C16" s="120">
        <f t="shared" si="0"/>
        <v>157770</v>
      </c>
      <c r="D16" s="127">
        <f>MIN($B$3*B16*'Dane robocze'!B39,'Dane robocze'!C39)</f>
        <v>157.77000000000001</v>
      </c>
      <c r="E16" s="127">
        <f>MIN($B$3*B16*'Dane robocze'!E39,'Dane robocze'!F39)+'Dane robocze'!D39</f>
        <v>217.77</v>
      </c>
      <c r="F16" s="127">
        <f>F15+MIN(($B$3*B16)*'Dane robocze'!B39,'Dane robocze'!C39)</f>
        <v>973.44090000000006</v>
      </c>
      <c r="G16" s="127">
        <f t="shared" si="1"/>
        <v>1467.7350000000001</v>
      </c>
    </row>
    <row r="17" spans="2:10" ht="20" customHeight="1" x14ac:dyDescent="0.35">
      <c r="B17" s="124">
        <v>11</v>
      </c>
      <c r="C17" s="120">
        <f t="shared" si="0"/>
        <v>173547</v>
      </c>
      <c r="D17" s="127">
        <f>MIN($B$3*B17*'Dane robocze'!B40,'Dane robocze'!C40)</f>
        <v>173.547</v>
      </c>
      <c r="E17" s="127">
        <f>MIN($B$3*B17*'Dane robocze'!E40,'Dane robocze'!F40)+'Dane robocze'!D40</f>
        <v>233.547</v>
      </c>
      <c r="F17" s="127">
        <f>F16+MIN(($B$3*B17)*'Dane robocze'!B40,'Dane robocze'!C40)</f>
        <v>1146.9879000000001</v>
      </c>
      <c r="G17" s="127">
        <f t="shared" si="1"/>
        <v>1701.2820000000002</v>
      </c>
    </row>
    <row r="18" spans="2:10" ht="20" customHeight="1" x14ac:dyDescent="0.35">
      <c r="B18" s="124">
        <v>12</v>
      </c>
      <c r="C18" s="120">
        <f t="shared" si="0"/>
        <v>189324</v>
      </c>
      <c r="D18" s="127">
        <f>MIN($B$3*B18*'Dane robocze'!B41,'Dane robocze'!C41)</f>
        <v>189.32400000000001</v>
      </c>
      <c r="E18" s="127">
        <f>MIN($B$3*B18*'Dane robocze'!E41,'Dane robocze'!F41)+'Dane robocze'!D41</f>
        <v>249.32400000000001</v>
      </c>
      <c r="F18" s="127">
        <f>F17+MIN(($B$3*B18)*'Dane robocze'!B41,'Dane robocze'!C41)</f>
        <v>1336.3119000000002</v>
      </c>
      <c r="G18" s="127">
        <f t="shared" si="1"/>
        <v>1950.6060000000002</v>
      </c>
    </row>
    <row r="19" spans="2:10" ht="20" customHeight="1" x14ac:dyDescent="0.35">
      <c r="B19" s="124">
        <v>13</v>
      </c>
      <c r="C19" s="120">
        <f t="shared" si="0"/>
        <v>205101</v>
      </c>
      <c r="D19" s="127">
        <f>MIN($B$3*B19*'Dane robocze'!B42,'Dane robocze'!C42)</f>
        <v>200</v>
      </c>
      <c r="E19" s="127">
        <f>MIN($B$3*B19*'Dane robocze'!E42,'Dane robocze'!F42)+'Dane robocze'!D42</f>
        <v>260</v>
      </c>
      <c r="F19" s="127">
        <f>F18+MIN(($B$3*B19)*'Dane robocze'!B42,'Dane robocze'!C42)</f>
        <v>1536.3119000000002</v>
      </c>
      <c r="G19" s="127">
        <f t="shared" si="1"/>
        <v>2210.6060000000002</v>
      </c>
    </row>
    <row r="20" spans="2:10" ht="20" customHeight="1" x14ac:dyDescent="0.35">
      <c r="B20" s="124">
        <v>14</v>
      </c>
      <c r="C20" s="120">
        <f t="shared" si="0"/>
        <v>220878</v>
      </c>
      <c r="D20" s="127">
        <f>MIN($B$3*B20*'Dane robocze'!B43,'Dane robocze'!C43)</f>
        <v>200</v>
      </c>
      <c r="E20" s="127">
        <f>MIN($B$3*B20*'Dane robocze'!E43,'Dane robocze'!F43)+'Dane robocze'!D43</f>
        <v>260</v>
      </c>
      <c r="F20" s="127">
        <f>F19+MIN(($B$3*B20)*'Dane robocze'!B43,'Dane robocze'!C43)</f>
        <v>1736.3119000000002</v>
      </c>
      <c r="G20" s="127">
        <f t="shared" si="1"/>
        <v>2470.6060000000002</v>
      </c>
    </row>
    <row r="21" spans="2:10" ht="20" customHeight="1" x14ac:dyDescent="0.35">
      <c r="B21" s="124">
        <v>15</v>
      </c>
      <c r="C21" s="120">
        <f t="shared" si="0"/>
        <v>236655</v>
      </c>
      <c r="D21" s="127">
        <f>MIN($B$3*B21*'Dane robocze'!B44,'Dane robocze'!C44)</f>
        <v>200</v>
      </c>
      <c r="E21" s="127">
        <f>MIN($B$3*B21*'Dane robocze'!E44,'Dane robocze'!F44)+'Dane robocze'!D44</f>
        <v>260</v>
      </c>
      <c r="F21" s="127">
        <f>F20+MIN(($B$3*B21)*'Dane robocze'!B44,'Dane robocze'!C44)</f>
        <v>1936.3119000000002</v>
      </c>
      <c r="G21" s="127">
        <f t="shared" si="1"/>
        <v>2730.6060000000002</v>
      </c>
    </row>
    <row r="22" spans="2:10" ht="20" customHeight="1" x14ac:dyDescent="0.35">
      <c r="B22" s="124">
        <v>16</v>
      </c>
      <c r="C22" s="120">
        <f t="shared" si="0"/>
        <v>252432</v>
      </c>
      <c r="D22" s="127">
        <f>MIN($B$3*B22*'Dane robocze'!B45,'Dane robocze'!C45)</f>
        <v>200</v>
      </c>
      <c r="E22" s="127">
        <f>MIN($B$3*B22*'Dane robocze'!E45,'Dane robocze'!F45)+'Dane robocze'!D45</f>
        <v>260</v>
      </c>
      <c r="F22" s="127">
        <f>F21+MIN(($B$3*B22)*'Dane robocze'!B45,'Dane robocze'!C45)</f>
        <v>2136.3119000000002</v>
      </c>
      <c r="G22" s="127">
        <f t="shared" si="1"/>
        <v>2990.6060000000002</v>
      </c>
    </row>
    <row r="23" spans="2:10" ht="20" customHeight="1" x14ac:dyDescent="0.35">
      <c r="B23" s="124">
        <v>17</v>
      </c>
      <c r="C23" s="120">
        <f t="shared" si="0"/>
        <v>268209</v>
      </c>
      <c r="D23" s="127">
        <f>MIN($B$3*B23*'Dane robocze'!B46,'Dane robocze'!C46)</f>
        <v>200</v>
      </c>
      <c r="E23" s="127">
        <f>MIN($B$3*B23*'Dane robocze'!E46,'Dane robocze'!F46)+'Dane robocze'!D46</f>
        <v>260</v>
      </c>
      <c r="F23" s="127">
        <f>F22+MIN(($B$3*B23)*'Dane robocze'!B46,'Dane robocze'!C46)</f>
        <v>2336.3119000000002</v>
      </c>
      <c r="G23" s="127">
        <f t="shared" si="1"/>
        <v>3250.6060000000002</v>
      </c>
    </row>
    <row r="24" spans="2:10" ht="20" customHeight="1" x14ac:dyDescent="0.35">
      <c r="B24" s="124">
        <v>18</v>
      </c>
      <c r="C24" s="120">
        <f t="shared" si="0"/>
        <v>283986</v>
      </c>
      <c r="D24" s="127">
        <f>MIN($B$3*B24*'Dane robocze'!B47,'Dane robocze'!C47)</f>
        <v>200</v>
      </c>
      <c r="E24" s="127">
        <f>MIN($B$3*B24*'Dane robocze'!E47,'Dane robocze'!F47)+'Dane robocze'!D47</f>
        <v>260</v>
      </c>
      <c r="F24" s="127">
        <f>F23+MIN(($B$3*B24)*'Dane robocze'!B47,'Dane robocze'!C47)</f>
        <v>2536.3119000000002</v>
      </c>
      <c r="G24" s="127">
        <f t="shared" si="1"/>
        <v>3510.6060000000002</v>
      </c>
    </row>
    <row r="25" spans="2:10" ht="20" customHeight="1" x14ac:dyDescent="0.35">
      <c r="B25" s="124">
        <v>19</v>
      </c>
      <c r="C25" s="120">
        <f t="shared" si="0"/>
        <v>299763</v>
      </c>
      <c r="D25" s="127">
        <f>MIN($B$3*B25*'Dane robocze'!B48,'Dane robocze'!C48)</f>
        <v>200</v>
      </c>
      <c r="E25" s="127">
        <f>MIN($B$3*B25*'Dane robocze'!E48,'Dane robocze'!F48)+'Dane robocze'!D48</f>
        <v>260</v>
      </c>
      <c r="F25" s="127">
        <f>F24+MIN(($B$3*B25)*'Dane robocze'!B48,'Dane robocze'!C48)</f>
        <v>2736.3119000000002</v>
      </c>
      <c r="G25" s="127">
        <f t="shared" si="1"/>
        <v>3770.6060000000002</v>
      </c>
    </row>
    <row r="26" spans="2:10" ht="20" customHeight="1" x14ac:dyDescent="0.35">
      <c r="B26" s="124">
        <v>20</v>
      </c>
      <c r="C26" s="120">
        <f t="shared" si="0"/>
        <v>315540</v>
      </c>
      <c r="D26" s="127">
        <f>MIN($B$3*B26*'Dane robocze'!B49,'Dane robocze'!C49)</f>
        <v>200</v>
      </c>
      <c r="E26" s="127">
        <f>MIN($B$3*B26*'Dane robocze'!E49,'Dane robocze'!F49)+'Dane robocze'!D49</f>
        <v>260</v>
      </c>
      <c r="F26" s="127">
        <f>F25+MIN(($B$3*B26)*'Dane robocze'!B49,'Dane robocze'!C49)</f>
        <v>2936.3119000000002</v>
      </c>
      <c r="G26" s="127">
        <f t="shared" si="1"/>
        <v>4030.6060000000002</v>
      </c>
    </row>
    <row r="27" spans="2:10" ht="20" customHeight="1" x14ac:dyDescent="0.35">
      <c r="B27" s="124">
        <v>21</v>
      </c>
      <c r="C27" s="120">
        <f t="shared" si="0"/>
        <v>331317</v>
      </c>
      <c r="D27" s="127">
        <f>MIN($B$3*B27*'Dane robocze'!B50,'Dane robocze'!C50)</f>
        <v>200</v>
      </c>
      <c r="E27" s="127">
        <f>MIN($B$3*B27*'Dane robocze'!E50,'Dane robocze'!F50)+'Dane robocze'!D50</f>
        <v>260</v>
      </c>
      <c r="F27" s="127">
        <f>F26+MIN(($B$3*B27)*'Dane robocze'!B50,'Dane robocze'!C50)</f>
        <v>3136.3119000000002</v>
      </c>
      <c r="G27" s="127">
        <f t="shared" si="1"/>
        <v>4290.6059999999998</v>
      </c>
    </row>
    <row r="28" spans="2:10" ht="20" customHeight="1" x14ac:dyDescent="0.35">
      <c r="B28" s="124">
        <v>22</v>
      </c>
      <c r="C28" s="120">
        <f t="shared" si="0"/>
        <v>347094</v>
      </c>
      <c r="D28" s="127">
        <f>MIN($B$3*B28*'Dane robocze'!B51,'Dane robocze'!C51)</f>
        <v>200</v>
      </c>
      <c r="E28" s="127">
        <f>MIN($B$3*B28*'Dane robocze'!E51,'Dane robocze'!F51)+'Dane robocze'!D51</f>
        <v>260</v>
      </c>
      <c r="F28" s="127">
        <f>F27+MIN(($B$3*B28)*'Dane robocze'!B51,'Dane robocze'!C51)</f>
        <v>3336.3119000000002</v>
      </c>
      <c r="G28" s="127">
        <f t="shared" si="1"/>
        <v>4550.6059999999998</v>
      </c>
    </row>
    <row r="29" spans="2:10" ht="20" customHeight="1" x14ac:dyDescent="0.35">
      <c r="B29" s="124">
        <v>23</v>
      </c>
      <c r="C29" s="120">
        <f t="shared" si="0"/>
        <v>362871</v>
      </c>
      <c r="D29" s="127">
        <f>MIN($B$3*B29*'Dane robocze'!B52,'Dane robocze'!C52)</f>
        <v>200</v>
      </c>
      <c r="E29" s="127">
        <f>MIN($B$3*B29*'Dane robocze'!E52,'Dane robocze'!F52)+'Dane robocze'!D52</f>
        <v>260</v>
      </c>
      <c r="F29" s="127">
        <f>F28+MIN(($B$3*B29)*'Dane robocze'!B52,'Dane robocze'!C52)</f>
        <v>3536.3119000000002</v>
      </c>
      <c r="G29" s="127">
        <f t="shared" si="1"/>
        <v>4810.6059999999998</v>
      </c>
    </row>
    <row r="30" spans="2:10" ht="20" customHeight="1" x14ac:dyDescent="0.35">
      <c r="B30" s="124">
        <v>24</v>
      </c>
      <c r="C30" s="120">
        <f t="shared" si="0"/>
        <v>378648</v>
      </c>
      <c r="D30" s="127">
        <f>MIN($B$3*B30*'Dane robocze'!B53,'Dane robocze'!C53)</f>
        <v>200</v>
      </c>
      <c r="E30" s="127">
        <f>MIN($B$3*B30*'Dane robocze'!E53,'Dane robocze'!F53)+'Dane robocze'!D53</f>
        <v>260</v>
      </c>
      <c r="F30" s="127">
        <f>F29+MIN(($B$3*B30)*'Dane robocze'!B53,'Dane robocze'!C53)</f>
        <v>3736.3119000000002</v>
      </c>
      <c r="G30" s="127">
        <f t="shared" si="1"/>
        <v>5070.6059999999998</v>
      </c>
    </row>
    <row r="31" spans="2:10" ht="20" customHeight="1" x14ac:dyDescent="0.35">
      <c r="B31" s="124">
        <v>25</v>
      </c>
      <c r="C31" s="120">
        <f t="shared" si="0"/>
        <v>394425</v>
      </c>
      <c r="D31" s="127">
        <f>MIN($B$3*B31*'Dane robocze'!B54,'Dane robocze'!C54)</f>
        <v>200</v>
      </c>
      <c r="E31" s="127">
        <f>MIN($B$3*B31*'Dane robocze'!E54,'Dane robocze'!F54)+'Dane robocze'!D54</f>
        <v>260</v>
      </c>
      <c r="F31" s="127">
        <f>F30+MIN(($B$3*B31)*'Dane robocze'!B54,'Dane robocze'!C54)</f>
        <v>3936.3119000000002</v>
      </c>
      <c r="G31" s="127">
        <f t="shared" si="1"/>
        <v>5330.6059999999998</v>
      </c>
      <c r="J31" s="126"/>
    </row>
    <row r="33" ht="14.5" customHeight="1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1DF4-1609-46B3-9E9D-4D6CFFB4A74A}">
  <dimension ref="A4:Q54"/>
  <sheetViews>
    <sheetView topLeftCell="A29" workbookViewId="0">
      <selection activeCell="F30" sqref="F30:F54"/>
    </sheetView>
  </sheetViews>
  <sheetFormatPr defaultColWidth="8.81640625" defaultRowHeight="14.5" x14ac:dyDescent="0.35"/>
  <cols>
    <col min="1" max="1" width="19.54296875" style="3" customWidth="1"/>
    <col min="2" max="2" width="8.81640625" style="3"/>
    <col min="3" max="3" width="11.08984375" style="3" customWidth="1"/>
    <col min="4" max="4" width="14.81640625" style="3" customWidth="1"/>
    <col min="5" max="11" width="11.08984375" style="3" customWidth="1"/>
    <col min="12" max="12" width="15.1796875" style="3" customWidth="1"/>
    <col min="13" max="13" width="11.08984375" style="3" customWidth="1"/>
    <col min="14" max="14" width="14.54296875" style="3" customWidth="1"/>
    <col min="15" max="15" width="11.08984375" style="3" customWidth="1"/>
    <col min="16" max="16" width="13.81640625" style="3" customWidth="1"/>
    <col min="17" max="16384" width="8.81640625" style="3"/>
  </cols>
  <sheetData>
    <row r="4" spans="1:16" ht="18.5" x14ac:dyDescent="0.45">
      <c r="E4" s="195" t="s">
        <v>213</v>
      </c>
      <c r="F4" s="195"/>
      <c r="G4" s="195"/>
      <c r="H4" s="196" t="s">
        <v>214</v>
      </c>
      <c r="I4" s="196"/>
      <c r="J4" s="196"/>
      <c r="K4" s="197" t="s">
        <v>215</v>
      </c>
      <c r="L4" s="197"/>
      <c r="M4" s="198" t="s">
        <v>216</v>
      </c>
      <c r="N4" s="198"/>
      <c r="O4" s="193" t="s">
        <v>217</v>
      </c>
      <c r="P4" s="193"/>
    </row>
    <row r="5" spans="1:16" s="82" customFormat="1" ht="38.5" customHeight="1" x14ac:dyDescent="0.35">
      <c r="A5" s="169" t="s">
        <v>153</v>
      </c>
      <c r="B5" s="169" t="str">
        <f>INDEX(dane_IKE,MATCH(A5,dane_instytucja,0))</f>
        <v>IKE</v>
      </c>
      <c r="C5" s="169" t="str">
        <f>INDEX(dane_IKZE,MATCH(A5,dane_instytucja,0))</f>
        <v>IKZE</v>
      </c>
      <c r="D5" s="169" t="s">
        <v>154</v>
      </c>
      <c r="E5" s="164" t="str">
        <f>INDEX(dane_prow_zag_akcje_proc,MATCH(A5,dane_instytucja,0))</f>
        <v>%</v>
      </c>
      <c r="F5" s="164" t="str">
        <f>INDEX(dane_prow_zag_akcje_min,MATCH(A5,dane_instytucja,0))</f>
        <v>min [zł]</v>
      </c>
      <c r="G5" s="164" t="str">
        <f>INDEX(dane_prow_zag_akcje_min_EUR,MATCH(A5,dane_instytucja,0))</f>
        <v>min [EUR]</v>
      </c>
      <c r="H5" s="165" t="str">
        <f>INDEX(dane_prow_zag_ETF_proc,MATCH(A5,dane_instytucja,0))</f>
        <v>%</v>
      </c>
      <c r="I5" s="165" t="str">
        <f>INDEX(dane_prow_zag_ETF_min,MATCH(A5,dane_instytucja,0))</f>
        <v>min [zł]</v>
      </c>
      <c r="J5" s="165" t="str">
        <f>INDEX(dane_prow_zag_ETF_min_EUR,MATCH(A5,dane_instytucja,0))</f>
        <v>min [EUR]</v>
      </c>
      <c r="K5" s="166" t="str">
        <f>INDEX(dane_prow_akcje_proc,MATCH(A5,dane_instytucja,0))</f>
        <v>%</v>
      </c>
      <c r="L5" s="166" t="str">
        <f>INDEX(dane_prow_akcje_min,MATCH(A5,dane_instytucja,0))</f>
        <v>min [zł]</v>
      </c>
      <c r="M5" s="167" t="str">
        <f>INDEX(dane_prow_ETF_proc,MATCH(A5,dane_instytucja,0))</f>
        <v>%</v>
      </c>
      <c r="N5" s="167" t="str">
        <f>INDEX(dane_prow_ETF_min,MATCH(A5,dane_instytucja,0))</f>
        <v>min [zł]</v>
      </c>
      <c r="O5" s="168" t="str">
        <f>INDEX(dane_prow_obligacje_proc,MATCH(A5,dane_instytucja,0))</f>
        <v>%</v>
      </c>
      <c r="P5" s="168" t="str">
        <f>INDEX(dane_prow_obligacje_min,MATCH(A5,dane_instytucja,0))</f>
        <v>min [zł]</v>
      </c>
    </row>
    <row r="6" spans="1:16" ht="36" customHeight="1" x14ac:dyDescent="0.35">
      <c r="A6" s="73" t="s">
        <v>180</v>
      </c>
      <c r="B6" s="83" t="s">
        <v>39</v>
      </c>
      <c r="C6" s="83" t="s">
        <v>39</v>
      </c>
      <c r="D6" s="83" t="s">
        <v>39</v>
      </c>
      <c r="E6" s="84">
        <v>2.8999999999999998E-3</v>
      </c>
      <c r="F6" s="85">
        <v>19</v>
      </c>
      <c r="G6" s="57">
        <v>4.0685224839400425</v>
      </c>
      <c r="H6" s="84">
        <v>2.8999999999999998E-3</v>
      </c>
      <c r="I6" s="85">
        <v>19</v>
      </c>
      <c r="J6" s="57">
        <v>4.0685224839400425</v>
      </c>
      <c r="K6" s="84">
        <v>3.8999999999999998E-3</v>
      </c>
      <c r="L6" s="85">
        <v>5</v>
      </c>
      <c r="M6" s="84">
        <v>3.8999999999999998E-3</v>
      </c>
      <c r="N6" s="85">
        <v>5</v>
      </c>
      <c r="O6" s="84">
        <v>1.9E-3</v>
      </c>
      <c r="P6" s="85">
        <v>5</v>
      </c>
    </row>
    <row r="7" spans="1:16" ht="36" customHeight="1" x14ac:dyDescent="0.35">
      <c r="A7" s="73" t="s">
        <v>183</v>
      </c>
      <c r="B7" s="83" t="s">
        <v>39</v>
      </c>
      <c r="C7" s="83" t="s">
        <v>39</v>
      </c>
      <c r="D7" s="83" t="s">
        <v>39</v>
      </c>
      <c r="E7" s="84">
        <v>2.8999999999999998E-3</v>
      </c>
      <c r="F7" s="85">
        <v>19</v>
      </c>
      <c r="G7" s="86">
        <v>5</v>
      </c>
      <c r="H7" s="84">
        <v>2.8999999999999998E-3</v>
      </c>
      <c r="I7" s="85">
        <v>19</v>
      </c>
      <c r="J7" s="86">
        <v>5</v>
      </c>
      <c r="K7" s="84">
        <v>3.8999999999999998E-3</v>
      </c>
      <c r="L7" s="85">
        <v>5</v>
      </c>
      <c r="M7" s="84">
        <v>3.8999999999999998E-3</v>
      </c>
      <c r="N7" s="85">
        <v>5</v>
      </c>
      <c r="O7" s="84">
        <v>1.9E-3</v>
      </c>
      <c r="P7" s="85">
        <v>5</v>
      </c>
    </row>
    <row r="8" spans="1:16" ht="36" customHeight="1" x14ac:dyDescent="0.35">
      <c r="A8" s="73" t="s">
        <v>142</v>
      </c>
      <c r="B8" s="83" t="s">
        <v>39</v>
      </c>
      <c r="C8" s="83" t="s">
        <v>39</v>
      </c>
      <c r="D8" s="83" t="s">
        <v>39</v>
      </c>
      <c r="E8" s="84">
        <v>2.8999999999999998E-3</v>
      </c>
      <c r="F8" s="85">
        <v>19</v>
      </c>
      <c r="G8" s="86">
        <v>5</v>
      </c>
      <c r="H8" s="84">
        <v>2.8999999999999998E-3</v>
      </c>
      <c r="I8" s="85">
        <v>19</v>
      </c>
      <c r="J8" s="86">
        <v>5</v>
      </c>
      <c r="K8" s="84">
        <v>3.8E-3</v>
      </c>
      <c r="L8" s="85">
        <v>5</v>
      </c>
      <c r="M8" s="84">
        <v>2.5000000000000001E-3</v>
      </c>
      <c r="N8" s="85">
        <v>5</v>
      </c>
      <c r="O8" s="84">
        <v>1.9E-3</v>
      </c>
      <c r="P8" s="85">
        <v>5</v>
      </c>
    </row>
    <row r="9" spans="1:16" ht="36" customHeight="1" x14ac:dyDescent="0.35">
      <c r="A9" s="73" t="s">
        <v>143</v>
      </c>
      <c r="B9" s="83" t="s">
        <v>39</v>
      </c>
      <c r="C9" s="83" t="s">
        <v>39</v>
      </c>
      <c r="D9" s="83" t="s">
        <v>39</v>
      </c>
      <c r="E9" s="84">
        <v>2.8999999999999998E-3</v>
      </c>
      <c r="F9" s="85">
        <v>29</v>
      </c>
      <c r="G9" s="86">
        <v>7</v>
      </c>
      <c r="H9" s="84">
        <v>2.8999999999999998E-3</v>
      </c>
      <c r="I9" s="85">
        <v>29</v>
      </c>
      <c r="J9" s="86">
        <v>7</v>
      </c>
      <c r="K9" s="84">
        <v>3.8E-3</v>
      </c>
      <c r="L9" s="85">
        <v>5</v>
      </c>
      <c r="M9" s="84">
        <v>3.8E-3</v>
      </c>
      <c r="N9" s="85">
        <v>5</v>
      </c>
      <c r="O9" s="84">
        <v>1.9E-3</v>
      </c>
      <c r="P9" s="85">
        <v>5</v>
      </c>
    </row>
    <row r="10" spans="1:16" ht="36" customHeight="1" x14ac:dyDescent="0.35">
      <c r="A10" s="73" t="s">
        <v>188</v>
      </c>
      <c r="B10" s="83" t="s">
        <v>39</v>
      </c>
      <c r="C10" s="83" t="s">
        <v>47</v>
      </c>
      <c r="D10" s="83" t="s">
        <v>39</v>
      </c>
      <c r="E10" s="84">
        <v>3.8999999999999998E-3</v>
      </c>
      <c r="F10" s="58">
        <v>56.04</v>
      </c>
      <c r="G10" s="86">
        <v>12</v>
      </c>
      <c r="H10" s="84">
        <v>3.8999999999999998E-3</v>
      </c>
      <c r="I10" s="58">
        <v>56.04</v>
      </c>
      <c r="J10" s="86">
        <v>12</v>
      </c>
      <c r="K10" s="84">
        <v>3.8999999999999998E-3</v>
      </c>
      <c r="L10" s="85">
        <v>5</v>
      </c>
      <c r="M10" s="84">
        <v>3.8999999999999998E-3</v>
      </c>
      <c r="N10" s="85">
        <v>5</v>
      </c>
      <c r="O10" s="84">
        <v>1.9E-3</v>
      </c>
      <c r="P10" s="85">
        <v>5</v>
      </c>
    </row>
    <row r="11" spans="1:16" ht="36" customHeight="1" x14ac:dyDescent="0.35">
      <c r="A11" s="73" t="s">
        <v>96</v>
      </c>
      <c r="B11" s="83" t="s">
        <v>39</v>
      </c>
      <c r="C11" s="83" t="s">
        <v>47</v>
      </c>
      <c r="D11" s="83" t="s">
        <v>47</v>
      </c>
      <c r="E11" s="84" t="s">
        <v>62</v>
      </c>
      <c r="F11" s="84" t="s">
        <v>62</v>
      </c>
      <c r="G11" s="84" t="s">
        <v>62</v>
      </c>
      <c r="H11" s="84" t="s">
        <v>62</v>
      </c>
      <c r="I11" s="84" t="s">
        <v>62</v>
      </c>
      <c r="J11" s="84" t="s">
        <v>62</v>
      </c>
      <c r="K11" s="84">
        <v>3.8999999999999998E-3</v>
      </c>
      <c r="L11" s="85">
        <v>5</v>
      </c>
      <c r="M11" s="84">
        <v>3.8999999999999998E-3</v>
      </c>
      <c r="N11" s="85">
        <v>5</v>
      </c>
      <c r="O11" s="84">
        <v>2E-3</v>
      </c>
      <c r="P11" s="85">
        <v>5</v>
      </c>
    </row>
    <row r="12" spans="1:16" ht="36" customHeight="1" x14ac:dyDescent="0.35">
      <c r="A12" s="73" t="s">
        <v>85</v>
      </c>
      <c r="B12" s="83" t="s">
        <v>47</v>
      </c>
      <c r="C12" s="83" t="s">
        <v>39</v>
      </c>
      <c r="D12" s="83" t="s">
        <v>47</v>
      </c>
      <c r="E12" s="84" t="s">
        <v>62</v>
      </c>
      <c r="F12" s="84" t="s">
        <v>62</v>
      </c>
      <c r="G12" s="84" t="s">
        <v>62</v>
      </c>
      <c r="H12" s="84" t="s">
        <v>62</v>
      </c>
      <c r="I12" s="84" t="s">
        <v>62</v>
      </c>
      <c r="J12" s="84" t="s">
        <v>62</v>
      </c>
      <c r="K12" s="84">
        <v>3.8E-3</v>
      </c>
      <c r="L12" s="85">
        <v>4.9000000000000004</v>
      </c>
      <c r="M12" s="84">
        <v>3.8E-3</v>
      </c>
      <c r="N12" s="85">
        <v>4.9000000000000004</v>
      </c>
      <c r="O12" s="84">
        <v>2E-3</v>
      </c>
      <c r="P12" s="85">
        <v>4.9000000000000004</v>
      </c>
    </row>
    <row r="13" spans="1:16" ht="36" customHeight="1" x14ac:dyDescent="0.35">
      <c r="A13" s="73" t="s">
        <v>184</v>
      </c>
      <c r="B13" s="83" t="s">
        <v>39</v>
      </c>
      <c r="C13" s="83" t="s">
        <v>39</v>
      </c>
      <c r="D13" s="83" t="s">
        <v>47</v>
      </c>
      <c r="E13" s="84" t="s">
        <v>62</v>
      </c>
      <c r="F13" s="85" t="s">
        <v>62</v>
      </c>
      <c r="G13" s="86" t="s">
        <v>62</v>
      </c>
      <c r="H13" s="86" t="s">
        <v>62</v>
      </c>
      <c r="I13" s="86" t="s">
        <v>62</v>
      </c>
      <c r="J13" s="86" t="s">
        <v>62</v>
      </c>
      <c r="K13" s="84">
        <v>1.9E-3</v>
      </c>
      <c r="L13" s="85">
        <v>5</v>
      </c>
      <c r="M13" s="84">
        <v>1.9E-3</v>
      </c>
      <c r="N13" s="85">
        <v>5</v>
      </c>
      <c r="O13" s="84">
        <v>1.5E-3</v>
      </c>
      <c r="P13" s="85">
        <v>5</v>
      </c>
    </row>
    <row r="14" spans="1:16" ht="36" customHeight="1" x14ac:dyDescent="0.35">
      <c r="A14" s="73" t="s">
        <v>185</v>
      </c>
      <c r="B14" s="83" t="s">
        <v>39</v>
      </c>
      <c r="C14" s="83" t="s">
        <v>39</v>
      </c>
      <c r="D14" s="83" t="s">
        <v>39</v>
      </c>
      <c r="E14" s="84" t="s">
        <v>62</v>
      </c>
      <c r="F14" s="85" t="s">
        <v>62</v>
      </c>
      <c r="G14" s="86" t="s">
        <v>62</v>
      </c>
      <c r="H14" s="86" t="s">
        <v>62</v>
      </c>
      <c r="I14" s="86" t="s">
        <v>62</v>
      </c>
      <c r="J14" s="86" t="s">
        <v>62</v>
      </c>
      <c r="K14" s="84">
        <v>3.8E-3</v>
      </c>
      <c r="L14" s="85">
        <v>10</v>
      </c>
      <c r="M14" s="84">
        <v>3.8E-3</v>
      </c>
      <c r="N14" s="85">
        <v>10</v>
      </c>
      <c r="O14" s="84">
        <v>2E-3</v>
      </c>
      <c r="P14" s="85">
        <v>5</v>
      </c>
    </row>
    <row r="15" spans="1:16" ht="36" customHeight="1" x14ac:dyDescent="0.35">
      <c r="A15" s="73" t="s">
        <v>181</v>
      </c>
      <c r="B15" s="83" t="s">
        <v>39</v>
      </c>
      <c r="C15" s="83" t="s">
        <v>39</v>
      </c>
      <c r="D15" s="83" t="s">
        <v>47</v>
      </c>
      <c r="E15" s="84" t="s">
        <v>62</v>
      </c>
      <c r="F15" s="84" t="s">
        <v>62</v>
      </c>
      <c r="G15" s="84" t="s">
        <v>62</v>
      </c>
      <c r="H15" s="84" t="s">
        <v>62</v>
      </c>
      <c r="I15" s="84" t="s">
        <v>62</v>
      </c>
      <c r="J15" s="84" t="s">
        <v>62</v>
      </c>
      <c r="K15" s="84">
        <v>2.8E-3</v>
      </c>
      <c r="L15" s="85">
        <v>5.95</v>
      </c>
      <c r="M15" s="84">
        <v>2.8E-3</v>
      </c>
      <c r="N15" s="85">
        <v>5.95</v>
      </c>
      <c r="O15" s="84">
        <v>1.8E-3</v>
      </c>
      <c r="P15" s="85">
        <v>5.95</v>
      </c>
    </row>
    <row r="16" spans="1:16" ht="36" customHeight="1" x14ac:dyDescent="0.35">
      <c r="A16" s="73" t="s">
        <v>182</v>
      </c>
      <c r="B16" s="83" t="s">
        <v>39</v>
      </c>
      <c r="C16" s="83" t="s">
        <v>39</v>
      </c>
      <c r="D16" s="83" t="s">
        <v>47</v>
      </c>
      <c r="E16" s="84" t="s">
        <v>62</v>
      </c>
      <c r="F16" s="85" t="s">
        <v>62</v>
      </c>
      <c r="G16" s="86" t="s">
        <v>62</v>
      </c>
      <c r="H16" s="86" t="s">
        <v>62</v>
      </c>
      <c r="I16" s="86" t="s">
        <v>62</v>
      </c>
      <c r="J16" s="86" t="s">
        <v>62</v>
      </c>
      <c r="K16" s="84">
        <v>1.2999999999999999E-3</v>
      </c>
      <c r="L16" s="85">
        <v>3</v>
      </c>
      <c r="M16" s="84">
        <v>1.2999999999999999E-3</v>
      </c>
      <c r="N16" s="85">
        <v>3</v>
      </c>
      <c r="O16" s="84">
        <v>1.2999999999999999E-3</v>
      </c>
      <c r="P16" s="85">
        <v>3</v>
      </c>
    </row>
    <row r="17" spans="1:17" x14ac:dyDescent="0.35">
      <c r="C17" s="59">
        <v>4.67</v>
      </c>
      <c r="D17" s="3" t="s">
        <v>203</v>
      </c>
      <c r="Q17" s="81"/>
    </row>
    <row r="18" spans="1:17" x14ac:dyDescent="0.35">
      <c r="Q18" s="81"/>
    </row>
    <row r="19" spans="1:17" x14ac:dyDescent="0.35">
      <c r="Q19" s="81"/>
    </row>
    <row r="20" spans="1:17" x14ac:dyDescent="0.35">
      <c r="Q20" s="81"/>
    </row>
    <row r="21" spans="1:17" x14ac:dyDescent="0.35">
      <c r="Q21" s="81"/>
    </row>
    <row r="22" spans="1:17" ht="24" customHeight="1" x14ac:dyDescent="0.35">
      <c r="Q22" s="81"/>
    </row>
    <row r="23" spans="1:17" x14ac:dyDescent="0.35">
      <c r="Q23" s="81"/>
    </row>
    <row r="24" spans="1:17" x14ac:dyDescent="0.35">
      <c r="Q24" s="81"/>
    </row>
    <row r="25" spans="1:17" x14ac:dyDescent="0.35">
      <c r="Q25" s="81"/>
    </row>
    <row r="26" spans="1:17" x14ac:dyDescent="0.35">
      <c r="Q26" s="81"/>
    </row>
    <row r="27" spans="1:17" x14ac:dyDescent="0.35">
      <c r="Q27" s="81"/>
    </row>
    <row r="28" spans="1:17" x14ac:dyDescent="0.35">
      <c r="B28" s="118" t="s">
        <v>168</v>
      </c>
      <c r="C28" s="118"/>
      <c r="D28" s="194" t="s">
        <v>169</v>
      </c>
      <c r="E28" s="194"/>
      <c r="F28" s="194"/>
    </row>
    <row r="29" spans="1:17" s="56" customFormat="1" ht="72.5" x14ac:dyDescent="0.35">
      <c r="A29" s="113" t="s">
        <v>166</v>
      </c>
      <c r="B29" s="113" t="s">
        <v>167</v>
      </c>
      <c r="C29" s="115" t="s">
        <v>172</v>
      </c>
      <c r="D29" s="115" t="s">
        <v>173</v>
      </c>
      <c r="E29" s="115" t="s">
        <v>174</v>
      </c>
      <c r="F29" s="115" t="s">
        <v>172</v>
      </c>
    </row>
    <row r="30" spans="1:17" x14ac:dyDescent="0.35">
      <c r="A30" s="90">
        <v>1</v>
      </c>
      <c r="B30" s="114">
        <v>0</v>
      </c>
      <c r="C30" s="116">
        <v>0</v>
      </c>
      <c r="D30" s="116">
        <v>60</v>
      </c>
      <c r="E30" s="114">
        <v>1E-3</v>
      </c>
      <c r="F30" s="116">
        <v>200</v>
      </c>
    </row>
    <row r="31" spans="1:17" x14ac:dyDescent="0.35">
      <c r="A31" s="90">
        <v>2</v>
      </c>
      <c r="B31" s="114">
        <v>1.6000000000000001E-3</v>
      </c>
      <c r="C31" s="116">
        <v>200</v>
      </c>
      <c r="D31" s="116">
        <v>60</v>
      </c>
      <c r="E31" s="114">
        <v>1E-3</v>
      </c>
      <c r="F31" s="116">
        <v>200</v>
      </c>
    </row>
    <row r="32" spans="1:17" x14ac:dyDescent="0.35">
      <c r="A32" s="90">
        <v>3</v>
      </c>
      <c r="B32" s="114">
        <v>1.5E-3</v>
      </c>
      <c r="C32" s="116">
        <v>200</v>
      </c>
      <c r="D32" s="116">
        <v>60</v>
      </c>
      <c r="E32" s="114">
        <v>1E-3</v>
      </c>
      <c r="F32" s="116">
        <v>200</v>
      </c>
    </row>
    <row r="33" spans="1:6" x14ac:dyDescent="0.35">
      <c r="A33" s="90">
        <v>4</v>
      </c>
      <c r="B33" s="114">
        <v>1.4E-3</v>
      </c>
      <c r="C33" s="116">
        <v>200</v>
      </c>
      <c r="D33" s="116">
        <v>60</v>
      </c>
      <c r="E33" s="114">
        <v>1E-3</v>
      </c>
      <c r="F33" s="116">
        <v>200</v>
      </c>
    </row>
    <row r="34" spans="1:6" x14ac:dyDescent="0.35">
      <c r="A34" s="90">
        <v>5</v>
      </c>
      <c r="B34" s="114">
        <v>1.2999999999999999E-3</v>
      </c>
      <c r="C34" s="116">
        <v>200</v>
      </c>
      <c r="D34" s="116">
        <v>60</v>
      </c>
      <c r="E34" s="114">
        <v>1E-3</v>
      </c>
      <c r="F34" s="116">
        <v>200</v>
      </c>
    </row>
    <row r="35" spans="1:6" x14ac:dyDescent="0.35">
      <c r="A35" s="90">
        <v>6</v>
      </c>
      <c r="B35" s="114">
        <v>1.1999999999999999E-3</v>
      </c>
      <c r="C35" s="116">
        <v>200</v>
      </c>
      <c r="D35" s="116">
        <v>60</v>
      </c>
      <c r="E35" s="114">
        <v>1E-3</v>
      </c>
      <c r="F35" s="116">
        <v>200</v>
      </c>
    </row>
    <row r="36" spans="1:6" x14ac:dyDescent="0.35">
      <c r="A36" s="90">
        <v>7</v>
      </c>
      <c r="B36" s="114">
        <v>1.1000000000000001E-3</v>
      </c>
      <c r="C36" s="116">
        <v>200</v>
      </c>
      <c r="D36" s="116">
        <v>60</v>
      </c>
      <c r="E36" s="114">
        <v>1E-3</v>
      </c>
      <c r="F36" s="116">
        <v>200</v>
      </c>
    </row>
    <row r="37" spans="1:6" x14ac:dyDescent="0.35">
      <c r="A37" s="90">
        <v>8</v>
      </c>
      <c r="B37" s="114">
        <v>1E-3</v>
      </c>
      <c r="C37" s="116">
        <v>200</v>
      </c>
      <c r="D37" s="116">
        <v>60</v>
      </c>
      <c r="E37" s="114">
        <v>1E-3</v>
      </c>
      <c r="F37" s="116">
        <v>200</v>
      </c>
    </row>
    <row r="38" spans="1:6" x14ac:dyDescent="0.35">
      <c r="A38" s="90">
        <v>9</v>
      </c>
      <c r="B38" s="114">
        <v>1E-3</v>
      </c>
      <c r="C38" s="116">
        <v>200</v>
      </c>
      <c r="D38" s="116">
        <v>60</v>
      </c>
      <c r="E38" s="114">
        <v>1E-3</v>
      </c>
      <c r="F38" s="116">
        <v>200</v>
      </c>
    </row>
    <row r="39" spans="1:6" x14ac:dyDescent="0.35">
      <c r="A39" s="90">
        <v>10</v>
      </c>
      <c r="B39" s="114">
        <v>1E-3</v>
      </c>
      <c r="C39" s="116">
        <v>200</v>
      </c>
      <c r="D39" s="116">
        <v>60</v>
      </c>
      <c r="E39" s="114">
        <v>1E-3</v>
      </c>
      <c r="F39" s="116">
        <v>200</v>
      </c>
    </row>
    <row r="40" spans="1:6" x14ac:dyDescent="0.35">
      <c r="A40" s="90">
        <v>11</v>
      </c>
      <c r="B40" s="114">
        <v>1E-3</v>
      </c>
      <c r="C40" s="116">
        <v>200</v>
      </c>
      <c r="D40" s="116">
        <v>60</v>
      </c>
      <c r="E40" s="114">
        <v>1E-3</v>
      </c>
      <c r="F40" s="116">
        <v>200</v>
      </c>
    </row>
    <row r="41" spans="1:6" x14ac:dyDescent="0.35">
      <c r="A41" s="90">
        <v>12</v>
      </c>
      <c r="B41" s="114">
        <v>1E-3</v>
      </c>
      <c r="C41" s="116">
        <v>200</v>
      </c>
      <c r="D41" s="116">
        <v>60</v>
      </c>
      <c r="E41" s="114">
        <v>1E-3</v>
      </c>
      <c r="F41" s="116">
        <v>200</v>
      </c>
    </row>
    <row r="42" spans="1:6" x14ac:dyDescent="0.35">
      <c r="A42" s="90">
        <v>13</v>
      </c>
      <c r="B42" s="114">
        <v>1E-3</v>
      </c>
      <c r="C42" s="116">
        <v>200</v>
      </c>
      <c r="D42" s="116">
        <v>60</v>
      </c>
      <c r="E42" s="114">
        <v>1E-3</v>
      </c>
      <c r="F42" s="116">
        <v>200</v>
      </c>
    </row>
    <row r="43" spans="1:6" x14ac:dyDescent="0.35">
      <c r="A43" s="90">
        <v>14</v>
      </c>
      <c r="B43" s="114">
        <v>1E-3</v>
      </c>
      <c r="C43" s="116">
        <v>200</v>
      </c>
      <c r="D43" s="116">
        <v>60</v>
      </c>
      <c r="E43" s="114">
        <v>1E-3</v>
      </c>
      <c r="F43" s="116">
        <v>200</v>
      </c>
    </row>
    <row r="44" spans="1:6" x14ac:dyDescent="0.35">
      <c r="A44" s="90">
        <v>15</v>
      </c>
      <c r="B44" s="114">
        <v>1E-3</v>
      </c>
      <c r="C44" s="116">
        <v>200</v>
      </c>
      <c r="D44" s="116">
        <v>60</v>
      </c>
      <c r="E44" s="114">
        <v>1E-3</v>
      </c>
      <c r="F44" s="116">
        <v>200</v>
      </c>
    </row>
    <row r="45" spans="1:6" x14ac:dyDescent="0.35">
      <c r="A45" s="90">
        <v>16</v>
      </c>
      <c r="B45" s="114">
        <v>1E-3</v>
      </c>
      <c r="C45" s="116">
        <v>200</v>
      </c>
      <c r="D45" s="116">
        <v>60</v>
      </c>
      <c r="E45" s="114">
        <v>1E-3</v>
      </c>
      <c r="F45" s="116">
        <v>200</v>
      </c>
    </row>
    <row r="46" spans="1:6" x14ac:dyDescent="0.35">
      <c r="A46" s="90">
        <v>17</v>
      </c>
      <c r="B46" s="114">
        <v>1E-3</v>
      </c>
      <c r="C46" s="116">
        <v>200</v>
      </c>
      <c r="D46" s="116">
        <v>60</v>
      </c>
      <c r="E46" s="114">
        <v>1E-3</v>
      </c>
      <c r="F46" s="116">
        <v>200</v>
      </c>
    </row>
    <row r="47" spans="1:6" x14ac:dyDescent="0.35">
      <c r="A47" s="90">
        <v>18</v>
      </c>
      <c r="B47" s="114">
        <v>1E-3</v>
      </c>
      <c r="C47" s="116">
        <v>200</v>
      </c>
      <c r="D47" s="116">
        <v>60</v>
      </c>
      <c r="E47" s="114">
        <v>1E-3</v>
      </c>
      <c r="F47" s="116">
        <v>200</v>
      </c>
    </row>
    <row r="48" spans="1:6" x14ac:dyDescent="0.35">
      <c r="A48" s="90">
        <v>19</v>
      </c>
      <c r="B48" s="114">
        <v>1E-3</v>
      </c>
      <c r="C48" s="116">
        <v>200</v>
      </c>
      <c r="D48" s="116">
        <v>60</v>
      </c>
      <c r="E48" s="114">
        <v>1E-3</v>
      </c>
      <c r="F48" s="116">
        <v>200</v>
      </c>
    </row>
    <row r="49" spans="1:6" x14ac:dyDescent="0.35">
      <c r="A49" s="90">
        <v>20</v>
      </c>
      <c r="B49" s="114">
        <v>1E-3</v>
      </c>
      <c r="C49" s="116">
        <v>200</v>
      </c>
      <c r="D49" s="116">
        <v>60</v>
      </c>
      <c r="E49" s="114">
        <v>1E-3</v>
      </c>
      <c r="F49" s="116">
        <v>200</v>
      </c>
    </row>
    <row r="50" spans="1:6" x14ac:dyDescent="0.35">
      <c r="A50" s="90">
        <v>21</v>
      </c>
      <c r="B50" s="114">
        <v>1E-3</v>
      </c>
      <c r="C50" s="116">
        <v>200</v>
      </c>
      <c r="D50" s="116">
        <v>60</v>
      </c>
      <c r="E50" s="114">
        <v>1E-3</v>
      </c>
      <c r="F50" s="116">
        <v>200</v>
      </c>
    </row>
    <row r="51" spans="1:6" x14ac:dyDescent="0.35">
      <c r="A51" s="90">
        <v>22</v>
      </c>
      <c r="B51" s="114">
        <v>1E-3</v>
      </c>
      <c r="C51" s="116">
        <v>200</v>
      </c>
      <c r="D51" s="116">
        <v>60</v>
      </c>
      <c r="E51" s="114">
        <v>1E-3</v>
      </c>
      <c r="F51" s="116">
        <v>200</v>
      </c>
    </row>
    <row r="52" spans="1:6" x14ac:dyDescent="0.35">
      <c r="A52" s="90">
        <v>23</v>
      </c>
      <c r="B52" s="114">
        <v>1E-3</v>
      </c>
      <c r="C52" s="116">
        <v>200</v>
      </c>
      <c r="D52" s="116">
        <v>60</v>
      </c>
      <c r="E52" s="114">
        <v>1E-3</v>
      </c>
      <c r="F52" s="116">
        <v>200</v>
      </c>
    </row>
    <row r="53" spans="1:6" x14ac:dyDescent="0.35">
      <c r="A53" s="90">
        <v>24</v>
      </c>
      <c r="B53" s="114">
        <v>1E-3</v>
      </c>
      <c r="C53" s="116">
        <v>200</v>
      </c>
      <c r="D53" s="116">
        <v>60</v>
      </c>
      <c r="E53" s="114">
        <v>1E-3</v>
      </c>
      <c r="F53" s="116">
        <v>200</v>
      </c>
    </row>
    <row r="54" spans="1:6" x14ac:dyDescent="0.35">
      <c r="A54" s="90">
        <v>25</v>
      </c>
      <c r="B54" s="114">
        <v>1E-3</v>
      </c>
      <c r="C54" s="116">
        <v>200</v>
      </c>
      <c r="D54" s="116">
        <v>60</v>
      </c>
      <c r="E54" s="114">
        <v>1E-3</v>
      </c>
      <c r="F54" s="116">
        <v>200</v>
      </c>
    </row>
  </sheetData>
  <mergeCells count="6">
    <mergeCell ref="O4:P4"/>
    <mergeCell ref="D28:F28"/>
    <mergeCell ref="E4:G4"/>
    <mergeCell ref="H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IKE i IKZE w DM</vt:lpstr>
      <vt:lpstr>PROWIZJE</vt:lpstr>
      <vt:lpstr>IKE Obligacje vs SUPER IKE</vt:lpstr>
      <vt:lpstr>Dane robocze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Katarzyna Iwuc</cp:lastModifiedBy>
  <dcterms:created xsi:type="dcterms:W3CDTF">2015-06-05T18:19:34Z</dcterms:created>
  <dcterms:modified xsi:type="dcterms:W3CDTF">2021-12-02T21:43:43Z</dcterms:modified>
</cp:coreProperties>
</file>