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5fe913bd258826/Pulpit/Obligacje 2021/"/>
    </mc:Choice>
  </mc:AlternateContent>
  <xr:revisionPtr revIDLastSave="0" documentId="8_{2BD5CC7F-F59B-41CE-B8EE-2CDBD080B7C0}" xr6:coauthVersionLast="47" xr6:coauthVersionMax="47" xr10:uidLastSave="{00000000-0000-0000-0000-000000000000}"/>
  <bookViews>
    <workbookView xWindow="-110" yWindow="-110" windowWidth="19420" windowHeight="10420" xr2:uid="{DADC2D59-1894-424A-8D0D-406FDEA5C5F0}"/>
  </bookViews>
  <sheets>
    <sheet name="WPISZ ZAŁOŻENIA" sheetId="6" r:id="rId1"/>
    <sheet name="OBLIGACJE" sheetId="5" r:id="rId2"/>
    <sheet name="IKE OBLIGACJE" sheetId="4" r:id="rId3"/>
  </sheets>
  <definedNames>
    <definedName name="IKE_oplata_rok">'WPISZ ZAŁOŻENIA'!$N$10:$N$21</definedName>
    <definedName name="IKE_oplata_wskaznik">'WPISZ ZAŁOŻENIA'!$O$10:$O$21</definedName>
    <definedName name="IKE_wyniki_COI_I">'IKE OBLIGACJE'!$BC$14:$BC$159</definedName>
    <definedName name="IKE_wyniki_COI_preferencje">'IKE OBLIGACJE'!$AZ$14:$AZ$159</definedName>
    <definedName name="IKE_wyniki_EDO_I">'IKE OBLIGACJE'!$BT$14:$BT$159</definedName>
    <definedName name="IKE_wyniki_EDO_preferencje">'IKE OBLIGACJE'!$BQ$14:$BQ$159</definedName>
    <definedName name="IKE_wyniki_mc">'IKE OBLIGACJE'!$S$14:$S$159</definedName>
    <definedName name="IKE_wyniki_skumulowana_inflacja">'IKE OBLIGACJE'!$U$14:$U$159</definedName>
    <definedName name="IKE_zakup_domyslny_mc">'IKE OBLIGACJE'!$C$31</definedName>
    <definedName name="kapitalizacja_odsetek_mc_EDO">'WPISZ ZAŁOŻENIA'!$M$3</definedName>
    <definedName name="kapitalizacja_odsetek_mc_ROD" localSheetId="1">'WPISZ ZAŁOŻENIA'!$M$5</definedName>
    <definedName name="kapitalizacja_odsetek_mc_ROS" localSheetId="1">'WPISZ ZAŁOŻENIA'!$M$4</definedName>
    <definedName name="koszt_wczesniejszy_wykup_COI">'WPISZ ZAŁOŻENIA'!$O$2</definedName>
    <definedName name="koszt_wczesniejszy_wykup_EDO">'WPISZ ZAŁOŻENIA'!$O$3</definedName>
    <definedName name="koszt_wczesniejszy_wykup_ROD" localSheetId="1">'WPISZ ZAŁOŻENIA'!$O$5</definedName>
    <definedName name="koszt_wczesniejszy_wykup_ROS" localSheetId="1">'WPISZ ZAŁOŻENIA'!$O$4</definedName>
    <definedName name="marza_COI">'WPISZ ZAŁOŻENIA'!$K$2</definedName>
    <definedName name="marza_EDO">'WPISZ ZAŁOŻENIA'!$K$3</definedName>
    <definedName name="marza_ROD" localSheetId="1">'WPISZ ZAŁOŻENIA'!$K$5</definedName>
    <definedName name="marza_ROS" localSheetId="1">'WPISZ ZAŁOŻENIA'!$K$4</definedName>
    <definedName name="podatek_Belki">'WPISZ ZAŁOŻENIA'!$B$5</definedName>
    <definedName name="proc_I_okres_COI">'WPISZ ZAŁOŻENIA'!$J$2</definedName>
    <definedName name="proc_I_okres_EDO">'WPISZ ZAŁOŻENIA'!$J$3</definedName>
    <definedName name="proc_I_okres_ROD" localSheetId="1">'WPISZ ZAŁOŻENIA'!$J$5</definedName>
    <definedName name="proc_I_okres_ROS" localSheetId="1">'WPISZ ZAŁOŻENIA'!$J$4</definedName>
    <definedName name="scenariusz_I_inflacja">'WPISZ ZAŁOŻENIA'!$B$29:$B$40</definedName>
    <definedName name="scenariusz_I_inflacja_skumulowana">'WPISZ ZAŁOŻENIA'!$C$29:$C$40</definedName>
    <definedName name="scenariusz_I_konto">'WPISZ ZAŁOŻENIA'!$G$10:$G$21</definedName>
    <definedName name="scenariusz_I_rok">'WPISZ ZAŁOŻENIA'!$A$29:$A$40</definedName>
    <definedName name="test">OBLIGACJE!$A$35</definedName>
    <definedName name="trigger_inflacja">'WPISZ ZAŁOŻENIA'!$A$8</definedName>
    <definedName name="wyniki_COI_I" localSheetId="2">'IKE OBLIGACJE'!$AP$17:$AP$162</definedName>
    <definedName name="wyniki_COI_I" localSheetId="1">OBLIGACJE!$AI$17:$AI$162</definedName>
    <definedName name="wyniki_EDO_I" localSheetId="2">'IKE OBLIGACJE'!$BD$17:$BD$162</definedName>
    <definedName name="wyniki_EDO_I" localSheetId="1">OBLIGACJE!$AW$17:$AW$162</definedName>
    <definedName name="wyniki_mc" localSheetId="2">'IKE OBLIGACJE'!$AA$17:$AA$162</definedName>
    <definedName name="wyniki_mc" localSheetId="1">OBLIGACJE!$T$17:$T$162</definedName>
    <definedName name="wyniki_ROD_I" localSheetId="2">'IKE OBLIGACJE'!$CF$17:$CF$162</definedName>
    <definedName name="wyniki_ROD_I" localSheetId="1">OBLIGACJE!$BY$17:$BY$162</definedName>
    <definedName name="wyniki_ROS_I" localSheetId="2">'IKE OBLIGACJE'!$BR$17:$BR$162</definedName>
    <definedName name="wyniki_ROS_I" localSheetId="1">OBLIGACJE!$BK$17:$BK$162</definedName>
    <definedName name="wyniki_skumulowana_inflacja" localSheetId="2">'IKE OBLIGACJE'!$AC$17:$AC$162</definedName>
    <definedName name="wyniki_skumulowana_inflacja" localSheetId="1">OBLIGACJE!$V$17:$V$162</definedName>
    <definedName name="wyplata_odsetek_COI">'WPISZ ZAŁOŻENIA'!$L$2</definedName>
    <definedName name="zakup_domyslny_ilosc">'WPISZ ZAŁOŻENIA'!$B$3</definedName>
    <definedName name="zakup_domyslny_mc">OBLIGACJE!$C$31</definedName>
    <definedName name="zakup_domyslny_wartosc">'WPISZ ZAŁOŻENIA'!$B$4</definedName>
    <definedName name="zamiana_COI">'WPISZ ZAŁOŻENIA'!$N$2</definedName>
    <definedName name="zamiana_EDO">'WPISZ ZAŁOŻENIA'!$N$3</definedName>
    <definedName name="zamiana_ROD" localSheetId="1">'WPISZ ZAŁOŻENIA'!$N$5</definedName>
    <definedName name="zamiana_ROS" localSheetId="1">'WPISZ ZAŁOŻENIA'!$N$4</definedName>
    <definedName name="zapadalnosc_COI">'WPISZ ZAŁOŻENIA'!$I$2</definedName>
    <definedName name="zapadalnosc_EDO">'WPISZ ZAŁOŻENIA'!$I$3</definedName>
    <definedName name="zapadalnosc_ROD" localSheetId="1">'WPISZ ZAŁOŻENIA'!$I$5</definedName>
    <definedName name="zapadalnosc_ROS" localSheetId="1">'WPISZ ZAŁOŻENIA'!$I$4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7" i="5" l="1"/>
  <c r="B155" i="5"/>
  <c r="B143" i="5"/>
  <c r="B131" i="5"/>
  <c r="B119" i="5"/>
  <c r="B107" i="5"/>
  <c r="B95" i="5"/>
  <c r="B83" i="5"/>
  <c r="B71" i="5"/>
  <c r="B59" i="5"/>
  <c r="B47" i="5"/>
  <c r="B35" i="5"/>
  <c r="Q17" i="4"/>
  <c r="K31" i="4"/>
  <c r="C35" i="5"/>
  <c r="L35" i="5" s="1"/>
  <c r="BW19" i="5" l="1"/>
  <c r="BI19" i="5"/>
  <c r="AU19" i="5"/>
  <c r="AG19" i="5"/>
  <c r="B4" i="6"/>
  <c r="F34" i="4" l="1"/>
  <c r="G18" i="5"/>
  <c r="P18" i="5" s="1"/>
  <c r="I34" i="5"/>
  <c r="R34" i="5" s="1"/>
  <c r="E34" i="4"/>
  <c r="D18" i="4"/>
  <c r="L18" i="4" s="1"/>
  <c r="D34" i="4"/>
  <c r="E18" i="5"/>
  <c r="N18" i="5" s="1"/>
  <c r="H34" i="4"/>
  <c r="G18" i="4"/>
  <c r="O18" i="4" s="1"/>
  <c r="F34" i="5"/>
  <c r="O34" i="5" s="1"/>
  <c r="I18" i="5"/>
  <c r="R18" i="5" s="1"/>
  <c r="I34" i="4"/>
  <c r="I18" i="4"/>
  <c r="Q18" i="4" s="1"/>
  <c r="G34" i="5"/>
  <c r="P34" i="5" s="1"/>
  <c r="G34" i="4"/>
  <c r="F18" i="4"/>
  <c r="N18" i="4" s="1"/>
  <c r="E34" i="5"/>
  <c r="N34" i="5" s="1"/>
  <c r="H18" i="5"/>
  <c r="E18" i="4"/>
  <c r="M18" i="4" s="1"/>
  <c r="D34" i="5"/>
  <c r="M34" i="5" s="1"/>
  <c r="F18" i="5"/>
  <c r="O18" i="5" s="1"/>
  <c r="D18" i="5"/>
  <c r="M18" i="5" s="1"/>
  <c r="H18" i="4"/>
  <c r="H34" i="5"/>
  <c r="BK16" i="4"/>
  <c r="BI16" i="4"/>
  <c r="AB16" i="4"/>
  <c r="Z16" i="4"/>
  <c r="AS159" i="4"/>
  <c r="AT159" i="4" s="1"/>
  <c r="AI159" i="4"/>
  <c r="AI158" i="4"/>
  <c r="AI157" i="4"/>
  <c r="AI156" i="4"/>
  <c r="AI155" i="4"/>
  <c r="AI154" i="4"/>
  <c r="AI153" i="4"/>
  <c r="AI152" i="4"/>
  <c r="AI151" i="4"/>
  <c r="AI150" i="4"/>
  <c r="AI149" i="4"/>
  <c r="AI148" i="4"/>
  <c r="AI147" i="4"/>
  <c r="AI146" i="4"/>
  <c r="AI145" i="4"/>
  <c r="AI144" i="4"/>
  <c r="AI143" i="4"/>
  <c r="AI142" i="4"/>
  <c r="AI141" i="4"/>
  <c r="AI140" i="4"/>
  <c r="AI139" i="4"/>
  <c r="AI138" i="4"/>
  <c r="AI137" i="4"/>
  <c r="AI136" i="4"/>
  <c r="AI135" i="4"/>
  <c r="AI134" i="4"/>
  <c r="AI133" i="4"/>
  <c r="AI132" i="4"/>
  <c r="AI131" i="4"/>
  <c r="AI130" i="4"/>
  <c r="AI129" i="4"/>
  <c r="AI128" i="4"/>
  <c r="AI127" i="4"/>
  <c r="AI126" i="4"/>
  <c r="AI125" i="4"/>
  <c r="AI124" i="4"/>
  <c r="AI123" i="4"/>
  <c r="AI122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BE16" i="4"/>
  <c r="V16" i="4"/>
  <c r="BH16" i="4"/>
  <c r="BG16" i="4"/>
  <c r="BF16" i="4"/>
  <c r="X16" i="4"/>
  <c r="W16" i="4"/>
  <c r="L31" i="5"/>
  <c r="B40" i="6"/>
  <c r="B39" i="6"/>
  <c r="B38" i="6"/>
  <c r="B37" i="6"/>
  <c r="B36" i="6"/>
  <c r="B35" i="6"/>
  <c r="B34" i="6"/>
  <c r="B33" i="6"/>
  <c r="B32" i="6"/>
  <c r="B31" i="6"/>
  <c r="B30" i="6"/>
  <c r="B29" i="6"/>
  <c r="X19" i="5"/>
  <c r="T20" i="5"/>
  <c r="BW20" i="5" s="1"/>
  <c r="BS19" i="5"/>
  <c r="BQ19" i="5"/>
  <c r="BM19" i="5"/>
  <c r="BE19" i="5"/>
  <c r="BC19" i="5"/>
  <c r="AY19" i="5"/>
  <c r="AQ19" i="5"/>
  <c r="AO19" i="5"/>
  <c r="AK19" i="5"/>
  <c r="AC19" i="5"/>
  <c r="AA19" i="5"/>
  <c r="W19" i="5"/>
  <c r="S17" i="4"/>
  <c r="AB17" i="4" s="1"/>
  <c r="C35" i="4"/>
  <c r="H35" i="4" s="1"/>
  <c r="V17" i="4" l="1"/>
  <c r="V18" i="4" s="1"/>
  <c r="Q34" i="5"/>
  <c r="H35" i="5"/>
  <c r="Q35" i="5" s="1"/>
  <c r="H19" i="4"/>
  <c r="P18" i="4"/>
  <c r="Q18" i="5"/>
  <c r="H19" i="5"/>
  <c r="BI17" i="4"/>
  <c r="Z17" i="4"/>
  <c r="BK17" i="4"/>
  <c r="AU20" i="5"/>
  <c r="BI20" i="5"/>
  <c r="C36" i="5"/>
  <c r="AG20" i="5"/>
  <c r="BF17" i="4"/>
  <c r="BL16" i="4" s="1"/>
  <c r="BM16" i="4" s="1"/>
  <c r="BH17" i="4"/>
  <c r="C29" i="6"/>
  <c r="BE17" i="4"/>
  <c r="W17" i="4"/>
  <c r="AP16" i="4" s="1"/>
  <c r="U16" i="4"/>
  <c r="I35" i="4" s="1"/>
  <c r="U17" i="4"/>
  <c r="I36" i="4" s="1"/>
  <c r="B34" i="4"/>
  <c r="AO20" i="5"/>
  <c r="AN19" i="5"/>
  <c r="AP19" i="5" s="1"/>
  <c r="BA19" i="5"/>
  <c r="BA20" i="5" s="1"/>
  <c r="BB19" i="5"/>
  <c r="BD19" i="5" s="1"/>
  <c r="AM19" i="5"/>
  <c r="AM20" i="5" s="1"/>
  <c r="Y19" i="5"/>
  <c r="Y20" i="5" s="1"/>
  <c r="Z20" i="5" s="1"/>
  <c r="BN19" i="5"/>
  <c r="BN20" i="5" s="1"/>
  <c r="BV19" i="5" s="1"/>
  <c r="BX19" i="5" s="1"/>
  <c r="BO19" i="5"/>
  <c r="BO20" i="5" s="1"/>
  <c r="X20" i="5"/>
  <c r="AF19" i="5" s="1"/>
  <c r="AH19" i="5" s="1"/>
  <c r="AZ19" i="5"/>
  <c r="AZ20" i="5" s="1"/>
  <c r="BH19" i="5" s="1"/>
  <c r="BJ19" i="5" s="1"/>
  <c r="BP19" i="5"/>
  <c r="BR19" i="5" s="1"/>
  <c r="AL19" i="5"/>
  <c r="AL20" i="5" s="1"/>
  <c r="AQ20" i="5"/>
  <c r="AY20" i="5"/>
  <c r="BQ20" i="5"/>
  <c r="BS20" i="5"/>
  <c r="W20" i="5"/>
  <c r="T21" i="5"/>
  <c r="BW21" i="5" s="1"/>
  <c r="BM20" i="5"/>
  <c r="AK20" i="5"/>
  <c r="V19" i="5"/>
  <c r="I35" i="5" s="1"/>
  <c r="R35" i="5" s="1"/>
  <c r="AA20" i="5"/>
  <c r="BC20" i="5"/>
  <c r="AC20" i="5"/>
  <c r="BE20" i="5"/>
  <c r="V20" i="5"/>
  <c r="I36" i="5" s="1"/>
  <c r="R36" i="5" s="1"/>
  <c r="Y16" i="4"/>
  <c r="AA16" i="4" s="1"/>
  <c r="AC16" i="4" s="1"/>
  <c r="C36" i="4"/>
  <c r="H36" i="4" s="1"/>
  <c r="S18" i="4"/>
  <c r="U18" i="4" s="1"/>
  <c r="BG17" i="4"/>
  <c r="H36" i="5" l="1"/>
  <c r="H20" i="5"/>
  <c r="Q19" i="5"/>
  <c r="H20" i="4"/>
  <c r="P19" i="4"/>
  <c r="BH18" i="4"/>
  <c r="BE18" i="4"/>
  <c r="BF18" i="4"/>
  <c r="AB18" i="4"/>
  <c r="V19" i="4" s="1"/>
  <c r="BK18" i="4"/>
  <c r="Z18" i="4"/>
  <c r="BI18" i="4"/>
  <c r="AU21" i="5"/>
  <c r="BI21" i="5"/>
  <c r="L36" i="5"/>
  <c r="C37" i="5"/>
  <c r="L37" i="5" s="1"/>
  <c r="AG21" i="5"/>
  <c r="C30" i="6"/>
  <c r="C31" i="6" s="1"/>
  <c r="AR16" i="4"/>
  <c r="AT16" i="4" s="1"/>
  <c r="AU16" i="4" s="1"/>
  <c r="AV16" i="4" s="1"/>
  <c r="W18" i="4"/>
  <c r="AW16" i="4"/>
  <c r="AX16" i="4" s="1"/>
  <c r="BE21" i="5"/>
  <c r="V21" i="5"/>
  <c r="I37" i="5" s="1"/>
  <c r="R37" i="5" s="1"/>
  <c r="T22" i="5"/>
  <c r="BW22" i="5" s="1"/>
  <c r="AC21" i="5"/>
  <c r="BQ21" i="5"/>
  <c r="AQ21" i="5"/>
  <c r="AK21" i="5"/>
  <c r="AN20" i="5"/>
  <c r="AP20" i="5" s="1"/>
  <c r="AR20" i="5" s="1"/>
  <c r="AS20" i="5" s="1"/>
  <c r="AL21" i="5"/>
  <c r="AT20" i="5" s="1"/>
  <c r="BF19" i="5"/>
  <c r="BG19" i="5" s="1"/>
  <c r="BB20" i="5"/>
  <c r="Z19" i="5"/>
  <c r="AB19" i="5" s="1"/>
  <c r="AD19" i="5" s="1"/>
  <c r="AE19" i="5" s="1"/>
  <c r="AB20" i="5"/>
  <c r="AD20" i="5" s="1"/>
  <c r="AE20" i="5" s="1"/>
  <c r="BT19" i="5"/>
  <c r="BU19" i="5" s="1"/>
  <c r="BP20" i="5"/>
  <c r="BR20" i="5" s="1"/>
  <c r="AM21" i="5"/>
  <c r="BO21" i="5"/>
  <c r="AR19" i="5"/>
  <c r="AS19" i="5" s="1"/>
  <c r="AT19" i="5"/>
  <c r="AV19" i="5" s="1"/>
  <c r="BM21" i="5"/>
  <c r="AA21" i="5"/>
  <c r="BC21" i="5"/>
  <c r="BS21" i="5"/>
  <c r="AO21" i="5"/>
  <c r="BN21" i="5"/>
  <c r="BV20" i="5" s="1"/>
  <c r="BX20" i="5" s="1"/>
  <c r="BA21" i="5"/>
  <c r="AZ21" i="5"/>
  <c r="BH20" i="5" s="1"/>
  <c r="BJ20" i="5" s="1"/>
  <c r="AY21" i="5"/>
  <c r="Y21" i="5"/>
  <c r="Z21" i="5" s="1"/>
  <c r="X21" i="5"/>
  <c r="W21" i="5"/>
  <c r="I37" i="4"/>
  <c r="BJ16" i="4"/>
  <c r="BR16" i="4" s="1"/>
  <c r="X17" i="4"/>
  <c r="Y17" i="4" s="1"/>
  <c r="AA17" i="4" s="1"/>
  <c r="AC17" i="4" s="1"/>
  <c r="S19" i="4"/>
  <c r="C37" i="4"/>
  <c r="H37" i="4" s="1"/>
  <c r="BL17" i="4"/>
  <c r="BM17" i="4" s="1"/>
  <c r="BG18" i="4"/>
  <c r="BJ17" i="4"/>
  <c r="BR17" i="4" s="1"/>
  <c r="BB21" i="5" l="1"/>
  <c r="BD21" i="5" s="1"/>
  <c r="BF21" i="5" s="1"/>
  <c r="BG21" i="5" s="1"/>
  <c r="BK21" i="5" s="1"/>
  <c r="BD20" i="5"/>
  <c r="BF20" i="5" s="1"/>
  <c r="BG20" i="5" s="1"/>
  <c r="BK20" i="5" s="1"/>
  <c r="W22" i="5"/>
  <c r="H21" i="4"/>
  <c r="P20" i="4"/>
  <c r="H21" i="5"/>
  <c r="Q20" i="5"/>
  <c r="H37" i="5"/>
  <c r="Q37" i="5" s="1"/>
  <c r="Q36" i="5"/>
  <c r="BH19" i="4"/>
  <c r="AB19" i="4"/>
  <c r="V20" i="4" s="1"/>
  <c r="BK19" i="4"/>
  <c r="Z19" i="4"/>
  <c r="BI19" i="4"/>
  <c r="U19" i="4"/>
  <c r="I38" i="4" s="1"/>
  <c r="BF19" i="4"/>
  <c r="BE19" i="4"/>
  <c r="BY19" i="5"/>
  <c r="G35" i="5" s="1"/>
  <c r="P35" i="5" s="1"/>
  <c r="BK19" i="5"/>
  <c r="F35" i="5" s="1"/>
  <c r="O35" i="5" s="1"/>
  <c r="AU22" i="5"/>
  <c r="BI22" i="5"/>
  <c r="AW19" i="5"/>
  <c r="E35" i="5" s="1"/>
  <c r="N35" i="5" s="1"/>
  <c r="BA22" i="5"/>
  <c r="AW20" i="5"/>
  <c r="E36" i="5" s="1"/>
  <c r="N36" i="5" s="1"/>
  <c r="AV20" i="5"/>
  <c r="AI20" i="5"/>
  <c r="D36" i="5" s="1"/>
  <c r="M36" i="5" s="1"/>
  <c r="AI19" i="5"/>
  <c r="D35" i="5" s="1"/>
  <c r="M35" i="5" s="1"/>
  <c r="AY22" i="5"/>
  <c r="AQ22" i="5"/>
  <c r="AG22" i="5"/>
  <c r="T23" i="5"/>
  <c r="BE23" i="5" s="1"/>
  <c r="V22" i="5"/>
  <c r="I38" i="5" s="1"/>
  <c r="R38" i="5" s="1"/>
  <c r="C38" i="5"/>
  <c r="BS22" i="5"/>
  <c r="AC22" i="5"/>
  <c r="AA22" i="5"/>
  <c r="BC22" i="5"/>
  <c r="W19" i="4"/>
  <c r="AP17" i="4"/>
  <c r="AR17" i="4" s="1"/>
  <c r="AT17" i="4" s="1"/>
  <c r="AO22" i="5"/>
  <c r="BE22" i="5"/>
  <c r="BQ22" i="5"/>
  <c r="C32" i="6"/>
  <c r="AW17" i="4"/>
  <c r="AX17" i="4" s="1"/>
  <c r="BS16" i="4"/>
  <c r="BN16" i="4"/>
  <c r="BO16" i="4" s="1"/>
  <c r="AM22" i="5"/>
  <c r="X22" i="5"/>
  <c r="AF21" i="5" s="1"/>
  <c r="AK22" i="5"/>
  <c r="AN21" i="5"/>
  <c r="AP21" i="5" s="1"/>
  <c r="AR21" i="5" s="1"/>
  <c r="AS21" i="5" s="1"/>
  <c r="AL22" i="5"/>
  <c r="AT21" i="5" s="1"/>
  <c r="BP21" i="5"/>
  <c r="BR21" i="5" s="1"/>
  <c r="BT21" i="5" s="1"/>
  <c r="BU21" i="5" s="1"/>
  <c r="BT20" i="5"/>
  <c r="BU20" i="5" s="1"/>
  <c r="BM22" i="5"/>
  <c r="BN22" i="5"/>
  <c r="BV21" i="5" s="1"/>
  <c r="BX21" i="5" s="1"/>
  <c r="BO22" i="5"/>
  <c r="AB21" i="5"/>
  <c r="AD21" i="5" s="1"/>
  <c r="AE21" i="5" s="1"/>
  <c r="AF20" i="5"/>
  <c r="AH20" i="5" s="1"/>
  <c r="Y22" i="5"/>
  <c r="Z22" i="5" s="1"/>
  <c r="AZ22" i="5"/>
  <c r="BH21" i="5" s="1"/>
  <c r="BJ21" i="5" s="1"/>
  <c r="BS17" i="4"/>
  <c r="BN17" i="4"/>
  <c r="BO17" i="4" s="1"/>
  <c r="AY16" i="4"/>
  <c r="AZ16" i="4" s="1"/>
  <c r="D35" i="4" s="1"/>
  <c r="BA16" i="4"/>
  <c r="BB16" i="4" s="1"/>
  <c r="X18" i="4"/>
  <c r="Y18" i="4" s="1"/>
  <c r="AA18" i="4" s="1"/>
  <c r="AC18" i="4" s="1"/>
  <c r="BG19" i="4"/>
  <c r="BJ18" i="4"/>
  <c r="BR18" i="4" s="1"/>
  <c r="C38" i="4"/>
  <c r="H38" i="4" s="1"/>
  <c r="S20" i="4"/>
  <c r="BB22" i="5" l="1"/>
  <c r="BB23" i="5" s="1"/>
  <c r="W23" i="5"/>
  <c r="H38" i="5"/>
  <c r="Q38" i="5" s="1"/>
  <c r="H22" i="5"/>
  <c r="Q21" i="5"/>
  <c r="H22" i="4"/>
  <c r="P21" i="4"/>
  <c r="BF20" i="4"/>
  <c r="BL19" i="4" s="1"/>
  <c r="BH20" i="4"/>
  <c r="BL18" i="4"/>
  <c r="BM18" i="4" s="1"/>
  <c r="BI20" i="4"/>
  <c r="AB20" i="4"/>
  <c r="V21" i="4" s="1"/>
  <c r="BK20" i="4"/>
  <c r="Z20" i="4"/>
  <c r="U20" i="4"/>
  <c r="I39" i="4" s="1"/>
  <c r="BE20" i="4"/>
  <c r="AM23" i="5"/>
  <c r="AK23" i="5"/>
  <c r="T24" i="5"/>
  <c r="BE24" i="5" s="1"/>
  <c r="V23" i="5"/>
  <c r="I39" i="5" s="1"/>
  <c r="R39" i="5" s="1"/>
  <c r="BI23" i="5"/>
  <c r="BW23" i="5"/>
  <c r="BA23" i="5"/>
  <c r="BA24" i="5" s="1"/>
  <c r="BY20" i="5"/>
  <c r="G36" i="5" s="1"/>
  <c r="P36" i="5" s="1"/>
  <c r="BY21" i="5"/>
  <c r="G37" i="5" s="1"/>
  <c r="P37" i="5" s="1"/>
  <c r="F36" i="5"/>
  <c r="O36" i="5" s="1"/>
  <c r="F37" i="5"/>
  <c r="O37" i="5" s="1"/>
  <c r="AG23" i="5"/>
  <c r="AU23" i="5"/>
  <c r="AW21" i="5"/>
  <c r="E37" i="5" s="1"/>
  <c r="N37" i="5" s="1"/>
  <c r="AV21" i="5"/>
  <c r="BQ23" i="5"/>
  <c r="BC23" i="5"/>
  <c r="AO23" i="5"/>
  <c r="AA23" i="5"/>
  <c r="C39" i="5"/>
  <c r="AQ23" i="5"/>
  <c r="BS23" i="5"/>
  <c r="AH21" i="5"/>
  <c r="AI21" i="5"/>
  <c r="AC23" i="5"/>
  <c r="BO23" i="5"/>
  <c r="AB22" i="5"/>
  <c r="AD22" i="5" s="1"/>
  <c r="AE22" i="5" s="1"/>
  <c r="BM23" i="5"/>
  <c r="L38" i="5"/>
  <c r="BD22" i="5"/>
  <c r="BF22" i="5" s="1"/>
  <c r="BG22" i="5" s="1"/>
  <c r="AY23" i="5"/>
  <c r="AY24" i="5" s="1"/>
  <c r="W20" i="4"/>
  <c r="AP18" i="4"/>
  <c r="C33" i="6"/>
  <c r="BP16" i="4"/>
  <c r="BS18" i="4"/>
  <c r="X23" i="5"/>
  <c r="AF22" i="5" s="1"/>
  <c r="AN22" i="5"/>
  <c r="AP22" i="5" s="1"/>
  <c r="AR22" i="5" s="1"/>
  <c r="AS22" i="5" s="1"/>
  <c r="AL23" i="5"/>
  <c r="AT22" i="5" s="1"/>
  <c r="Y23" i="5"/>
  <c r="Z23" i="5" s="1"/>
  <c r="BP22" i="5"/>
  <c r="BN23" i="5"/>
  <c r="BV22" i="5" s="1"/>
  <c r="BX22" i="5" s="1"/>
  <c r="AZ23" i="5"/>
  <c r="BH22" i="5" s="1"/>
  <c r="BJ22" i="5" s="1"/>
  <c r="BN18" i="4"/>
  <c r="BO18" i="4" s="1"/>
  <c r="BC16" i="4"/>
  <c r="E35" i="4" s="1"/>
  <c r="BA17" i="4"/>
  <c r="BB17" i="4" s="1"/>
  <c r="AU17" i="4"/>
  <c r="AV17" i="4" s="1"/>
  <c r="X19" i="4"/>
  <c r="Y19" i="4" s="1"/>
  <c r="AA19" i="4" s="1"/>
  <c r="AC19" i="4" s="1"/>
  <c r="C39" i="4"/>
  <c r="H39" i="4" s="1"/>
  <c r="S21" i="4"/>
  <c r="BG20" i="4"/>
  <c r="BJ19" i="4"/>
  <c r="BR19" i="4" s="1"/>
  <c r="D37" i="5" l="1"/>
  <c r="M37" i="5" s="1"/>
  <c r="W24" i="5"/>
  <c r="H23" i="4"/>
  <c r="P22" i="4"/>
  <c r="L39" i="5"/>
  <c r="H39" i="5"/>
  <c r="Q39" i="5" s="1"/>
  <c r="H23" i="5"/>
  <c r="Q22" i="5"/>
  <c r="BH21" i="4"/>
  <c r="AM24" i="5"/>
  <c r="AA24" i="5"/>
  <c r="BC24" i="5"/>
  <c r="AC24" i="5"/>
  <c r="AO24" i="5"/>
  <c r="AQ24" i="5"/>
  <c r="T25" i="5"/>
  <c r="BW25" i="5" s="1"/>
  <c r="BF21" i="4"/>
  <c r="BM19" i="4"/>
  <c r="BE21" i="4"/>
  <c r="AB21" i="4"/>
  <c r="V22" i="4" s="1"/>
  <c r="BK21" i="4"/>
  <c r="Z21" i="4"/>
  <c r="BI21" i="4"/>
  <c r="U21" i="4"/>
  <c r="I40" i="4" s="1"/>
  <c r="AK24" i="5"/>
  <c r="BS24" i="5"/>
  <c r="C40" i="5"/>
  <c r="BW24" i="5"/>
  <c r="V24" i="5"/>
  <c r="I40" i="5" s="1"/>
  <c r="R40" i="5" s="1"/>
  <c r="AU24" i="5"/>
  <c r="BB24" i="5"/>
  <c r="AG24" i="5"/>
  <c r="BI24" i="5"/>
  <c r="BQ24" i="5"/>
  <c r="BM24" i="5"/>
  <c r="BK22" i="5"/>
  <c r="F38" i="5" s="1"/>
  <c r="O38" i="5" s="1"/>
  <c r="AW22" i="5"/>
  <c r="E38" i="5" s="1"/>
  <c r="N38" i="5" s="1"/>
  <c r="AV22" i="5"/>
  <c r="BO24" i="5"/>
  <c r="AB23" i="5"/>
  <c r="AD23" i="5" s="1"/>
  <c r="AH22" i="5"/>
  <c r="AI22" i="5"/>
  <c r="D38" i="5" s="1"/>
  <c r="M38" i="5" s="1"/>
  <c r="AR18" i="4"/>
  <c r="AT18" i="4" s="1"/>
  <c r="AU18" i="4" s="1"/>
  <c r="AV18" i="4" s="1"/>
  <c r="W21" i="4"/>
  <c r="AP19" i="4"/>
  <c r="C34" i="6"/>
  <c r="BQ16" i="4"/>
  <c r="F35" i="4" s="1"/>
  <c r="BT16" i="4"/>
  <c r="G35" i="4" s="1"/>
  <c r="BP17" i="4"/>
  <c r="BN19" i="4"/>
  <c r="BO19" i="4" s="1"/>
  <c r="X24" i="5"/>
  <c r="AF23" i="5" s="1"/>
  <c r="AN23" i="5"/>
  <c r="AP23" i="5" s="1"/>
  <c r="AR23" i="5" s="1"/>
  <c r="AS23" i="5" s="1"/>
  <c r="AL24" i="5"/>
  <c r="AT23" i="5" s="1"/>
  <c r="BD23" i="5"/>
  <c r="BF23" i="5" s="1"/>
  <c r="BG23" i="5" s="1"/>
  <c r="Y24" i="5"/>
  <c r="Z24" i="5" s="1"/>
  <c r="AZ24" i="5"/>
  <c r="BH23" i="5" s="1"/>
  <c r="BJ23" i="5" s="1"/>
  <c r="BN24" i="5"/>
  <c r="BV23" i="5" s="1"/>
  <c r="BX23" i="5" s="1"/>
  <c r="BR22" i="5"/>
  <c r="BT22" i="5" s="1"/>
  <c r="BU22" i="5" s="1"/>
  <c r="BP23" i="5"/>
  <c r="BA25" i="5"/>
  <c r="AY25" i="5"/>
  <c r="BS19" i="4"/>
  <c r="AY17" i="4"/>
  <c r="AW18" i="4"/>
  <c r="AX18" i="4" s="1"/>
  <c r="BA18" i="4"/>
  <c r="X20" i="4"/>
  <c r="Y20" i="4" s="1"/>
  <c r="AA20" i="4" s="1"/>
  <c r="AC20" i="4" s="1"/>
  <c r="BJ20" i="4"/>
  <c r="BR20" i="4" s="1"/>
  <c r="S22" i="4"/>
  <c r="C40" i="4"/>
  <c r="H40" i="4" s="1"/>
  <c r="BG21" i="4"/>
  <c r="W25" i="5" l="1"/>
  <c r="H40" i="5"/>
  <c r="Q40" i="5" s="1"/>
  <c r="H24" i="5"/>
  <c r="Q23" i="5"/>
  <c r="H24" i="4"/>
  <c r="P23" i="4"/>
  <c r="BH22" i="4"/>
  <c r="AR19" i="4"/>
  <c r="AT19" i="4" s="1"/>
  <c r="AU19" i="4" s="1"/>
  <c r="AV19" i="4" s="1"/>
  <c r="AW20" i="4" s="1"/>
  <c r="AX20" i="4" s="1"/>
  <c r="BB25" i="5"/>
  <c r="BS25" i="5"/>
  <c r="AK25" i="5"/>
  <c r="T26" i="5"/>
  <c r="AA26" i="5" s="1"/>
  <c r="BC25" i="5"/>
  <c r="AA25" i="5"/>
  <c r="V25" i="5"/>
  <c r="I41" i="5" s="1"/>
  <c r="R41" i="5" s="1"/>
  <c r="C41" i="5"/>
  <c r="AM25" i="5"/>
  <c r="AC25" i="5"/>
  <c r="BO25" i="5"/>
  <c r="BI25" i="5"/>
  <c r="AO25" i="5"/>
  <c r="BE25" i="5"/>
  <c r="BA26" i="5" s="1"/>
  <c r="AB24" i="5"/>
  <c r="AD24" i="5" s="1"/>
  <c r="BQ25" i="5"/>
  <c r="AQ25" i="5"/>
  <c r="AU25" i="5"/>
  <c r="AG25" i="5"/>
  <c r="BF22" i="4"/>
  <c r="BL21" i="4" s="1"/>
  <c r="BL20" i="4"/>
  <c r="BM20" i="4" s="1"/>
  <c r="AB22" i="4"/>
  <c r="V23" i="4" s="1"/>
  <c r="BK22" i="4"/>
  <c r="Z22" i="4"/>
  <c r="BI22" i="4"/>
  <c r="U22" i="4"/>
  <c r="I41" i="4" s="1"/>
  <c r="BE22" i="4"/>
  <c r="BM25" i="5"/>
  <c r="BD24" i="5"/>
  <c r="BF24" i="5" s="1"/>
  <c r="BG24" i="5" s="1"/>
  <c r="BK24" i="5" s="1"/>
  <c r="L40" i="5"/>
  <c r="BI26" i="5"/>
  <c r="BY22" i="5"/>
  <c r="G38" i="5" s="1"/>
  <c r="P38" i="5" s="1"/>
  <c r="BK23" i="5"/>
  <c r="F39" i="5" s="1"/>
  <c r="O39" i="5" s="1"/>
  <c r="AE23" i="5"/>
  <c r="AI23" i="5" s="1"/>
  <c r="D39" i="5" s="1"/>
  <c r="M39" i="5" s="1"/>
  <c r="AG26" i="5"/>
  <c r="AU26" i="5"/>
  <c r="AV23" i="5"/>
  <c r="AW23" i="5"/>
  <c r="E39" i="5" s="1"/>
  <c r="N39" i="5" s="1"/>
  <c r="AH23" i="5"/>
  <c r="W22" i="4"/>
  <c r="AP20" i="4"/>
  <c r="C35" i="6"/>
  <c r="BP18" i="4"/>
  <c r="BT18" i="4" s="1"/>
  <c r="G37" i="4" s="1"/>
  <c r="BQ17" i="4"/>
  <c r="F36" i="4" s="1"/>
  <c r="BT17" i="4"/>
  <c r="G36" i="4" s="1"/>
  <c r="BB18" i="4"/>
  <c r="BS20" i="4"/>
  <c r="AY18" i="4"/>
  <c r="AZ18" i="4" s="1"/>
  <c r="D37" i="4" s="1"/>
  <c r="X25" i="5"/>
  <c r="AF24" i="5" s="1"/>
  <c r="AN24" i="5"/>
  <c r="AP24" i="5" s="1"/>
  <c r="AR24" i="5" s="1"/>
  <c r="AS24" i="5" s="1"/>
  <c r="AL25" i="5"/>
  <c r="AT24" i="5" s="1"/>
  <c r="AZ25" i="5"/>
  <c r="BH24" i="5" s="1"/>
  <c r="BJ24" i="5" s="1"/>
  <c r="Y25" i="5"/>
  <c r="Z25" i="5" s="1"/>
  <c r="BN25" i="5"/>
  <c r="BV24" i="5" s="1"/>
  <c r="BX24" i="5" s="1"/>
  <c r="BP24" i="5"/>
  <c r="BR23" i="5"/>
  <c r="BT23" i="5" s="1"/>
  <c r="BU23" i="5" s="1"/>
  <c r="C42" i="5"/>
  <c r="BC26" i="5"/>
  <c r="T27" i="5"/>
  <c r="BS26" i="5"/>
  <c r="AQ26" i="5"/>
  <c r="V26" i="5"/>
  <c r="I42" i="5" s="1"/>
  <c r="R42" i="5" s="1"/>
  <c r="BN20" i="4"/>
  <c r="BO20" i="4" s="1"/>
  <c r="BC17" i="4"/>
  <c r="E36" i="4" s="1"/>
  <c r="AZ17" i="4"/>
  <c r="D36" i="4" s="1"/>
  <c r="AW19" i="4"/>
  <c r="AX19" i="4" s="1"/>
  <c r="BA19" i="4"/>
  <c r="X21" i="4"/>
  <c r="Y21" i="4" s="1"/>
  <c r="AA21" i="4" s="1"/>
  <c r="AC21" i="4" s="1"/>
  <c r="BJ21" i="4"/>
  <c r="BR21" i="4" s="1"/>
  <c r="S23" i="4"/>
  <c r="C41" i="4"/>
  <c r="H41" i="4" s="1"/>
  <c r="BG22" i="4"/>
  <c r="W26" i="5" l="1"/>
  <c r="L41" i="5"/>
  <c r="H41" i="5"/>
  <c r="Q41" i="5" s="1"/>
  <c r="H25" i="4"/>
  <c r="P24" i="4"/>
  <c r="BO26" i="5"/>
  <c r="BO27" i="5" s="1"/>
  <c r="H25" i="5"/>
  <c r="Q24" i="5"/>
  <c r="BM21" i="4"/>
  <c r="BF23" i="4"/>
  <c r="BL22" i="4" s="1"/>
  <c r="BH23" i="4"/>
  <c r="BM26" i="5"/>
  <c r="BM27" i="5" s="1"/>
  <c r="BD25" i="5"/>
  <c r="BF25" i="5" s="1"/>
  <c r="BG25" i="5" s="1"/>
  <c r="BK25" i="5" s="1"/>
  <c r="F41" i="5" s="1"/>
  <c r="O41" i="5" s="1"/>
  <c r="AB25" i="5"/>
  <c r="AD25" i="5" s="1"/>
  <c r="AE25" i="5" s="1"/>
  <c r="BQ26" i="5"/>
  <c r="AC26" i="5"/>
  <c r="AO26" i="5"/>
  <c r="BE26" i="5"/>
  <c r="BA27" i="5" s="1"/>
  <c r="BW26" i="5"/>
  <c r="BB26" i="5"/>
  <c r="BD26" i="5" s="1"/>
  <c r="AK26" i="5"/>
  <c r="AK27" i="5" s="1"/>
  <c r="AY26" i="5"/>
  <c r="AY27" i="5" s="1"/>
  <c r="AE24" i="5"/>
  <c r="AI24" i="5" s="1"/>
  <c r="D40" i="5" s="1"/>
  <c r="M40" i="5" s="1"/>
  <c r="AM26" i="5"/>
  <c r="AM27" i="5" s="1"/>
  <c r="BE23" i="4"/>
  <c r="AB23" i="4"/>
  <c r="V24" i="4" s="1"/>
  <c r="BK23" i="4"/>
  <c r="Z23" i="4"/>
  <c r="BI23" i="4"/>
  <c r="U23" i="4"/>
  <c r="I42" i="4" s="1"/>
  <c r="BI27" i="5"/>
  <c r="BW27" i="5"/>
  <c r="BY23" i="5"/>
  <c r="G39" i="5" s="1"/>
  <c r="P39" i="5" s="1"/>
  <c r="F40" i="5"/>
  <c r="O40" i="5" s="1"/>
  <c r="AG27" i="5"/>
  <c r="AU27" i="5"/>
  <c r="AW24" i="5"/>
  <c r="E40" i="5" s="1"/>
  <c r="N40" i="5" s="1"/>
  <c r="AV24" i="5"/>
  <c r="AH24" i="5"/>
  <c r="L42" i="5"/>
  <c r="W23" i="4"/>
  <c r="AP21" i="4"/>
  <c r="C36" i="6"/>
  <c r="BP19" i="4"/>
  <c r="BQ19" i="4" s="1"/>
  <c r="F38" i="4" s="1"/>
  <c r="BQ18" i="4"/>
  <c r="F37" i="4" s="1"/>
  <c r="X26" i="5"/>
  <c r="AF25" i="5" s="1"/>
  <c r="BB19" i="4"/>
  <c r="AN25" i="5"/>
  <c r="AN26" i="5" s="1"/>
  <c r="AN27" i="5" s="1"/>
  <c r="AL26" i="5"/>
  <c r="AT25" i="5" s="1"/>
  <c r="Y26" i="5"/>
  <c r="Z26" i="5" s="1"/>
  <c r="AB26" i="5" s="1"/>
  <c r="AZ26" i="5"/>
  <c r="BH25" i="5" s="1"/>
  <c r="BJ25" i="5" s="1"/>
  <c r="BN26" i="5"/>
  <c r="BV25" i="5" s="1"/>
  <c r="BX25" i="5" s="1"/>
  <c r="BP25" i="5"/>
  <c r="BR24" i="5"/>
  <c r="BT24" i="5" s="1"/>
  <c r="BU24" i="5" s="1"/>
  <c r="T28" i="5"/>
  <c r="BS27" i="5"/>
  <c r="AQ27" i="5"/>
  <c r="C43" i="5"/>
  <c r="BQ27" i="5"/>
  <c r="AO27" i="5"/>
  <c r="BE27" i="5"/>
  <c r="AC27" i="5"/>
  <c r="BC27" i="5"/>
  <c r="AA27" i="5"/>
  <c r="V27" i="5"/>
  <c r="I43" i="5" s="1"/>
  <c r="R43" i="5" s="1"/>
  <c r="BS21" i="4"/>
  <c r="BN21" i="4"/>
  <c r="BO21" i="4" s="1"/>
  <c r="BC18" i="4"/>
  <c r="E37" i="4" s="1"/>
  <c r="AY19" i="4"/>
  <c r="BA20" i="4"/>
  <c r="BB20" i="4" s="1"/>
  <c r="X22" i="4"/>
  <c r="Y22" i="4" s="1"/>
  <c r="AA22" i="4" s="1"/>
  <c r="AC22" i="4" s="1"/>
  <c r="AR20" i="4"/>
  <c r="AT20" i="4" s="1"/>
  <c r="BJ22" i="4"/>
  <c r="BR22" i="4" s="1"/>
  <c r="BG23" i="4"/>
  <c r="S24" i="4"/>
  <c r="C42" i="4"/>
  <c r="H42" i="4" s="1"/>
  <c r="W27" i="5" l="1"/>
  <c r="W28" i="5" s="1"/>
  <c r="BF24" i="4"/>
  <c r="BL23" i="4" s="1"/>
  <c r="BM22" i="4"/>
  <c r="BF26" i="5"/>
  <c r="BG26" i="5" s="1"/>
  <c r="BK26" i="5" s="1"/>
  <c r="F42" i="5" s="1"/>
  <c r="O42" i="5" s="1"/>
  <c r="H26" i="5"/>
  <c r="Q25" i="5"/>
  <c r="H42" i="5"/>
  <c r="Q42" i="5" s="1"/>
  <c r="H26" i="4"/>
  <c r="P25" i="4"/>
  <c r="BE24" i="4"/>
  <c r="BH24" i="4"/>
  <c r="BB27" i="5"/>
  <c r="BD27" i="5" s="1"/>
  <c r="BF27" i="5" s="1"/>
  <c r="BG27" i="5" s="1"/>
  <c r="BI24" i="4"/>
  <c r="BK24" i="4"/>
  <c r="Z24" i="4"/>
  <c r="AB24" i="4"/>
  <c r="V25" i="4" s="1"/>
  <c r="U24" i="4"/>
  <c r="I43" i="4" s="1"/>
  <c r="BI28" i="5"/>
  <c r="BW28" i="5"/>
  <c r="BY24" i="5"/>
  <c r="G40" i="5" s="1"/>
  <c r="P40" i="5" s="1"/>
  <c r="AV25" i="5"/>
  <c r="AG28" i="5"/>
  <c r="AU28" i="5"/>
  <c r="AH25" i="5"/>
  <c r="AI25" i="5"/>
  <c r="D41" i="5" s="1"/>
  <c r="M41" i="5" s="1"/>
  <c r="L43" i="5"/>
  <c r="W24" i="4"/>
  <c r="AP22" i="4"/>
  <c r="BT19" i="4"/>
  <c r="G38" i="4" s="1"/>
  <c r="BP20" i="4"/>
  <c r="BQ20" i="4" s="1"/>
  <c r="F39" i="4" s="1"/>
  <c r="C37" i="6"/>
  <c r="X27" i="5"/>
  <c r="AF26" i="5" s="1"/>
  <c r="BS22" i="4"/>
  <c r="AL27" i="5"/>
  <c r="AT26" i="5" s="1"/>
  <c r="AP25" i="5"/>
  <c r="AR25" i="5" s="1"/>
  <c r="AS25" i="5" s="1"/>
  <c r="AP26" i="5"/>
  <c r="AR26" i="5" s="1"/>
  <c r="AS26" i="5" s="1"/>
  <c r="Y27" i="5"/>
  <c r="Z27" i="5" s="1"/>
  <c r="AB27" i="5" s="1"/>
  <c r="AZ27" i="5"/>
  <c r="BH26" i="5" s="1"/>
  <c r="BJ26" i="5" s="1"/>
  <c r="BN27" i="5"/>
  <c r="BV26" i="5" s="1"/>
  <c r="BX26" i="5" s="1"/>
  <c r="BP26" i="5"/>
  <c r="BR25" i="5"/>
  <c r="C44" i="5"/>
  <c r="BE28" i="5"/>
  <c r="AC28" i="5"/>
  <c r="BC28" i="5"/>
  <c r="AA28" i="5"/>
  <c r="T29" i="5"/>
  <c r="BS28" i="5"/>
  <c r="AQ28" i="5"/>
  <c r="AO28" i="5"/>
  <c r="BQ28" i="5"/>
  <c r="V28" i="5"/>
  <c r="I44" i="5" s="1"/>
  <c r="R44" i="5" s="1"/>
  <c r="BA28" i="5"/>
  <c r="AY28" i="5"/>
  <c r="AD26" i="5"/>
  <c r="AE26" i="5" s="1"/>
  <c r="AP27" i="5"/>
  <c r="BO28" i="5"/>
  <c r="BM28" i="5"/>
  <c r="AN28" i="5"/>
  <c r="AM28" i="5"/>
  <c r="AK28" i="5"/>
  <c r="BN22" i="4"/>
  <c r="BO22" i="4" s="1"/>
  <c r="BC19" i="4"/>
  <c r="E38" i="4" s="1"/>
  <c r="AZ19" i="4"/>
  <c r="D38" i="4" s="1"/>
  <c r="AY20" i="4"/>
  <c r="BA21" i="4"/>
  <c r="X23" i="4"/>
  <c r="Y23" i="4" s="1"/>
  <c r="AA23" i="4" s="1"/>
  <c r="AC23" i="4" s="1"/>
  <c r="AU20" i="4"/>
  <c r="AV20" i="4" s="1"/>
  <c r="AW21" i="4" s="1"/>
  <c r="AX21" i="4" s="1"/>
  <c r="BJ23" i="4"/>
  <c r="BR23" i="4" s="1"/>
  <c r="S25" i="4"/>
  <c r="C43" i="4"/>
  <c r="H43" i="4" s="1"/>
  <c r="BG24" i="4"/>
  <c r="BB28" i="5" l="1"/>
  <c r="BD28" i="5" s="1"/>
  <c r="BF28" i="5" s="1"/>
  <c r="BG28" i="5" s="1"/>
  <c r="W29" i="5"/>
  <c r="BM23" i="4"/>
  <c r="BE25" i="4"/>
  <c r="H43" i="5"/>
  <c r="Q43" i="5" s="1"/>
  <c r="H27" i="4"/>
  <c r="P26" i="4"/>
  <c r="H27" i="5"/>
  <c r="Q26" i="5"/>
  <c r="BF25" i="4"/>
  <c r="BL24" i="4" s="1"/>
  <c r="AB25" i="4"/>
  <c r="V26" i="4" s="1"/>
  <c r="BK25" i="4"/>
  <c r="BE26" i="4" s="1"/>
  <c r="Z25" i="4"/>
  <c r="BI25" i="4"/>
  <c r="U25" i="4"/>
  <c r="I44" i="4" s="1"/>
  <c r="BH25" i="4"/>
  <c r="BI29" i="5"/>
  <c r="BW29" i="5"/>
  <c r="BK27" i="5"/>
  <c r="F43" i="5" s="1"/>
  <c r="O43" i="5" s="1"/>
  <c r="AG29" i="5"/>
  <c r="AU29" i="5"/>
  <c r="AV26" i="5"/>
  <c r="AW26" i="5"/>
  <c r="E42" i="5" s="1"/>
  <c r="N42" i="5" s="1"/>
  <c r="AW25" i="5"/>
  <c r="E41" i="5" s="1"/>
  <c r="N41" i="5" s="1"/>
  <c r="AH26" i="5"/>
  <c r="AI26" i="5"/>
  <c r="D42" i="5" s="1"/>
  <c r="M42" i="5" s="1"/>
  <c r="X28" i="5"/>
  <c r="AF27" i="5" s="1"/>
  <c r="L44" i="5"/>
  <c r="W25" i="4"/>
  <c r="AP23" i="4"/>
  <c r="BP21" i="4"/>
  <c r="BT21" i="4" s="1"/>
  <c r="G40" i="4" s="1"/>
  <c r="BT20" i="4"/>
  <c r="G39" i="4" s="1"/>
  <c r="C38" i="6"/>
  <c r="BB21" i="4"/>
  <c r="BN23" i="4"/>
  <c r="BO23" i="4" s="1"/>
  <c r="AL28" i="5"/>
  <c r="AT27" i="5" s="1"/>
  <c r="Y28" i="5"/>
  <c r="Z28" i="5" s="1"/>
  <c r="AB28" i="5" s="1"/>
  <c r="AZ28" i="5"/>
  <c r="BH27" i="5" s="1"/>
  <c r="BJ27" i="5" s="1"/>
  <c r="BN28" i="5"/>
  <c r="BV27" i="5" s="1"/>
  <c r="BX27" i="5" s="1"/>
  <c r="BT25" i="5"/>
  <c r="BU25" i="5" s="1"/>
  <c r="BR26" i="5"/>
  <c r="BT26" i="5" s="1"/>
  <c r="BU26" i="5" s="1"/>
  <c r="BP27" i="5"/>
  <c r="AP28" i="5"/>
  <c r="AR28" i="5" s="1"/>
  <c r="BO29" i="5"/>
  <c r="BM29" i="5"/>
  <c r="C45" i="5"/>
  <c r="T30" i="5"/>
  <c r="BS29" i="5"/>
  <c r="AQ29" i="5"/>
  <c r="BQ29" i="5"/>
  <c r="AO29" i="5"/>
  <c r="BE29" i="5"/>
  <c r="AC29" i="5"/>
  <c r="W30" i="5" s="1"/>
  <c r="AA29" i="5"/>
  <c r="BC29" i="5"/>
  <c r="V29" i="5"/>
  <c r="I45" i="5" s="1"/>
  <c r="R45" i="5" s="1"/>
  <c r="AD27" i="5"/>
  <c r="AE27" i="5" s="1"/>
  <c r="BA29" i="5"/>
  <c r="AY29" i="5"/>
  <c r="AR27" i="5"/>
  <c r="AS27" i="5" s="1"/>
  <c r="AN29" i="5"/>
  <c r="AM29" i="5"/>
  <c r="AK29" i="5"/>
  <c r="BS23" i="4"/>
  <c r="BC20" i="4"/>
  <c r="E39" i="4" s="1"/>
  <c r="AZ20" i="4"/>
  <c r="D39" i="4" s="1"/>
  <c r="BA22" i="4"/>
  <c r="AR21" i="4"/>
  <c r="AT21" i="4" s="1"/>
  <c r="X24" i="4"/>
  <c r="Y24" i="4" s="1"/>
  <c r="AA24" i="4" s="1"/>
  <c r="AC24" i="4" s="1"/>
  <c r="BJ24" i="4"/>
  <c r="BR24" i="4" s="1"/>
  <c r="S26" i="4"/>
  <c r="C44" i="4"/>
  <c r="H44" i="4" s="1"/>
  <c r="BG25" i="4"/>
  <c r="BB29" i="5" l="1"/>
  <c r="BM24" i="4"/>
  <c r="H28" i="5"/>
  <c r="Q27" i="5"/>
  <c r="H44" i="5"/>
  <c r="Q44" i="5" s="1"/>
  <c r="H28" i="4"/>
  <c r="P27" i="4"/>
  <c r="AB26" i="4"/>
  <c r="V27" i="4" s="1"/>
  <c r="BK26" i="4"/>
  <c r="BE27" i="4" s="1"/>
  <c r="Z26" i="4"/>
  <c r="BI26" i="4"/>
  <c r="U26" i="4"/>
  <c r="I45" i="4" s="1"/>
  <c r="BF26" i="4"/>
  <c r="BL25" i="4" s="1"/>
  <c r="BH26" i="4"/>
  <c r="BI30" i="5"/>
  <c r="BW30" i="5"/>
  <c r="BY25" i="5"/>
  <c r="G41" i="5" s="1"/>
  <c r="P41" i="5" s="1"/>
  <c r="BY26" i="5"/>
  <c r="G42" i="5" s="1"/>
  <c r="P42" i="5" s="1"/>
  <c r="BK28" i="5"/>
  <c r="F44" i="5" s="1"/>
  <c r="O44" i="5" s="1"/>
  <c r="AG30" i="5"/>
  <c r="AU30" i="5"/>
  <c r="AV27" i="5"/>
  <c r="AW27" i="5"/>
  <c r="E43" i="5" s="1"/>
  <c r="N43" i="5" s="1"/>
  <c r="AH27" i="5"/>
  <c r="AI27" i="5"/>
  <c r="D43" i="5" s="1"/>
  <c r="M43" i="5" s="1"/>
  <c r="X29" i="5"/>
  <c r="AF28" i="5" s="1"/>
  <c r="L45" i="5"/>
  <c r="W26" i="4"/>
  <c r="AP24" i="4"/>
  <c r="BQ21" i="4"/>
  <c r="F40" i="4" s="1"/>
  <c r="BP22" i="4"/>
  <c r="BQ22" i="4" s="1"/>
  <c r="F41" i="4" s="1"/>
  <c r="C39" i="6"/>
  <c r="BS24" i="4"/>
  <c r="AL29" i="5"/>
  <c r="AT28" i="5" s="1"/>
  <c r="Y29" i="5"/>
  <c r="Z29" i="5" s="1"/>
  <c r="AB29" i="5" s="1"/>
  <c r="AD29" i="5" s="1"/>
  <c r="AE29" i="5" s="1"/>
  <c r="AZ29" i="5"/>
  <c r="BH28" i="5" s="1"/>
  <c r="BJ28" i="5" s="1"/>
  <c r="BD29" i="5"/>
  <c r="BF29" i="5" s="1"/>
  <c r="BG29" i="5" s="1"/>
  <c r="BN29" i="5"/>
  <c r="BV28" i="5" s="1"/>
  <c r="BX28" i="5" s="1"/>
  <c r="BR27" i="5"/>
  <c r="BT27" i="5" s="1"/>
  <c r="BU27" i="5" s="1"/>
  <c r="BP28" i="5"/>
  <c r="AD28" i="5"/>
  <c r="AE28" i="5" s="1"/>
  <c r="AS28" i="5"/>
  <c r="AP29" i="5"/>
  <c r="AR29" i="5" s="1"/>
  <c r="AS29" i="5" s="1"/>
  <c r="AN30" i="5"/>
  <c r="AM30" i="5"/>
  <c r="AK30" i="5"/>
  <c r="BO30" i="5"/>
  <c r="BM30" i="5"/>
  <c r="BB30" i="5"/>
  <c r="BA30" i="5"/>
  <c r="AY30" i="5"/>
  <c r="C46" i="5"/>
  <c r="BE30" i="5"/>
  <c r="AC30" i="5"/>
  <c r="W31" i="5" s="1"/>
  <c r="BC30" i="5"/>
  <c r="AA30" i="5"/>
  <c r="T31" i="5"/>
  <c r="BS30" i="5"/>
  <c r="AQ30" i="5"/>
  <c r="AO30" i="5"/>
  <c r="BQ30" i="5"/>
  <c r="V30" i="5"/>
  <c r="I46" i="5" s="1"/>
  <c r="R46" i="5" s="1"/>
  <c r="BN24" i="4"/>
  <c r="BO24" i="4" s="1"/>
  <c r="AY21" i="4"/>
  <c r="X25" i="4"/>
  <c r="Y25" i="4" s="1"/>
  <c r="AA25" i="4" s="1"/>
  <c r="AC25" i="4" s="1"/>
  <c r="BA23" i="4"/>
  <c r="BG26" i="4"/>
  <c r="S27" i="4"/>
  <c r="C45" i="4"/>
  <c r="H45" i="4" s="1"/>
  <c r="BJ25" i="4"/>
  <c r="BR25" i="4" s="1"/>
  <c r="BM25" i="4" l="1"/>
  <c r="H29" i="4"/>
  <c r="P28" i="4"/>
  <c r="H45" i="5"/>
  <c r="Q45" i="5" s="1"/>
  <c r="H29" i="5"/>
  <c r="Q28" i="5"/>
  <c r="BF27" i="4"/>
  <c r="BL26" i="4" s="1"/>
  <c r="AB27" i="4"/>
  <c r="V28" i="4" s="1"/>
  <c r="BK27" i="4"/>
  <c r="BE28" i="4" s="1"/>
  <c r="Z27" i="4"/>
  <c r="BI27" i="4"/>
  <c r="U27" i="4"/>
  <c r="I46" i="4" s="1"/>
  <c r="BH27" i="4"/>
  <c r="BI31" i="5"/>
  <c r="BW31" i="5"/>
  <c r="BY27" i="5"/>
  <c r="G43" i="5" s="1"/>
  <c r="P43" i="5" s="1"/>
  <c r="BK29" i="5"/>
  <c r="F45" i="5" s="1"/>
  <c r="O45" i="5" s="1"/>
  <c r="AG31" i="5"/>
  <c r="AU31" i="5"/>
  <c r="AV28" i="5"/>
  <c r="AW28" i="5"/>
  <c r="E44" i="5" s="1"/>
  <c r="N44" i="5" s="1"/>
  <c r="AH28" i="5"/>
  <c r="AI28" i="5"/>
  <c r="D44" i="5" s="1"/>
  <c r="M44" i="5" s="1"/>
  <c r="X30" i="5"/>
  <c r="AF29" i="5" s="1"/>
  <c r="W27" i="4"/>
  <c r="AP25" i="4"/>
  <c r="L46" i="5"/>
  <c r="BT22" i="4"/>
  <c r="G41" i="4" s="1"/>
  <c r="BP23" i="4"/>
  <c r="BT23" i="4" s="1"/>
  <c r="G42" i="4" s="1"/>
  <c r="C40" i="6"/>
  <c r="AL30" i="5"/>
  <c r="AT29" i="5" s="1"/>
  <c r="BS25" i="4"/>
  <c r="Y30" i="5"/>
  <c r="Z30" i="5" s="1"/>
  <c r="AB30" i="5" s="1"/>
  <c r="AZ30" i="5"/>
  <c r="BH29" i="5" s="1"/>
  <c r="BJ29" i="5" s="1"/>
  <c r="BN30" i="5"/>
  <c r="BV29" i="5" s="1"/>
  <c r="BX29" i="5" s="1"/>
  <c r="BP29" i="5"/>
  <c r="BR28" i="5"/>
  <c r="AP30" i="5"/>
  <c r="AN31" i="5" s="1"/>
  <c r="BD30" i="5"/>
  <c r="BB31" i="5" s="1"/>
  <c r="AK31" i="5"/>
  <c r="AM31" i="5"/>
  <c r="AD31" i="5"/>
  <c r="T32" i="5"/>
  <c r="BS31" i="5"/>
  <c r="AQ31" i="5"/>
  <c r="C47" i="5"/>
  <c r="BE31" i="5"/>
  <c r="AC31" i="5"/>
  <c r="W32" i="5" s="1"/>
  <c r="U31" i="5"/>
  <c r="BC31" i="5" s="1"/>
  <c r="V31" i="5"/>
  <c r="I47" i="5" s="1"/>
  <c r="R47" i="5" s="1"/>
  <c r="BA31" i="5"/>
  <c r="AY31" i="5"/>
  <c r="BM31" i="5"/>
  <c r="BO31" i="5"/>
  <c r="BN25" i="4"/>
  <c r="BO25" i="4" s="1"/>
  <c r="BC21" i="4"/>
  <c r="E40" i="4" s="1"/>
  <c r="AZ21" i="4"/>
  <c r="D40" i="4" s="1"/>
  <c r="X26" i="4"/>
  <c r="Y26" i="4" s="1"/>
  <c r="AA26" i="4" s="1"/>
  <c r="AC26" i="4" s="1"/>
  <c r="BA24" i="4"/>
  <c r="AU21" i="4"/>
  <c r="AV21" i="4" s="1"/>
  <c r="AW22" i="4" s="1"/>
  <c r="AX22" i="4" s="1"/>
  <c r="BJ26" i="4"/>
  <c r="BR26" i="4" s="1"/>
  <c r="C46" i="4"/>
  <c r="H46" i="4" s="1"/>
  <c r="S28" i="4"/>
  <c r="BG27" i="4"/>
  <c r="BM26" i="4" l="1"/>
  <c r="L47" i="5"/>
  <c r="H30" i="5"/>
  <c r="Q30" i="5" s="1"/>
  <c r="Q29" i="5"/>
  <c r="H30" i="4"/>
  <c r="P30" i="4" s="1"/>
  <c r="P29" i="4"/>
  <c r="H46" i="5"/>
  <c r="Q46" i="5" s="1"/>
  <c r="BK28" i="4"/>
  <c r="BE29" i="4" s="1"/>
  <c r="AB28" i="4"/>
  <c r="V29" i="4" s="1"/>
  <c r="T28" i="4"/>
  <c r="BI28" i="4" s="1"/>
  <c r="AC28" i="4"/>
  <c r="U28" i="4"/>
  <c r="I47" i="4" s="1"/>
  <c r="BF28" i="4"/>
  <c r="BI32" i="5"/>
  <c r="BW32" i="5"/>
  <c r="AW29" i="5"/>
  <c r="E45" i="5" s="1"/>
  <c r="N45" i="5" s="1"/>
  <c r="AV29" i="5"/>
  <c r="AG32" i="5"/>
  <c r="AU32" i="5"/>
  <c r="AH29" i="5"/>
  <c r="AI29" i="5"/>
  <c r="D45" i="5" s="1"/>
  <c r="M45" i="5" s="1"/>
  <c r="X31" i="5"/>
  <c r="X32" i="5" s="1"/>
  <c r="AF31" i="5" s="1"/>
  <c r="W28" i="4"/>
  <c r="AP26" i="4"/>
  <c r="BP24" i="4"/>
  <c r="BT24" i="4" s="1"/>
  <c r="G43" i="4" s="1"/>
  <c r="BQ23" i="4"/>
  <c r="F42" i="4" s="1"/>
  <c r="AL31" i="5"/>
  <c r="AT30" i="5" s="1"/>
  <c r="BB22" i="4"/>
  <c r="AY22" i="4"/>
  <c r="BS26" i="4"/>
  <c r="Y31" i="5"/>
  <c r="Z31" i="5" s="1"/>
  <c r="AZ31" i="5"/>
  <c r="BH30" i="5" s="1"/>
  <c r="BJ30" i="5" s="1"/>
  <c r="BN31" i="5"/>
  <c r="BV30" i="5" s="1"/>
  <c r="BX30" i="5" s="1"/>
  <c r="AR30" i="5"/>
  <c r="AS30" i="5" s="1"/>
  <c r="BT28" i="5"/>
  <c r="BU28" i="5" s="1"/>
  <c r="BR29" i="5"/>
  <c r="BT29" i="5" s="1"/>
  <c r="BU29" i="5" s="1"/>
  <c r="BP30" i="5"/>
  <c r="BR30" i="5" s="1"/>
  <c r="BP31" i="5" s="1"/>
  <c r="BP32" i="5" s="1"/>
  <c r="AO31" i="5"/>
  <c r="AP31" i="5" s="1"/>
  <c r="BQ31" i="5"/>
  <c r="BD31" i="5"/>
  <c r="AD32" i="5"/>
  <c r="AA31" i="5"/>
  <c r="AD30" i="5"/>
  <c r="AE30" i="5" s="1"/>
  <c r="BB32" i="5"/>
  <c r="BA32" i="5"/>
  <c r="AY32" i="5"/>
  <c r="AN32" i="5"/>
  <c r="AK32" i="5"/>
  <c r="AM32" i="5"/>
  <c r="BF30" i="5"/>
  <c r="BG30" i="5" s="1"/>
  <c r="BM32" i="5"/>
  <c r="BO32" i="5"/>
  <c r="BS32" i="5"/>
  <c r="AQ32" i="5"/>
  <c r="V32" i="5"/>
  <c r="I48" i="5" s="1"/>
  <c r="R48" i="5" s="1"/>
  <c r="T33" i="5"/>
  <c r="BE32" i="5"/>
  <c r="C48" i="5"/>
  <c r="AC32" i="5"/>
  <c r="W33" i="5" s="1"/>
  <c r="U32" i="5"/>
  <c r="BC32" i="5" s="1"/>
  <c r="BN26" i="4"/>
  <c r="BO26" i="4" s="1"/>
  <c r="BA26" i="4"/>
  <c r="AQ28" i="4"/>
  <c r="X27" i="4"/>
  <c r="Y27" i="4" s="1"/>
  <c r="AA27" i="4" s="1"/>
  <c r="BA25" i="4"/>
  <c r="AR22" i="4"/>
  <c r="AT22" i="4" s="1"/>
  <c r="BJ27" i="4"/>
  <c r="BR27" i="4" s="1"/>
  <c r="S29" i="4"/>
  <c r="C47" i="4"/>
  <c r="B46" i="4" s="1"/>
  <c r="BG28" i="4"/>
  <c r="AF30" i="5" l="1"/>
  <c r="AH30" i="5" s="1"/>
  <c r="H47" i="5"/>
  <c r="Q47" i="5" s="1"/>
  <c r="H47" i="4"/>
  <c r="BF29" i="4"/>
  <c r="BL28" i="4" s="1"/>
  <c r="W29" i="4"/>
  <c r="AP28" i="4" s="1"/>
  <c r="AS28" i="4" s="1"/>
  <c r="Z28" i="4"/>
  <c r="BK29" i="4"/>
  <c r="BE30" i="4" s="1"/>
  <c r="AB29" i="4"/>
  <c r="V30" i="4" s="1"/>
  <c r="T29" i="4"/>
  <c r="BI29" i="4" s="1"/>
  <c r="U29" i="4"/>
  <c r="I48" i="4" s="1"/>
  <c r="AC29" i="4"/>
  <c r="BL27" i="4"/>
  <c r="BM27" i="4" s="1"/>
  <c r="Y32" i="5"/>
  <c r="Z32" i="5" s="1"/>
  <c r="BI33" i="5"/>
  <c r="BW33" i="5"/>
  <c r="BY28" i="5"/>
  <c r="G44" i="5" s="1"/>
  <c r="P44" i="5" s="1"/>
  <c r="BY29" i="5"/>
  <c r="G45" i="5" s="1"/>
  <c r="P45" i="5" s="1"/>
  <c r="BK30" i="5"/>
  <c r="F46" i="5" s="1"/>
  <c r="O46" i="5" s="1"/>
  <c r="AG33" i="5"/>
  <c r="AU33" i="5"/>
  <c r="AW30" i="5"/>
  <c r="E46" i="5" s="1"/>
  <c r="N46" i="5" s="1"/>
  <c r="AV30" i="5"/>
  <c r="AI30" i="5"/>
  <c r="D46" i="5" s="1"/>
  <c r="M46" i="5" s="1"/>
  <c r="L48" i="5"/>
  <c r="AC27" i="4"/>
  <c r="AP27" i="4"/>
  <c r="AB31" i="5"/>
  <c r="AE31" i="5" s="1"/>
  <c r="BP25" i="4"/>
  <c r="BT25" i="4" s="1"/>
  <c r="G44" i="4" s="1"/>
  <c r="BQ24" i="4"/>
  <c r="F43" i="4" s="1"/>
  <c r="AL32" i="5"/>
  <c r="AT31" i="5" s="1"/>
  <c r="BH28" i="4"/>
  <c r="BH29" i="4" s="1"/>
  <c r="BS27" i="4"/>
  <c r="AZ32" i="5"/>
  <c r="BH31" i="5" s="1"/>
  <c r="BJ31" i="5" s="1"/>
  <c r="BN32" i="5"/>
  <c r="BV31" i="5" s="1"/>
  <c r="BX31" i="5" s="1"/>
  <c r="BT30" i="5"/>
  <c r="BU30" i="5" s="1"/>
  <c r="BR31" i="5"/>
  <c r="BT31" i="5" s="1"/>
  <c r="BU31" i="5" s="1"/>
  <c r="AO32" i="5"/>
  <c r="AP32" i="5" s="1"/>
  <c r="X33" i="5"/>
  <c r="AF32" i="5" s="1"/>
  <c r="AD33" i="5"/>
  <c r="BD32" i="5"/>
  <c r="BM33" i="5"/>
  <c r="BP33" i="5"/>
  <c r="BO33" i="5"/>
  <c r="BA33" i="5"/>
  <c r="AY33" i="5"/>
  <c r="BB33" i="5"/>
  <c r="BQ32" i="5"/>
  <c r="BR32" i="5" s="1"/>
  <c r="AK33" i="5"/>
  <c r="AN33" i="5"/>
  <c r="AM33" i="5"/>
  <c r="C49" i="5"/>
  <c r="BS33" i="5"/>
  <c r="AQ33" i="5"/>
  <c r="T34" i="5"/>
  <c r="BE33" i="5"/>
  <c r="AC33" i="5"/>
  <c r="W34" i="5" s="1"/>
  <c r="U33" i="5"/>
  <c r="BQ33" i="5" s="1"/>
  <c r="V33" i="5"/>
  <c r="I49" i="5" s="1"/>
  <c r="R49" i="5" s="1"/>
  <c r="AR31" i="5"/>
  <c r="AS31" i="5" s="1"/>
  <c r="AA32" i="5"/>
  <c r="BF31" i="5"/>
  <c r="BG31" i="5" s="1"/>
  <c r="BN27" i="4"/>
  <c r="BO27" i="4" s="1"/>
  <c r="BC22" i="4"/>
  <c r="E41" i="4" s="1"/>
  <c r="AZ22" i="4"/>
  <c r="D41" i="4" s="1"/>
  <c r="AQ29" i="4"/>
  <c r="X28" i="4"/>
  <c r="Y28" i="4" s="1"/>
  <c r="S30" i="4"/>
  <c r="C48" i="4"/>
  <c r="BG29" i="4"/>
  <c r="AI31" i="5" l="1"/>
  <c r="D47" i="5" s="1"/>
  <c r="M47" i="5" s="1"/>
  <c r="H48" i="4"/>
  <c r="BM28" i="4"/>
  <c r="H48" i="5"/>
  <c r="Q48" i="5" s="1"/>
  <c r="Z29" i="4"/>
  <c r="W30" i="4"/>
  <c r="AP29" i="4" s="1"/>
  <c r="AS29" i="4" s="1"/>
  <c r="Y33" i="5"/>
  <c r="Z33" i="5" s="1"/>
  <c r="AB32" i="5"/>
  <c r="AE32" i="5" s="1"/>
  <c r="BH30" i="4"/>
  <c r="AB30" i="4"/>
  <c r="V31" i="4" s="1"/>
  <c r="BK30" i="4"/>
  <c r="BE31" i="4" s="1"/>
  <c r="T30" i="4"/>
  <c r="BI30" i="4" s="1"/>
  <c r="U30" i="4"/>
  <c r="I49" i="4" s="1"/>
  <c r="AC30" i="4"/>
  <c r="BF30" i="4"/>
  <c r="BL29" i="4" s="1"/>
  <c r="BI34" i="5"/>
  <c r="BW34" i="5"/>
  <c r="BY30" i="5"/>
  <c r="G46" i="5" s="1"/>
  <c r="P46" i="5" s="1"/>
  <c r="BY31" i="5"/>
  <c r="G47" i="5" s="1"/>
  <c r="P47" i="5" s="1"/>
  <c r="BK31" i="5"/>
  <c r="F47" i="5" s="1"/>
  <c r="O47" i="5" s="1"/>
  <c r="AG34" i="5"/>
  <c r="AU34" i="5"/>
  <c r="AW31" i="5"/>
  <c r="E47" i="5" s="1"/>
  <c r="N47" i="5" s="1"/>
  <c r="AV31" i="5"/>
  <c r="AH31" i="5"/>
  <c r="L49" i="5"/>
  <c r="BQ25" i="4"/>
  <c r="F44" i="4" s="1"/>
  <c r="BP26" i="4"/>
  <c r="BT26" i="4" s="1"/>
  <c r="G45" i="4" s="1"/>
  <c r="AL33" i="5"/>
  <c r="AT32" i="5" s="1"/>
  <c r="AZ33" i="5"/>
  <c r="BH32" i="5" s="1"/>
  <c r="BJ32" i="5" s="1"/>
  <c r="BN33" i="5"/>
  <c r="BV32" i="5" s="1"/>
  <c r="BX32" i="5" s="1"/>
  <c r="BC33" i="5"/>
  <c r="BD33" i="5" s="1"/>
  <c r="AO33" i="5"/>
  <c r="AP33" i="5" s="1"/>
  <c r="BT32" i="5"/>
  <c r="BU32" i="5" s="1"/>
  <c r="BB34" i="5"/>
  <c r="BA34" i="5"/>
  <c r="AY34" i="5"/>
  <c r="AN34" i="5"/>
  <c r="AM34" i="5"/>
  <c r="AK34" i="5"/>
  <c r="AR32" i="5"/>
  <c r="AS32" i="5" s="1"/>
  <c r="AA33" i="5"/>
  <c r="BF32" i="5"/>
  <c r="BG32" i="5" s="1"/>
  <c r="BK32" i="5" s="1"/>
  <c r="BR33" i="5"/>
  <c r="BP34" i="5"/>
  <c r="BO34" i="5"/>
  <c r="BM34" i="5"/>
  <c r="X34" i="5"/>
  <c r="AF33" i="5" s="1"/>
  <c r="AD34" i="5"/>
  <c r="C50" i="5"/>
  <c r="BE34" i="5"/>
  <c r="AC34" i="5"/>
  <c r="W35" i="5" s="1"/>
  <c r="U34" i="5"/>
  <c r="BC34" i="5" s="1"/>
  <c r="T35" i="5"/>
  <c r="BS34" i="5"/>
  <c r="AQ34" i="5"/>
  <c r="V34" i="5"/>
  <c r="I50" i="5" s="1"/>
  <c r="R50" i="5" s="1"/>
  <c r="BJ28" i="4"/>
  <c r="BR28" i="4" s="1"/>
  <c r="AQ30" i="4"/>
  <c r="X29" i="4"/>
  <c r="Y29" i="4" s="1"/>
  <c r="AA28" i="4"/>
  <c r="BA27" i="4"/>
  <c r="AU22" i="4"/>
  <c r="AV22" i="4" s="1"/>
  <c r="AW23" i="4" s="1"/>
  <c r="AX23" i="4" s="1"/>
  <c r="BJ29" i="4"/>
  <c r="BR29" i="4" s="1"/>
  <c r="BG30" i="4"/>
  <c r="S31" i="4"/>
  <c r="C49" i="4"/>
  <c r="H49" i="4" l="1"/>
  <c r="BM29" i="4"/>
  <c r="H49" i="5"/>
  <c r="Q49" i="5" s="1"/>
  <c r="Z30" i="4"/>
  <c r="W31" i="4"/>
  <c r="AP30" i="4" s="1"/>
  <c r="AS30" i="4" s="1"/>
  <c r="Y34" i="5"/>
  <c r="Z34" i="5" s="1"/>
  <c r="AB33" i="5"/>
  <c r="AE33" i="5" s="1"/>
  <c r="AB31" i="4"/>
  <c r="V32" i="4" s="1"/>
  <c r="BK31" i="4"/>
  <c r="BE32" i="4" s="1"/>
  <c r="U31" i="4"/>
  <c r="I50" i="4" s="1"/>
  <c r="T31" i="4"/>
  <c r="BI31" i="4" s="1"/>
  <c r="AC31" i="4"/>
  <c r="BH31" i="4"/>
  <c r="BF31" i="4"/>
  <c r="BI35" i="5"/>
  <c r="BW35" i="5"/>
  <c r="BY32" i="5"/>
  <c r="G48" i="5" s="1"/>
  <c r="P48" i="5" s="1"/>
  <c r="F48" i="5"/>
  <c r="O48" i="5" s="1"/>
  <c r="AG35" i="5"/>
  <c r="AU35" i="5"/>
  <c r="AW32" i="5"/>
  <c r="E48" i="5" s="1"/>
  <c r="N48" i="5" s="1"/>
  <c r="AV32" i="5"/>
  <c r="AH32" i="5"/>
  <c r="AI32" i="5"/>
  <c r="D48" i="5" s="1"/>
  <c r="M48" i="5" s="1"/>
  <c r="L50" i="5"/>
  <c r="BP27" i="4"/>
  <c r="BQ27" i="4" s="1"/>
  <c r="F46" i="4" s="1"/>
  <c r="BQ26" i="4"/>
  <c r="F45" i="4" s="1"/>
  <c r="AL34" i="5"/>
  <c r="AT33" i="5" s="1"/>
  <c r="BB23" i="4"/>
  <c r="AY23" i="4"/>
  <c r="AZ34" i="5"/>
  <c r="BH33" i="5" s="1"/>
  <c r="BJ33" i="5" s="1"/>
  <c r="BN34" i="5"/>
  <c r="BV33" i="5" s="1"/>
  <c r="BX33" i="5" s="1"/>
  <c r="AO34" i="5"/>
  <c r="AP34" i="5" s="1"/>
  <c r="AR34" i="5" s="1"/>
  <c r="AS34" i="5" s="1"/>
  <c r="AA34" i="5"/>
  <c r="BS35" i="5"/>
  <c r="AQ35" i="5"/>
  <c r="C51" i="5"/>
  <c r="T36" i="5"/>
  <c r="BE35" i="5"/>
  <c r="AC35" i="5"/>
  <c r="W36" i="5" s="1"/>
  <c r="U35" i="5"/>
  <c r="AA35" i="5" s="1"/>
  <c r="V35" i="5"/>
  <c r="I51" i="5" s="1"/>
  <c r="R51" i="5" s="1"/>
  <c r="BT33" i="5"/>
  <c r="BU33" i="5" s="1"/>
  <c r="BY33" i="5" s="1"/>
  <c r="AR33" i="5"/>
  <c r="AS33" i="5" s="1"/>
  <c r="BQ34" i="5"/>
  <c r="BR34" i="5" s="1"/>
  <c r="BA35" i="5"/>
  <c r="AY35" i="5"/>
  <c r="BB35" i="5"/>
  <c r="BD34" i="5"/>
  <c r="AN35" i="5"/>
  <c r="AK35" i="5"/>
  <c r="AM35" i="5"/>
  <c r="BM35" i="5"/>
  <c r="BP35" i="5"/>
  <c r="BO35" i="5"/>
  <c r="X35" i="5"/>
  <c r="AF34" i="5" s="1"/>
  <c r="AD35" i="5"/>
  <c r="BF33" i="5"/>
  <c r="BG33" i="5" s="1"/>
  <c r="BS28" i="4"/>
  <c r="BN28" i="4"/>
  <c r="BO28" i="4" s="1"/>
  <c r="BS29" i="4"/>
  <c r="BN29" i="4"/>
  <c r="BO29" i="4" s="1"/>
  <c r="AQ31" i="4"/>
  <c r="X30" i="4"/>
  <c r="Y30" i="4" s="1"/>
  <c r="AA29" i="4"/>
  <c r="AR23" i="4"/>
  <c r="AT23" i="4" s="1"/>
  <c r="BJ30" i="4"/>
  <c r="BR30" i="4" s="1"/>
  <c r="S32" i="4"/>
  <c r="C50" i="4"/>
  <c r="BL30" i="4"/>
  <c r="BG31" i="4"/>
  <c r="BM30" i="4" l="1"/>
  <c r="Y35" i="5"/>
  <c r="Z35" i="5" s="1"/>
  <c r="AB35" i="5" s="1"/>
  <c r="AE35" i="5" s="1"/>
  <c r="H50" i="4"/>
  <c r="AB34" i="5"/>
  <c r="AE34" i="5" s="1"/>
  <c r="H50" i="5"/>
  <c r="Q50" i="5" s="1"/>
  <c r="W32" i="4"/>
  <c r="AP31" i="4" s="1"/>
  <c r="AS31" i="4" s="1"/>
  <c r="BH32" i="4"/>
  <c r="Z31" i="4"/>
  <c r="AB32" i="4"/>
  <c r="V33" i="4" s="1"/>
  <c r="BK32" i="4"/>
  <c r="BE33" i="4" s="1"/>
  <c r="T32" i="4"/>
  <c r="BI32" i="4" s="1"/>
  <c r="U32" i="4"/>
  <c r="I51" i="4" s="1"/>
  <c r="AC32" i="4"/>
  <c r="BF32" i="4"/>
  <c r="BL31" i="4" s="1"/>
  <c r="BI36" i="5"/>
  <c r="BW36" i="5"/>
  <c r="G49" i="5"/>
  <c r="P49" i="5" s="1"/>
  <c r="BK33" i="5"/>
  <c r="F49" i="5" s="1"/>
  <c r="O49" i="5" s="1"/>
  <c r="AG36" i="5"/>
  <c r="AU36" i="5"/>
  <c r="AW33" i="5"/>
  <c r="E49" i="5" s="1"/>
  <c r="N49" i="5" s="1"/>
  <c r="AV33" i="5"/>
  <c r="AH33" i="5"/>
  <c r="AI33" i="5"/>
  <c r="D49" i="5" s="1"/>
  <c r="M49" i="5" s="1"/>
  <c r="BT27" i="4"/>
  <c r="G46" i="4" s="1"/>
  <c r="L51" i="5"/>
  <c r="AL35" i="5"/>
  <c r="AT34" i="5" s="1"/>
  <c r="BP28" i="4"/>
  <c r="BS30" i="4"/>
  <c r="AZ35" i="5"/>
  <c r="BH34" i="5" s="1"/>
  <c r="BJ34" i="5" s="1"/>
  <c r="BN35" i="5"/>
  <c r="BV34" i="5" s="1"/>
  <c r="BX34" i="5" s="1"/>
  <c r="BC35" i="5"/>
  <c r="BD35" i="5" s="1"/>
  <c r="AO35" i="5"/>
  <c r="AP35" i="5" s="1"/>
  <c r="BF34" i="5"/>
  <c r="BG34" i="5" s="1"/>
  <c r="BT34" i="5"/>
  <c r="BU34" i="5" s="1"/>
  <c r="BY34" i="5" s="1"/>
  <c r="BQ35" i="5"/>
  <c r="BR35" i="5" s="1"/>
  <c r="AD36" i="5"/>
  <c r="X36" i="5"/>
  <c r="AF35" i="5" s="1"/>
  <c r="AY36" i="5"/>
  <c r="BA36" i="5"/>
  <c r="BB36" i="5"/>
  <c r="AN36" i="5"/>
  <c r="AM36" i="5"/>
  <c r="AK36" i="5"/>
  <c r="C52" i="5"/>
  <c r="T37" i="5"/>
  <c r="BE36" i="5"/>
  <c r="AC36" i="5"/>
  <c r="W37" i="5" s="1"/>
  <c r="U36" i="5"/>
  <c r="BQ36" i="5" s="1"/>
  <c r="BS36" i="5"/>
  <c r="AQ36" i="5"/>
  <c r="V36" i="5"/>
  <c r="I52" i="5" s="1"/>
  <c r="R52" i="5" s="1"/>
  <c r="BP36" i="5"/>
  <c r="BO36" i="5"/>
  <c r="BM36" i="5"/>
  <c r="BN30" i="4"/>
  <c r="BO30" i="4" s="1"/>
  <c r="AZ23" i="4"/>
  <c r="D42" i="4" s="1"/>
  <c r="BC23" i="4"/>
  <c r="E42" i="4" s="1"/>
  <c r="AQ32" i="4"/>
  <c r="X31" i="4"/>
  <c r="Y31" i="4" s="1"/>
  <c r="AA30" i="4"/>
  <c r="BJ31" i="4"/>
  <c r="BR31" i="4" s="1"/>
  <c r="C51" i="4"/>
  <c r="S33" i="4"/>
  <c r="BG32" i="4"/>
  <c r="BM31" i="4" l="1"/>
  <c r="Y36" i="5"/>
  <c r="Z36" i="5" s="1"/>
  <c r="H51" i="4"/>
  <c r="H51" i="5"/>
  <c r="Q51" i="5" s="1"/>
  <c r="Z32" i="4"/>
  <c r="AB33" i="4"/>
  <c r="V34" i="4" s="1"/>
  <c r="BK33" i="4"/>
  <c r="BE34" i="4" s="1"/>
  <c r="T33" i="4"/>
  <c r="BI33" i="4" s="1"/>
  <c r="U33" i="4"/>
  <c r="I52" i="4" s="1"/>
  <c r="AC33" i="4"/>
  <c r="W33" i="4"/>
  <c r="AP32" i="4" s="1"/>
  <c r="AS32" i="4" s="1"/>
  <c r="BF33" i="4"/>
  <c r="BL32" i="4" s="1"/>
  <c r="BH33" i="4"/>
  <c r="BI37" i="5"/>
  <c r="BW37" i="5"/>
  <c r="G50" i="5"/>
  <c r="P50" i="5" s="1"/>
  <c r="BK34" i="5"/>
  <c r="F50" i="5" s="1"/>
  <c r="O50" i="5" s="1"/>
  <c r="AW34" i="5"/>
  <c r="E50" i="5" s="1"/>
  <c r="N50" i="5" s="1"/>
  <c r="AV34" i="5"/>
  <c r="AG37" i="5"/>
  <c r="AU37" i="5"/>
  <c r="AH34" i="5"/>
  <c r="AI34" i="5"/>
  <c r="D50" i="5" s="1"/>
  <c r="M50" i="5" s="1"/>
  <c r="AL36" i="5"/>
  <c r="AT35" i="5" s="1"/>
  <c r="L52" i="5"/>
  <c r="BQ28" i="4"/>
  <c r="F47" i="4" s="1"/>
  <c r="BP29" i="4"/>
  <c r="BT29" i="4" s="1"/>
  <c r="G48" i="4" s="1"/>
  <c r="BT28" i="4"/>
  <c r="G47" i="4" s="1"/>
  <c r="AZ36" i="5"/>
  <c r="BH35" i="5" s="1"/>
  <c r="BJ35" i="5" s="1"/>
  <c r="BN36" i="5"/>
  <c r="BV35" i="5" s="1"/>
  <c r="BX35" i="5" s="1"/>
  <c r="AR35" i="5"/>
  <c r="AS35" i="5" s="1"/>
  <c r="BT35" i="5"/>
  <c r="BU35" i="5" s="1"/>
  <c r="BB37" i="5"/>
  <c r="BA37" i="5"/>
  <c r="AY37" i="5"/>
  <c r="C53" i="5"/>
  <c r="T38" i="5"/>
  <c r="BE37" i="5"/>
  <c r="AC37" i="5"/>
  <c r="W38" i="5" s="1"/>
  <c r="U37" i="5"/>
  <c r="BC37" i="5" s="1"/>
  <c r="BS37" i="5"/>
  <c r="AQ37" i="5"/>
  <c r="V37" i="5"/>
  <c r="I53" i="5" s="1"/>
  <c r="R53" i="5" s="1"/>
  <c r="X37" i="5"/>
  <c r="AF36" i="5" s="1"/>
  <c r="AD37" i="5"/>
  <c r="AA36" i="5"/>
  <c r="BC36" i="5"/>
  <c r="BD36" i="5" s="1"/>
  <c r="AN37" i="5"/>
  <c r="AM37" i="5"/>
  <c r="AK37" i="5"/>
  <c r="AO36" i="5"/>
  <c r="AP36" i="5" s="1"/>
  <c r="BR36" i="5"/>
  <c r="BP37" i="5"/>
  <c r="BO37" i="5"/>
  <c r="BM37" i="5"/>
  <c r="BF35" i="5"/>
  <c r="BG35" i="5" s="1"/>
  <c r="BS31" i="4"/>
  <c r="BN31" i="4"/>
  <c r="BO31" i="4" s="1"/>
  <c r="AA31" i="4"/>
  <c r="X32" i="4"/>
  <c r="Y32" i="4" s="1"/>
  <c r="AQ33" i="4"/>
  <c r="AU23" i="4"/>
  <c r="AV23" i="4" s="1"/>
  <c r="AW24" i="4" s="1"/>
  <c r="AX24" i="4" s="1"/>
  <c r="BG33" i="4"/>
  <c r="BJ32" i="4"/>
  <c r="BR32" i="4" s="1"/>
  <c r="S34" i="4"/>
  <c r="C52" i="4"/>
  <c r="BM32" i="4" l="1"/>
  <c r="H52" i="4"/>
  <c r="AB36" i="5"/>
  <c r="AE36" i="5" s="1"/>
  <c r="Y37" i="5"/>
  <c r="Z37" i="5" s="1"/>
  <c r="H52" i="5"/>
  <c r="Q52" i="5" s="1"/>
  <c r="W34" i="4"/>
  <c r="AP33" i="4" s="1"/>
  <c r="AS33" i="4" s="1"/>
  <c r="BF34" i="4"/>
  <c r="BL33" i="4" s="1"/>
  <c r="Z33" i="4"/>
  <c r="AB34" i="4"/>
  <c r="V35" i="4" s="1"/>
  <c r="BK34" i="4"/>
  <c r="BE35" i="4" s="1"/>
  <c r="T34" i="4"/>
  <c r="BI34" i="4" s="1"/>
  <c r="U34" i="4"/>
  <c r="I53" i="4" s="1"/>
  <c r="AC34" i="4"/>
  <c r="BH34" i="4"/>
  <c r="BI38" i="5"/>
  <c r="BW38" i="5"/>
  <c r="BY35" i="5"/>
  <c r="G51" i="5" s="1"/>
  <c r="P51" i="5" s="1"/>
  <c r="BK35" i="5"/>
  <c r="F51" i="5" s="1"/>
  <c r="O51" i="5" s="1"/>
  <c r="AG38" i="5"/>
  <c r="AU38" i="5"/>
  <c r="AW35" i="5"/>
  <c r="E51" i="5" s="1"/>
  <c r="N51" i="5" s="1"/>
  <c r="AV35" i="5"/>
  <c r="AH35" i="5"/>
  <c r="AI35" i="5"/>
  <c r="D51" i="5" s="1"/>
  <c r="M51" i="5" s="1"/>
  <c r="AL37" i="5"/>
  <c r="AT36" i="5" s="1"/>
  <c r="L53" i="5"/>
  <c r="BQ29" i="4"/>
  <c r="F48" i="4" s="1"/>
  <c r="BP30" i="4"/>
  <c r="BQ30" i="4" s="1"/>
  <c r="F49" i="4" s="1"/>
  <c r="BB24" i="4"/>
  <c r="AY24" i="4"/>
  <c r="AZ24" i="4" s="1"/>
  <c r="D43" i="4" s="1"/>
  <c r="BS32" i="4"/>
  <c r="BN37" i="5"/>
  <c r="BV36" i="5" s="1"/>
  <c r="BX36" i="5" s="1"/>
  <c r="AZ37" i="5"/>
  <c r="BH36" i="5" s="1"/>
  <c r="BJ36" i="5" s="1"/>
  <c r="AO37" i="5"/>
  <c r="AP37" i="5" s="1"/>
  <c r="BQ37" i="5"/>
  <c r="BR37" i="5" s="1"/>
  <c r="AA37" i="5"/>
  <c r="AB37" i="5" s="1"/>
  <c r="AE37" i="5" s="1"/>
  <c r="BT36" i="5"/>
  <c r="BU36" i="5" s="1"/>
  <c r="BF36" i="5"/>
  <c r="BG36" i="5" s="1"/>
  <c r="AM38" i="5"/>
  <c r="AK38" i="5"/>
  <c r="AN38" i="5"/>
  <c r="AD38" i="5"/>
  <c r="Y38" i="5"/>
  <c r="Z38" i="5" s="1"/>
  <c r="X38" i="5"/>
  <c r="AF37" i="5" s="1"/>
  <c r="C54" i="5"/>
  <c r="BE38" i="5"/>
  <c r="AC38" i="5"/>
  <c r="W39" i="5" s="1"/>
  <c r="U38" i="5"/>
  <c r="AO38" i="5" s="1"/>
  <c r="AQ38" i="5"/>
  <c r="T39" i="5"/>
  <c r="BS38" i="5"/>
  <c r="V38" i="5"/>
  <c r="I54" i="5" s="1"/>
  <c r="R54" i="5" s="1"/>
  <c r="AR36" i="5"/>
  <c r="AS36" i="5" s="1"/>
  <c r="BO38" i="5"/>
  <c r="BM38" i="5"/>
  <c r="BP38" i="5"/>
  <c r="AY38" i="5"/>
  <c r="BB38" i="5"/>
  <c r="BA38" i="5"/>
  <c r="BD37" i="5"/>
  <c r="AA32" i="4"/>
  <c r="BN32" i="4"/>
  <c r="BO32" i="4" s="1"/>
  <c r="X33" i="4"/>
  <c r="Y33" i="4" s="1"/>
  <c r="AQ34" i="4"/>
  <c r="AR24" i="4"/>
  <c r="AT24" i="4" s="1"/>
  <c r="BJ33" i="4"/>
  <c r="BR33" i="4" s="1"/>
  <c r="S35" i="4"/>
  <c r="C53" i="4"/>
  <c r="H53" i="4" s="1"/>
  <c r="BG34" i="4"/>
  <c r="BM33" i="4" l="1"/>
  <c r="H53" i="5"/>
  <c r="Q53" i="5" s="1"/>
  <c r="W35" i="4"/>
  <c r="AP34" i="4" s="1"/>
  <c r="AS34" i="4" s="1"/>
  <c r="Z34" i="4"/>
  <c r="AB35" i="4"/>
  <c r="V36" i="4" s="1"/>
  <c r="BK35" i="4"/>
  <c r="BE36" i="4" s="1"/>
  <c r="T35" i="4"/>
  <c r="BI35" i="4" s="1"/>
  <c r="U35" i="4"/>
  <c r="I54" i="4" s="1"/>
  <c r="AC35" i="4"/>
  <c r="BF35" i="4"/>
  <c r="BL34" i="4" s="1"/>
  <c r="BM34" i="4" s="1"/>
  <c r="BH35" i="4"/>
  <c r="BI39" i="5"/>
  <c r="BW39" i="5"/>
  <c r="BY36" i="5"/>
  <c r="G52" i="5" s="1"/>
  <c r="P52" i="5" s="1"/>
  <c r="BK36" i="5"/>
  <c r="F52" i="5" s="1"/>
  <c r="O52" i="5" s="1"/>
  <c r="AW36" i="5"/>
  <c r="E52" i="5" s="1"/>
  <c r="N52" i="5" s="1"/>
  <c r="AV36" i="5"/>
  <c r="AG39" i="5"/>
  <c r="AU39" i="5"/>
  <c r="AH36" i="5"/>
  <c r="AI36" i="5"/>
  <c r="D52" i="5" s="1"/>
  <c r="M52" i="5" s="1"/>
  <c r="AL38" i="5"/>
  <c r="AT37" i="5" s="1"/>
  <c r="L54" i="5"/>
  <c r="BT30" i="4"/>
  <c r="G49" i="4" s="1"/>
  <c r="BP31" i="4"/>
  <c r="BQ31" i="4" s="1"/>
  <c r="F50" i="4" s="1"/>
  <c r="BN33" i="4"/>
  <c r="BO33" i="4" s="1"/>
  <c r="AZ38" i="5"/>
  <c r="BH37" i="5" s="1"/>
  <c r="BJ37" i="5" s="1"/>
  <c r="BN38" i="5"/>
  <c r="BV37" i="5" s="1"/>
  <c r="BX37" i="5" s="1"/>
  <c r="BT37" i="5"/>
  <c r="BU37" i="5" s="1"/>
  <c r="AR37" i="5"/>
  <c r="AS37" i="5" s="1"/>
  <c r="C55" i="5"/>
  <c r="AC39" i="5"/>
  <c r="W40" i="5" s="1"/>
  <c r="T40" i="5"/>
  <c r="BS39" i="5"/>
  <c r="BE39" i="5"/>
  <c r="U39" i="5"/>
  <c r="BC39" i="5" s="1"/>
  <c r="AQ39" i="5"/>
  <c r="V39" i="5"/>
  <c r="I55" i="5" s="1"/>
  <c r="R55" i="5" s="1"/>
  <c r="BQ38" i="5"/>
  <c r="BR38" i="5" s="1"/>
  <c r="BF37" i="5"/>
  <c r="BG37" i="5" s="1"/>
  <c r="BK37" i="5" s="1"/>
  <c r="AA38" i="5"/>
  <c r="AB38" i="5" s="1"/>
  <c r="AE38" i="5" s="1"/>
  <c r="AD39" i="5"/>
  <c r="Y39" i="5"/>
  <c r="Z39" i="5" s="1"/>
  <c r="X39" i="5"/>
  <c r="AF38" i="5" s="1"/>
  <c r="AK39" i="5"/>
  <c r="AM39" i="5"/>
  <c r="AN39" i="5"/>
  <c r="BC38" i="5"/>
  <c r="BD38" i="5" s="1"/>
  <c r="AY39" i="5"/>
  <c r="BB39" i="5"/>
  <c r="BA39" i="5"/>
  <c r="BM39" i="5"/>
  <c r="BO39" i="5"/>
  <c r="BP39" i="5"/>
  <c r="AP38" i="5"/>
  <c r="AA33" i="4"/>
  <c r="X34" i="4"/>
  <c r="Y34" i="4" s="1"/>
  <c r="BS33" i="4"/>
  <c r="BC24" i="4"/>
  <c r="E43" i="4" s="1"/>
  <c r="AQ35" i="4"/>
  <c r="BJ34" i="4"/>
  <c r="BR34" i="4" s="1"/>
  <c r="S36" i="4"/>
  <c r="C54" i="4"/>
  <c r="H54" i="4" s="1"/>
  <c r="BG35" i="4"/>
  <c r="H54" i="5" l="1"/>
  <c r="Q54" i="5" s="1"/>
  <c r="W36" i="4"/>
  <c r="AP35" i="4" s="1"/>
  <c r="AS35" i="4" s="1"/>
  <c r="Z35" i="4"/>
  <c r="BK36" i="4"/>
  <c r="BE37" i="4" s="1"/>
  <c r="AB36" i="4"/>
  <c r="V37" i="4" s="1"/>
  <c r="U36" i="4"/>
  <c r="I55" i="4" s="1"/>
  <c r="T36" i="4"/>
  <c r="BI36" i="4" s="1"/>
  <c r="AC36" i="4"/>
  <c r="BH36" i="4"/>
  <c r="BF36" i="4"/>
  <c r="BL35" i="4" s="1"/>
  <c r="BM35" i="4" s="1"/>
  <c r="BI40" i="5"/>
  <c r="BW40" i="5"/>
  <c r="BY37" i="5"/>
  <c r="G53" i="5" s="1"/>
  <c r="P53" i="5" s="1"/>
  <c r="F53" i="5"/>
  <c r="O53" i="5" s="1"/>
  <c r="AG40" i="5"/>
  <c r="AU40" i="5"/>
  <c r="AW37" i="5"/>
  <c r="E53" i="5" s="1"/>
  <c r="N53" i="5" s="1"/>
  <c r="AV37" i="5"/>
  <c r="AH37" i="5"/>
  <c r="AI37" i="5"/>
  <c r="D53" i="5" s="1"/>
  <c r="M53" i="5" s="1"/>
  <c r="AL39" i="5"/>
  <c r="AT38" i="5" s="1"/>
  <c r="L55" i="5"/>
  <c r="BT31" i="4"/>
  <c r="G50" i="4" s="1"/>
  <c r="BP32" i="4"/>
  <c r="BQ32" i="4" s="1"/>
  <c r="F51" i="4" s="1"/>
  <c r="BS34" i="4"/>
  <c r="AZ39" i="5"/>
  <c r="BH38" i="5" s="1"/>
  <c r="BJ38" i="5" s="1"/>
  <c r="BN39" i="5"/>
  <c r="BV38" i="5" s="1"/>
  <c r="BX38" i="5" s="1"/>
  <c r="BF38" i="5"/>
  <c r="BG38" i="5" s="1"/>
  <c r="C56" i="5"/>
  <c r="BS40" i="5"/>
  <c r="T41" i="5"/>
  <c r="BE40" i="5"/>
  <c r="U40" i="5"/>
  <c r="AA40" i="5" s="1"/>
  <c r="AQ40" i="5"/>
  <c r="AC40" i="5"/>
  <c r="W41" i="5" s="1"/>
  <c r="V40" i="5"/>
  <c r="I56" i="5" s="1"/>
  <c r="R56" i="5" s="1"/>
  <c r="X40" i="5"/>
  <c r="AF39" i="5" s="1"/>
  <c r="AD40" i="5"/>
  <c r="Y40" i="5"/>
  <c r="Z40" i="5" s="1"/>
  <c r="AO39" i="5"/>
  <c r="AP39" i="5" s="1"/>
  <c r="AN40" i="5"/>
  <c r="AK40" i="5"/>
  <c r="AM40" i="5"/>
  <c r="BQ39" i="5"/>
  <c r="BR39" i="5" s="1"/>
  <c r="AR38" i="5"/>
  <c r="AS38" i="5" s="1"/>
  <c r="BB40" i="5"/>
  <c r="BA40" i="5"/>
  <c r="AY40" i="5"/>
  <c r="AA39" i="5"/>
  <c r="AB39" i="5" s="1"/>
  <c r="AE39" i="5" s="1"/>
  <c r="BD39" i="5"/>
  <c r="BT38" i="5"/>
  <c r="BU38" i="5" s="1"/>
  <c r="BY38" i="5" s="1"/>
  <c r="BP40" i="5"/>
  <c r="BM40" i="5"/>
  <c r="BO40" i="5"/>
  <c r="X35" i="4"/>
  <c r="Y35" i="4" s="1"/>
  <c r="AA34" i="4"/>
  <c r="BN34" i="4"/>
  <c r="BO34" i="4" s="1"/>
  <c r="AQ36" i="4"/>
  <c r="AU24" i="4"/>
  <c r="AV24" i="4" s="1"/>
  <c r="AW25" i="4" s="1"/>
  <c r="AX25" i="4" s="1"/>
  <c r="BJ35" i="4"/>
  <c r="BR35" i="4" s="1"/>
  <c r="BG36" i="4"/>
  <c r="S37" i="4"/>
  <c r="C55" i="4"/>
  <c r="H55" i="4" s="1"/>
  <c r="H55" i="5" l="1"/>
  <c r="Q55" i="5" s="1"/>
  <c r="W37" i="4"/>
  <c r="AP36" i="4" s="1"/>
  <c r="AS36" i="4" s="1"/>
  <c r="BH37" i="4"/>
  <c r="Z36" i="4"/>
  <c r="AB37" i="4"/>
  <c r="V38" i="4" s="1"/>
  <c r="BK37" i="4"/>
  <c r="BE38" i="4" s="1"/>
  <c r="T37" i="4"/>
  <c r="BI37" i="4" s="1"/>
  <c r="U37" i="4"/>
  <c r="I56" i="4" s="1"/>
  <c r="AC37" i="4"/>
  <c r="BF37" i="4"/>
  <c r="BL36" i="4" s="1"/>
  <c r="BM36" i="4" s="1"/>
  <c r="BI41" i="5"/>
  <c r="BW41" i="5"/>
  <c r="G54" i="5"/>
  <c r="P54" i="5" s="1"/>
  <c r="BK38" i="5"/>
  <c r="F54" i="5" s="1"/>
  <c r="O54" i="5" s="1"/>
  <c r="AW38" i="5"/>
  <c r="E54" i="5" s="1"/>
  <c r="N54" i="5" s="1"/>
  <c r="AV38" i="5"/>
  <c r="AG41" i="5"/>
  <c r="AU41" i="5"/>
  <c r="AH38" i="5"/>
  <c r="AI38" i="5"/>
  <c r="D54" i="5" s="1"/>
  <c r="M54" i="5" s="1"/>
  <c r="AL40" i="5"/>
  <c r="AT39" i="5" s="1"/>
  <c r="L56" i="5"/>
  <c r="BP33" i="4"/>
  <c r="BQ33" i="4" s="1"/>
  <c r="F52" i="4" s="1"/>
  <c r="BT32" i="4"/>
  <c r="G51" i="4" s="1"/>
  <c r="BB25" i="4"/>
  <c r="AY25" i="4"/>
  <c r="BN35" i="4"/>
  <c r="BO35" i="4" s="1"/>
  <c r="AZ40" i="5"/>
  <c r="BH39" i="5" s="1"/>
  <c r="BJ39" i="5" s="1"/>
  <c r="BN40" i="5"/>
  <c r="BV39" i="5" s="1"/>
  <c r="BX39" i="5" s="1"/>
  <c r="BC40" i="5"/>
  <c r="BD40" i="5" s="1"/>
  <c r="AR39" i="5"/>
  <c r="AS39" i="5" s="1"/>
  <c r="Y41" i="5"/>
  <c r="Z41" i="5" s="1"/>
  <c r="AD41" i="5"/>
  <c r="X41" i="5"/>
  <c r="AF40" i="5" s="1"/>
  <c r="BT39" i="5"/>
  <c r="BU39" i="5" s="1"/>
  <c r="BY39" i="5" s="1"/>
  <c r="BF39" i="5"/>
  <c r="BG39" i="5" s="1"/>
  <c r="BK39" i="5" s="1"/>
  <c r="AB40" i="5"/>
  <c r="AE40" i="5" s="1"/>
  <c r="AM41" i="5"/>
  <c r="AN41" i="5"/>
  <c r="AK41" i="5"/>
  <c r="BQ40" i="5"/>
  <c r="BR40" i="5" s="1"/>
  <c r="AO40" i="5"/>
  <c r="AP40" i="5" s="1"/>
  <c r="BA41" i="5"/>
  <c r="AY41" i="5"/>
  <c r="BB41" i="5"/>
  <c r="BO41" i="5"/>
  <c r="BP41" i="5"/>
  <c r="BM41" i="5"/>
  <c r="C57" i="5"/>
  <c r="BS41" i="5"/>
  <c r="AQ41" i="5"/>
  <c r="T42" i="5"/>
  <c r="BE41" i="5"/>
  <c r="AC41" i="5"/>
  <c r="W42" i="5" s="1"/>
  <c r="U41" i="5"/>
  <c r="BQ41" i="5" s="1"/>
  <c r="V41" i="5"/>
  <c r="I57" i="5" s="1"/>
  <c r="R57" i="5" s="1"/>
  <c r="AA35" i="4"/>
  <c r="X36" i="4"/>
  <c r="Y36" i="4" s="1"/>
  <c r="BS35" i="4"/>
  <c r="AQ37" i="4"/>
  <c r="AR25" i="4"/>
  <c r="AT25" i="4" s="1"/>
  <c r="BJ36" i="4"/>
  <c r="BR36" i="4" s="1"/>
  <c r="BG37" i="4"/>
  <c r="S38" i="4"/>
  <c r="C56" i="4"/>
  <c r="H56" i="4" s="1"/>
  <c r="H56" i="5" l="1"/>
  <c r="Q56" i="5" s="1"/>
  <c r="W38" i="4"/>
  <c r="AP37" i="4" s="1"/>
  <c r="AS37" i="4" s="1"/>
  <c r="Z37" i="4"/>
  <c r="AB38" i="4"/>
  <c r="V39" i="4" s="1"/>
  <c r="BK38" i="4"/>
  <c r="BE39" i="4" s="1"/>
  <c r="U38" i="4"/>
  <c r="I57" i="4" s="1"/>
  <c r="T38" i="4"/>
  <c r="BI38" i="4" s="1"/>
  <c r="AC38" i="4"/>
  <c r="BF38" i="4"/>
  <c r="BH38" i="4"/>
  <c r="BI42" i="5"/>
  <c r="BW42" i="5"/>
  <c r="G55" i="5"/>
  <c r="P55" i="5" s="1"/>
  <c r="F55" i="5"/>
  <c r="O55" i="5" s="1"/>
  <c r="AV39" i="5"/>
  <c r="AW39" i="5"/>
  <c r="E55" i="5" s="1"/>
  <c r="N55" i="5" s="1"/>
  <c r="AG42" i="5"/>
  <c r="AU42" i="5"/>
  <c r="AH39" i="5"/>
  <c r="AI39" i="5"/>
  <c r="D55" i="5" s="1"/>
  <c r="M55" i="5" s="1"/>
  <c r="AL41" i="5"/>
  <c r="AT40" i="5" s="1"/>
  <c r="L57" i="5"/>
  <c r="BT33" i="4"/>
  <c r="G52" i="4" s="1"/>
  <c r="BP34" i="4"/>
  <c r="BT34" i="4" s="1"/>
  <c r="G53" i="4" s="1"/>
  <c r="BS36" i="4"/>
  <c r="AZ41" i="5"/>
  <c r="BH40" i="5" s="1"/>
  <c r="BJ40" i="5" s="1"/>
  <c r="BN41" i="5"/>
  <c r="BV40" i="5" s="1"/>
  <c r="BX40" i="5" s="1"/>
  <c r="BF40" i="5"/>
  <c r="BG40" i="5" s="1"/>
  <c r="AO41" i="5"/>
  <c r="AP41" i="5" s="1"/>
  <c r="AA41" i="5"/>
  <c r="AB41" i="5" s="1"/>
  <c r="AE41" i="5" s="1"/>
  <c r="BT40" i="5"/>
  <c r="BU40" i="5" s="1"/>
  <c r="BP42" i="5"/>
  <c r="BO42" i="5"/>
  <c r="BM42" i="5"/>
  <c r="X42" i="5"/>
  <c r="AF41" i="5" s="1"/>
  <c r="Y42" i="5"/>
  <c r="Z42" i="5" s="1"/>
  <c r="AD42" i="5"/>
  <c r="BC41" i="5"/>
  <c r="BD41" i="5" s="1"/>
  <c r="BB42" i="5"/>
  <c r="BA42" i="5"/>
  <c r="AY42" i="5"/>
  <c r="BR41" i="5"/>
  <c r="BS42" i="5"/>
  <c r="T43" i="5"/>
  <c r="BE42" i="5"/>
  <c r="U42" i="5"/>
  <c r="AO42" i="5" s="1"/>
  <c r="AQ42" i="5"/>
  <c r="AC42" i="5"/>
  <c r="W43" i="5" s="1"/>
  <c r="C58" i="5"/>
  <c r="V42" i="5"/>
  <c r="I58" i="5" s="1"/>
  <c r="R58" i="5" s="1"/>
  <c r="AR40" i="5"/>
  <c r="AS40" i="5" s="1"/>
  <c r="AK42" i="5"/>
  <c r="AN42" i="5"/>
  <c r="AM42" i="5"/>
  <c r="X37" i="4"/>
  <c r="Y37" i="4" s="1"/>
  <c r="AA36" i="4"/>
  <c r="BN36" i="4"/>
  <c r="BO36" i="4" s="1"/>
  <c r="AZ25" i="4"/>
  <c r="D44" i="4" s="1"/>
  <c r="BC25" i="4"/>
  <c r="E44" i="4" s="1"/>
  <c r="AQ38" i="4"/>
  <c r="BJ37" i="4"/>
  <c r="BR37" i="4" s="1"/>
  <c r="S39" i="4"/>
  <c r="C57" i="4"/>
  <c r="H57" i="4" s="1"/>
  <c r="BG38" i="4"/>
  <c r="H57" i="5" l="1"/>
  <c r="Q57" i="5" s="1"/>
  <c r="BF39" i="4"/>
  <c r="BL38" i="4" s="1"/>
  <c r="W39" i="4"/>
  <c r="AP38" i="4" s="1"/>
  <c r="AS38" i="4" s="1"/>
  <c r="BL37" i="4"/>
  <c r="BM37" i="4" s="1"/>
  <c r="Z38" i="4"/>
  <c r="AB39" i="4"/>
  <c r="V40" i="4" s="1"/>
  <c r="BK39" i="4"/>
  <c r="BE40" i="4" s="1"/>
  <c r="T39" i="4"/>
  <c r="BI39" i="4" s="1"/>
  <c r="U39" i="4"/>
  <c r="I58" i="4" s="1"/>
  <c r="AC39" i="4"/>
  <c r="BH39" i="4"/>
  <c r="BI43" i="5"/>
  <c r="BW43" i="5"/>
  <c r="BY40" i="5"/>
  <c r="G56" i="5" s="1"/>
  <c r="P56" i="5" s="1"/>
  <c r="BK40" i="5"/>
  <c r="F56" i="5" s="1"/>
  <c r="O56" i="5" s="1"/>
  <c r="AV40" i="5"/>
  <c r="AW40" i="5"/>
  <c r="E56" i="5" s="1"/>
  <c r="N56" i="5" s="1"/>
  <c r="AG43" i="5"/>
  <c r="AU43" i="5"/>
  <c r="AH40" i="5"/>
  <c r="AI40" i="5"/>
  <c r="D56" i="5" s="1"/>
  <c r="M56" i="5" s="1"/>
  <c r="AL42" i="5"/>
  <c r="AT41" i="5" s="1"/>
  <c r="L58" i="5"/>
  <c r="BP35" i="4"/>
  <c r="BQ35" i="4" s="1"/>
  <c r="F54" i="4" s="1"/>
  <c r="BQ34" i="4"/>
  <c r="F53" i="4" s="1"/>
  <c r="BS37" i="4"/>
  <c r="AZ42" i="5"/>
  <c r="BH41" i="5" s="1"/>
  <c r="BJ41" i="5" s="1"/>
  <c r="BN42" i="5"/>
  <c r="BV41" i="5" s="1"/>
  <c r="BX41" i="5" s="1"/>
  <c r="BC42" i="5"/>
  <c r="BD42" i="5" s="1"/>
  <c r="BB43" i="5" s="1"/>
  <c r="AA42" i="5"/>
  <c r="AB42" i="5" s="1"/>
  <c r="AE42" i="5" s="1"/>
  <c r="BQ42" i="5"/>
  <c r="BR42" i="5" s="1"/>
  <c r="BF41" i="5"/>
  <c r="BG41" i="5" s="1"/>
  <c r="BK41" i="5" s="1"/>
  <c r="AY43" i="5"/>
  <c r="BA43" i="5"/>
  <c r="AD43" i="5"/>
  <c r="X43" i="5"/>
  <c r="Y43" i="5"/>
  <c r="Z43" i="5" s="1"/>
  <c r="AR41" i="5"/>
  <c r="AS41" i="5" s="1"/>
  <c r="C59" i="5"/>
  <c r="BS43" i="5"/>
  <c r="BE43" i="5"/>
  <c r="U43" i="5"/>
  <c r="AO43" i="5" s="1"/>
  <c r="AQ43" i="5"/>
  <c r="T44" i="5"/>
  <c r="AC43" i="5"/>
  <c r="W44" i="5" s="1"/>
  <c r="V43" i="5"/>
  <c r="I59" i="5" s="1"/>
  <c r="R59" i="5" s="1"/>
  <c r="AP42" i="5"/>
  <c r="AK43" i="5"/>
  <c r="AM43" i="5"/>
  <c r="BM43" i="5"/>
  <c r="BO43" i="5"/>
  <c r="BT41" i="5"/>
  <c r="BU41" i="5" s="1"/>
  <c r="BY41" i="5" s="1"/>
  <c r="AA37" i="4"/>
  <c r="X38" i="4"/>
  <c r="Y38" i="4" s="1"/>
  <c r="BN37" i="4"/>
  <c r="BO37" i="4" s="1"/>
  <c r="AU25" i="4"/>
  <c r="AV25" i="4" s="1"/>
  <c r="AW26" i="4" s="1"/>
  <c r="AX26" i="4" s="1"/>
  <c r="BJ38" i="4"/>
  <c r="BR38" i="4" s="1"/>
  <c r="BG39" i="4"/>
  <c r="S40" i="4"/>
  <c r="C58" i="4"/>
  <c r="H58" i="4" s="1"/>
  <c r="L59" i="5" l="1"/>
  <c r="H58" i="5"/>
  <c r="Q58" i="5" s="1"/>
  <c r="W40" i="4"/>
  <c r="BM38" i="4"/>
  <c r="Z39" i="4"/>
  <c r="AB40" i="4"/>
  <c r="V41" i="4" s="1"/>
  <c r="BK40" i="4"/>
  <c r="BE41" i="4" s="1"/>
  <c r="T40" i="4"/>
  <c r="Z40" i="4" s="1"/>
  <c r="U40" i="4"/>
  <c r="I59" i="4" s="1"/>
  <c r="AC40" i="4"/>
  <c r="BF40" i="4"/>
  <c r="BI44" i="5"/>
  <c r="BW44" i="5"/>
  <c r="G57" i="5"/>
  <c r="P57" i="5" s="1"/>
  <c r="F57" i="5"/>
  <c r="O57" i="5" s="1"/>
  <c r="AW41" i="5"/>
  <c r="E57" i="5" s="1"/>
  <c r="N57" i="5" s="1"/>
  <c r="AV41" i="5"/>
  <c r="AG44" i="5"/>
  <c r="AU44" i="5"/>
  <c r="AH41" i="5"/>
  <c r="AI41" i="5"/>
  <c r="D57" i="5" s="1"/>
  <c r="M57" i="5" s="1"/>
  <c r="AL43" i="5"/>
  <c r="AT42" i="5" s="1"/>
  <c r="BT35" i="4"/>
  <c r="G54" i="4" s="1"/>
  <c r="BP36" i="4"/>
  <c r="BT36" i="4" s="1"/>
  <c r="G55" i="4" s="1"/>
  <c r="BB26" i="4"/>
  <c r="AY26" i="4"/>
  <c r="AZ26" i="4" s="1"/>
  <c r="D45" i="4" s="1"/>
  <c r="BS38" i="4"/>
  <c r="AZ43" i="5"/>
  <c r="BH42" i="5" s="1"/>
  <c r="BJ42" i="5" s="1"/>
  <c r="BN43" i="5"/>
  <c r="BV42" i="5" s="1"/>
  <c r="BX42" i="5" s="1"/>
  <c r="AF42" i="5"/>
  <c r="BQ43" i="5"/>
  <c r="BP43" i="5"/>
  <c r="BP44" i="5" s="1"/>
  <c r="BT42" i="5"/>
  <c r="BU42" i="5" s="1"/>
  <c r="AR42" i="5"/>
  <c r="AS42" i="5" s="1"/>
  <c r="AY44" i="5"/>
  <c r="BB44" i="5"/>
  <c r="BA44" i="5"/>
  <c r="AD44" i="5"/>
  <c r="X44" i="5"/>
  <c r="AF43" i="5" s="1"/>
  <c r="Y44" i="5"/>
  <c r="Z44" i="5" s="1"/>
  <c r="C60" i="5"/>
  <c r="T45" i="5"/>
  <c r="U44" i="5"/>
  <c r="BC44" i="5" s="1"/>
  <c r="AC44" i="5"/>
  <c r="W45" i="5" s="1"/>
  <c r="BS44" i="5"/>
  <c r="BE44" i="5"/>
  <c r="AQ44" i="5"/>
  <c r="V44" i="5"/>
  <c r="I60" i="5" s="1"/>
  <c r="R60" i="5" s="1"/>
  <c r="AA43" i="5"/>
  <c r="AB43" i="5" s="1"/>
  <c r="AE43" i="5" s="1"/>
  <c r="BF42" i="5"/>
  <c r="BG42" i="5" s="1"/>
  <c r="BO44" i="5"/>
  <c r="BM44" i="5"/>
  <c r="AN43" i="5"/>
  <c r="AP43" i="5" s="1"/>
  <c r="AK44" i="5"/>
  <c r="AM44" i="5"/>
  <c r="BC43" i="5"/>
  <c r="BD43" i="5" s="1"/>
  <c r="AA38" i="4"/>
  <c r="X39" i="4"/>
  <c r="Y39" i="4" s="1"/>
  <c r="BN38" i="4"/>
  <c r="BO38" i="4" s="1"/>
  <c r="AQ40" i="4"/>
  <c r="AR26" i="4"/>
  <c r="AT26" i="4" s="1"/>
  <c r="BJ39" i="4"/>
  <c r="BR39" i="4" s="1"/>
  <c r="BG40" i="4"/>
  <c r="S41" i="4"/>
  <c r="C59" i="4"/>
  <c r="B58" i="4" s="1"/>
  <c r="H59" i="5" l="1"/>
  <c r="Q59" i="5" s="1"/>
  <c r="H59" i="4"/>
  <c r="BF41" i="4"/>
  <c r="BL39" i="4"/>
  <c r="BM39" i="4" s="1"/>
  <c r="BI40" i="4"/>
  <c r="AM40" i="4"/>
  <c r="AB41" i="4"/>
  <c r="BK41" i="4"/>
  <c r="BE42" i="4" s="1"/>
  <c r="T41" i="4"/>
  <c r="AM41" i="4" s="1"/>
  <c r="U41" i="4"/>
  <c r="I60" i="4" s="1"/>
  <c r="AC41" i="4"/>
  <c r="W41" i="4"/>
  <c r="AP40" i="4" s="1"/>
  <c r="AS40" i="4" s="1"/>
  <c r="AL44" i="5"/>
  <c r="AT43" i="5" s="1"/>
  <c r="BI45" i="5"/>
  <c r="BW45" i="5"/>
  <c r="BY42" i="5"/>
  <c r="G58" i="5" s="1"/>
  <c r="P58" i="5" s="1"/>
  <c r="BK42" i="5"/>
  <c r="F58" i="5" s="1"/>
  <c r="O58" i="5" s="1"/>
  <c r="AW42" i="5"/>
  <c r="E58" i="5" s="1"/>
  <c r="N58" i="5" s="1"/>
  <c r="AV42" i="5"/>
  <c r="AG45" i="5"/>
  <c r="AU45" i="5"/>
  <c r="AH42" i="5"/>
  <c r="AI42" i="5"/>
  <c r="D58" i="5" s="1"/>
  <c r="M58" i="5" s="1"/>
  <c r="L60" i="5"/>
  <c r="BP37" i="4"/>
  <c r="BT37" i="4" s="1"/>
  <c r="G56" i="4" s="1"/>
  <c r="BQ36" i="4"/>
  <c r="F55" i="4" s="1"/>
  <c r="BH40" i="4"/>
  <c r="BH41" i="4" s="1"/>
  <c r="BS39" i="4"/>
  <c r="AZ44" i="5"/>
  <c r="BH43" i="5" s="1"/>
  <c r="BJ43" i="5" s="1"/>
  <c r="BN44" i="5"/>
  <c r="BV43" i="5" s="1"/>
  <c r="BX43" i="5" s="1"/>
  <c r="BR43" i="5"/>
  <c r="BT43" i="5" s="1"/>
  <c r="BU43" i="5" s="1"/>
  <c r="BY43" i="5" s="1"/>
  <c r="BF43" i="5"/>
  <c r="BG43" i="5" s="1"/>
  <c r="AR43" i="5"/>
  <c r="AS43" i="5" s="1"/>
  <c r="AM45" i="5"/>
  <c r="AK45" i="5"/>
  <c r="BD44" i="5"/>
  <c r="BP45" i="5"/>
  <c r="BO45" i="5"/>
  <c r="BM45" i="5"/>
  <c r="Y45" i="5"/>
  <c r="Z45" i="5" s="1"/>
  <c r="X45" i="5"/>
  <c r="AF44" i="5" s="1"/>
  <c r="AD45" i="5"/>
  <c r="AA44" i="5"/>
  <c r="AB44" i="5" s="1"/>
  <c r="AE44" i="5" s="1"/>
  <c r="AO44" i="5"/>
  <c r="BA45" i="5"/>
  <c r="AY45" i="5"/>
  <c r="BB45" i="5"/>
  <c r="BQ44" i="5"/>
  <c r="BR44" i="5" s="1"/>
  <c r="AN44" i="5"/>
  <c r="C61" i="5"/>
  <c r="T46" i="5"/>
  <c r="BE45" i="5"/>
  <c r="AC45" i="5"/>
  <c r="W46" i="5" s="1"/>
  <c r="U45" i="5"/>
  <c r="BQ45" i="5" s="1"/>
  <c r="BS45" i="5"/>
  <c r="AQ45" i="5"/>
  <c r="V45" i="5"/>
  <c r="I61" i="5" s="1"/>
  <c r="R61" i="5" s="1"/>
  <c r="X40" i="4"/>
  <c r="Y40" i="4" s="1"/>
  <c r="AA39" i="4"/>
  <c r="AP39" i="4" s="1"/>
  <c r="BN39" i="4"/>
  <c r="BO39" i="4" s="1"/>
  <c r="BC26" i="4"/>
  <c r="E45" i="4" s="1"/>
  <c r="AQ41" i="4"/>
  <c r="AU26" i="4"/>
  <c r="AV26" i="4" s="1"/>
  <c r="AW27" i="4" s="1"/>
  <c r="AX27" i="4" s="1"/>
  <c r="S42" i="4"/>
  <c r="C60" i="4"/>
  <c r="BG41" i="4"/>
  <c r="BL40" i="4"/>
  <c r="H60" i="5" l="1"/>
  <c r="Q60" i="5" s="1"/>
  <c r="H60" i="4"/>
  <c r="BM40" i="4"/>
  <c r="BH42" i="4"/>
  <c r="Z41" i="4"/>
  <c r="AB42" i="4"/>
  <c r="BK42" i="4"/>
  <c r="BE43" i="4" s="1"/>
  <c r="T42" i="4"/>
  <c r="Z42" i="4" s="1"/>
  <c r="U42" i="4"/>
  <c r="I61" i="4" s="1"/>
  <c r="V42" i="4"/>
  <c r="AC42" i="4" s="1"/>
  <c r="W42" i="4"/>
  <c r="AP41" i="4" s="1"/>
  <c r="AS41" i="4" s="1"/>
  <c r="BF42" i="4"/>
  <c r="BL41" i="4" s="1"/>
  <c r="BI41" i="4"/>
  <c r="AL45" i="5"/>
  <c r="AT44" i="5" s="1"/>
  <c r="BI46" i="5"/>
  <c r="BW46" i="5"/>
  <c r="G59" i="5"/>
  <c r="P59" i="5" s="1"/>
  <c r="BK43" i="5"/>
  <c r="F59" i="5" s="1"/>
  <c r="O59" i="5" s="1"/>
  <c r="AV43" i="5"/>
  <c r="AW43" i="5"/>
  <c r="E59" i="5" s="1"/>
  <c r="N59" i="5" s="1"/>
  <c r="AG46" i="5"/>
  <c r="AU46" i="5"/>
  <c r="AH43" i="5"/>
  <c r="AI43" i="5"/>
  <c r="D59" i="5" s="1"/>
  <c r="M59" i="5" s="1"/>
  <c r="L61" i="5"/>
  <c r="BP38" i="4"/>
  <c r="BT38" i="4" s="1"/>
  <c r="G57" i="4" s="1"/>
  <c r="BQ37" i="4"/>
  <c r="F56" i="4" s="1"/>
  <c r="BB27" i="4"/>
  <c r="AZ45" i="5"/>
  <c r="BH44" i="5" s="1"/>
  <c r="BJ44" i="5" s="1"/>
  <c r="BN45" i="5"/>
  <c r="BV44" i="5" s="1"/>
  <c r="BX44" i="5" s="1"/>
  <c r="X41" i="4"/>
  <c r="Y41" i="4" s="1"/>
  <c r="AA40" i="4"/>
  <c r="BC45" i="5"/>
  <c r="BD45" i="5" s="1"/>
  <c r="BF45" i="5" s="1"/>
  <c r="BG45" i="5" s="1"/>
  <c r="AO45" i="5"/>
  <c r="BT44" i="5"/>
  <c r="BU44" i="5" s="1"/>
  <c r="BO46" i="5"/>
  <c r="BM46" i="5"/>
  <c r="BP46" i="5"/>
  <c r="AP44" i="5"/>
  <c r="AA45" i="5"/>
  <c r="AB45" i="5" s="1"/>
  <c r="AE45" i="5" s="1"/>
  <c r="X46" i="5"/>
  <c r="AF45" i="5" s="1"/>
  <c r="AD46" i="5"/>
  <c r="Y46" i="5"/>
  <c r="Z46" i="5" s="1"/>
  <c r="BR45" i="5"/>
  <c r="AN45" i="5"/>
  <c r="AM46" i="5"/>
  <c r="AK46" i="5"/>
  <c r="BB46" i="5"/>
  <c r="BA46" i="5"/>
  <c r="AY46" i="5"/>
  <c r="BE46" i="5"/>
  <c r="AC46" i="5"/>
  <c r="W47" i="5" s="1"/>
  <c r="U46" i="5"/>
  <c r="BC46" i="5" s="1"/>
  <c r="C62" i="5"/>
  <c r="T47" i="5"/>
  <c r="BS46" i="5"/>
  <c r="AQ46" i="5"/>
  <c r="V46" i="5"/>
  <c r="I62" i="5" s="1"/>
  <c r="R62" i="5" s="1"/>
  <c r="BF44" i="5"/>
  <c r="BG44" i="5" s="1"/>
  <c r="BK44" i="5" s="1"/>
  <c r="AQ42" i="4"/>
  <c r="AR27" i="4"/>
  <c r="BJ40" i="4"/>
  <c r="BR40" i="4" s="1"/>
  <c r="S43" i="4"/>
  <c r="C61" i="4"/>
  <c r="BG42" i="4"/>
  <c r="H61" i="4" l="1"/>
  <c r="H61" i="5"/>
  <c r="Q61" i="5" s="1"/>
  <c r="BF43" i="4"/>
  <c r="BL42" i="4" s="1"/>
  <c r="BM41" i="4"/>
  <c r="AL46" i="5"/>
  <c r="AT45" i="5" s="1"/>
  <c r="BI42" i="4"/>
  <c r="AM42" i="4"/>
  <c r="AB43" i="4"/>
  <c r="BK43" i="4"/>
  <c r="BE44" i="4" s="1"/>
  <c r="T43" i="4"/>
  <c r="U43" i="4"/>
  <c r="I62" i="4" s="1"/>
  <c r="BH43" i="4"/>
  <c r="V43" i="4"/>
  <c r="AC43" i="4" s="1"/>
  <c r="W43" i="4"/>
  <c r="AP42" i="4" s="1"/>
  <c r="AS42" i="4" s="1"/>
  <c r="BI47" i="5"/>
  <c r="BW47" i="5"/>
  <c r="BY44" i="5"/>
  <c r="G60" i="5" s="1"/>
  <c r="P60" i="5" s="1"/>
  <c r="BK45" i="5"/>
  <c r="F61" i="5" s="1"/>
  <c r="O61" i="5" s="1"/>
  <c r="F60" i="5"/>
  <c r="O60" i="5" s="1"/>
  <c r="AG47" i="5"/>
  <c r="AU47" i="5"/>
  <c r="AV44" i="5"/>
  <c r="AH44" i="5"/>
  <c r="AI44" i="5"/>
  <c r="D60" i="5" s="1"/>
  <c r="M60" i="5" s="1"/>
  <c r="L62" i="5"/>
  <c r="BQ38" i="4"/>
  <c r="F57" i="4" s="1"/>
  <c r="BP39" i="4"/>
  <c r="BT39" i="4" s="1"/>
  <c r="G58" i="4" s="1"/>
  <c r="AS27" i="4"/>
  <c r="AT27" i="4" s="1"/>
  <c r="AU27" i="4" s="1"/>
  <c r="AV27" i="4" s="1"/>
  <c r="X42" i="4"/>
  <c r="Y42" i="4" s="1"/>
  <c r="AA42" i="4" s="1"/>
  <c r="AA41" i="4"/>
  <c r="AZ46" i="5"/>
  <c r="BH45" i="5" s="1"/>
  <c r="BJ45" i="5" s="1"/>
  <c r="BN46" i="5"/>
  <c r="BV45" i="5" s="1"/>
  <c r="BX45" i="5" s="1"/>
  <c r="AP45" i="5"/>
  <c r="AR45" i="5" s="1"/>
  <c r="AS45" i="5" s="1"/>
  <c r="AR44" i="5"/>
  <c r="AS44" i="5" s="1"/>
  <c r="AW44" i="5" s="1"/>
  <c r="BP47" i="5"/>
  <c r="BO47" i="5"/>
  <c r="BM47" i="5"/>
  <c r="Y47" i="5"/>
  <c r="Z47" i="5" s="1"/>
  <c r="X47" i="5"/>
  <c r="AF46" i="5" s="1"/>
  <c r="AD47" i="5"/>
  <c r="BA47" i="5"/>
  <c r="BB47" i="5"/>
  <c r="AY47" i="5"/>
  <c r="BD46" i="5"/>
  <c r="BT45" i="5"/>
  <c r="BU45" i="5" s="1"/>
  <c r="BQ46" i="5"/>
  <c r="BR46" i="5" s="1"/>
  <c r="AM47" i="5"/>
  <c r="AK47" i="5"/>
  <c r="AA46" i="5"/>
  <c r="AB46" i="5" s="1"/>
  <c r="AE46" i="5" s="1"/>
  <c r="AN46" i="5"/>
  <c r="AO46" i="5"/>
  <c r="BE47" i="5"/>
  <c r="AC47" i="5"/>
  <c r="W48" i="5" s="1"/>
  <c r="U47" i="5"/>
  <c r="BC47" i="5" s="1"/>
  <c r="T48" i="5"/>
  <c r="BS47" i="5"/>
  <c r="AQ47" i="5"/>
  <c r="C63" i="5"/>
  <c r="V47" i="5"/>
  <c r="I63" i="5" s="1"/>
  <c r="R63" i="5" s="1"/>
  <c r="BS40" i="4"/>
  <c r="BN40" i="4"/>
  <c r="BO40" i="4" s="1"/>
  <c r="AY27" i="4"/>
  <c r="AQ43" i="4"/>
  <c r="BJ41" i="4"/>
  <c r="BR41" i="4" s="1"/>
  <c r="C62" i="4"/>
  <c r="H62" i="4" s="1"/>
  <c r="S44" i="4"/>
  <c r="BG43" i="4"/>
  <c r="H62" i="5" l="1"/>
  <c r="Q62" i="5" s="1"/>
  <c r="BM42" i="4"/>
  <c r="AL47" i="5"/>
  <c r="AT46" i="5" s="1"/>
  <c r="BI43" i="4"/>
  <c r="BJ43" i="4" s="1"/>
  <c r="BR43" i="4" s="1"/>
  <c r="AM43" i="4"/>
  <c r="V44" i="4"/>
  <c r="W44" i="4"/>
  <c r="AP43" i="4" s="1"/>
  <c r="AS43" i="4" s="1"/>
  <c r="BF44" i="4"/>
  <c r="BL43" i="4" s="1"/>
  <c r="BH44" i="4"/>
  <c r="BK44" i="4"/>
  <c r="BE45" i="4" s="1"/>
  <c r="AB44" i="4"/>
  <c r="T44" i="4"/>
  <c r="Z44" i="4" s="1"/>
  <c r="U44" i="4"/>
  <c r="I63" i="4" s="1"/>
  <c r="AC44" i="4"/>
  <c r="Z43" i="4"/>
  <c r="BI48" i="5"/>
  <c r="BW48" i="5"/>
  <c r="BY45" i="5"/>
  <c r="G61" i="5" s="1"/>
  <c r="P61" i="5" s="1"/>
  <c r="AV45" i="5"/>
  <c r="AW45" i="5"/>
  <c r="E61" i="5" s="1"/>
  <c r="N61" i="5" s="1"/>
  <c r="AG48" i="5"/>
  <c r="AU48" i="5"/>
  <c r="E60" i="5"/>
  <c r="N60" i="5" s="1"/>
  <c r="AH45" i="5"/>
  <c r="AI45" i="5"/>
  <c r="D61" i="5" s="1"/>
  <c r="M61" i="5" s="1"/>
  <c r="L63" i="5"/>
  <c r="BQ39" i="4"/>
  <c r="F58" i="4" s="1"/>
  <c r="X43" i="4"/>
  <c r="Y43" i="4" s="1"/>
  <c r="BP40" i="4"/>
  <c r="AZ47" i="5"/>
  <c r="BH46" i="5" s="1"/>
  <c r="BJ46" i="5" s="1"/>
  <c r="BN47" i="5"/>
  <c r="BV46" i="5" s="1"/>
  <c r="BX46" i="5" s="1"/>
  <c r="AA47" i="5"/>
  <c r="AB47" i="5" s="1"/>
  <c r="AE47" i="5" s="1"/>
  <c r="BQ47" i="5"/>
  <c r="BR47" i="5" s="1"/>
  <c r="AO47" i="5"/>
  <c r="BT46" i="5"/>
  <c r="BU46" i="5" s="1"/>
  <c r="AM48" i="5"/>
  <c r="AK48" i="5"/>
  <c r="BD47" i="5"/>
  <c r="BP48" i="5"/>
  <c r="BO48" i="5"/>
  <c r="BM48" i="5"/>
  <c r="C64" i="5"/>
  <c r="BE48" i="5"/>
  <c r="AC48" i="5"/>
  <c r="W49" i="5" s="1"/>
  <c r="U48" i="5"/>
  <c r="BC48" i="5" s="1"/>
  <c r="BS48" i="5"/>
  <c r="AQ48" i="5"/>
  <c r="T49" i="5"/>
  <c r="V48" i="5"/>
  <c r="I64" i="5" s="1"/>
  <c r="R64" i="5" s="1"/>
  <c r="Y48" i="5"/>
  <c r="Z48" i="5" s="1"/>
  <c r="X48" i="5"/>
  <c r="AF47" i="5" s="1"/>
  <c r="AD48" i="5"/>
  <c r="BA48" i="5"/>
  <c r="BB48" i="5"/>
  <c r="AY48" i="5"/>
  <c r="AP46" i="5"/>
  <c r="AN47" i="5"/>
  <c r="BF46" i="5"/>
  <c r="BG46" i="5" s="1"/>
  <c r="BS41" i="4"/>
  <c r="BN41" i="4"/>
  <c r="BO41" i="4" s="1"/>
  <c r="BC27" i="4"/>
  <c r="E46" i="4" s="1"/>
  <c r="AZ27" i="4"/>
  <c r="D46" i="4" s="1"/>
  <c r="AQ44" i="4"/>
  <c r="AD28" i="4"/>
  <c r="AR28" i="4"/>
  <c r="BJ42" i="4"/>
  <c r="BR42" i="4" s="1"/>
  <c r="S45" i="4"/>
  <c r="C63" i="4"/>
  <c r="H63" i="4" s="1"/>
  <c r="BG44" i="4"/>
  <c r="BM43" i="4" l="1"/>
  <c r="H63" i="5"/>
  <c r="Q63" i="5" s="1"/>
  <c r="AL48" i="5"/>
  <c r="AT47" i="5" s="1"/>
  <c r="BH45" i="4"/>
  <c r="BF45" i="4"/>
  <c r="BL44" i="4" s="1"/>
  <c r="BK45" i="4"/>
  <c r="BE46" i="4" s="1"/>
  <c r="AB45" i="4"/>
  <c r="T45" i="4"/>
  <c r="AM45" i="4" s="1"/>
  <c r="U45" i="4"/>
  <c r="I64" i="4" s="1"/>
  <c r="BI44" i="4"/>
  <c r="BJ44" i="4" s="1"/>
  <c r="BR44" i="4" s="1"/>
  <c r="AM44" i="4"/>
  <c r="AA43" i="4"/>
  <c r="V45" i="4"/>
  <c r="AC45" i="4" s="1"/>
  <c r="W45" i="4"/>
  <c r="AP44" i="4" s="1"/>
  <c r="AS44" i="4" s="1"/>
  <c r="BI49" i="5"/>
  <c r="BW49" i="5"/>
  <c r="BY46" i="5"/>
  <c r="G62" i="5" s="1"/>
  <c r="P62" i="5" s="1"/>
  <c r="BK46" i="5"/>
  <c r="F62" i="5" s="1"/>
  <c r="O62" i="5" s="1"/>
  <c r="AG49" i="5"/>
  <c r="AU49" i="5"/>
  <c r="AV46" i="5"/>
  <c r="AH46" i="5"/>
  <c r="AI46" i="5"/>
  <c r="D62" i="5" s="1"/>
  <c r="M62" i="5" s="1"/>
  <c r="X44" i="4"/>
  <c r="Y44" i="4" s="1"/>
  <c r="AA44" i="4" s="1"/>
  <c r="L64" i="5"/>
  <c r="AT28" i="4"/>
  <c r="AU28" i="4" s="1"/>
  <c r="AV28" i="4" s="1"/>
  <c r="AR29" i="4" s="1"/>
  <c r="AT29" i="4" s="1"/>
  <c r="AU29" i="4" s="1"/>
  <c r="AV29" i="4" s="1"/>
  <c r="AR30" i="4" s="1"/>
  <c r="AT30" i="4" s="1"/>
  <c r="BQ40" i="4"/>
  <c r="F59" i="4" s="1"/>
  <c r="BT40" i="4"/>
  <c r="G59" i="4" s="1"/>
  <c r="BP41" i="4"/>
  <c r="BN43" i="4"/>
  <c r="BO43" i="4" s="1"/>
  <c r="AZ48" i="5"/>
  <c r="BH47" i="5" s="1"/>
  <c r="BJ47" i="5" s="1"/>
  <c r="BN48" i="5"/>
  <c r="BV47" i="5" s="1"/>
  <c r="BX47" i="5" s="1"/>
  <c r="AP47" i="5"/>
  <c r="AR47" i="5" s="1"/>
  <c r="AS47" i="5" s="1"/>
  <c r="BQ48" i="5"/>
  <c r="BR48" i="5" s="1"/>
  <c r="AA48" i="5"/>
  <c r="AB48" i="5" s="1"/>
  <c r="AE48" i="5" s="1"/>
  <c r="AO48" i="5"/>
  <c r="BT47" i="5"/>
  <c r="BU47" i="5" s="1"/>
  <c r="BP49" i="5"/>
  <c r="BO49" i="5"/>
  <c r="BM49" i="5"/>
  <c r="AM49" i="5"/>
  <c r="AK49" i="5"/>
  <c r="BF47" i="5"/>
  <c r="BG47" i="5" s="1"/>
  <c r="BK47" i="5" s="1"/>
  <c r="BD48" i="5"/>
  <c r="AR46" i="5"/>
  <c r="AS46" i="5" s="1"/>
  <c r="AY49" i="5"/>
  <c r="BB49" i="5"/>
  <c r="BA49" i="5"/>
  <c r="AN48" i="5"/>
  <c r="AD49" i="5"/>
  <c r="Y49" i="5"/>
  <c r="Z49" i="5" s="1"/>
  <c r="X49" i="5"/>
  <c r="AF48" i="5" s="1"/>
  <c r="C65" i="5"/>
  <c r="BE49" i="5"/>
  <c r="AC49" i="5"/>
  <c r="W50" i="5" s="1"/>
  <c r="U49" i="5"/>
  <c r="AO49" i="5" s="1"/>
  <c r="AQ49" i="5"/>
  <c r="T50" i="5"/>
  <c r="BS49" i="5"/>
  <c r="V49" i="5"/>
  <c r="I65" i="5" s="1"/>
  <c r="R65" i="5" s="1"/>
  <c r="BS43" i="4"/>
  <c r="BS42" i="4"/>
  <c r="BN42" i="4"/>
  <c r="BO42" i="4" s="1"/>
  <c r="AQ45" i="4"/>
  <c r="AD29" i="4"/>
  <c r="AH28" i="4"/>
  <c r="AJ28" i="4" s="1"/>
  <c r="AW28" i="4" s="1"/>
  <c r="AX28" i="4" s="1"/>
  <c r="AE40" i="4"/>
  <c r="AO40" i="4" s="1"/>
  <c r="C64" i="4"/>
  <c r="H64" i="4" s="1"/>
  <c r="S46" i="4"/>
  <c r="BG45" i="4"/>
  <c r="BM44" i="4" l="1"/>
  <c r="AL49" i="5"/>
  <c r="AT48" i="5" s="1"/>
  <c r="H64" i="5"/>
  <c r="Q64" i="5" s="1"/>
  <c r="BI45" i="4"/>
  <c r="Z45" i="4"/>
  <c r="V46" i="4"/>
  <c r="AC46" i="4" s="1"/>
  <c r="W46" i="4"/>
  <c r="AP45" i="4" s="1"/>
  <c r="AS45" i="4" s="1"/>
  <c r="BF46" i="4"/>
  <c r="BL45" i="4" s="1"/>
  <c r="AB46" i="4"/>
  <c r="BK46" i="4"/>
  <c r="BE47" i="4" s="1"/>
  <c r="T46" i="4"/>
  <c r="U46" i="4"/>
  <c r="I65" i="4" s="1"/>
  <c r="BH46" i="4"/>
  <c r="BI50" i="5"/>
  <c r="BW50" i="5"/>
  <c r="BY47" i="5"/>
  <c r="G63" i="5" s="1"/>
  <c r="P63" i="5" s="1"/>
  <c r="F63" i="5"/>
  <c r="O63" i="5" s="1"/>
  <c r="AW46" i="5"/>
  <c r="E62" i="5" s="1"/>
  <c r="N62" i="5" s="1"/>
  <c r="AV47" i="5"/>
  <c r="AW47" i="5"/>
  <c r="E63" i="5" s="1"/>
  <c r="N63" i="5" s="1"/>
  <c r="AG50" i="5"/>
  <c r="AU50" i="5"/>
  <c r="AH47" i="5"/>
  <c r="AI47" i="5"/>
  <c r="D63" i="5" s="1"/>
  <c r="M63" i="5" s="1"/>
  <c r="X45" i="4"/>
  <c r="Y45" i="4" s="1"/>
  <c r="L65" i="5"/>
  <c r="BQ41" i="4"/>
  <c r="F60" i="4" s="1"/>
  <c r="BT41" i="4"/>
  <c r="G60" i="4" s="1"/>
  <c r="BP42" i="4"/>
  <c r="AK28" i="4"/>
  <c r="BA28" i="4" s="1"/>
  <c r="BB28" i="4" s="1"/>
  <c r="BS44" i="4"/>
  <c r="AZ49" i="5"/>
  <c r="BH48" i="5" s="1"/>
  <c r="BJ48" i="5" s="1"/>
  <c r="BN49" i="5"/>
  <c r="BV48" i="5" s="1"/>
  <c r="BX48" i="5" s="1"/>
  <c r="AP48" i="5"/>
  <c r="AR48" i="5" s="1"/>
  <c r="AS48" i="5" s="1"/>
  <c r="AA49" i="5"/>
  <c r="AB49" i="5" s="1"/>
  <c r="AE49" i="5" s="1"/>
  <c r="BQ49" i="5"/>
  <c r="BR49" i="5" s="1"/>
  <c r="X50" i="5"/>
  <c r="AF49" i="5" s="1"/>
  <c r="AD50" i="5"/>
  <c r="Y50" i="5"/>
  <c r="Z50" i="5" s="1"/>
  <c r="BP50" i="5"/>
  <c r="BM50" i="5"/>
  <c r="BO50" i="5"/>
  <c r="AY50" i="5"/>
  <c r="BB50" i="5"/>
  <c r="BA50" i="5"/>
  <c r="BC49" i="5"/>
  <c r="BD49" i="5" s="1"/>
  <c r="T51" i="5"/>
  <c r="BE50" i="5"/>
  <c r="U50" i="5"/>
  <c r="BC50" i="5" s="1"/>
  <c r="C66" i="5"/>
  <c r="BS50" i="5"/>
  <c r="AC50" i="5"/>
  <c r="W51" i="5" s="1"/>
  <c r="AQ50" i="5"/>
  <c r="V50" i="5"/>
  <c r="I66" i="5" s="1"/>
  <c r="R66" i="5" s="1"/>
  <c r="AK50" i="5"/>
  <c r="AM50" i="5"/>
  <c r="BT48" i="5"/>
  <c r="BU48" i="5" s="1"/>
  <c r="BY48" i="5" s="1"/>
  <c r="BF48" i="5"/>
  <c r="BG48" i="5" s="1"/>
  <c r="AN49" i="5"/>
  <c r="AP49" i="5" s="1"/>
  <c r="BN44" i="4"/>
  <c r="BO44" i="4" s="1"/>
  <c r="AQ46" i="4"/>
  <c r="AU30" i="4"/>
  <c r="AV30" i="4" s="1"/>
  <c r="AR31" i="4" s="1"/>
  <c r="AT31" i="4" s="1"/>
  <c r="AD30" i="4"/>
  <c r="AE41" i="4"/>
  <c r="AO41" i="4" s="1"/>
  <c r="AH29" i="4"/>
  <c r="AJ29" i="4" s="1"/>
  <c r="AW29" i="4" s="1"/>
  <c r="AX29" i="4" s="1"/>
  <c r="AL40" i="4"/>
  <c r="AN40" i="4" s="1"/>
  <c r="AF52" i="4"/>
  <c r="AG64" i="4" s="1"/>
  <c r="BJ45" i="4"/>
  <c r="BR45" i="4" s="1"/>
  <c r="BG46" i="4"/>
  <c r="S47" i="4"/>
  <c r="C65" i="4"/>
  <c r="H65" i="4" s="1"/>
  <c r="AL50" i="5" l="1"/>
  <c r="AT49" i="5" s="1"/>
  <c r="BM45" i="4"/>
  <c r="H65" i="5"/>
  <c r="Q65" i="5" s="1"/>
  <c r="AA45" i="4"/>
  <c r="V47" i="4"/>
  <c r="AC47" i="4" s="1"/>
  <c r="W47" i="4"/>
  <c r="AP46" i="4" s="1"/>
  <c r="AS46" i="4" s="1"/>
  <c r="AB47" i="4"/>
  <c r="BK47" i="4"/>
  <c r="BE48" i="4" s="1"/>
  <c r="T47" i="4"/>
  <c r="Z47" i="4" s="1"/>
  <c r="U47" i="4"/>
  <c r="I66" i="4" s="1"/>
  <c r="BF47" i="4"/>
  <c r="BL46" i="4" s="1"/>
  <c r="BH47" i="4"/>
  <c r="BI46" i="4"/>
  <c r="BJ46" i="4" s="1"/>
  <c r="BR46" i="4" s="1"/>
  <c r="AM46" i="4"/>
  <c r="Z46" i="4"/>
  <c r="BI51" i="5"/>
  <c r="BW51" i="5"/>
  <c r="G64" i="5"/>
  <c r="P64" i="5" s="1"/>
  <c r="BK48" i="5"/>
  <c r="F64" i="5" s="1"/>
  <c r="O64" i="5" s="1"/>
  <c r="AG51" i="5"/>
  <c r="AU51" i="5"/>
  <c r="AW48" i="5"/>
  <c r="E64" i="5" s="1"/>
  <c r="N64" i="5" s="1"/>
  <c r="AV48" i="5"/>
  <c r="AH48" i="5"/>
  <c r="AI48" i="5"/>
  <c r="D64" i="5" s="1"/>
  <c r="M64" i="5" s="1"/>
  <c r="X46" i="4"/>
  <c r="Y46" i="4" s="1"/>
  <c r="L66" i="5"/>
  <c r="BQ42" i="4"/>
  <c r="F61" i="4" s="1"/>
  <c r="BP43" i="4"/>
  <c r="BQ43" i="4" s="1"/>
  <c r="F62" i="4" s="1"/>
  <c r="BT42" i="4"/>
  <c r="G61" i="4" s="1"/>
  <c r="AK29" i="4"/>
  <c r="BA29" i="4" s="1"/>
  <c r="BB29" i="4" s="1"/>
  <c r="BS45" i="4"/>
  <c r="AZ50" i="5"/>
  <c r="BH49" i="5" s="1"/>
  <c r="BJ49" i="5" s="1"/>
  <c r="BN50" i="5"/>
  <c r="BV49" i="5" s="1"/>
  <c r="BX49" i="5" s="1"/>
  <c r="BF49" i="5"/>
  <c r="BG49" i="5" s="1"/>
  <c r="BK49" i="5" s="1"/>
  <c r="BM51" i="5"/>
  <c r="BO51" i="5"/>
  <c r="BP51" i="5"/>
  <c r="T52" i="5"/>
  <c r="AQ51" i="5"/>
  <c r="BS51" i="5"/>
  <c r="BE51" i="5"/>
  <c r="U51" i="5"/>
  <c r="BQ51" i="5" s="1"/>
  <c r="C67" i="5"/>
  <c r="AC51" i="5"/>
  <c r="W52" i="5" s="1"/>
  <c r="V51" i="5"/>
  <c r="I67" i="5" s="1"/>
  <c r="R67" i="5" s="1"/>
  <c r="AR49" i="5"/>
  <c r="AS49" i="5" s="1"/>
  <c r="AO50" i="5"/>
  <c r="BD50" i="5"/>
  <c r="AN50" i="5"/>
  <c r="BQ50" i="5"/>
  <c r="BR50" i="5" s="1"/>
  <c r="BA51" i="5"/>
  <c r="AY51" i="5"/>
  <c r="BB51" i="5"/>
  <c r="AL51" i="5"/>
  <c r="AT50" i="5" s="1"/>
  <c r="AM51" i="5"/>
  <c r="AK51" i="5"/>
  <c r="AA50" i="5"/>
  <c r="AB50" i="5" s="1"/>
  <c r="AE50" i="5" s="1"/>
  <c r="BT49" i="5"/>
  <c r="BU49" i="5" s="1"/>
  <c r="Y51" i="5"/>
  <c r="Z51" i="5" s="1"/>
  <c r="X51" i="5"/>
  <c r="AF50" i="5" s="1"/>
  <c r="AD51" i="5"/>
  <c r="BN45" i="4"/>
  <c r="BO45" i="4" s="1"/>
  <c r="AY28" i="4"/>
  <c r="AZ28" i="4" s="1"/>
  <c r="D47" i="4" s="1"/>
  <c r="AQ47" i="4"/>
  <c r="AU31" i="4"/>
  <c r="AV31" i="4" s="1"/>
  <c r="AR32" i="4" s="1"/>
  <c r="AT32" i="4" s="1"/>
  <c r="AL41" i="4"/>
  <c r="AN41" i="4" s="1"/>
  <c r="AF53" i="4"/>
  <c r="AG65" i="4" s="1"/>
  <c r="AD31" i="4"/>
  <c r="AH30" i="4"/>
  <c r="AJ30" i="4" s="1"/>
  <c r="AW30" i="4" s="1"/>
  <c r="AX30" i="4" s="1"/>
  <c r="AE42" i="4"/>
  <c r="AO42" i="4" s="1"/>
  <c r="S48" i="4"/>
  <c r="C66" i="4"/>
  <c r="H66" i="4" s="1"/>
  <c r="BG47" i="4"/>
  <c r="BM46" i="4" l="1"/>
  <c r="H66" i="5"/>
  <c r="Q66" i="5" s="1"/>
  <c r="AA46" i="4"/>
  <c r="BI47" i="4"/>
  <c r="BJ47" i="4" s="1"/>
  <c r="BR47" i="4" s="1"/>
  <c r="AM47" i="4"/>
  <c r="V48" i="4"/>
  <c r="W48" i="4"/>
  <c r="AP47" i="4" s="1"/>
  <c r="AS47" i="4" s="1"/>
  <c r="BH48" i="4"/>
  <c r="BF48" i="4"/>
  <c r="AB48" i="4"/>
  <c r="BK48" i="4"/>
  <c r="BE49" i="4" s="1"/>
  <c r="T48" i="4"/>
  <c r="Z48" i="4" s="1"/>
  <c r="U48" i="4"/>
  <c r="I67" i="4" s="1"/>
  <c r="AC48" i="4"/>
  <c r="BI52" i="5"/>
  <c r="BW52" i="5"/>
  <c r="BY49" i="5"/>
  <c r="G65" i="5" s="1"/>
  <c r="P65" i="5" s="1"/>
  <c r="F65" i="5"/>
  <c r="O65" i="5" s="1"/>
  <c r="AG52" i="5"/>
  <c r="AU52" i="5"/>
  <c r="AV49" i="5"/>
  <c r="AW49" i="5"/>
  <c r="E65" i="5" s="1"/>
  <c r="N65" i="5" s="1"/>
  <c r="AH49" i="5"/>
  <c r="AI49" i="5"/>
  <c r="D65" i="5" s="1"/>
  <c r="M65" i="5" s="1"/>
  <c r="X47" i="4"/>
  <c r="Y47" i="4" s="1"/>
  <c r="AA47" i="4" s="1"/>
  <c r="L67" i="5"/>
  <c r="BP44" i="4"/>
  <c r="BT44" i="4" s="1"/>
  <c r="G63" i="4" s="1"/>
  <c r="BT43" i="4"/>
  <c r="G62" i="4" s="1"/>
  <c r="AK30" i="4"/>
  <c r="BA30" i="4" s="1"/>
  <c r="BB30" i="4" s="1"/>
  <c r="BS46" i="4"/>
  <c r="AZ51" i="5"/>
  <c r="BH50" i="5" s="1"/>
  <c r="BJ50" i="5" s="1"/>
  <c r="BN51" i="5"/>
  <c r="BV50" i="5" s="1"/>
  <c r="BX50" i="5" s="1"/>
  <c r="BC51" i="5"/>
  <c r="BD51" i="5" s="1"/>
  <c r="BF51" i="5" s="1"/>
  <c r="BG51" i="5" s="1"/>
  <c r="AP50" i="5"/>
  <c r="AR50" i="5" s="1"/>
  <c r="AS50" i="5" s="1"/>
  <c r="BR51" i="5"/>
  <c r="BT51" i="5" s="1"/>
  <c r="BU51" i="5" s="1"/>
  <c r="AO51" i="5"/>
  <c r="AA51" i="5"/>
  <c r="AB51" i="5" s="1"/>
  <c r="AE51" i="5" s="1"/>
  <c r="BP52" i="5"/>
  <c r="BO52" i="5"/>
  <c r="BM52" i="5"/>
  <c r="Y52" i="5"/>
  <c r="Z52" i="5" s="1"/>
  <c r="X52" i="5"/>
  <c r="AF51" i="5" s="1"/>
  <c r="AD52" i="5"/>
  <c r="AL52" i="5"/>
  <c r="AT51" i="5" s="1"/>
  <c r="AM52" i="5"/>
  <c r="AK52" i="5"/>
  <c r="BF50" i="5"/>
  <c r="BG50" i="5" s="1"/>
  <c r="BT50" i="5"/>
  <c r="BU50" i="5" s="1"/>
  <c r="AN51" i="5"/>
  <c r="C68" i="5"/>
  <c r="T53" i="5"/>
  <c r="U52" i="5"/>
  <c r="BQ52" i="5" s="1"/>
  <c r="AQ52" i="5"/>
  <c r="BE52" i="5"/>
  <c r="AC52" i="5"/>
  <c r="W53" i="5" s="1"/>
  <c r="BS52" i="5"/>
  <c r="V52" i="5"/>
  <c r="I68" i="5" s="1"/>
  <c r="R68" i="5" s="1"/>
  <c r="BB52" i="5"/>
  <c r="BA52" i="5"/>
  <c r="AY52" i="5"/>
  <c r="BN46" i="4"/>
  <c r="BO46" i="4" s="1"/>
  <c r="BC28" i="4"/>
  <c r="E47" i="4" s="1"/>
  <c r="AY29" i="4"/>
  <c r="AZ29" i="4" s="1"/>
  <c r="D48" i="4" s="1"/>
  <c r="AQ48" i="4"/>
  <c r="AU32" i="4"/>
  <c r="AV32" i="4" s="1"/>
  <c r="AR33" i="4" s="1"/>
  <c r="AT33" i="4" s="1"/>
  <c r="AD32" i="4"/>
  <c r="AH31" i="4"/>
  <c r="AJ31" i="4" s="1"/>
  <c r="AW31" i="4" s="1"/>
  <c r="AX31" i="4" s="1"/>
  <c r="AE43" i="4"/>
  <c r="AO43" i="4" s="1"/>
  <c r="AL42" i="4"/>
  <c r="AN42" i="4" s="1"/>
  <c r="AF54" i="4"/>
  <c r="AG66" i="4" s="1"/>
  <c r="BG48" i="4"/>
  <c r="S49" i="4"/>
  <c r="C67" i="4"/>
  <c r="H67" i="4" s="1"/>
  <c r="BQ44" i="4" l="1"/>
  <c r="F63" i="4" s="1"/>
  <c r="H67" i="5"/>
  <c r="Q67" i="5" s="1"/>
  <c r="BF49" i="4"/>
  <c r="BL48" i="4" s="1"/>
  <c r="AB49" i="4"/>
  <c r="BK49" i="4"/>
  <c r="BE50" i="4" s="1"/>
  <c r="T49" i="4"/>
  <c r="BI49" i="4" s="1"/>
  <c r="U49" i="4"/>
  <c r="I68" i="4" s="1"/>
  <c r="BH49" i="4"/>
  <c r="BL47" i="4"/>
  <c r="BM47" i="4" s="1"/>
  <c r="V49" i="4"/>
  <c r="AC49" i="4" s="1"/>
  <c r="W49" i="4"/>
  <c r="AP48" i="4" s="1"/>
  <c r="AS48" i="4" s="1"/>
  <c r="BI48" i="4"/>
  <c r="BJ48" i="4" s="1"/>
  <c r="BR48" i="4" s="1"/>
  <c r="AM48" i="4"/>
  <c r="BI53" i="5"/>
  <c r="BW53" i="5"/>
  <c r="BY51" i="5"/>
  <c r="G67" i="5" s="1"/>
  <c r="P67" i="5" s="1"/>
  <c r="BY50" i="5"/>
  <c r="G66" i="5" s="1"/>
  <c r="P66" i="5" s="1"/>
  <c r="BK51" i="5"/>
  <c r="F67" i="5" s="1"/>
  <c r="O67" i="5" s="1"/>
  <c r="BK50" i="5"/>
  <c r="F66" i="5" s="1"/>
  <c r="O66" i="5" s="1"/>
  <c r="AG53" i="5"/>
  <c r="AU53" i="5"/>
  <c r="AV50" i="5"/>
  <c r="AW50" i="5"/>
  <c r="E66" i="5" s="1"/>
  <c r="N66" i="5" s="1"/>
  <c r="AH50" i="5"/>
  <c r="AI50" i="5"/>
  <c r="D66" i="5" s="1"/>
  <c r="M66" i="5" s="1"/>
  <c r="X48" i="4"/>
  <c r="Y48" i="4" s="1"/>
  <c r="AA48" i="4" s="1"/>
  <c r="L68" i="5"/>
  <c r="BP45" i="4"/>
  <c r="BT45" i="4" s="1"/>
  <c r="G64" i="4" s="1"/>
  <c r="AK31" i="4"/>
  <c r="BA31" i="4" s="1"/>
  <c r="BB31" i="4" s="1"/>
  <c r="AZ52" i="5"/>
  <c r="BH51" i="5" s="1"/>
  <c r="BJ51" i="5" s="1"/>
  <c r="BN52" i="5"/>
  <c r="BV51" i="5" s="1"/>
  <c r="BX51" i="5" s="1"/>
  <c r="AP51" i="5"/>
  <c r="AR51" i="5" s="1"/>
  <c r="AS51" i="5" s="1"/>
  <c r="AO52" i="5"/>
  <c r="BO53" i="5"/>
  <c r="BM53" i="5"/>
  <c r="BP53" i="5"/>
  <c r="BR52" i="5"/>
  <c r="AA52" i="5"/>
  <c r="AB52" i="5" s="1"/>
  <c r="AE52" i="5" s="1"/>
  <c r="AM53" i="5"/>
  <c r="AK53" i="5"/>
  <c r="AL53" i="5"/>
  <c r="AT52" i="5" s="1"/>
  <c r="BC52" i="5"/>
  <c r="BD52" i="5" s="1"/>
  <c r="C69" i="5"/>
  <c r="BE53" i="5"/>
  <c r="AC53" i="5"/>
  <c r="W54" i="5" s="1"/>
  <c r="U53" i="5"/>
  <c r="BQ53" i="5" s="1"/>
  <c r="T54" i="5"/>
  <c r="AQ53" i="5"/>
  <c r="BS53" i="5"/>
  <c r="V53" i="5"/>
  <c r="I69" i="5" s="1"/>
  <c r="R69" i="5" s="1"/>
  <c r="AD53" i="5"/>
  <c r="Y53" i="5"/>
  <c r="Z53" i="5" s="1"/>
  <c r="X53" i="5"/>
  <c r="AF52" i="5" s="1"/>
  <c r="AY53" i="5"/>
  <c r="BB53" i="5"/>
  <c r="BA53" i="5"/>
  <c r="AN52" i="5"/>
  <c r="BS47" i="4"/>
  <c r="BN47" i="4"/>
  <c r="BO47" i="4" s="1"/>
  <c r="BC29" i="4"/>
  <c r="E48" i="4" s="1"/>
  <c r="AY30" i="4"/>
  <c r="AZ30" i="4" s="1"/>
  <c r="D49" i="4" s="1"/>
  <c r="AQ49" i="4"/>
  <c r="AU33" i="4"/>
  <c r="AV33" i="4" s="1"/>
  <c r="AR34" i="4" s="1"/>
  <c r="AT34" i="4" s="1"/>
  <c r="AL43" i="4"/>
  <c r="AN43" i="4" s="1"/>
  <c r="AF55" i="4"/>
  <c r="AG67" i="4" s="1"/>
  <c r="AD33" i="4"/>
  <c r="AE44" i="4"/>
  <c r="AO44" i="4" s="1"/>
  <c r="AH32" i="4"/>
  <c r="AJ32" i="4" s="1"/>
  <c r="AW32" i="4" s="1"/>
  <c r="AX32" i="4" s="1"/>
  <c r="S50" i="4"/>
  <c r="C68" i="4"/>
  <c r="H68" i="4" s="1"/>
  <c r="BG49" i="4"/>
  <c r="H68" i="5" l="1"/>
  <c r="Q68" i="5" s="1"/>
  <c r="X49" i="4"/>
  <c r="Y49" i="4" s="1"/>
  <c r="BM48" i="4"/>
  <c r="Z49" i="4"/>
  <c r="AM49" i="4"/>
  <c r="V50" i="4"/>
  <c r="AC50" i="4" s="1"/>
  <c r="W50" i="4"/>
  <c r="AP49" i="4" s="1"/>
  <c r="AS49" i="4" s="1"/>
  <c r="BF50" i="4"/>
  <c r="BL49" i="4" s="1"/>
  <c r="AB50" i="4"/>
  <c r="BK50" i="4"/>
  <c r="BE51" i="4" s="1"/>
  <c r="T50" i="4"/>
  <c r="Z50" i="4" s="1"/>
  <c r="U50" i="4"/>
  <c r="I69" i="4" s="1"/>
  <c r="BH50" i="4"/>
  <c r="BI54" i="5"/>
  <c r="BW54" i="5"/>
  <c r="AV51" i="5"/>
  <c r="AW51" i="5"/>
  <c r="E67" i="5" s="1"/>
  <c r="N67" i="5" s="1"/>
  <c r="AG54" i="5"/>
  <c r="AU54" i="5"/>
  <c r="AH51" i="5"/>
  <c r="AI51" i="5"/>
  <c r="D67" i="5" s="1"/>
  <c r="M67" i="5" s="1"/>
  <c r="L69" i="5"/>
  <c r="BQ45" i="4"/>
  <c r="F64" i="4" s="1"/>
  <c r="BP46" i="4"/>
  <c r="BT46" i="4" s="1"/>
  <c r="G65" i="4" s="1"/>
  <c r="AK32" i="4"/>
  <c r="BA32" i="4" s="1"/>
  <c r="BB32" i="4" s="1"/>
  <c r="BS48" i="4"/>
  <c r="AZ53" i="5"/>
  <c r="BH52" i="5" s="1"/>
  <c r="BJ52" i="5" s="1"/>
  <c r="BN53" i="5"/>
  <c r="BV52" i="5" s="1"/>
  <c r="BX52" i="5" s="1"/>
  <c r="AP52" i="5"/>
  <c r="AR52" i="5" s="1"/>
  <c r="AS52" i="5" s="1"/>
  <c r="AA53" i="5"/>
  <c r="AB53" i="5" s="1"/>
  <c r="AE53" i="5" s="1"/>
  <c r="BC53" i="5"/>
  <c r="BD53" i="5" s="1"/>
  <c r="AO53" i="5"/>
  <c r="BF52" i="5"/>
  <c r="BG52" i="5" s="1"/>
  <c r="BK52" i="5" s="1"/>
  <c r="BR53" i="5"/>
  <c r="BP54" i="5"/>
  <c r="BM54" i="5"/>
  <c r="BO54" i="5"/>
  <c r="C70" i="5"/>
  <c r="U54" i="5"/>
  <c r="AA54" i="5" s="1"/>
  <c r="T55" i="5"/>
  <c r="BS54" i="5"/>
  <c r="AC54" i="5"/>
  <c r="W55" i="5" s="1"/>
  <c r="BE54" i="5"/>
  <c r="AQ54" i="5"/>
  <c r="V54" i="5"/>
  <c r="I70" i="5" s="1"/>
  <c r="R70" i="5" s="1"/>
  <c r="BT52" i="5"/>
  <c r="BU52" i="5" s="1"/>
  <c r="AY54" i="5"/>
  <c r="BB54" i="5"/>
  <c r="BA54" i="5"/>
  <c r="AL54" i="5"/>
  <c r="AT53" i="5" s="1"/>
  <c r="AM54" i="5"/>
  <c r="AK54" i="5"/>
  <c r="AN53" i="5"/>
  <c r="X54" i="5"/>
  <c r="AF53" i="5" s="1"/>
  <c r="Y54" i="5"/>
  <c r="Z54" i="5" s="1"/>
  <c r="AD54" i="5"/>
  <c r="BN48" i="4"/>
  <c r="BO48" i="4" s="1"/>
  <c r="BC30" i="4"/>
  <c r="E49" i="4" s="1"/>
  <c r="AY31" i="4"/>
  <c r="AZ31" i="4" s="1"/>
  <c r="D50" i="4" s="1"/>
  <c r="AQ50" i="4"/>
  <c r="AU34" i="4"/>
  <c r="AV34" i="4" s="1"/>
  <c r="AR35" i="4" s="1"/>
  <c r="AT35" i="4" s="1"/>
  <c r="AL44" i="4"/>
  <c r="AN44" i="4" s="1"/>
  <c r="AF56" i="4"/>
  <c r="AG68" i="4" s="1"/>
  <c r="AD34" i="4"/>
  <c r="AE45" i="4"/>
  <c r="AO45" i="4" s="1"/>
  <c r="AH33" i="4"/>
  <c r="AJ33" i="4" s="1"/>
  <c r="AW33" i="4" s="1"/>
  <c r="AX33" i="4" s="1"/>
  <c r="BJ49" i="4"/>
  <c r="BR49" i="4" s="1"/>
  <c r="BG50" i="4"/>
  <c r="S51" i="4"/>
  <c r="C69" i="4"/>
  <c r="H69" i="4" s="1"/>
  <c r="BM49" i="4" l="1"/>
  <c r="H69" i="5"/>
  <c r="Q69" i="5" s="1"/>
  <c r="X50" i="4"/>
  <c r="Y50" i="4" s="1"/>
  <c r="AA49" i="4"/>
  <c r="BF51" i="4"/>
  <c r="BH51" i="4"/>
  <c r="AB51" i="4"/>
  <c r="BK51" i="4"/>
  <c r="BE52" i="4" s="1"/>
  <c r="T51" i="4"/>
  <c r="Z51" i="4" s="1"/>
  <c r="U51" i="4"/>
  <c r="I70" i="4" s="1"/>
  <c r="V51" i="4"/>
  <c r="AC51" i="4" s="1"/>
  <c r="W51" i="4"/>
  <c r="AP50" i="4" s="1"/>
  <c r="AS50" i="4" s="1"/>
  <c r="BI50" i="4"/>
  <c r="BJ50" i="4" s="1"/>
  <c r="BR50" i="4" s="1"/>
  <c r="AM50" i="4"/>
  <c r="BI55" i="5"/>
  <c r="BW55" i="5"/>
  <c r="BY52" i="5"/>
  <c r="G68" i="5" s="1"/>
  <c r="P68" i="5" s="1"/>
  <c r="F68" i="5"/>
  <c r="O68" i="5" s="1"/>
  <c r="AG55" i="5"/>
  <c r="AU55" i="5"/>
  <c r="AV52" i="5"/>
  <c r="AW52" i="5"/>
  <c r="E68" i="5" s="1"/>
  <c r="N68" i="5" s="1"/>
  <c r="AH52" i="5"/>
  <c r="AI52" i="5"/>
  <c r="D68" i="5" s="1"/>
  <c r="M68" i="5" s="1"/>
  <c r="L70" i="5"/>
  <c r="BP47" i="4"/>
  <c r="BQ47" i="4" s="1"/>
  <c r="F66" i="4" s="1"/>
  <c r="BQ46" i="4"/>
  <c r="F65" i="4" s="1"/>
  <c r="AK33" i="4"/>
  <c r="BA33" i="4" s="1"/>
  <c r="BB33" i="4" s="1"/>
  <c r="AZ54" i="5"/>
  <c r="BH53" i="5" s="1"/>
  <c r="BJ53" i="5" s="1"/>
  <c r="BN54" i="5"/>
  <c r="BV53" i="5" s="1"/>
  <c r="BX53" i="5" s="1"/>
  <c r="AP53" i="5"/>
  <c r="AR53" i="5" s="1"/>
  <c r="AS53" i="5" s="1"/>
  <c r="BQ54" i="5"/>
  <c r="BR54" i="5" s="1"/>
  <c r="AO54" i="5"/>
  <c r="BC54" i="5"/>
  <c r="BD54" i="5" s="1"/>
  <c r="AM55" i="5"/>
  <c r="AK55" i="5"/>
  <c r="AL55" i="5"/>
  <c r="AT54" i="5" s="1"/>
  <c r="BO55" i="5"/>
  <c r="BM55" i="5"/>
  <c r="BS55" i="5"/>
  <c r="AQ55" i="5"/>
  <c r="BE55" i="5"/>
  <c r="AC55" i="5"/>
  <c r="W56" i="5" s="1"/>
  <c r="U55" i="5"/>
  <c r="BQ55" i="5" s="1"/>
  <c r="T56" i="5"/>
  <c r="C71" i="5"/>
  <c r="V55" i="5"/>
  <c r="I71" i="5" s="1"/>
  <c r="R71" i="5" s="1"/>
  <c r="AB54" i="5"/>
  <c r="AE54" i="5" s="1"/>
  <c r="BT53" i="5"/>
  <c r="BU53" i="5" s="1"/>
  <c r="BF53" i="5"/>
  <c r="BG53" i="5" s="1"/>
  <c r="AN54" i="5"/>
  <c r="BA55" i="5"/>
  <c r="AY55" i="5"/>
  <c r="Y55" i="5"/>
  <c r="Z55" i="5" s="1"/>
  <c r="AD55" i="5"/>
  <c r="X55" i="5"/>
  <c r="BS49" i="4"/>
  <c r="BN49" i="4"/>
  <c r="BO49" i="4" s="1"/>
  <c r="BC31" i="4"/>
  <c r="E50" i="4" s="1"/>
  <c r="AY32" i="4"/>
  <c r="AZ32" i="4" s="1"/>
  <c r="D51" i="4" s="1"/>
  <c r="AU35" i="4"/>
  <c r="AV35" i="4" s="1"/>
  <c r="AR36" i="4" s="1"/>
  <c r="AT36" i="4" s="1"/>
  <c r="AL45" i="4"/>
  <c r="AN45" i="4" s="1"/>
  <c r="AF57" i="4"/>
  <c r="AG69" i="4" s="1"/>
  <c r="AH34" i="4"/>
  <c r="AJ34" i="4" s="1"/>
  <c r="AW34" i="4" s="1"/>
  <c r="AX34" i="4" s="1"/>
  <c r="AD35" i="4"/>
  <c r="AE46" i="4"/>
  <c r="AO46" i="4" s="1"/>
  <c r="AA50" i="4"/>
  <c r="BL50" i="4"/>
  <c r="BM50" i="4" s="1"/>
  <c r="BG51" i="4"/>
  <c r="S52" i="4"/>
  <c r="C70" i="4"/>
  <c r="H70" i="4" s="1"/>
  <c r="X51" i="4" l="1"/>
  <c r="Y51" i="4" s="1"/>
  <c r="AA51" i="4" s="1"/>
  <c r="L71" i="5"/>
  <c r="H70" i="5"/>
  <c r="Q70" i="5" s="1"/>
  <c r="BI51" i="4"/>
  <c r="BJ51" i="4" s="1"/>
  <c r="BR51" i="4" s="1"/>
  <c r="AM51" i="4"/>
  <c r="BK52" i="4"/>
  <c r="BE53" i="4" s="1"/>
  <c r="AB52" i="4"/>
  <c r="T52" i="4"/>
  <c r="Z52" i="4" s="1"/>
  <c r="U52" i="4"/>
  <c r="I71" i="4" s="1"/>
  <c r="BF52" i="4"/>
  <c r="BL51" i="4" s="1"/>
  <c r="BM51" i="4" s="1"/>
  <c r="V52" i="4"/>
  <c r="AC52" i="4" s="1"/>
  <c r="W52" i="4"/>
  <c r="BI56" i="5"/>
  <c r="BW56" i="5"/>
  <c r="BY53" i="5"/>
  <c r="G69" i="5" s="1"/>
  <c r="P69" i="5" s="1"/>
  <c r="BK53" i="5"/>
  <c r="F69" i="5" s="1"/>
  <c r="O69" i="5" s="1"/>
  <c r="AG56" i="5"/>
  <c r="AU56" i="5"/>
  <c r="AV53" i="5"/>
  <c r="AW53" i="5"/>
  <c r="E69" i="5" s="1"/>
  <c r="N69" i="5" s="1"/>
  <c r="AH53" i="5"/>
  <c r="AI53" i="5"/>
  <c r="D69" i="5" s="1"/>
  <c r="M69" i="5" s="1"/>
  <c r="BP48" i="4"/>
  <c r="BT48" i="4" s="1"/>
  <c r="G67" i="4" s="1"/>
  <c r="BT47" i="4"/>
  <c r="G66" i="4" s="1"/>
  <c r="AK34" i="4"/>
  <c r="BA34" i="4" s="1"/>
  <c r="BB34" i="4" s="1"/>
  <c r="BS50" i="4"/>
  <c r="AZ55" i="5"/>
  <c r="BH54" i="5" s="1"/>
  <c r="BJ54" i="5" s="1"/>
  <c r="BN55" i="5"/>
  <c r="BV54" i="5" s="1"/>
  <c r="BX54" i="5" s="1"/>
  <c r="AP54" i="5"/>
  <c r="AN55" i="5" s="1"/>
  <c r="AN56" i="5" s="1"/>
  <c r="BB55" i="5"/>
  <c r="BB56" i="5" s="1"/>
  <c r="BF54" i="5"/>
  <c r="BG54" i="5" s="1"/>
  <c r="BO56" i="5"/>
  <c r="BM56" i="5"/>
  <c r="C72" i="5"/>
  <c r="U56" i="5"/>
  <c r="BQ56" i="5" s="1"/>
  <c r="BE56" i="5"/>
  <c r="AQ56" i="5"/>
  <c r="T57" i="5"/>
  <c r="AC56" i="5"/>
  <c r="W57" i="5" s="1"/>
  <c r="BS56" i="5"/>
  <c r="V56" i="5"/>
  <c r="I72" i="5" s="1"/>
  <c r="R72" i="5" s="1"/>
  <c r="BT54" i="5"/>
  <c r="BU54" i="5" s="1"/>
  <c r="X56" i="5"/>
  <c r="AF55" i="5" s="1"/>
  <c r="AD56" i="5"/>
  <c r="Y56" i="5"/>
  <c r="Z56" i="5" s="1"/>
  <c r="BP55" i="5"/>
  <c r="BR55" i="5" s="1"/>
  <c r="AF54" i="5"/>
  <c r="BC55" i="5"/>
  <c r="BA56" i="5"/>
  <c r="AY56" i="5"/>
  <c r="AL56" i="5"/>
  <c r="AT55" i="5" s="1"/>
  <c r="AK56" i="5"/>
  <c r="AM56" i="5"/>
  <c r="AA55" i="5"/>
  <c r="AB55" i="5" s="1"/>
  <c r="AE55" i="5" s="1"/>
  <c r="AO55" i="5"/>
  <c r="BC32" i="4"/>
  <c r="E51" i="4" s="1"/>
  <c r="BN50" i="4"/>
  <c r="BO50" i="4" s="1"/>
  <c r="AY33" i="4"/>
  <c r="AZ33" i="4" s="1"/>
  <c r="D52" i="4" s="1"/>
  <c r="AQ52" i="4"/>
  <c r="AU36" i="4"/>
  <c r="AV36" i="4" s="1"/>
  <c r="AR37" i="4" s="1"/>
  <c r="AT37" i="4" s="1"/>
  <c r="AH35" i="4"/>
  <c r="AJ35" i="4" s="1"/>
  <c r="AW35" i="4" s="1"/>
  <c r="AX35" i="4" s="1"/>
  <c r="AD36" i="4"/>
  <c r="AE47" i="4"/>
  <c r="AO47" i="4" s="1"/>
  <c r="AL46" i="4"/>
  <c r="AN46" i="4" s="1"/>
  <c r="AF58" i="4"/>
  <c r="AG70" i="4" s="1"/>
  <c r="BG52" i="4"/>
  <c r="S53" i="4"/>
  <c r="C71" i="4"/>
  <c r="B70" i="4" s="1"/>
  <c r="X52" i="4" l="1"/>
  <c r="Y52" i="4" s="1"/>
  <c r="AA52" i="4" s="1"/>
  <c r="H71" i="5"/>
  <c r="Q71" i="5" s="1"/>
  <c r="V53" i="4"/>
  <c r="AC53" i="4" s="1"/>
  <c r="H71" i="4"/>
  <c r="AP51" i="4"/>
  <c r="W53" i="4"/>
  <c r="AP52" i="4" s="1"/>
  <c r="AS52" i="4" s="1"/>
  <c r="BI52" i="4"/>
  <c r="AM52" i="4"/>
  <c r="BK53" i="4"/>
  <c r="BE54" i="4" s="1"/>
  <c r="AB53" i="4"/>
  <c r="T53" i="4"/>
  <c r="AM53" i="4" s="1"/>
  <c r="U53" i="4"/>
  <c r="I72" i="4" s="1"/>
  <c r="BF53" i="4"/>
  <c r="BL52" i="4" s="1"/>
  <c r="BM52" i="4" s="1"/>
  <c r="BI57" i="5"/>
  <c r="BW57" i="5"/>
  <c r="BY54" i="5"/>
  <c r="G70" i="5" s="1"/>
  <c r="P70" i="5" s="1"/>
  <c r="BK54" i="5"/>
  <c r="F70" i="5" s="1"/>
  <c r="O70" i="5" s="1"/>
  <c r="AV54" i="5"/>
  <c r="AG57" i="5"/>
  <c r="AU57" i="5"/>
  <c r="AH54" i="5"/>
  <c r="AI54" i="5"/>
  <c r="D70" i="5" s="1"/>
  <c r="M70" i="5" s="1"/>
  <c r="L72" i="5"/>
  <c r="BP49" i="4"/>
  <c r="BQ49" i="4" s="1"/>
  <c r="F68" i="4" s="1"/>
  <c r="BQ48" i="4"/>
  <c r="F67" i="4" s="1"/>
  <c r="AK35" i="4"/>
  <c r="BA35" i="4" s="1"/>
  <c r="BB35" i="4" s="1"/>
  <c r="BH52" i="4"/>
  <c r="BH53" i="4" s="1"/>
  <c r="BS51" i="4"/>
  <c r="AZ56" i="5"/>
  <c r="BH55" i="5" s="1"/>
  <c r="BJ55" i="5" s="1"/>
  <c r="BD55" i="5"/>
  <c r="BF55" i="5" s="1"/>
  <c r="BG55" i="5" s="1"/>
  <c r="BK55" i="5" s="1"/>
  <c r="BN56" i="5"/>
  <c r="BV55" i="5" s="1"/>
  <c r="BX55" i="5" s="1"/>
  <c r="AR54" i="5"/>
  <c r="AS54" i="5" s="1"/>
  <c r="AP55" i="5"/>
  <c r="AR55" i="5" s="1"/>
  <c r="AS55" i="5" s="1"/>
  <c r="BC56" i="5"/>
  <c r="BD56" i="5" s="1"/>
  <c r="BF56" i="5" s="1"/>
  <c r="BG56" i="5" s="1"/>
  <c r="AA56" i="5"/>
  <c r="AB56" i="5" s="1"/>
  <c r="AE56" i="5" s="1"/>
  <c r="AO56" i="5"/>
  <c r="AP56" i="5" s="1"/>
  <c r="Y57" i="5"/>
  <c r="Z57" i="5" s="1"/>
  <c r="AD57" i="5"/>
  <c r="X57" i="5"/>
  <c r="AF56" i="5" s="1"/>
  <c r="C73" i="5"/>
  <c r="T58" i="5"/>
  <c r="BS57" i="5"/>
  <c r="AQ57" i="5"/>
  <c r="U57" i="5"/>
  <c r="BQ57" i="5" s="1"/>
  <c r="AC57" i="5"/>
  <c r="W58" i="5" s="1"/>
  <c r="BE57" i="5"/>
  <c r="V57" i="5"/>
  <c r="I73" i="5" s="1"/>
  <c r="R73" i="5" s="1"/>
  <c r="BT55" i="5"/>
  <c r="BU55" i="5" s="1"/>
  <c r="AK57" i="5"/>
  <c r="AM57" i="5"/>
  <c r="AL57" i="5"/>
  <c r="AT56" i="5" s="1"/>
  <c r="AN57" i="5"/>
  <c r="BP56" i="5"/>
  <c r="BR56" i="5" s="1"/>
  <c r="BA57" i="5"/>
  <c r="AY57" i="5"/>
  <c r="BB57" i="5"/>
  <c r="BM57" i="5"/>
  <c r="BO57" i="5"/>
  <c r="BN51" i="4"/>
  <c r="BO51" i="4" s="1"/>
  <c r="BC33" i="4"/>
  <c r="E52" i="4" s="1"/>
  <c r="AY34" i="4"/>
  <c r="AZ34" i="4" s="1"/>
  <c r="D53" i="4" s="1"/>
  <c r="AQ53" i="4"/>
  <c r="AU37" i="4"/>
  <c r="AV37" i="4" s="1"/>
  <c r="AR38" i="4" s="1"/>
  <c r="AT38" i="4" s="1"/>
  <c r="AL47" i="4"/>
  <c r="AN47" i="4" s="1"/>
  <c r="AF59" i="4"/>
  <c r="AG71" i="4" s="1"/>
  <c r="AH36" i="4"/>
  <c r="AJ36" i="4" s="1"/>
  <c r="AW36" i="4" s="1"/>
  <c r="AX36" i="4" s="1"/>
  <c r="AD37" i="4"/>
  <c r="AE48" i="4"/>
  <c r="AO48" i="4" s="1"/>
  <c r="S54" i="4"/>
  <c r="C72" i="4"/>
  <c r="X53" i="4"/>
  <c r="Y53" i="4" s="1"/>
  <c r="BG53" i="4"/>
  <c r="H72" i="4" l="1"/>
  <c r="H72" i="5"/>
  <c r="Q72" i="5" s="1"/>
  <c r="BI53" i="4"/>
  <c r="V54" i="4"/>
  <c r="W54" i="4"/>
  <c r="AP53" i="4" s="1"/>
  <c r="AS53" i="4" s="1"/>
  <c r="BH54" i="4"/>
  <c r="BF54" i="4"/>
  <c r="BL53" i="4" s="1"/>
  <c r="BM53" i="4" s="1"/>
  <c r="AB54" i="4"/>
  <c r="BK54" i="4"/>
  <c r="BE55" i="4" s="1"/>
  <c r="T54" i="4"/>
  <c r="Z54" i="4" s="1"/>
  <c r="U54" i="4"/>
  <c r="I73" i="4" s="1"/>
  <c r="AC54" i="4"/>
  <c r="Z53" i="4"/>
  <c r="AA53" i="4" s="1"/>
  <c r="BI58" i="5"/>
  <c r="BW58" i="5"/>
  <c r="BY55" i="5"/>
  <c r="G71" i="5" s="1"/>
  <c r="P71" i="5" s="1"/>
  <c r="BK56" i="5"/>
  <c r="F72" i="5" s="1"/>
  <c r="O72" i="5" s="1"/>
  <c r="F71" i="5"/>
  <c r="O71" i="5" s="1"/>
  <c r="AW54" i="5"/>
  <c r="E70" i="5" s="1"/>
  <c r="N70" i="5" s="1"/>
  <c r="AW55" i="5"/>
  <c r="E71" i="5" s="1"/>
  <c r="N71" i="5" s="1"/>
  <c r="AV55" i="5"/>
  <c r="AG58" i="5"/>
  <c r="AU58" i="5"/>
  <c r="AH55" i="5"/>
  <c r="AI55" i="5"/>
  <c r="D71" i="5" s="1"/>
  <c r="M71" i="5" s="1"/>
  <c r="L73" i="5"/>
  <c r="BT49" i="4"/>
  <c r="G68" i="4" s="1"/>
  <c r="BP50" i="4"/>
  <c r="BT50" i="4" s="1"/>
  <c r="G69" i="4" s="1"/>
  <c r="AK36" i="4"/>
  <c r="BA36" i="4" s="1"/>
  <c r="BB36" i="4" s="1"/>
  <c r="AZ57" i="5"/>
  <c r="BH56" i="5" s="1"/>
  <c r="BJ56" i="5" s="1"/>
  <c r="BN57" i="5"/>
  <c r="BV56" i="5" s="1"/>
  <c r="BX56" i="5" s="1"/>
  <c r="BP57" i="5"/>
  <c r="BP58" i="5" s="1"/>
  <c r="BC57" i="5"/>
  <c r="BD57" i="5" s="1"/>
  <c r="BF57" i="5" s="1"/>
  <c r="BG57" i="5" s="1"/>
  <c r="AA57" i="5"/>
  <c r="AB57" i="5" s="1"/>
  <c r="AE57" i="5" s="1"/>
  <c r="AR56" i="5"/>
  <c r="AS56" i="5" s="1"/>
  <c r="AL58" i="5"/>
  <c r="AT57" i="5" s="1"/>
  <c r="AN58" i="5"/>
  <c r="AM58" i="5"/>
  <c r="AK58" i="5"/>
  <c r="BO58" i="5"/>
  <c r="BM58" i="5"/>
  <c r="X58" i="5"/>
  <c r="AF57" i="5" s="1"/>
  <c r="Y58" i="5"/>
  <c r="Z58" i="5" s="1"/>
  <c r="AD58" i="5"/>
  <c r="C74" i="5"/>
  <c r="T59" i="5"/>
  <c r="AC58" i="5"/>
  <c r="W59" i="5" s="1"/>
  <c r="AQ58" i="5"/>
  <c r="BE58" i="5"/>
  <c r="U58" i="5"/>
  <c r="BQ58" i="5" s="1"/>
  <c r="BS58" i="5"/>
  <c r="V58" i="5"/>
  <c r="I74" i="5" s="1"/>
  <c r="R74" i="5" s="1"/>
  <c r="BT56" i="5"/>
  <c r="BU56" i="5" s="1"/>
  <c r="BY56" i="5" s="1"/>
  <c r="AO57" i="5"/>
  <c r="AP57" i="5" s="1"/>
  <c r="BB58" i="5"/>
  <c r="BA58" i="5"/>
  <c r="AY58" i="5"/>
  <c r="AY35" i="4"/>
  <c r="AZ35" i="4" s="1"/>
  <c r="D54" i="4" s="1"/>
  <c r="BC34" i="4"/>
  <c r="E53" i="4" s="1"/>
  <c r="AQ54" i="4"/>
  <c r="AU38" i="4"/>
  <c r="AV38" i="4" s="1"/>
  <c r="AH37" i="4"/>
  <c r="AJ37" i="4" s="1"/>
  <c r="AW37" i="4" s="1"/>
  <c r="AX37" i="4" s="1"/>
  <c r="AD38" i="4"/>
  <c r="AE49" i="4"/>
  <c r="AO49" i="4" s="1"/>
  <c r="AL48" i="4"/>
  <c r="AN48" i="4" s="1"/>
  <c r="AF60" i="4"/>
  <c r="AG72" i="4" s="1"/>
  <c r="BJ52" i="4"/>
  <c r="BR52" i="4" s="1"/>
  <c r="BG54" i="4"/>
  <c r="C73" i="4"/>
  <c r="H73" i="4" s="1"/>
  <c r="S55" i="4"/>
  <c r="X54" i="4"/>
  <c r="Y54" i="4" s="1"/>
  <c r="H73" i="5" l="1"/>
  <c r="Q73" i="5" s="1"/>
  <c r="V55" i="4"/>
  <c r="W55" i="4"/>
  <c r="AP54" i="4" s="1"/>
  <c r="AS54" i="4" s="1"/>
  <c r="BF55" i="4"/>
  <c r="BL54" i="4" s="1"/>
  <c r="BM54" i="4" s="1"/>
  <c r="BH55" i="4"/>
  <c r="AB55" i="4"/>
  <c r="BK55" i="4"/>
  <c r="BE56" i="4" s="1"/>
  <c r="T55" i="4"/>
  <c r="Z55" i="4" s="1"/>
  <c r="U55" i="4"/>
  <c r="I74" i="4" s="1"/>
  <c r="AC55" i="4"/>
  <c r="BI54" i="4"/>
  <c r="AM54" i="4"/>
  <c r="BI59" i="5"/>
  <c r="BW59" i="5"/>
  <c r="G72" i="5"/>
  <c r="P72" i="5" s="1"/>
  <c r="BK57" i="5"/>
  <c r="F73" i="5" s="1"/>
  <c r="O73" i="5" s="1"/>
  <c r="AW56" i="5"/>
  <c r="E72" i="5" s="1"/>
  <c r="N72" i="5" s="1"/>
  <c r="AV56" i="5"/>
  <c r="AG59" i="5"/>
  <c r="AU59" i="5"/>
  <c r="AH56" i="5"/>
  <c r="AI56" i="5"/>
  <c r="D72" i="5" s="1"/>
  <c r="M72" i="5" s="1"/>
  <c r="L74" i="5"/>
  <c r="BQ50" i="4"/>
  <c r="F69" i="4" s="1"/>
  <c r="BP51" i="4"/>
  <c r="AK37" i="4"/>
  <c r="BA37" i="4" s="1"/>
  <c r="BB37" i="4" s="1"/>
  <c r="AZ58" i="5"/>
  <c r="BH57" i="5" s="1"/>
  <c r="BJ57" i="5" s="1"/>
  <c r="BN58" i="5"/>
  <c r="BV57" i="5" s="1"/>
  <c r="BX57" i="5" s="1"/>
  <c r="BR57" i="5"/>
  <c r="BT57" i="5" s="1"/>
  <c r="BU57" i="5" s="1"/>
  <c r="AO58" i="5"/>
  <c r="AP58" i="5" s="1"/>
  <c r="BR58" i="5"/>
  <c r="AA58" i="5"/>
  <c r="AB58" i="5" s="1"/>
  <c r="AE58" i="5" s="1"/>
  <c r="BC58" i="5"/>
  <c r="BD58" i="5" s="1"/>
  <c r="BA59" i="5"/>
  <c r="BB59" i="5"/>
  <c r="AY59" i="5"/>
  <c r="AM59" i="5"/>
  <c r="AK59" i="5"/>
  <c r="AN59" i="5"/>
  <c r="AL59" i="5"/>
  <c r="AT58" i="5" s="1"/>
  <c r="AR57" i="5"/>
  <c r="AS57" i="5" s="1"/>
  <c r="Y59" i="5"/>
  <c r="Z59" i="5" s="1"/>
  <c r="X59" i="5"/>
  <c r="AF58" i="5" s="1"/>
  <c r="AD59" i="5"/>
  <c r="BO59" i="5"/>
  <c r="BM59" i="5"/>
  <c r="BP59" i="5"/>
  <c r="C75" i="5"/>
  <c r="BE59" i="5"/>
  <c r="AC59" i="5"/>
  <c r="W60" i="5" s="1"/>
  <c r="U59" i="5"/>
  <c r="BC59" i="5" s="1"/>
  <c r="T60" i="5"/>
  <c r="BS59" i="5"/>
  <c r="AQ59" i="5"/>
  <c r="V59" i="5"/>
  <c r="I75" i="5" s="1"/>
  <c r="R75" i="5" s="1"/>
  <c r="BS52" i="4"/>
  <c r="BN52" i="4"/>
  <c r="BO52" i="4" s="1"/>
  <c r="BC35" i="4"/>
  <c r="E54" i="4" s="1"/>
  <c r="AY36" i="4"/>
  <c r="AZ36" i="4" s="1"/>
  <c r="D55" i="4" s="1"/>
  <c r="AQ55" i="4"/>
  <c r="AL49" i="4"/>
  <c r="AN49" i="4" s="1"/>
  <c r="AF61" i="4"/>
  <c r="AG73" i="4" s="1"/>
  <c r="AD39" i="4"/>
  <c r="AH38" i="4"/>
  <c r="AJ38" i="4" s="1"/>
  <c r="AW38" i="4" s="1"/>
  <c r="AX38" i="4" s="1"/>
  <c r="AE50" i="4"/>
  <c r="AO50" i="4" s="1"/>
  <c r="AA54" i="4"/>
  <c r="BJ53" i="4"/>
  <c r="BR53" i="4" s="1"/>
  <c r="X55" i="4"/>
  <c r="Y55" i="4" s="1"/>
  <c r="BG55" i="4"/>
  <c r="S56" i="4"/>
  <c r="C74" i="4"/>
  <c r="H74" i="4" s="1"/>
  <c r="H74" i="5" l="1"/>
  <c r="Q74" i="5" s="1"/>
  <c r="V56" i="4"/>
  <c r="W56" i="4"/>
  <c r="AP55" i="4" s="1"/>
  <c r="AS55" i="4" s="1"/>
  <c r="BH56" i="4"/>
  <c r="BF56" i="4"/>
  <c r="AB56" i="4"/>
  <c r="BK56" i="4"/>
  <c r="BE57" i="4" s="1"/>
  <c r="T56" i="4"/>
  <c r="Z56" i="4" s="1"/>
  <c r="U56" i="4"/>
  <c r="I75" i="4" s="1"/>
  <c r="AC56" i="4"/>
  <c r="BI55" i="4"/>
  <c r="BJ55" i="4" s="1"/>
  <c r="BR55" i="4" s="1"/>
  <c r="AM55" i="4"/>
  <c r="BI60" i="5"/>
  <c r="BW60" i="5"/>
  <c r="BY57" i="5"/>
  <c r="G73" i="5" s="1"/>
  <c r="P73" i="5" s="1"/>
  <c r="AV57" i="5"/>
  <c r="AW57" i="5"/>
  <c r="E73" i="5" s="1"/>
  <c r="N73" i="5" s="1"/>
  <c r="AG60" i="5"/>
  <c r="AU60" i="5"/>
  <c r="AH57" i="5"/>
  <c r="AI57" i="5"/>
  <c r="D73" i="5" s="1"/>
  <c r="M73" i="5" s="1"/>
  <c r="L75" i="5"/>
  <c r="BQ51" i="4"/>
  <c r="F70" i="4" s="1"/>
  <c r="BT51" i="4"/>
  <c r="G70" i="4" s="1"/>
  <c r="BP52" i="4"/>
  <c r="AK38" i="4"/>
  <c r="BA38" i="4" s="1"/>
  <c r="BB38" i="4" s="1"/>
  <c r="AZ59" i="5"/>
  <c r="BH58" i="5" s="1"/>
  <c r="BJ58" i="5" s="1"/>
  <c r="BN59" i="5"/>
  <c r="BV58" i="5" s="1"/>
  <c r="BX58" i="5" s="1"/>
  <c r="BF58" i="5"/>
  <c r="BG58" i="5" s="1"/>
  <c r="BQ59" i="5"/>
  <c r="BR59" i="5" s="1"/>
  <c r="AD60" i="5"/>
  <c r="Y60" i="5"/>
  <c r="Z60" i="5" s="1"/>
  <c r="X60" i="5"/>
  <c r="AF59" i="5" s="1"/>
  <c r="AR58" i="5"/>
  <c r="AS58" i="5" s="1"/>
  <c r="AO59" i="5"/>
  <c r="AP59" i="5" s="1"/>
  <c r="AY60" i="5"/>
  <c r="BA60" i="5"/>
  <c r="BB60" i="5"/>
  <c r="AK60" i="5"/>
  <c r="AN60" i="5"/>
  <c r="AL60" i="5"/>
  <c r="AT59" i="5" s="1"/>
  <c r="AM60" i="5"/>
  <c r="BM60" i="5"/>
  <c r="BP60" i="5"/>
  <c r="BO60" i="5"/>
  <c r="BD59" i="5"/>
  <c r="AA59" i="5"/>
  <c r="AB59" i="5" s="1"/>
  <c r="AE59" i="5" s="1"/>
  <c r="BT58" i="5"/>
  <c r="BU58" i="5" s="1"/>
  <c r="C76" i="5"/>
  <c r="T61" i="5"/>
  <c r="BS60" i="5"/>
  <c r="AQ60" i="5"/>
  <c r="AC60" i="5"/>
  <c r="W61" i="5" s="1"/>
  <c r="BE60" i="5"/>
  <c r="U60" i="5"/>
  <c r="BC60" i="5" s="1"/>
  <c r="V60" i="5"/>
  <c r="I76" i="5" s="1"/>
  <c r="R76" i="5" s="1"/>
  <c r="BS53" i="4"/>
  <c r="BN53" i="4"/>
  <c r="BO53" i="4" s="1"/>
  <c r="BC36" i="4"/>
  <c r="E55" i="4" s="1"/>
  <c r="AY37" i="4"/>
  <c r="AZ37" i="4" s="1"/>
  <c r="D56" i="4" s="1"/>
  <c r="AQ56" i="4"/>
  <c r="AH39" i="4"/>
  <c r="AJ39" i="4" s="1"/>
  <c r="AW39" i="4" s="1"/>
  <c r="AX39" i="4" s="1"/>
  <c r="AE51" i="4"/>
  <c r="AO51" i="4" s="1"/>
  <c r="AL50" i="4"/>
  <c r="AN50" i="4" s="1"/>
  <c r="AF62" i="4"/>
  <c r="AG74" i="4" s="1"/>
  <c r="AA55" i="4"/>
  <c r="X56" i="4"/>
  <c r="Y56" i="4" s="1"/>
  <c r="BG56" i="4"/>
  <c r="BL55" i="4"/>
  <c r="BM55" i="4" s="1"/>
  <c r="S57" i="4"/>
  <c r="C75" i="4"/>
  <c r="H75" i="4" s="1"/>
  <c r="BJ54" i="4"/>
  <c r="BR54" i="4" s="1"/>
  <c r="H75" i="5" l="1"/>
  <c r="Q75" i="5" s="1"/>
  <c r="BF57" i="4"/>
  <c r="BL56" i="4" s="1"/>
  <c r="BM56" i="4" s="1"/>
  <c r="V57" i="4"/>
  <c r="AC57" i="4" s="1"/>
  <c r="W57" i="4"/>
  <c r="AB57" i="4"/>
  <c r="BK57" i="4"/>
  <c r="BE58" i="4" s="1"/>
  <c r="T57" i="4"/>
  <c r="AM57" i="4" s="1"/>
  <c r="U57" i="4"/>
  <c r="I76" i="4" s="1"/>
  <c r="BH57" i="4"/>
  <c r="BI56" i="4"/>
  <c r="AM56" i="4"/>
  <c r="AP56" i="4"/>
  <c r="AS56" i="4" s="1"/>
  <c r="BI61" i="5"/>
  <c r="BW61" i="5"/>
  <c r="BY58" i="5"/>
  <c r="G74" i="5" s="1"/>
  <c r="P74" i="5" s="1"/>
  <c r="BK58" i="5"/>
  <c r="F74" i="5" s="1"/>
  <c r="O74" i="5" s="1"/>
  <c r="AG61" i="5"/>
  <c r="AU61" i="5"/>
  <c r="AV58" i="5"/>
  <c r="AW58" i="5"/>
  <c r="E74" i="5" s="1"/>
  <c r="N74" i="5" s="1"/>
  <c r="AH58" i="5"/>
  <c r="AI58" i="5"/>
  <c r="D74" i="5" s="1"/>
  <c r="M74" i="5" s="1"/>
  <c r="L76" i="5"/>
  <c r="BQ52" i="4"/>
  <c r="F71" i="4" s="1"/>
  <c r="BT52" i="4"/>
  <c r="G71" i="4" s="1"/>
  <c r="AK39" i="4"/>
  <c r="BA39" i="4" s="1"/>
  <c r="BB39" i="4" s="1"/>
  <c r="BN55" i="4"/>
  <c r="BO55" i="4" s="1"/>
  <c r="AZ60" i="5"/>
  <c r="BH59" i="5" s="1"/>
  <c r="BJ59" i="5" s="1"/>
  <c r="BN60" i="5"/>
  <c r="BV59" i="5" s="1"/>
  <c r="BX59" i="5" s="1"/>
  <c r="AR59" i="5"/>
  <c r="AS59" i="5" s="1"/>
  <c r="BO61" i="5"/>
  <c r="BP61" i="5"/>
  <c r="BM61" i="5"/>
  <c r="BD60" i="5"/>
  <c r="AO60" i="5"/>
  <c r="AP60" i="5" s="1"/>
  <c r="BB61" i="5"/>
  <c r="BA61" i="5"/>
  <c r="AY61" i="5"/>
  <c r="BQ60" i="5"/>
  <c r="BR60" i="5" s="1"/>
  <c r="BT59" i="5"/>
  <c r="BU59" i="5" s="1"/>
  <c r="AA60" i="5"/>
  <c r="AB60" i="5" s="1"/>
  <c r="AE60" i="5" s="1"/>
  <c r="X61" i="5"/>
  <c r="AF60" i="5" s="1"/>
  <c r="AD61" i="5"/>
  <c r="Y61" i="5"/>
  <c r="Z61" i="5" s="1"/>
  <c r="C77" i="5"/>
  <c r="BE61" i="5"/>
  <c r="U61" i="5"/>
  <c r="BQ61" i="5" s="1"/>
  <c r="AC61" i="5"/>
  <c r="W62" i="5" s="1"/>
  <c r="T62" i="5"/>
  <c r="BS61" i="5"/>
  <c r="AQ61" i="5"/>
  <c r="V61" i="5"/>
  <c r="I77" i="5" s="1"/>
  <c r="R77" i="5" s="1"/>
  <c r="BF59" i="5"/>
  <c r="BG59" i="5" s="1"/>
  <c r="AL61" i="5"/>
  <c r="AT60" i="5" s="1"/>
  <c r="AK61" i="5"/>
  <c r="AN61" i="5"/>
  <c r="AM61" i="5"/>
  <c r="BS55" i="4"/>
  <c r="BP53" i="4"/>
  <c r="BT53" i="4" s="1"/>
  <c r="G72" i="4" s="1"/>
  <c r="BS54" i="4"/>
  <c r="BN54" i="4"/>
  <c r="BO54" i="4" s="1"/>
  <c r="BC37" i="4"/>
  <c r="E56" i="4" s="1"/>
  <c r="AY38" i="4"/>
  <c r="AZ38" i="4" s="1"/>
  <c r="D57" i="4" s="1"/>
  <c r="AQ57" i="4"/>
  <c r="AQ39" i="4"/>
  <c r="AR39" i="4" s="1"/>
  <c r="AL51" i="4"/>
  <c r="AN51" i="4" s="1"/>
  <c r="AF63" i="4"/>
  <c r="AG75" i="4" s="1"/>
  <c r="AA56" i="4"/>
  <c r="BJ56" i="4"/>
  <c r="BR56" i="4" s="1"/>
  <c r="BG57" i="4"/>
  <c r="S58" i="4"/>
  <c r="C76" i="4"/>
  <c r="H76" i="4" s="1"/>
  <c r="X57" i="4"/>
  <c r="Y57" i="4" s="1"/>
  <c r="H76" i="5" l="1"/>
  <c r="Q76" i="5" s="1"/>
  <c r="V58" i="4"/>
  <c r="AC58" i="4" s="1"/>
  <c r="W58" i="4"/>
  <c r="AP57" i="4" s="1"/>
  <c r="AS57" i="4" s="1"/>
  <c r="AB58" i="4"/>
  <c r="BK58" i="4"/>
  <c r="BE59" i="4" s="1"/>
  <c r="T58" i="4"/>
  <c r="Z58" i="4" s="1"/>
  <c r="U58" i="4"/>
  <c r="I77" i="4" s="1"/>
  <c r="BH58" i="4"/>
  <c r="BF58" i="4"/>
  <c r="BI57" i="4"/>
  <c r="BJ57" i="4" s="1"/>
  <c r="BR57" i="4" s="1"/>
  <c r="Z57" i="4"/>
  <c r="AA57" i="4" s="1"/>
  <c r="BI62" i="5"/>
  <c r="BW62" i="5"/>
  <c r="BY59" i="5"/>
  <c r="G75" i="5" s="1"/>
  <c r="P75" i="5" s="1"/>
  <c r="BK59" i="5"/>
  <c r="F75" i="5" s="1"/>
  <c r="O75" i="5" s="1"/>
  <c r="AV59" i="5"/>
  <c r="AW59" i="5"/>
  <c r="E75" i="5" s="1"/>
  <c r="N75" i="5" s="1"/>
  <c r="AG62" i="5"/>
  <c r="AU62" i="5"/>
  <c r="AH59" i="5"/>
  <c r="AI59" i="5"/>
  <c r="D75" i="5" s="1"/>
  <c r="M75" i="5" s="1"/>
  <c r="L77" i="5"/>
  <c r="AS39" i="4"/>
  <c r="AT39" i="4" s="1"/>
  <c r="BS56" i="4"/>
  <c r="AZ61" i="5"/>
  <c r="BH60" i="5" s="1"/>
  <c r="BJ60" i="5" s="1"/>
  <c r="BN61" i="5"/>
  <c r="BV60" i="5" s="1"/>
  <c r="BX60" i="5" s="1"/>
  <c r="BC61" i="5"/>
  <c r="BD61" i="5" s="1"/>
  <c r="BT60" i="5"/>
  <c r="BU60" i="5" s="1"/>
  <c r="AR60" i="5"/>
  <c r="AS60" i="5" s="1"/>
  <c r="BE62" i="5"/>
  <c r="AC62" i="5"/>
  <c r="W63" i="5" s="1"/>
  <c r="U62" i="5"/>
  <c r="BC62" i="5" s="1"/>
  <c r="C78" i="5"/>
  <c r="BS62" i="5"/>
  <c r="AQ62" i="5"/>
  <c r="T63" i="5"/>
  <c r="V62" i="5"/>
  <c r="I78" i="5" s="1"/>
  <c r="R78" i="5" s="1"/>
  <c r="AA61" i="5"/>
  <c r="AB61" i="5" s="1"/>
  <c r="AE61" i="5" s="1"/>
  <c r="AO61" i="5"/>
  <c r="AP61" i="5" s="1"/>
  <c r="Y62" i="5"/>
  <c r="Z62" i="5" s="1"/>
  <c r="X62" i="5"/>
  <c r="AF61" i="5" s="1"/>
  <c r="AD62" i="5"/>
  <c r="AM62" i="5"/>
  <c r="AK62" i="5"/>
  <c r="AN62" i="5"/>
  <c r="AL62" i="5"/>
  <c r="AT61" i="5" s="1"/>
  <c r="BR61" i="5"/>
  <c r="BA62" i="5"/>
  <c r="AY62" i="5"/>
  <c r="BB62" i="5"/>
  <c r="BO62" i="5"/>
  <c r="BP62" i="5"/>
  <c r="BM62" i="5"/>
  <c r="BF60" i="5"/>
  <c r="BG60" i="5" s="1"/>
  <c r="BP54" i="4"/>
  <c r="BP55" i="4" s="1"/>
  <c r="BQ53" i="4"/>
  <c r="F72" i="4" s="1"/>
  <c r="BN56" i="4"/>
  <c r="BO56" i="4" s="1"/>
  <c r="BC38" i="4"/>
  <c r="E57" i="4" s="1"/>
  <c r="AQ58" i="4"/>
  <c r="C77" i="4"/>
  <c r="H77" i="4" s="1"/>
  <c r="S59" i="4"/>
  <c r="X58" i="4"/>
  <c r="Y58" i="4" s="1"/>
  <c r="BL57" i="4"/>
  <c r="BM57" i="4" s="1"/>
  <c r="BG58" i="4"/>
  <c r="H77" i="5" l="1"/>
  <c r="Q77" i="5" s="1"/>
  <c r="BI58" i="4"/>
  <c r="BJ58" i="4" s="1"/>
  <c r="BR58" i="4" s="1"/>
  <c r="AM58" i="4"/>
  <c r="V59" i="4"/>
  <c r="W59" i="4"/>
  <c r="AP58" i="4" s="1"/>
  <c r="AS58" i="4" s="1"/>
  <c r="BF59" i="4"/>
  <c r="BH59" i="4"/>
  <c r="AB59" i="4"/>
  <c r="BK59" i="4"/>
  <c r="BE60" i="4" s="1"/>
  <c r="T59" i="4"/>
  <c r="Z59" i="4" s="1"/>
  <c r="U59" i="4"/>
  <c r="I78" i="4" s="1"/>
  <c r="AC59" i="4"/>
  <c r="BI63" i="5"/>
  <c r="BW63" i="5"/>
  <c r="BY60" i="5"/>
  <c r="G76" i="5" s="1"/>
  <c r="P76" i="5" s="1"/>
  <c r="BK60" i="5"/>
  <c r="F76" i="5" s="1"/>
  <c r="O76" i="5" s="1"/>
  <c r="AG63" i="5"/>
  <c r="AU63" i="5"/>
  <c r="AV60" i="5"/>
  <c r="AW60" i="5"/>
  <c r="E76" i="5" s="1"/>
  <c r="N76" i="5" s="1"/>
  <c r="AH60" i="5"/>
  <c r="AI60" i="5"/>
  <c r="D76" i="5" s="1"/>
  <c r="M76" i="5" s="1"/>
  <c r="L78" i="5"/>
  <c r="AZ62" i="5"/>
  <c r="BH61" i="5" s="1"/>
  <c r="BJ61" i="5" s="1"/>
  <c r="BN62" i="5"/>
  <c r="BV61" i="5" s="1"/>
  <c r="BX61" i="5" s="1"/>
  <c r="BQ62" i="5"/>
  <c r="BR62" i="5" s="1"/>
  <c r="AA62" i="5"/>
  <c r="AB62" i="5" s="1"/>
  <c r="AE62" i="5" s="1"/>
  <c r="AO62" i="5"/>
  <c r="AP62" i="5" s="1"/>
  <c r="Y63" i="5"/>
  <c r="Z63" i="5" s="1"/>
  <c r="AD63" i="5"/>
  <c r="X63" i="5"/>
  <c r="AF62" i="5" s="1"/>
  <c r="C79" i="5"/>
  <c r="BS63" i="5"/>
  <c r="AQ63" i="5"/>
  <c r="U63" i="5"/>
  <c r="BQ63" i="5" s="1"/>
  <c r="BE63" i="5"/>
  <c r="T64" i="5"/>
  <c r="AC63" i="5"/>
  <c r="W64" i="5" s="1"/>
  <c r="V63" i="5"/>
  <c r="I79" i="5" s="1"/>
  <c r="R79" i="5" s="1"/>
  <c r="BB63" i="5"/>
  <c r="AY63" i="5"/>
  <c r="BA63" i="5"/>
  <c r="BF61" i="5"/>
  <c r="BG61" i="5" s="1"/>
  <c r="AR61" i="5"/>
  <c r="AS61" i="5" s="1"/>
  <c r="BT61" i="5"/>
  <c r="BU61" i="5" s="1"/>
  <c r="AN63" i="5"/>
  <c r="AL63" i="5"/>
  <c r="AT62" i="5" s="1"/>
  <c r="AK63" i="5"/>
  <c r="AM63" i="5"/>
  <c r="BD62" i="5"/>
  <c r="BP63" i="5"/>
  <c r="BO63" i="5"/>
  <c r="BM63" i="5"/>
  <c r="BQ55" i="4"/>
  <c r="F74" i="4" s="1"/>
  <c r="BT55" i="4"/>
  <c r="G74" i="4" s="1"/>
  <c r="BP56" i="4"/>
  <c r="BQ56" i="4" s="1"/>
  <c r="F75" i="4" s="1"/>
  <c r="BQ54" i="4"/>
  <c r="F73" i="4" s="1"/>
  <c r="BT54" i="4"/>
  <c r="G73" i="4" s="1"/>
  <c r="BS57" i="4"/>
  <c r="BN57" i="4"/>
  <c r="BO57" i="4" s="1"/>
  <c r="AY39" i="4"/>
  <c r="AQ59" i="4"/>
  <c r="AU39" i="4"/>
  <c r="AD40" i="4" s="1"/>
  <c r="AA58" i="4"/>
  <c r="BG59" i="4"/>
  <c r="X59" i="4"/>
  <c r="Y59" i="4" s="1"/>
  <c r="S60" i="4"/>
  <c r="C78" i="4"/>
  <c r="H78" i="4" s="1"/>
  <c r="BF60" i="4" l="1"/>
  <c r="H78" i="5"/>
  <c r="Q78" i="5" s="1"/>
  <c r="BH60" i="4"/>
  <c r="BI59" i="4"/>
  <c r="BJ59" i="4" s="1"/>
  <c r="BR59" i="4" s="1"/>
  <c r="AM59" i="4"/>
  <c r="BK60" i="4"/>
  <c r="BE61" i="4" s="1"/>
  <c r="AB60" i="4"/>
  <c r="T60" i="4"/>
  <c r="Z60" i="4" s="1"/>
  <c r="U60" i="4"/>
  <c r="I79" i="4" s="1"/>
  <c r="BL58" i="4"/>
  <c r="BM58" i="4" s="1"/>
  <c r="V60" i="4"/>
  <c r="AC60" i="4" s="1"/>
  <c r="W60" i="4"/>
  <c r="AP59" i="4" s="1"/>
  <c r="AS59" i="4" s="1"/>
  <c r="BI64" i="5"/>
  <c r="BW64" i="5"/>
  <c r="BY61" i="5"/>
  <c r="G77" i="5" s="1"/>
  <c r="P77" i="5" s="1"/>
  <c r="BK61" i="5"/>
  <c r="F77" i="5" s="1"/>
  <c r="O77" i="5" s="1"/>
  <c r="AG64" i="5"/>
  <c r="AU64" i="5"/>
  <c r="AV61" i="5"/>
  <c r="AW61" i="5"/>
  <c r="E77" i="5" s="1"/>
  <c r="N77" i="5" s="1"/>
  <c r="AH61" i="5"/>
  <c r="AI61" i="5"/>
  <c r="D77" i="5" s="1"/>
  <c r="M77" i="5" s="1"/>
  <c r="L79" i="5"/>
  <c r="AD41" i="4"/>
  <c r="AE53" i="4" s="1"/>
  <c r="AO53" i="4" s="1"/>
  <c r="BS58" i="4"/>
  <c r="AZ63" i="5"/>
  <c r="BH62" i="5" s="1"/>
  <c r="BJ62" i="5" s="1"/>
  <c r="BN63" i="5"/>
  <c r="BV62" i="5" s="1"/>
  <c r="BX62" i="5" s="1"/>
  <c r="AR62" i="5"/>
  <c r="AS62" i="5" s="1"/>
  <c r="BT62" i="5"/>
  <c r="BU62" i="5" s="1"/>
  <c r="BY62" i="5" s="1"/>
  <c r="C80" i="5"/>
  <c r="T65" i="5"/>
  <c r="BE64" i="5"/>
  <c r="U64" i="5"/>
  <c r="BQ64" i="5" s="1"/>
  <c r="BS64" i="5"/>
  <c r="AC64" i="5"/>
  <c r="W65" i="5" s="1"/>
  <c r="AQ64" i="5"/>
  <c r="V64" i="5"/>
  <c r="I80" i="5" s="1"/>
  <c r="R80" i="5" s="1"/>
  <c r="BF62" i="5"/>
  <c r="BG62" i="5" s="1"/>
  <c r="BK62" i="5" s="1"/>
  <c r="AY64" i="5"/>
  <c r="BB64" i="5"/>
  <c r="BA64" i="5"/>
  <c r="BC63" i="5"/>
  <c r="BD63" i="5" s="1"/>
  <c r="AA63" i="5"/>
  <c r="AB63" i="5" s="1"/>
  <c r="AE63" i="5" s="1"/>
  <c r="AD64" i="5"/>
  <c r="X64" i="5"/>
  <c r="AF63" i="5" s="1"/>
  <c r="Y64" i="5"/>
  <c r="Z64" i="5" s="1"/>
  <c r="AK64" i="5"/>
  <c r="AM64" i="5"/>
  <c r="AN64" i="5"/>
  <c r="AL64" i="5"/>
  <c r="AT63" i="5" s="1"/>
  <c r="AO63" i="5"/>
  <c r="AP63" i="5" s="1"/>
  <c r="BR63" i="5"/>
  <c r="BM64" i="5"/>
  <c r="BP64" i="5"/>
  <c r="BO64" i="5"/>
  <c r="BT56" i="4"/>
  <c r="G75" i="4" s="1"/>
  <c r="BP57" i="4"/>
  <c r="BQ57" i="4" s="1"/>
  <c r="F76" i="4" s="1"/>
  <c r="BN58" i="4"/>
  <c r="BO58" i="4" s="1"/>
  <c r="BC39" i="4"/>
  <c r="E58" i="4" s="1"/>
  <c r="AZ39" i="4"/>
  <c r="D58" i="4" s="1"/>
  <c r="AH40" i="4"/>
  <c r="AJ40" i="4" s="1"/>
  <c r="AE52" i="4"/>
  <c r="AO52" i="4" s="1"/>
  <c r="AQ60" i="4"/>
  <c r="AV39" i="4"/>
  <c r="AR40" i="4" s="1"/>
  <c r="AT40" i="4" s="1"/>
  <c r="AA59" i="4"/>
  <c r="X60" i="4"/>
  <c r="Y60" i="4" s="1"/>
  <c r="BG60" i="4"/>
  <c r="BL59" i="4"/>
  <c r="BM59" i="4" s="1"/>
  <c r="S61" i="4"/>
  <c r="C79" i="4"/>
  <c r="H79" i="4" s="1"/>
  <c r="H79" i="5" l="1"/>
  <c r="Q79" i="5" s="1"/>
  <c r="AB61" i="4"/>
  <c r="BK61" i="4"/>
  <c r="BE62" i="4" s="1"/>
  <c r="T61" i="4"/>
  <c r="AM61" i="4" s="1"/>
  <c r="U61" i="4"/>
  <c r="I80" i="4" s="1"/>
  <c r="V61" i="4"/>
  <c r="AC61" i="4" s="1"/>
  <c r="W61" i="4"/>
  <c r="AP60" i="4" s="1"/>
  <c r="AS60" i="4" s="1"/>
  <c r="BH61" i="4"/>
  <c r="BF61" i="4"/>
  <c r="BL60" i="4" s="1"/>
  <c r="BM60" i="4" s="1"/>
  <c r="BI60" i="4"/>
  <c r="BJ60" i="4" s="1"/>
  <c r="BR60" i="4" s="1"/>
  <c r="AM60" i="4"/>
  <c r="BI65" i="5"/>
  <c r="BW65" i="5"/>
  <c r="G78" i="5"/>
  <c r="P78" i="5" s="1"/>
  <c r="F78" i="5"/>
  <c r="O78" i="5" s="1"/>
  <c r="AV62" i="5"/>
  <c r="AW62" i="5"/>
  <c r="E78" i="5" s="1"/>
  <c r="N78" i="5" s="1"/>
  <c r="AG65" i="5"/>
  <c r="AU65" i="5"/>
  <c r="AH62" i="5"/>
  <c r="AI62" i="5"/>
  <c r="D78" i="5" s="1"/>
  <c r="M78" i="5" s="1"/>
  <c r="L80" i="5"/>
  <c r="AH41" i="4"/>
  <c r="AJ41" i="4" s="1"/>
  <c r="AK41" i="4" s="1"/>
  <c r="BA41" i="4" s="1"/>
  <c r="AD42" i="4"/>
  <c r="AD43" i="4" s="1"/>
  <c r="AK40" i="4"/>
  <c r="BA40" i="4" s="1"/>
  <c r="AZ64" i="5"/>
  <c r="BH63" i="5" s="1"/>
  <c r="BJ63" i="5" s="1"/>
  <c r="BN64" i="5"/>
  <c r="BV63" i="5" s="1"/>
  <c r="BX63" i="5" s="1"/>
  <c r="AR63" i="5"/>
  <c r="AS63" i="5" s="1"/>
  <c r="AL65" i="5"/>
  <c r="AT64" i="5" s="1"/>
  <c r="AN65" i="5"/>
  <c r="AK65" i="5"/>
  <c r="AM65" i="5"/>
  <c r="BA65" i="5"/>
  <c r="BB65" i="5"/>
  <c r="AY65" i="5"/>
  <c r="X65" i="5"/>
  <c r="AF64" i="5" s="1"/>
  <c r="Y65" i="5"/>
  <c r="Z65" i="5" s="1"/>
  <c r="AD65" i="5"/>
  <c r="AA64" i="5"/>
  <c r="AB64" i="5" s="1"/>
  <c r="AE64" i="5" s="1"/>
  <c r="BC64" i="5"/>
  <c r="BD64" i="5" s="1"/>
  <c r="BM65" i="5"/>
  <c r="BP65" i="5"/>
  <c r="BO65" i="5"/>
  <c r="C81" i="5"/>
  <c r="BS65" i="5"/>
  <c r="U65" i="5"/>
  <c r="AA65" i="5" s="1"/>
  <c r="BE65" i="5"/>
  <c r="AC65" i="5"/>
  <c r="W66" i="5" s="1"/>
  <c r="T66" i="5"/>
  <c r="AQ65" i="5"/>
  <c r="V65" i="5"/>
  <c r="I81" i="5" s="1"/>
  <c r="R81" i="5" s="1"/>
  <c r="BF63" i="5"/>
  <c r="BG63" i="5" s="1"/>
  <c r="AO64" i="5"/>
  <c r="AP64" i="5" s="1"/>
  <c r="BR64" i="5"/>
  <c r="BT63" i="5"/>
  <c r="BU63" i="5" s="1"/>
  <c r="BT57" i="4"/>
  <c r="G76" i="4" s="1"/>
  <c r="BP58" i="4"/>
  <c r="BQ58" i="4" s="1"/>
  <c r="F77" i="4" s="1"/>
  <c r="BS59" i="4"/>
  <c r="BN59" i="4"/>
  <c r="BO59" i="4" s="1"/>
  <c r="AF64" i="4"/>
  <c r="AG76" i="4" s="1"/>
  <c r="AL52" i="4"/>
  <c r="AN52" i="4" s="1"/>
  <c r="AW40" i="4"/>
  <c r="AX40" i="4" s="1"/>
  <c r="AQ61" i="4"/>
  <c r="AU40" i="4"/>
  <c r="AV40" i="4" s="1"/>
  <c r="AR41" i="4" s="1"/>
  <c r="AT41" i="4" s="1"/>
  <c r="AF65" i="4"/>
  <c r="AG77" i="4" s="1"/>
  <c r="AL53" i="4"/>
  <c r="AN53" i="4" s="1"/>
  <c r="AA60" i="4"/>
  <c r="BG61" i="4"/>
  <c r="X61" i="4"/>
  <c r="Y61" i="4" s="1"/>
  <c r="S62" i="4"/>
  <c r="C80" i="4"/>
  <c r="H80" i="4" s="1"/>
  <c r="H80" i="5" l="1"/>
  <c r="Q80" i="5" s="1"/>
  <c r="BF62" i="4"/>
  <c r="BL61" i="4" s="1"/>
  <c r="BM61" i="4" s="1"/>
  <c r="BH62" i="4"/>
  <c r="BI61" i="4"/>
  <c r="BJ61" i="4" s="1"/>
  <c r="BR61" i="4" s="1"/>
  <c r="Z61" i="4"/>
  <c r="AA61" i="4" s="1"/>
  <c r="V62" i="4"/>
  <c r="AC62" i="4" s="1"/>
  <c r="W62" i="4"/>
  <c r="AP61" i="4" s="1"/>
  <c r="AS61" i="4" s="1"/>
  <c r="AB62" i="4"/>
  <c r="BK62" i="4"/>
  <c r="BE63" i="4" s="1"/>
  <c r="T62" i="4"/>
  <c r="Z62" i="4" s="1"/>
  <c r="U62" i="4"/>
  <c r="I81" i="4" s="1"/>
  <c r="BI66" i="5"/>
  <c r="BW66" i="5"/>
  <c r="BY63" i="5"/>
  <c r="G79" i="5" s="1"/>
  <c r="P79" i="5" s="1"/>
  <c r="BK63" i="5"/>
  <c r="F79" i="5" s="1"/>
  <c r="O79" i="5" s="1"/>
  <c r="AG66" i="5"/>
  <c r="AU66" i="5"/>
  <c r="AW63" i="5"/>
  <c r="E79" i="5" s="1"/>
  <c r="N79" i="5" s="1"/>
  <c r="AV63" i="5"/>
  <c r="AH63" i="5"/>
  <c r="AI63" i="5"/>
  <c r="D79" i="5" s="1"/>
  <c r="M79" i="5" s="1"/>
  <c r="L81" i="5"/>
  <c r="AE54" i="4"/>
  <c r="AO54" i="4" s="1"/>
  <c r="AH42" i="4"/>
  <c r="AJ42" i="4" s="1"/>
  <c r="AK42" i="4" s="1"/>
  <c r="BA42" i="4" s="1"/>
  <c r="BB40" i="4"/>
  <c r="BS60" i="4"/>
  <c r="AZ65" i="5"/>
  <c r="BH64" i="5" s="1"/>
  <c r="BJ64" i="5" s="1"/>
  <c r="BN65" i="5"/>
  <c r="BV64" i="5" s="1"/>
  <c r="BX64" i="5" s="1"/>
  <c r="AR64" i="5"/>
  <c r="AS64" i="5" s="1"/>
  <c r="BF64" i="5"/>
  <c r="BG64" i="5" s="1"/>
  <c r="Y66" i="5"/>
  <c r="Z66" i="5" s="1"/>
  <c r="X66" i="5"/>
  <c r="AF65" i="5" s="1"/>
  <c r="BC65" i="5"/>
  <c r="BD65" i="5" s="1"/>
  <c r="AM66" i="5"/>
  <c r="AN66" i="5"/>
  <c r="AK66" i="5"/>
  <c r="AL66" i="5"/>
  <c r="AT65" i="5" s="1"/>
  <c r="BA66" i="5"/>
  <c r="AY66" i="5"/>
  <c r="BB66" i="5"/>
  <c r="BT64" i="5"/>
  <c r="BU64" i="5" s="1"/>
  <c r="BS66" i="5"/>
  <c r="AQ66" i="5"/>
  <c r="BE66" i="5"/>
  <c r="AC66" i="5"/>
  <c r="U66" i="5"/>
  <c r="BQ66" i="5" s="1"/>
  <c r="C82" i="5"/>
  <c r="T67" i="5"/>
  <c r="AD66" i="5"/>
  <c r="V66" i="5"/>
  <c r="I82" i="5" s="1"/>
  <c r="R82" i="5" s="1"/>
  <c r="BO66" i="5"/>
  <c r="BP66" i="5"/>
  <c r="BM66" i="5"/>
  <c r="AO65" i="5"/>
  <c r="AP65" i="5" s="1"/>
  <c r="BQ65" i="5"/>
  <c r="BR65" i="5" s="1"/>
  <c r="AB65" i="5"/>
  <c r="AE65" i="5" s="1"/>
  <c r="BP59" i="4"/>
  <c r="BQ59" i="4" s="1"/>
  <c r="F78" i="4" s="1"/>
  <c r="BT58" i="4"/>
  <c r="G77" i="4" s="1"/>
  <c r="BN60" i="4"/>
  <c r="BO60" i="4" s="1"/>
  <c r="AW41" i="4"/>
  <c r="AX41" i="4" s="1"/>
  <c r="AY40" i="4"/>
  <c r="AQ62" i="4"/>
  <c r="AU41" i="4"/>
  <c r="AV41" i="4" s="1"/>
  <c r="AR42" i="4" s="1"/>
  <c r="AT42" i="4" s="1"/>
  <c r="AD44" i="4"/>
  <c r="AE55" i="4"/>
  <c r="AO55" i="4" s="1"/>
  <c r="AH43" i="4"/>
  <c r="AJ43" i="4" s="1"/>
  <c r="AK43" i="4" s="1"/>
  <c r="BG62" i="4"/>
  <c r="S63" i="4"/>
  <c r="C81" i="4"/>
  <c r="H81" i="4" s="1"/>
  <c r="X62" i="4"/>
  <c r="Y62" i="4" s="1"/>
  <c r="BH63" i="4" l="1"/>
  <c r="H81" i="5"/>
  <c r="Q81" i="5" s="1"/>
  <c r="V63" i="4"/>
  <c r="W63" i="4"/>
  <c r="AP62" i="4" s="1"/>
  <c r="BF63" i="4"/>
  <c r="BL62" i="4" s="1"/>
  <c r="BM62" i="4" s="1"/>
  <c r="AC63" i="4"/>
  <c r="AB63" i="4"/>
  <c r="BK63" i="4"/>
  <c r="BE64" i="4" s="1"/>
  <c r="T63" i="4"/>
  <c r="U63" i="4"/>
  <c r="I82" i="4" s="1"/>
  <c r="BI62" i="4"/>
  <c r="BJ62" i="4" s="1"/>
  <c r="BR62" i="4" s="1"/>
  <c r="AM62" i="4"/>
  <c r="BI67" i="5"/>
  <c r="BW67" i="5"/>
  <c r="BY64" i="5"/>
  <c r="G80" i="5" s="1"/>
  <c r="P80" i="5" s="1"/>
  <c r="BK64" i="5"/>
  <c r="F80" i="5" s="1"/>
  <c r="O80" i="5" s="1"/>
  <c r="AW64" i="5"/>
  <c r="E80" i="5" s="1"/>
  <c r="N80" i="5" s="1"/>
  <c r="AV64" i="5"/>
  <c r="AG67" i="5"/>
  <c r="AU67" i="5"/>
  <c r="AH64" i="5"/>
  <c r="AI64" i="5"/>
  <c r="D80" i="5" s="1"/>
  <c r="M80" i="5" s="1"/>
  <c r="AF66" i="4"/>
  <c r="AG78" i="4" s="1"/>
  <c r="L82" i="5"/>
  <c r="AL54" i="4"/>
  <c r="AN54" i="4" s="1"/>
  <c r="BB41" i="4"/>
  <c r="AY41" i="4"/>
  <c r="AZ66" i="5"/>
  <c r="BH65" i="5" s="1"/>
  <c r="BJ65" i="5" s="1"/>
  <c r="BN66" i="5"/>
  <c r="BV65" i="5" s="1"/>
  <c r="BX65" i="5" s="1"/>
  <c r="AO66" i="5"/>
  <c r="AP66" i="5" s="1"/>
  <c r="AA66" i="5"/>
  <c r="AB66" i="5" s="1"/>
  <c r="AE66" i="5" s="1"/>
  <c r="W67" i="5" s="1"/>
  <c r="BF65" i="5"/>
  <c r="BG65" i="5" s="1"/>
  <c r="BK65" i="5" s="1"/>
  <c r="AR65" i="5"/>
  <c r="AS65" i="5" s="1"/>
  <c r="BT65" i="5"/>
  <c r="BU65" i="5" s="1"/>
  <c r="BS67" i="5"/>
  <c r="AQ67" i="5"/>
  <c r="AC67" i="5"/>
  <c r="AA67" i="5"/>
  <c r="C83" i="5"/>
  <c r="U67" i="5"/>
  <c r="BQ67" i="5" s="1"/>
  <c r="T68" i="5"/>
  <c r="BE67" i="5"/>
  <c r="V67" i="5"/>
  <c r="I83" i="5" s="1"/>
  <c r="R83" i="5" s="1"/>
  <c r="BR66" i="5"/>
  <c r="BP67" i="5" s="1"/>
  <c r="BA67" i="5"/>
  <c r="AY67" i="5"/>
  <c r="BC66" i="5"/>
  <c r="BD66" i="5" s="1"/>
  <c r="AL67" i="5"/>
  <c r="AT66" i="5" s="1"/>
  <c r="AM67" i="5"/>
  <c r="AK67" i="5"/>
  <c r="BO67" i="5"/>
  <c r="BM67" i="5"/>
  <c r="BT59" i="4"/>
  <c r="G78" i="4" s="1"/>
  <c r="BP60" i="4"/>
  <c r="BT60" i="4" s="1"/>
  <c r="G79" i="4" s="1"/>
  <c r="BS61" i="4"/>
  <c r="BN61" i="4"/>
  <c r="BO61" i="4" s="1"/>
  <c r="BC40" i="4"/>
  <c r="E59" i="4" s="1"/>
  <c r="AW42" i="4"/>
  <c r="AX42" i="4" s="1"/>
  <c r="AZ40" i="4"/>
  <c r="D59" i="4" s="1"/>
  <c r="AU42" i="4"/>
  <c r="AV42" i="4" s="1"/>
  <c r="AR43" i="4" s="1"/>
  <c r="AT43" i="4" s="1"/>
  <c r="BA43" i="4"/>
  <c r="AL55" i="4"/>
  <c r="AN55" i="4" s="1"/>
  <c r="AF67" i="4"/>
  <c r="AG79" i="4" s="1"/>
  <c r="AD45" i="4"/>
  <c r="AE56" i="4"/>
  <c r="AO56" i="4" s="1"/>
  <c r="AH44" i="4"/>
  <c r="AJ44" i="4" s="1"/>
  <c r="AK44" i="4" s="1"/>
  <c r="AA62" i="4"/>
  <c r="BG63" i="4"/>
  <c r="S64" i="4"/>
  <c r="C82" i="4"/>
  <c r="H82" i="4" s="1"/>
  <c r="H31" i="4" s="1"/>
  <c r="P31" i="4" s="1"/>
  <c r="X63" i="4"/>
  <c r="Y63" i="4" s="1"/>
  <c r="AS62" i="4"/>
  <c r="W68" i="5" l="1"/>
  <c r="L83" i="5"/>
  <c r="H82" i="5"/>
  <c r="Q82" i="5" s="1"/>
  <c r="BF64" i="4"/>
  <c r="BL63" i="4" s="1"/>
  <c r="BM63" i="4" s="1"/>
  <c r="AB64" i="4"/>
  <c r="Z64" i="4"/>
  <c r="BK64" i="4"/>
  <c r="BE65" i="4" s="1"/>
  <c r="T64" i="4"/>
  <c r="U64" i="4"/>
  <c r="I83" i="4" s="1"/>
  <c r="BI63" i="4"/>
  <c r="BJ63" i="4" s="1"/>
  <c r="BR63" i="4" s="1"/>
  <c r="AM63" i="4"/>
  <c r="Z63" i="4"/>
  <c r="AA63" i="4" s="1"/>
  <c r="BI68" i="5"/>
  <c r="BW68" i="5"/>
  <c r="BY65" i="5"/>
  <c r="G81" i="5" s="1"/>
  <c r="P81" i="5" s="1"/>
  <c r="F81" i="5"/>
  <c r="O81" i="5" s="1"/>
  <c r="AV65" i="5"/>
  <c r="AW65" i="5"/>
  <c r="E81" i="5" s="1"/>
  <c r="N81" i="5" s="1"/>
  <c r="AG68" i="5"/>
  <c r="AU68" i="5"/>
  <c r="AH65" i="5"/>
  <c r="AI65" i="5"/>
  <c r="D81" i="5" s="1"/>
  <c r="M81" i="5" s="1"/>
  <c r="BC41" i="4"/>
  <c r="E60" i="4" s="1"/>
  <c r="BB42" i="4"/>
  <c r="AY42" i="4"/>
  <c r="BN62" i="4"/>
  <c r="BO62" i="4" s="1"/>
  <c r="AZ67" i="5"/>
  <c r="BH66" i="5" s="1"/>
  <c r="BJ66" i="5" s="1"/>
  <c r="BN67" i="5"/>
  <c r="BV66" i="5" s="1"/>
  <c r="BX66" i="5" s="1"/>
  <c r="Y67" i="5"/>
  <c r="Z67" i="5" s="1"/>
  <c r="AB67" i="5" s="1"/>
  <c r="X67" i="5"/>
  <c r="AF66" i="5" s="1"/>
  <c r="BF66" i="5"/>
  <c r="BG66" i="5" s="1"/>
  <c r="BB67" i="5"/>
  <c r="BB68" i="5" s="1"/>
  <c r="BC67" i="5"/>
  <c r="AO67" i="5"/>
  <c r="AR66" i="5"/>
  <c r="AS66" i="5" s="1"/>
  <c r="AY68" i="5"/>
  <c r="BA68" i="5"/>
  <c r="C84" i="5"/>
  <c r="T69" i="5"/>
  <c r="AA68" i="5"/>
  <c r="BS68" i="5"/>
  <c r="BE68" i="5"/>
  <c r="AQ68" i="5"/>
  <c r="U68" i="5"/>
  <c r="AO68" i="5" s="1"/>
  <c r="AC68" i="5"/>
  <c r="V68" i="5"/>
  <c r="I84" i="5" s="1"/>
  <c r="R84" i="5" s="1"/>
  <c r="AK68" i="5"/>
  <c r="AM68" i="5"/>
  <c r="AL68" i="5"/>
  <c r="AT67" i="5" s="1"/>
  <c r="BM68" i="5"/>
  <c r="BP68" i="5"/>
  <c r="BO68" i="5"/>
  <c r="AN67" i="5"/>
  <c r="AN68" i="5" s="1"/>
  <c r="BT66" i="5"/>
  <c r="BU66" i="5" s="1"/>
  <c r="BR67" i="5"/>
  <c r="BP61" i="4"/>
  <c r="BQ61" i="4" s="1"/>
  <c r="F80" i="4" s="1"/>
  <c r="BQ60" i="4"/>
  <c r="F79" i="4" s="1"/>
  <c r="BS62" i="4"/>
  <c r="AZ41" i="4"/>
  <c r="D60" i="4" s="1"/>
  <c r="AW43" i="4"/>
  <c r="AX43" i="4" s="1"/>
  <c r="AQ64" i="4"/>
  <c r="AU43" i="4"/>
  <c r="AV43" i="4" s="1"/>
  <c r="AR44" i="4" s="1"/>
  <c r="AT44" i="4" s="1"/>
  <c r="BA44" i="4"/>
  <c r="AF68" i="4"/>
  <c r="AG80" i="4" s="1"/>
  <c r="AL56" i="4"/>
  <c r="AN56" i="4" s="1"/>
  <c r="AD46" i="4"/>
  <c r="AE57" i="4"/>
  <c r="AO57" i="4" s="1"/>
  <c r="AH45" i="4"/>
  <c r="AJ45" i="4" s="1"/>
  <c r="AK45" i="4" s="1"/>
  <c r="BG64" i="4"/>
  <c r="S65" i="4"/>
  <c r="C83" i="4"/>
  <c r="B82" i="4" s="1"/>
  <c r="W69" i="5" l="1"/>
  <c r="H83" i="5"/>
  <c r="Q83" i="5" s="1"/>
  <c r="H83" i="4"/>
  <c r="BI64" i="4"/>
  <c r="AM64" i="4"/>
  <c r="Z65" i="4"/>
  <c r="BK65" i="4"/>
  <c r="BE66" i="4" s="1"/>
  <c r="AB65" i="4"/>
  <c r="T65" i="4"/>
  <c r="U65" i="4"/>
  <c r="I84" i="4" s="1"/>
  <c r="BF65" i="4"/>
  <c r="BL64" i="4" s="1"/>
  <c r="BM64" i="4" s="1"/>
  <c r="BI69" i="5"/>
  <c r="BW69" i="5"/>
  <c r="BY66" i="5"/>
  <c r="G82" i="5" s="1"/>
  <c r="P82" i="5" s="1"/>
  <c r="BK66" i="5"/>
  <c r="F82" i="5" s="1"/>
  <c r="O82" i="5" s="1"/>
  <c r="AG69" i="5"/>
  <c r="AU69" i="5"/>
  <c r="AV66" i="5"/>
  <c r="AW66" i="5"/>
  <c r="E82" i="5" s="1"/>
  <c r="N82" i="5" s="1"/>
  <c r="AH66" i="5"/>
  <c r="AI66" i="5"/>
  <c r="D82" i="5" s="1"/>
  <c r="M82" i="5" s="1"/>
  <c r="L84" i="5"/>
  <c r="V64" i="4"/>
  <c r="W64" i="4" s="1"/>
  <c r="BC42" i="4"/>
  <c r="E61" i="4" s="1"/>
  <c r="BB43" i="4"/>
  <c r="AY43" i="4"/>
  <c r="BH64" i="4"/>
  <c r="BH65" i="4" s="1"/>
  <c r="BS63" i="4"/>
  <c r="AZ68" i="5"/>
  <c r="BH67" i="5" s="1"/>
  <c r="BJ67" i="5" s="1"/>
  <c r="BN68" i="5"/>
  <c r="BV67" i="5" s="1"/>
  <c r="BX67" i="5" s="1"/>
  <c r="BP62" i="4"/>
  <c r="BT62" i="4" s="1"/>
  <c r="G81" i="4" s="1"/>
  <c r="BT61" i="4"/>
  <c r="G80" i="4" s="1"/>
  <c r="Y68" i="5"/>
  <c r="Z68" i="5" s="1"/>
  <c r="AB68" i="5" s="1"/>
  <c r="X68" i="5"/>
  <c r="AF67" i="5" s="1"/>
  <c r="AP67" i="5"/>
  <c r="AR67" i="5" s="1"/>
  <c r="AS67" i="5" s="1"/>
  <c r="BQ68" i="5"/>
  <c r="BR68" i="5" s="1"/>
  <c r="AP68" i="5"/>
  <c r="AL69" i="5"/>
  <c r="AT68" i="5" s="1"/>
  <c r="AN69" i="5"/>
  <c r="AK69" i="5"/>
  <c r="AM69" i="5"/>
  <c r="BD67" i="5"/>
  <c r="BB69" i="5"/>
  <c r="AY69" i="5"/>
  <c r="BA69" i="5"/>
  <c r="BC68" i="5"/>
  <c r="BD68" i="5" s="1"/>
  <c r="BO69" i="5"/>
  <c r="BP69" i="5"/>
  <c r="BM69" i="5"/>
  <c r="C85" i="5"/>
  <c r="BS69" i="5"/>
  <c r="AC69" i="5"/>
  <c r="U69" i="5"/>
  <c r="AO69" i="5" s="1"/>
  <c r="BE69" i="5"/>
  <c r="AQ69" i="5"/>
  <c r="T70" i="5"/>
  <c r="AA69" i="5"/>
  <c r="V69" i="5"/>
  <c r="I85" i="5" s="1"/>
  <c r="R85" i="5" s="1"/>
  <c r="BT67" i="5"/>
  <c r="BU67" i="5" s="1"/>
  <c r="AD67" i="5"/>
  <c r="AE67" i="5" s="1"/>
  <c r="BN63" i="4"/>
  <c r="BO63" i="4" s="1"/>
  <c r="AZ42" i="4"/>
  <c r="D61" i="4" s="1"/>
  <c r="AW44" i="4"/>
  <c r="AX44" i="4" s="1"/>
  <c r="BA45" i="4"/>
  <c r="AQ65" i="4"/>
  <c r="AU44" i="4"/>
  <c r="AV44" i="4" s="1"/>
  <c r="AR45" i="4" s="1"/>
  <c r="AT45" i="4" s="1"/>
  <c r="AF69" i="4"/>
  <c r="AG81" i="4" s="1"/>
  <c r="AL57" i="4"/>
  <c r="AN57" i="4" s="1"/>
  <c r="AE58" i="4"/>
  <c r="AO58" i="4" s="1"/>
  <c r="AD47" i="4"/>
  <c r="AH46" i="4"/>
  <c r="AJ46" i="4" s="1"/>
  <c r="AK46" i="4" s="1"/>
  <c r="S66" i="4"/>
  <c r="C84" i="4"/>
  <c r="H84" i="4" s="1"/>
  <c r="BG65" i="4"/>
  <c r="W70" i="5" l="1"/>
  <c r="H84" i="5"/>
  <c r="Q84" i="5" s="1"/>
  <c r="BH66" i="4"/>
  <c r="BI65" i="4"/>
  <c r="AM65" i="4"/>
  <c r="BK66" i="4"/>
  <c r="BE67" i="4" s="1"/>
  <c r="AB66" i="4"/>
  <c r="Z66" i="4"/>
  <c r="T66" i="4"/>
  <c r="U66" i="4"/>
  <c r="I85" i="4" s="1"/>
  <c r="BF66" i="4"/>
  <c r="BL65" i="4" s="1"/>
  <c r="BM65" i="4" s="1"/>
  <c r="BI70" i="5"/>
  <c r="BW70" i="5"/>
  <c r="BY67" i="5"/>
  <c r="G83" i="5" s="1"/>
  <c r="P83" i="5" s="1"/>
  <c r="AV67" i="5"/>
  <c r="AW67" i="5"/>
  <c r="E83" i="5" s="1"/>
  <c r="N83" i="5" s="1"/>
  <c r="AG70" i="5"/>
  <c r="AU70" i="5"/>
  <c r="AH67" i="5"/>
  <c r="AI67" i="5"/>
  <c r="D83" i="5" s="1"/>
  <c r="M83" i="5" s="1"/>
  <c r="V65" i="4"/>
  <c r="V66" i="4" s="1"/>
  <c r="W65" i="4"/>
  <c r="W66" i="4" s="1"/>
  <c r="AP63" i="4"/>
  <c r="AZ69" i="5"/>
  <c r="BH68" i="5" s="1"/>
  <c r="BJ68" i="5" s="1"/>
  <c r="L85" i="5"/>
  <c r="BB44" i="4"/>
  <c r="AY44" i="4"/>
  <c r="BQ62" i="4"/>
  <c r="F81" i="4" s="1"/>
  <c r="BP63" i="4"/>
  <c r="BQ63" i="4" s="1"/>
  <c r="F82" i="4" s="1"/>
  <c r="BN69" i="5"/>
  <c r="BV68" i="5" s="1"/>
  <c r="BX68" i="5" s="1"/>
  <c r="Y69" i="5"/>
  <c r="Z69" i="5" s="1"/>
  <c r="AB69" i="5" s="1"/>
  <c r="X69" i="5"/>
  <c r="AF68" i="5" s="1"/>
  <c r="BC69" i="5"/>
  <c r="BD69" i="5" s="1"/>
  <c r="BQ69" i="5"/>
  <c r="BR69" i="5" s="1"/>
  <c r="BF68" i="5"/>
  <c r="BG68" i="5" s="1"/>
  <c r="AP69" i="5"/>
  <c r="AD68" i="5"/>
  <c r="AE68" i="5" s="1"/>
  <c r="C86" i="5"/>
  <c r="BS70" i="5"/>
  <c r="AQ70" i="5"/>
  <c r="BE70" i="5"/>
  <c r="AC70" i="5"/>
  <c r="U70" i="5"/>
  <c r="BC70" i="5" s="1"/>
  <c r="T71" i="5"/>
  <c r="AA70" i="5"/>
  <c r="V70" i="5"/>
  <c r="I86" i="5" s="1"/>
  <c r="R86" i="5" s="1"/>
  <c r="BT68" i="5"/>
  <c r="BU68" i="5" s="1"/>
  <c r="AM70" i="5"/>
  <c r="AK70" i="5"/>
  <c r="AL70" i="5"/>
  <c r="AT69" i="5" s="1"/>
  <c r="AN70" i="5"/>
  <c r="BF67" i="5"/>
  <c r="BG67" i="5" s="1"/>
  <c r="AR68" i="5"/>
  <c r="AS68" i="5" s="1"/>
  <c r="BA70" i="5"/>
  <c r="AY70" i="5"/>
  <c r="BB70" i="5"/>
  <c r="BO70" i="5"/>
  <c r="BP70" i="5"/>
  <c r="BM70" i="5"/>
  <c r="BC43" i="4"/>
  <c r="E62" i="4" s="1"/>
  <c r="AW45" i="4"/>
  <c r="AX45" i="4" s="1"/>
  <c r="AZ43" i="4"/>
  <c r="D62" i="4" s="1"/>
  <c r="BA46" i="4"/>
  <c r="AQ66" i="4"/>
  <c r="AU45" i="4"/>
  <c r="AV45" i="4" s="1"/>
  <c r="AR46" i="4" s="1"/>
  <c r="AT46" i="4" s="1"/>
  <c r="AH47" i="4"/>
  <c r="AJ47" i="4" s="1"/>
  <c r="AK47" i="4" s="1"/>
  <c r="AE59" i="4"/>
  <c r="AO59" i="4" s="1"/>
  <c r="AD48" i="4"/>
  <c r="AL58" i="4"/>
  <c r="AN58" i="4" s="1"/>
  <c r="AF70" i="4"/>
  <c r="AG82" i="4" s="1"/>
  <c r="BJ64" i="4"/>
  <c r="BR64" i="4" s="1"/>
  <c r="BG66" i="4"/>
  <c r="C85" i="4"/>
  <c r="H85" i="4" s="1"/>
  <c r="S67" i="4"/>
  <c r="W71" i="5" l="1"/>
  <c r="H85" i="5"/>
  <c r="Q85" i="5" s="1"/>
  <c r="BH67" i="4"/>
  <c r="V67" i="4"/>
  <c r="BF67" i="4"/>
  <c r="BL66" i="4" s="1"/>
  <c r="BM66" i="4" s="1"/>
  <c r="BI66" i="4"/>
  <c r="AM66" i="4"/>
  <c r="BK67" i="4"/>
  <c r="BE68" i="4" s="1"/>
  <c r="AB67" i="4"/>
  <c r="Z67" i="4"/>
  <c r="T67" i="4"/>
  <c r="U67" i="4"/>
  <c r="I86" i="4" s="1"/>
  <c r="BI71" i="5"/>
  <c r="BW71" i="5"/>
  <c r="BY68" i="5"/>
  <c r="G84" i="5" s="1"/>
  <c r="P84" i="5" s="1"/>
  <c r="BK67" i="5"/>
  <c r="F83" i="5" s="1"/>
  <c r="O83" i="5" s="1"/>
  <c r="BK68" i="5"/>
  <c r="F84" i="5" s="1"/>
  <c r="O84" i="5" s="1"/>
  <c r="AG71" i="5"/>
  <c r="AU71" i="5"/>
  <c r="AV68" i="5"/>
  <c r="AW68" i="5"/>
  <c r="E84" i="5" s="1"/>
  <c r="N84" i="5" s="1"/>
  <c r="AH68" i="5"/>
  <c r="AI68" i="5"/>
  <c r="D84" i="5" s="1"/>
  <c r="M84" i="5" s="1"/>
  <c r="AZ70" i="5"/>
  <c r="BH69" i="5" s="1"/>
  <c r="BJ69" i="5" s="1"/>
  <c r="AP64" i="4"/>
  <c r="W67" i="4"/>
  <c r="AP65" i="4"/>
  <c r="L86" i="5"/>
  <c r="BB45" i="4"/>
  <c r="AY45" i="4"/>
  <c r="BT63" i="4"/>
  <c r="G82" i="4" s="1"/>
  <c r="BN70" i="5"/>
  <c r="BV69" i="5" s="1"/>
  <c r="BX69" i="5" s="1"/>
  <c r="Y70" i="5"/>
  <c r="Z70" i="5" s="1"/>
  <c r="AB70" i="5" s="1"/>
  <c r="AD70" i="5" s="1"/>
  <c r="AE70" i="5" s="1"/>
  <c r="X70" i="5"/>
  <c r="AF69" i="5" s="1"/>
  <c r="BQ70" i="5"/>
  <c r="BR70" i="5" s="1"/>
  <c r="BT70" i="5" s="1"/>
  <c r="BU70" i="5" s="1"/>
  <c r="BD70" i="5"/>
  <c r="BF70" i="5" s="1"/>
  <c r="BG70" i="5" s="1"/>
  <c r="AO70" i="5"/>
  <c r="AP70" i="5" s="1"/>
  <c r="BF69" i="5"/>
  <c r="BG69" i="5" s="1"/>
  <c r="BB71" i="5"/>
  <c r="AY71" i="5"/>
  <c r="BA71" i="5"/>
  <c r="AN71" i="5"/>
  <c r="AL71" i="5"/>
  <c r="AT70" i="5" s="1"/>
  <c r="AK71" i="5"/>
  <c r="AM71" i="5"/>
  <c r="BP71" i="5"/>
  <c r="BO71" i="5"/>
  <c r="BM71" i="5"/>
  <c r="AD69" i="5"/>
  <c r="AE69" i="5" s="1"/>
  <c r="C87" i="5"/>
  <c r="T72" i="5"/>
  <c r="AQ71" i="5"/>
  <c r="BS71" i="5"/>
  <c r="AC71" i="5"/>
  <c r="BE71" i="5"/>
  <c r="AA71" i="5"/>
  <c r="U71" i="5"/>
  <c r="BC71" i="5" s="1"/>
  <c r="V71" i="5"/>
  <c r="I87" i="5" s="1"/>
  <c r="R87" i="5" s="1"/>
  <c r="BT69" i="5"/>
  <c r="BU69" i="5" s="1"/>
  <c r="AR69" i="5"/>
  <c r="AS69" i="5" s="1"/>
  <c r="BS64" i="4"/>
  <c r="BN64" i="4"/>
  <c r="BO64" i="4" s="1"/>
  <c r="AW46" i="4"/>
  <c r="AX46" i="4" s="1"/>
  <c r="BC44" i="4"/>
  <c r="E63" i="4" s="1"/>
  <c r="AZ44" i="4"/>
  <c r="D63" i="4" s="1"/>
  <c r="BA47" i="4"/>
  <c r="BJ65" i="4"/>
  <c r="BR65" i="4" s="1"/>
  <c r="AQ67" i="4"/>
  <c r="AU46" i="4"/>
  <c r="AV46" i="4" s="1"/>
  <c r="AR47" i="4" s="1"/>
  <c r="AT47" i="4" s="1"/>
  <c r="AH48" i="4"/>
  <c r="AJ48" i="4" s="1"/>
  <c r="AK48" i="4" s="1"/>
  <c r="AD49" i="4"/>
  <c r="AE60" i="4"/>
  <c r="AO60" i="4" s="1"/>
  <c r="AF71" i="4"/>
  <c r="AG83" i="4" s="1"/>
  <c r="AL59" i="4"/>
  <c r="AN59" i="4" s="1"/>
  <c r="BG67" i="4"/>
  <c r="S68" i="4"/>
  <c r="C86" i="4"/>
  <c r="H86" i="4" s="1"/>
  <c r="W72" i="5" l="1"/>
  <c r="H86" i="5"/>
  <c r="Q86" i="5" s="1"/>
  <c r="BF68" i="4"/>
  <c r="V68" i="4"/>
  <c r="BI67" i="4"/>
  <c r="AM67" i="4"/>
  <c r="BH68" i="4"/>
  <c r="BK68" i="4"/>
  <c r="BE69" i="4" s="1"/>
  <c r="AB68" i="4"/>
  <c r="Z68" i="4"/>
  <c r="T68" i="4"/>
  <c r="U68" i="4"/>
  <c r="I87" i="4" s="1"/>
  <c r="BI72" i="5"/>
  <c r="BW72" i="5"/>
  <c r="BY70" i="5"/>
  <c r="G86" i="5" s="1"/>
  <c r="P86" i="5" s="1"/>
  <c r="BY69" i="5"/>
  <c r="G85" i="5" s="1"/>
  <c r="P85" i="5" s="1"/>
  <c r="BK70" i="5"/>
  <c r="F86" i="5" s="1"/>
  <c r="O86" i="5" s="1"/>
  <c r="BK69" i="5"/>
  <c r="F85" i="5" s="1"/>
  <c r="O85" i="5" s="1"/>
  <c r="AV69" i="5"/>
  <c r="AW69" i="5"/>
  <c r="E85" i="5" s="1"/>
  <c r="N85" i="5" s="1"/>
  <c r="AG72" i="5"/>
  <c r="AU72" i="5"/>
  <c r="AH69" i="5"/>
  <c r="AI69" i="5"/>
  <c r="D85" i="5" s="1"/>
  <c r="M85" i="5" s="1"/>
  <c r="AZ71" i="5"/>
  <c r="BH70" i="5" s="1"/>
  <c r="BJ70" i="5" s="1"/>
  <c r="L87" i="5"/>
  <c r="W68" i="4"/>
  <c r="AP66" i="4"/>
  <c r="BB46" i="4"/>
  <c r="BP64" i="4"/>
  <c r="BN71" i="5"/>
  <c r="BV70" i="5" s="1"/>
  <c r="BX70" i="5" s="1"/>
  <c r="Y71" i="5"/>
  <c r="Z71" i="5" s="1"/>
  <c r="AB71" i="5" s="1"/>
  <c r="X71" i="5"/>
  <c r="AF70" i="5" s="1"/>
  <c r="AR70" i="5"/>
  <c r="AS70" i="5" s="1"/>
  <c r="BP72" i="5"/>
  <c r="BO72" i="5"/>
  <c r="BM72" i="5"/>
  <c r="AN72" i="5"/>
  <c r="AL72" i="5"/>
  <c r="AT71" i="5" s="1"/>
  <c r="AK72" i="5"/>
  <c r="AM72" i="5"/>
  <c r="BD71" i="5"/>
  <c r="BQ71" i="5"/>
  <c r="BR71" i="5" s="1"/>
  <c r="AO71" i="5"/>
  <c r="AP71" i="5" s="1"/>
  <c r="C88" i="5"/>
  <c r="AQ72" i="5"/>
  <c r="BE72" i="5"/>
  <c r="T73" i="5"/>
  <c r="BS72" i="5"/>
  <c r="AA72" i="5"/>
  <c r="U72" i="5"/>
  <c r="BQ72" i="5" s="1"/>
  <c r="AC72" i="5"/>
  <c r="V72" i="5"/>
  <c r="I88" i="5" s="1"/>
  <c r="R88" i="5" s="1"/>
  <c r="BB72" i="5"/>
  <c r="AY72" i="5"/>
  <c r="BA72" i="5"/>
  <c r="BS65" i="4"/>
  <c r="BN65" i="4"/>
  <c r="BO65" i="4" s="1"/>
  <c r="BC45" i="4"/>
  <c r="E64" i="4" s="1"/>
  <c r="AZ45" i="4"/>
  <c r="D64" i="4" s="1"/>
  <c r="AW47" i="4"/>
  <c r="AX47" i="4" s="1"/>
  <c r="BA48" i="4"/>
  <c r="AQ68" i="4"/>
  <c r="AU47" i="4"/>
  <c r="AV47" i="4" s="1"/>
  <c r="AR48" i="4" s="1"/>
  <c r="AT48" i="4" s="1"/>
  <c r="AF72" i="4"/>
  <c r="AG84" i="4" s="1"/>
  <c r="AL60" i="4"/>
  <c r="AN60" i="4" s="1"/>
  <c r="AH49" i="4"/>
  <c r="AJ49" i="4" s="1"/>
  <c r="AK49" i="4" s="1"/>
  <c r="AD50" i="4"/>
  <c r="AE61" i="4"/>
  <c r="AO61" i="4" s="1"/>
  <c r="BJ66" i="4"/>
  <c r="BR66" i="4" s="1"/>
  <c r="S69" i="4"/>
  <c r="C87" i="4"/>
  <c r="H87" i="4" s="1"/>
  <c r="BL67" i="4"/>
  <c r="BM67" i="4" s="1"/>
  <c r="BG68" i="4"/>
  <c r="W73" i="5" l="1"/>
  <c r="H87" i="5"/>
  <c r="Q87" i="5" s="1"/>
  <c r="BH69" i="4"/>
  <c r="V69" i="4"/>
  <c r="BI68" i="4"/>
  <c r="AM68" i="4"/>
  <c r="BF69" i="4"/>
  <c r="BL68" i="4" s="1"/>
  <c r="BM68" i="4" s="1"/>
  <c r="Z69" i="4"/>
  <c r="BK69" i="4"/>
  <c r="BE70" i="4" s="1"/>
  <c r="AB69" i="4"/>
  <c r="T69" i="4"/>
  <c r="U69" i="4"/>
  <c r="I88" i="4" s="1"/>
  <c r="BI73" i="5"/>
  <c r="BW73" i="5"/>
  <c r="AV70" i="5"/>
  <c r="AW70" i="5"/>
  <c r="E86" i="5" s="1"/>
  <c r="N86" i="5" s="1"/>
  <c r="AG73" i="5"/>
  <c r="AU73" i="5"/>
  <c r="AH70" i="5"/>
  <c r="AI70" i="5"/>
  <c r="D86" i="5" s="1"/>
  <c r="M86" i="5" s="1"/>
  <c r="AZ72" i="5"/>
  <c r="BH71" i="5" s="1"/>
  <c r="BJ71" i="5" s="1"/>
  <c r="L88" i="5"/>
  <c r="W69" i="4"/>
  <c r="AP67" i="4"/>
  <c r="Y72" i="5"/>
  <c r="Z72" i="5" s="1"/>
  <c r="AB72" i="5" s="1"/>
  <c r="BQ64" i="4"/>
  <c r="F83" i="4" s="1"/>
  <c r="BT64" i="4"/>
  <c r="G83" i="4" s="1"/>
  <c r="BP65" i="4"/>
  <c r="BB47" i="4"/>
  <c r="BN72" i="5"/>
  <c r="BV71" i="5" s="1"/>
  <c r="BX71" i="5" s="1"/>
  <c r="X72" i="5"/>
  <c r="AF71" i="5" s="1"/>
  <c r="BC72" i="5"/>
  <c r="BD72" i="5" s="1"/>
  <c r="AO72" i="5"/>
  <c r="AP72" i="5" s="1"/>
  <c r="BT71" i="5"/>
  <c r="BU71" i="5" s="1"/>
  <c r="BY71" i="5" s="1"/>
  <c r="AR71" i="5"/>
  <c r="AS71" i="5" s="1"/>
  <c r="AD71" i="5"/>
  <c r="AE71" i="5" s="1"/>
  <c r="BM73" i="5"/>
  <c r="BO73" i="5"/>
  <c r="BP73" i="5"/>
  <c r="C89" i="5"/>
  <c r="T74" i="5"/>
  <c r="AA73" i="5"/>
  <c r="BE73" i="5"/>
  <c r="U73" i="5"/>
  <c r="BQ73" i="5" s="1"/>
  <c r="AQ73" i="5"/>
  <c r="BS73" i="5"/>
  <c r="AC73" i="5"/>
  <c r="V73" i="5"/>
  <c r="I89" i="5" s="1"/>
  <c r="R89" i="5" s="1"/>
  <c r="BF71" i="5"/>
  <c r="BG71" i="5" s="1"/>
  <c r="AY73" i="5"/>
  <c r="BB73" i="5"/>
  <c r="BA73" i="5"/>
  <c r="BR72" i="5"/>
  <c r="AK73" i="5"/>
  <c r="AM73" i="5"/>
  <c r="AL73" i="5"/>
  <c r="AT72" i="5" s="1"/>
  <c r="AN73" i="5"/>
  <c r="BS66" i="4"/>
  <c r="BN66" i="4"/>
  <c r="BO66" i="4" s="1"/>
  <c r="BA49" i="4"/>
  <c r="AY46" i="4"/>
  <c r="AZ46" i="4" s="1"/>
  <c r="D65" i="4" s="1"/>
  <c r="AW48" i="4"/>
  <c r="AX48" i="4" s="1"/>
  <c r="AQ69" i="4"/>
  <c r="AU48" i="4"/>
  <c r="AV48" i="4" s="1"/>
  <c r="AR49" i="4" s="1"/>
  <c r="AT49" i="4" s="1"/>
  <c r="AL61" i="4"/>
  <c r="AN61" i="4" s="1"/>
  <c r="AF73" i="4"/>
  <c r="AG85" i="4" s="1"/>
  <c r="AD51" i="4"/>
  <c r="AE62" i="4"/>
  <c r="AO62" i="4" s="1"/>
  <c r="AH50" i="4"/>
  <c r="AJ50" i="4" s="1"/>
  <c r="AK50" i="4" s="1"/>
  <c r="BJ67" i="4"/>
  <c r="BR67" i="4" s="1"/>
  <c r="BG69" i="4"/>
  <c r="S70" i="4"/>
  <c r="C88" i="4"/>
  <c r="H88" i="4" s="1"/>
  <c r="W74" i="5" l="1"/>
  <c r="H88" i="5"/>
  <c r="Q88" i="5" s="1"/>
  <c r="V70" i="4"/>
  <c r="BF70" i="4"/>
  <c r="AB70" i="4"/>
  <c r="BK70" i="4"/>
  <c r="BE71" i="4" s="1"/>
  <c r="Z70" i="4"/>
  <c r="T70" i="4"/>
  <c r="U70" i="4"/>
  <c r="I89" i="4" s="1"/>
  <c r="BI69" i="4"/>
  <c r="AM69" i="4"/>
  <c r="BH70" i="4"/>
  <c r="BI74" i="5"/>
  <c r="BW74" i="5"/>
  <c r="G87" i="5"/>
  <c r="P87" i="5" s="1"/>
  <c r="BK71" i="5"/>
  <c r="F87" i="5" s="1"/>
  <c r="O87" i="5" s="1"/>
  <c r="AG74" i="5"/>
  <c r="AU74" i="5"/>
  <c r="AV71" i="5"/>
  <c r="AW71" i="5"/>
  <c r="E87" i="5" s="1"/>
  <c r="N87" i="5" s="1"/>
  <c r="AH71" i="5"/>
  <c r="AI71" i="5"/>
  <c r="D87" i="5" s="1"/>
  <c r="M87" i="5" s="1"/>
  <c r="AZ73" i="5"/>
  <c r="BH72" i="5" s="1"/>
  <c r="BJ72" i="5" s="1"/>
  <c r="W70" i="4"/>
  <c r="AP68" i="4"/>
  <c r="L89" i="5"/>
  <c r="Y73" i="5"/>
  <c r="Z73" i="5" s="1"/>
  <c r="AB73" i="5" s="1"/>
  <c r="AD73" i="5" s="1"/>
  <c r="BT65" i="4"/>
  <c r="G84" i="4" s="1"/>
  <c r="BQ65" i="4"/>
  <c r="F84" i="4" s="1"/>
  <c r="BB48" i="4"/>
  <c r="BP66" i="4"/>
  <c r="BN73" i="5"/>
  <c r="BV72" i="5" s="1"/>
  <c r="BX72" i="5" s="1"/>
  <c r="X73" i="5"/>
  <c r="AF72" i="5" s="1"/>
  <c r="AL74" i="5"/>
  <c r="AT73" i="5" s="1"/>
  <c r="AN74" i="5"/>
  <c r="AM74" i="5"/>
  <c r="AK74" i="5"/>
  <c r="BC73" i="5"/>
  <c r="BD73" i="5" s="1"/>
  <c r="C90" i="5"/>
  <c r="AA74" i="5"/>
  <c r="BS74" i="5"/>
  <c r="T75" i="5"/>
  <c r="U74" i="5"/>
  <c r="BC74" i="5" s="1"/>
  <c r="BE74" i="5"/>
  <c r="AQ74" i="5"/>
  <c r="AC74" i="5"/>
  <c r="V74" i="5"/>
  <c r="I90" i="5" s="1"/>
  <c r="R90" i="5" s="1"/>
  <c r="AD72" i="5"/>
  <c r="AE72" i="5" s="1"/>
  <c r="BF72" i="5"/>
  <c r="BG72" i="5" s="1"/>
  <c r="BR73" i="5"/>
  <c r="AR72" i="5"/>
  <c r="AS72" i="5" s="1"/>
  <c r="BA74" i="5"/>
  <c r="AY74" i="5"/>
  <c r="BB74" i="5"/>
  <c r="BT72" i="5"/>
  <c r="BU72" i="5" s="1"/>
  <c r="BM74" i="5"/>
  <c r="BO74" i="5"/>
  <c r="BP74" i="5"/>
  <c r="AO73" i="5"/>
  <c r="AP73" i="5" s="1"/>
  <c r="BS67" i="4"/>
  <c r="BN67" i="4"/>
  <c r="BO67" i="4" s="1"/>
  <c r="BC46" i="4"/>
  <c r="E65" i="4" s="1"/>
  <c r="BA50" i="4"/>
  <c r="AW49" i="4"/>
  <c r="AX49" i="4" s="1"/>
  <c r="AQ70" i="4"/>
  <c r="AU49" i="4"/>
  <c r="AV49" i="4" s="1"/>
  <c r="AR50" i="4" s="1"/>
  <c r="AT50" i="4" s="1"/>
  <c r="AF74" i="4"/>
  <c r="AG86" i="4" s="1"/>
  <c r="AL62" i="4"/>
  <c r="AN62" i="4" s="1"/>
  <c r="AE63" i="4"/>
  <c r="AO63" i="4" s="1"/>
  <c r="AH51" i="4"/>
  <c r="AJ51" i="4" s="1"/>
  <c r="AK51" i="4" s="1"/>
  <c r="BJ68" i="4"/>
  <c r="BR68" i="4" s="1"/>
  <c r="S71" i="4"/>
  <c r="C89" i="4"/>
  <c r="H89" i="4" s="1"/>
  <c r="BG70" i="4"/>
  <c r="V71" i="4" l="1"/>
  <c r="W75" i="5"/>
  <c r="H89" i="5"/>
  <c r="Q89" i="5" s="1"/>
  <c r="BF71" i="4"/>
  <c r="BL70" i="4" s="1"/>
  <c r="AB71" i="4"/>
  <c r="V72" i="4" s="1"/>
  <c r="Z71" i="4"/>
  <c r="BK71" i="4"/>
  <c r="BE72" i="4" s="1"/>
  <c r="T71" i="4"/>
  <c r="U71" i="4"/>
  <c r="I90" i="4" s="1"/>
  <c r="BI70" i="4"/>
  <c r="BJ70" i="4" s="1"/>
  <c r="BR70" i="4" s="1"/>
  <c r="AM70" i="4"/>
  <c r="BL69" i="4"/>
  <c r="BM69" i="4" s="1"/>
  <c r="BH71" i="4"/>
  <c r="BI75" i="5"/>
  <c r="BW75" i="5"/>
  <c r="BY72" i="5"/>
  <c r="G88" i="5" s="1"/>
  <c r="P88" i="5" s="1"/>
  <c r="AZ74" i="5"/>
  <c r="BH73" i="5" s="1"/>
  <c r="BJ73" i="5" s="1"/>
  <c r="BK72" i="5"/>
  <c r="F88" i="5" s="1"/>
  <c r="O88" i="5" s="1"/>
  <c r="AG75" i="5"/>
  <c r="AU75" i="5"/>
  <c r="AW72" i="5"/>
  <c r="E88" i="5" s="1"/>
  <c r="N88" i="5" s="1"/>
  <c r="AV72" i="5"/>
  <c r="AH72" i="5"/>
  <c r="AI72" i="5"/>
  <c r="D88" i="5" s="1"/>
  <c r="M88" i="5" s="1"/>
  <c r="Y74" i="5"/>
  <c r="Z74" i="5" s="1"/>
  <c r="AB74" i="5" s="1"/>
  <c r="AD74" i="5" s="1"/>
  <c r="L90" i="5"/>
  <c r="W71" i="4"/>
  <c r="AP69" i="4"/>
  <c r="BQ66" i="4"/>
  <c r="F85" i="4" s="1"/>
  <c r="BT66" i="4"/>
  <c r="G85" i="4" s="1"/>
  <c r="BB49" i="4"/>
  <c r="BN74" i="5"/>
  <c r="BV73" i="5" s="1"/>
  <c r="BX73" i="5" s="1"/>
  <c r="X74" i="5"/>
  <c r="AF73" i="5" s="1"/>
  <c r="AE73" i="5"/>
  <c r="AR73" i="5"/>
  <c r="AS73" i="5" s="1"/>
  <c r="BD74" i="5"/>
  <c r="AO74" i="5"/>
  <c r="AP74" i="5" s="1"/>
  <c r="BT73" i="5"/>
  <c r="BU73" i="5" s="1"/>
  <c r="AN75" i="5"/>
  <c r="AM75" i="5"/>
  <c r="AK75" i="5"/>
  <c r="AL75" i="5"/>
  <c r="AT74" i="5" s="1"/>
  <c r="BQ74" i="5"/>
  <c r="BR74" i="5" s="1"/>
  <c r="BE75" i="5"/>
  <c r="AC75" i="5"/>
  <c r="U75" i="5"/>
  <c r="BQ75" i="5" s="1"/>
  <c r="BS75" i="5"/>
  <c r="AQ75" i="5"/>
  <c r="T76" i="5"/>
  <c r="AA75" i="5"/>
  <c r="C91" i="5"/>
  <c r="V75" i="5"/>
  <c r="I91" i="5" s="1"/>
  <c r="R91" i="5" s="1"/>
  <c r="BF73" i="5"/>
  <c r="BG73" i="5" s="1"/>
  <c r="BA75" i="5"/>
  <c r="BB75" i="5"/>
  <c r="AY75" i="5"/>
  <c r="BP75" i="5"/>
  <c r="BO75" i="5"/>
  <c r="BM75" i="5"/>
  <c r="BS68" i="4"/>
  <c r="BN68" i="4"/>
  <c r="BO68" i="4" s="1"/>
  <c r="BP67" i="4"/>
  <c r="BT67" i="4" s="1"/>
  <c r="G86" i="4" s="1"/>
  <c r="AY47" i="4"/>
  <c r="AQ51" i="4"/>
  <c r="AW50" i="4"/>
  <c r="AX50" i="4" s="1"/>
  <c r="AQ71" i="4"/>
  <c r="AU50" i="4"/>
  <c r="AV50" i="4" s="1"/>
  <c r="BA51" i="4"/>
  <c r="AF75" i="4"/>
  <c r="AG87" i="4" s="1"/>
  <c r="AL63" i="4"/>
  <c r="AN63" i="4" s="1"/>
  <c r="BJ69" i="4"/>
  <c r="BR69" i="4" s="1"/>
  <c r="S72" i="4"/>
  <c r="C90" i="4"/>
  <c r="H90" i="4" s="1"/>
  <c r="BG71" i="4"/>
  <c r="BM70" i="4" l="1"/>
  <c r="H90" i="5"/>
  <c r="Q90" i="5" s="1"/>
  <c r="W76" i="5"/>
  <c r="BF72" i="4"/>
  <c r="AB72" i="4"/>
  <c r="V73" i="4" s="1"/>
  <c r="Z72" i="4"/>
  <c r="BK72" i="4"/>
  <c r="BE73" i="4" s="1"/>
  <c r="T72" i="4"/>
  <c r="U72" i="4"/>
  <c r="I91" i="4" s="1"/>
  <c r="BI71" i="4"/>
  <c r="BJ71" i="4" s="1"/>
  <c r="BR71" i="4" s="1"/>
  <c r="AM71" i="4"/>
  <c r="BH72" i="4"/>
  <c r="AZ75" i="5"/>
  <c r="BH74" i="5" s="1"/>
  <c r="BJ74" i="5" s="1"/>
  <c r="BI76" i="5"/>
  <c r="BW76" i="5"/>
  <c r="BY73" i="5"/>
  <c r="G89" i="5" s="1"/>
  <c r="P89" i="5" s="1"/>
  <c r="BK73" i="5"/>
  <c r="F89" i="5" s="1"/>
  <c r="O89" i="5" s="1"/>
  <c r="AV73" i="5"/>
  <c r="AW73" i="5"/>
  <c r="E89" i="5" s="1"/>
  <c r="N89" i="5" s="1"/>
  <c r="AG76" i="5"/>
  <c r="AU76" i="5"/>
  <c r="AH73" i="5"/>
  <c r="AI73" i="5"/>
  <c r="D89" i="5" s="1"/>
  <c r="M89" i="5" s="1"/>
  <c r="Y75" i="5"/>
  <c r="Z75" i="5" s="1"/>
  <c r="AB75" i="5" s="1"/>
  <c r="L91" i="5"/>
  <c r="W72" i="4"/>
  <c r="AP70" i="4"/>
  <c r="BB50" i="4"/>
  <c r="BN75" i="5"/>
  <c r="BV74" i="5" s="1"/>
  <c r="BX74" i="5" s="1"/>
  <c r="X75" i="5"/>
  <c r="AF74" i="5" s="1"/>
  <c r="BC75" i="5"/>
  <c r="BD75" i="5" s="1"/>
  <c r="AE74" i="5"/>
  <c r="AO75" i="5"/>
  <c r="AP75" i="5" s="1"/>
  <c r="BR75" i="5"/>
  <c r="BT75" i="5" s="1"/>
  <c r="BU75" i="5" s="1"/>
  <c r="BT74" i="5"/>
  <c r="BU74" i="5" s="1"/>
  <c r="AY76" i="5"/>
  <c r="BB76" i="5"/>
  <c r="BA76" i="5"/>
  <c r="C92" i="5"/>
  <c r="T77" i="5"/>
  <c r="BS76" i="5"/>
  <c r="AA76" i="5"/>
  <c r="AC76" i="5"/>
  <c r="U76" i="5"/>
  <c r="AO76" i="5" s="1"/>
  <c r="BE76" i="5"/>
  <c r="AQ76" i="5"/>
  <c r="V76" i="5"/>
  <c r="I92" i="5" s="1"/>
  <c r="R92" i="5" s="1"/>
  <c r="BF74" i="5"/>
  <c r="BG74" i="5" s="1"/>
  <c r="BK74" i="5" s="1"/>
  <c r="AN76" i="5"/>
  <c r="AM76" i="5"/>
  <c r="AK76" i="5"/>
  <c r="AL76" i="5"/>
  <c r="AT75" i="5" s="1"/>
  <c r="BP76" i="5"/>
  <c r="BM76" i="5"/>
  <c r="BO76" i="5"/>
  <c r="AR74" i="5"/>
  <c r="AS74" i="5" s="1"/>
  <c r="BQ67" i="4"/>
  <c r="F86" i="4" s="1"/>
  <c r="BS70" i="4"/>
  <c r="BS69" i="4"/>
  <c r="BN69" i="4"/>
  <c r="BO69" i="4" s="1"/>
  <c r="BP68" i="4"/>
  <c r="BQ68" i="4" s="1"/>
  <c r="F87" i="4" s="1"/>
  <c r="BN70" i="4"/>
  <c r="BO70" i="4" s="1"/>
  <c r="AR51" i="4"/>
  <c r="BC47" i="4"/>
  <c r="E66" i="4" s="1"/>
  <c r="AZ47" i="4"/>
  <c r="D66" i="4" s="1"/>
  <c r="AW51" i="4"/>
  <c r="AX51" i="4" s="1"/>
  <c r="AQ72" i="4"/>
  <c r="S73" i="4"/>
  <c r="C91" i="4"/>
  <c r="H91" i="4" s="1"/>
  <c r="BL71" i="4"/>
  <c r="BM71" i="4" s="1"/>
  <c r="BG72" i="4"/>
  <c r="W77" i="5" l="1"/>
  <c r="H91" i="5"/>
  <c r="Q91" i="5" s="1"/>
  <c r="AZ76" i="5"/>
  <c r="BH75" i="5" s="1"/>
  <c r="BJ75" i="5" s="1"/>
  <c r="BI72" i="4"/>
  <c r="AM72" i="4"/>
  <c r="Z73" i="4"/>
  <c r="BK73" i="4"/>
  <c r="BE74" i="4" s="1"/>
  <c r="AB73" i="4"/>
  <c r="V74" i="4" s="1"/>
  <c r="T73" i="4"/>
  <c r="U73" i="4"/>
  <c r="I92" i="4" s="1"/>
  <c r="BH73" i="4"/>
  <c r="BF73" i="4"/>
  <c r="BL72" i="4" s="1"/>
  <c r="BM72" i="4" s="1"/>
  <c r="BI77" i="5"/>
  <c r="BW77" i="5"/>
  <c r="BY75" i="5"/>
  <c r="G91" i="5" s="1"/>
  <c r="P91" i="5" s="1"/>
  <c r="BY74" i="5"/>
  <c r="G90" i="5" s="1"/>
  <c r="P90" i="5" s="1"/>
  <c r="F90" i="5"/>
  <c r="O90" i="5" s="1"/>
  <c r="AV74" i="5"/>
  <c r="AW74" i="5"/>
  <c r="E90" i="5" s="1"/>
  <c r="N90" i="5" s="1"/>
  <c r="AG77" i="5"/>
  <c r="AU77" i="5"/>
  <c r="AH74" i="5"/>
  <c r="AI74" i="5"/>
  <c r="D90" i="5" s="1"/>
  <c r="M90" i="5" s="1"/>
  <c r="Y76" i="5"/>
  <c r="Z76" i="5" s="1"/>
  <c r="AB76" i="5" s="1"/>
  <c r="AD76" i="5" s="1"/>
  <c r="AE76" i="5" s="1"/>
  <c r="W73" i="4"/>
  <c r="AP71" i="4"/>
  <c r="L92" i="5"/>
  <c r="AS51" i="4"/>
  <c r="AT51" i="4" s="1"/>
  <c r="AU51" i="4" s="1"/>
  <c r="AV51" i="4" s="1"/>
  <c r="AR52" i="4" s="1"/>
  <c r="AT52" i="4" s="1"/>
  <c r="BB51" i="4"/>
  <c r="BS71" i="4"/>
  <c r="BN76" i="5"/>
  <c r="BV75" i="5" s="1"/>
  <c r="BX75" i="5" s="1"/>
  <c r="X76" i="5"/>
  <c r="AF75" i="5" s="1"/>
  <c r="BQ76" i="5"/>
  <c r="BR76" i="5" s="1"/>
  <c r="AK77" i="5"/>
  <c r="AL77" i="5"/>
  <c r="AT76" i="5" s="1"/>
  <c r="AN77" i="5"/>
  <c r="AM77" i="5"/>
  <c r="C93" i="5"/>
  <c r="T78" i="5"/>
  <c r="AA77" i="5"/>
  <c r="U77" i="5"/>
  <c r="BQ77" i="5" s="1"/>
  <c r="BE77" i="5"/>
  <c r="AQ77" i="5"/>
  <c r="BS77" i="5"/>
  <c r="AC77" i="5"/>
  <c r="V77" i="5"/>
  <c r="I93" i="5" s="1"/>
  <c r="R93" i="5" s="1"/>
  <c r="AD75" i="5"/>
  <c r="AE75" i="5" s="1"/>
  <c r="AY77" i="5"/>
  <c r="BA77" i="5"/>
  <c r="BB77" i="5"/>
  <c r="AP76" i="5"/>
  <c r="BF75" i="5"/>
  <c r="BG75" i="5" s="1"/>
  <c r="BK75" i="5" s="1"/>
  <c r="AR75" i="5"/>
  <c r="AS75" i="5" s="1"/>
  <c r="BC76" i="5"/>
  <c r="BD76" i="5" s="1"/>
  <c r="BM77" i="5"/>
  <c r="BO77" i="5"/>
  <c r="BP77" i="5"/>
  <c r="BT68" i="4"/>
  <c r="G87" i="4" s="1"/>
  <c r="BP69" i="4"/>
  <c r="BT69" i="4" s="1"/>
  <c r="G88" i="4" s="1"/>
  <c r="BN71" i="4"/>
  <c r="BO71" i="4" s="1"/>
  <c r="AY48" i="4"/>
  <c r="AQ73" i="4"/>
  <c r="BJ72" i="4"/>
  <c r="BR72" i="4" s="1"/>
  <c r="BG73" i="4"/>
  <c r="S74" i="4"/>
  <c r="C92" i="4"/>
  <c r="H92" i="4" s="1"/>
  <c r="W78" i="5" l="1"/>
  <c r="H92" i="5"/>
  <c r="Q92" i="5" s="1"/>
  <c r="AZ77" i="5"/>
  <c r="BH76" i="5" s="1"/>
  <c r="BJ76" i="5" s="1"/>
  <c r="BI73" i="4"/>
  <c r="AM73" i="4"/>
  <c r="BK74" i="4"/>
  <c r="BE75" i="4" s="1"/>
  <c r="AB74" i="4"/>
  <c r="V75" i="4" s="1"/>
  <c r="Z74" i="4"/>
  <c r="T74" i="4"/>
  <c r="U74" i="4"/>
  <c r="I93" i="4" s="1"/>
  <c r="BF74" i="4"/>
  <c r="BL73" i="4" s="1"/>
  <c r="BM73" i="4" s="1"/>
  <c r="BH74" i="4"/>
  <c r="BI78" i="5"/>
  <c r="BW78" i="5"/>
  <c r="F91" i="5"/>
  <c r="O91" i="5" s="1"/>
  <c r="AG78" i="5"/>
  <c r="AU78" i="5"/>
  <c r="AV75" i="5"/>
  <c r="AW75" i="5"/>
  <c r="E91" i="5" s="1"/>
  <c r="N91" i="5" s="1"/>
  <c r="AH75" i="5"/>
  <c r="AI75" i="5"/>
  <c r="D91" i="5" s="1"/>
  <c r="M91" i="5" s="1"/>
  <c r="Y77" i="5"/>
  <c r="Z77" i="5" s="1"/>
  <c r="AB77" i="5" s="1"/>
  <c r="AD77" i="5" s="1"/>
  <c r="L93" i="5"/>
  <c r="W74" i="4"/>
  <c r="AP72" i="4"/>
  <c r="BN72" i="4"/>
  <c r="BO72" i="4" s="1"/>
  <c r="BN77" i="5"/>
  <c r="BV76" i="5" s="1"/>
  <c r="BX76" i="5" s="1"/>
  <c r="X77" i="5"/>
  <c r="AF76" i="5" s="1"/>
  <c r="BF76" i="5"/>
  <c r="BG76" i="5" s="1"/>
  <c r="BR77" i="5"/>
  <c r="BC77" i="5"/>
  <c r="BD77" i="5" s="1"/>
  <c r="AR76" i="5"/>
  <c r="AS76" i="5" s="1"/>
  <c r="C94" i="5"/>
  <c r="BS78" i="5"/>
  <c r="AQ78" i="5"/>
  <c r="U78" i="5"/>
  <c r="BQ78" i="5" s="1"/>
  <c r="AC78" i="5"/>
  <c r="T79" i="5"/>
  <c r="BE78" i="5"/>
  <c r="AA78" i="5"/>
  <c r="V78" i="5"/>
  <c r="I94" i="5" s="1"/>
  <c r="R94" i="5" s="1"/>
  <c r="BP78" i="5"/>
  <c r="BO78" i="5"/>
  <c r="BM78" i="5"/>
  <c r="AL78" i="5"/>
  <c r="AT77" i="5" s="1"/>
  <c r="AM78" i="5"/>
  <c r="AK78" i="5"/>
  <c r="AN78" i="5"/>
  <c r="AO77" i="5"/>
  <c r="AP77" i="5" s="1"/>
  <c r="BT76" i="5"/>
  <c r="BU76" i="5" s="1"/>
  <c r="BY76" i="5" s="1"/>
  <c r="BA78" i="5"/>
  <c r="BB78" i="5"/>
  <c r="AY78" i="5"/>
  <c r="BQ69" i="4"/>
  <c r="F88" i="4" s="1"/>
  <c r="BS72" i="4"/>
  <c r="BP70" i="4"/>
  <c r="BC48" i="4"/>
  <c r="E67" i="4" s="1"/>
  <c r="AZ48" i="4"/>
  <c r="D67" i="4" s="1"/>
  <c r="AQ74" i="4"/>
  <c r="AU52" i="4"/>
  <c r="AV52" i="4" s="1"/>
  <c r="AR53" i="4" s="1"/>
  <c r="AT53" i="4" s="1"/>
  <c r="BJ73" i="4"/>
  <c r="BR73" i="4" s="1"/>
  <c r="BG74" i="4"/>
  <c r="S75" i="4"/>
  <c r="C93" i="4"/>
  <c r="H93" i="4" s="1"/>
  <c r="H93" i="5" l="1"/>
  <c r="Q93" i="5" s="1"/>
  <c r="W79" i="5"/>
  <c r="BH75" i="4"/>
  <c r="AZ78" i="5"/>
  <c r="BH77" i="5" s="1"/>
  <c r="BJ77" i="5" s="1"/>
  <c r="BI74" i="4"/>
  <c r="BJ74" i="4" s="1"/>
  <c r="BR74" i="4" s="1"/>
  <c r="AM74" i="4"/>
  <c r="BK75" i="4"/>
  <c r="BE76" i="4" s="1"/>
  <c r="AB75" i="4"/>
  <c r="V76" i="4" s="1"/>
  <c r="Z75" i="4"/>
  <c r="T75" i="4"/>
  <c r="U75" i="4"/>
  <c r="I94" i="4" s="1"/>
  <c r="BF75" i="4"/>
  <c r="BL74" i="4" s="1"/>
  <c r="BM74" i="4" s="1"/>
  <c r="BI79" i="5"/>
  <c r="BW79" i="5"/>
  <c r="G92" i="5"/>
  <c r="P92" i="5" s="1"/>
  <c r="BK76" i="5"/>
  <c r="F92" i="5" s="1"/>
  <c r="O92" i="5" s="1"/>
  <c r="AV76" i="5"/>
  <c r="AW76" i="5"/>
  <c r="E92" i="5" s="1"/>
  <c r="N92" i="5" s="1"/>
  <c r="AG79" i="5"/>
  <c r="AU79" i="5"/>
  <c r="AH76" i="5"/>
  <c r="AI76" i="5"/>
  <c r="D92" i="5" s="1"/>
  <c r="M92" i="5" s="1"/>
  <c r="Y78" i="5"/>
  <c r="Z78" i="5" s="1"/>
  <c r="AB78" i="5" s="1"/>
  <c r="L94" i="5"/>
  <c r="W75" i="4"/>
  <c r="AP73" i="4"/>
  <c r="BN73" i="4"/>
  <c r="BO73" i="4" s="1"/>
  <c r="BN78" i="5"/>
  <c r="BV77" i="5" s="1"/>
  <c r="BX77" i="5" s="1"/>
  <c r="X78" i="5"/>
  <c r="AF77" i="5" s="1"/>
  <c r="AE77" i="5"/>
  <c r="AO78" i="5"/>
  <c r="AP78" i="5" s="1"/>
  <c r="BC78" i="5"/>
  <c r="BD78" i="5" s="1"/>
  <c r="AM79" i="5"/>
  <c r="AL79" i="5"/>
  <c r="AT78" i="5" s="1"/>
  <c r="AK79" i="5"/>
  <c r="AR77" i="5"/>
  <c r="AS77" i="5" s="1"/>
  <c r="BO79" i="5"/>
  <c r="BM79" i="5"/>
  <c r="AD79" i="5"/>
  <c r="BT77" i="5"/>
  <c r="BU77" i="5" s="1"/>
  <c r="C95" i="5"/>
  <c r="BS79" i="5"/>
  <c r="AQ79" i="5"/>
  <c r="BE79" i="5"/>
  <c r="AC79" i="5"/>
  <c r="U79" i="5"/>
  <c r="BC79" i="5" s="1"/>
  <c r="T80" i="5"/>
  <c r="V79" i="5"/>
  <c r="I95" i="5" s="1"/>
  <c r="R95" i="5" s="1"/>
  <c r="BF77" i="5"/>
  <c r="BG77" i="5" s="1"/>
  <c r="BK77" i="5" s="1"/>
  <c r="BR78" i="5"/>
  <c r="BA79" i="5"/>
  <c r="AY79" i="5"/>
  <c r="BQ70" i="4"/>
  <c r="F89" i="4" s="1"/>
  <c r="BT70" i="4"/>
  <c r="G89" i="4" s="1"/>
  <c r="BS73" i="4"/>
  <c r="BP71" i="4"/>
  <c r="AY49" i="4"/>
  <c r="AU53" i="4"/>
  <c r="AV53" i="4" s="1"/>
  <c r="AR54" i="4" s="1"/>
  <c r="AT54" i="4" s="1"/>
  <c r="C94" i="4"/>
  <c r="H94" i="4" s="1"/>
  <c r="S76" i="4"/>
  <c r="BG75" i="4"/>
  <c r="W80" i="5" l="1"/>
  <c r="AD80" i="5" s="1"/>
  <c r="H94" i="5"/>
  <c r="Q94" i="5" s="1"/>
  <c r="L95" i="5"/>
  <c r="AZ79" i="5"/>
  <c r="BH78" i="5" s="1"/>
  <c r="BJ78" i="5" s="1"/>
  <c r="BI75" i="4"/>
  <c r="AM75" i="4"/>
  <c r="BK76" i="4"/>
  <c r="BE77" i="4" s="1"/>
  <c r="AB76" i="4"/>
  <c r="V77" i="4" s="1"/>
  <c r="T76" i="4"/>
  <c r="Z76" i="4" s="1"/>
  <c r="U76" i="4"/>
  <c r="I95" i="4" s="1"/>
  <c r="AC76" i="4"/>
  <c r="BF76" i="4"/>
  <c r="BI80" i="5"/>
  <c r="BW80" i="5"/>
  <c r="BY77" i="5"/>
  <c r="G93" i="5" s="1"/>
  <c r="P93" i="5" s="1"/>
  <c r="F93" i="5"/>
  <c r="O93" i="5" s="1"/>
  <c r="AW77" i="5"/>
  <c r="E93" i="5" s="1"/>
  <c r="N93" i="5" s="1"/>
  <c r="AV77" i="5"/>
  <c r="AG80" i="5"/>
  <c r="AU80" i="5"/>
  <c r="AH77" i="5"/>
  <c r="AI77" i="5"/>
  <c r="D93" i="5" s="1"/>
  <c r="M93" i="5" s="1"/>
  <c r="Y79" i="5"/>
  <c r="Z79" i="5" s="1"/>
  <c r="W76" i="4"/>
  <c r="AP74" i="4"/>
  <c r="X79" i="5"/>
  <c r="AF78" i="5" s="1"/>
  <c r="BN79" i="5"/>
  <c r="BV78" i="5" s="1"/>
  <c r="BX78" i="5" s="1"/>
  <c r="BB79" i="5"/>
  <c r="BD79" i="5" s="1"/>
  <c r="BF78" i="5"/>
  <c r="BG78" i="5" s="1"/>
  <c r="BQ79" i="5"/>
  <c r="BT78" i="5"/>
  <c r="BU78" i="5" s="1"/>
  <c r="AR78" i="5"/>
  <c r="AS78" i="5" s="1"/>
  <c r="AA79" i="5"/>
  <c r="AO79" i="5"/>
  <c r="BA80" i="5"/>
  <c r="AY80" i="5"/>
  <c r="BP79" i="5"/>
  <c r="C96" i="5"/>
  <c r="BS80" i="5"/>
  <c r="T81" i="5"/>
  <c r="BE80" i="5"/>
  <c r="AQ80" i="5"/>
  <c r="AC80" i="5"/>
  <c r="U80" i="5"/>
  <c r="AA80" i="5" s="1"/>
  <c r="V80" i="5"/>
  <c r="I96" i="5" s="1"/>
  <c r="R96" i="5" s="1"/>
  <c r="AK80" i="5"/>
  <c r="AM80" i="5"/>
  <c r="AL80" i="5"/>
  <c r="AT79" i="5" s="1"/>
  <c r="BO80" i="5"/>
  <c r="BM80" i="5"/>
  <c r="AD78" i="5"/>
  <c r="AE78" i="5" s="1"/>
  <c r="AN79" i="5"/>
  <c r="BS74" i="4"/>
  <c r="BT71" i="4"/>
  <c r="G90" i="4" s="1"/>
  <c r="BQ71" i="4"/>
  <c r="F90" i="4" s="1"/>
  <c r="BN74" i="4"/>
  <c r="BO74" i="4" s="1"/>
  <c r="BP72" i="4"/>
  <c r="BP73" i="4" s="1"/>
  <c r="BC49" i="4"/>
  <c r="E68" i="4" s="1"/>
  <c r="AZ49" i="4"/>
  <c r="D68" i="4" s="1"/>
  <c r="AQ76" i="4"/>
  <c r="AU54" i="4"/>
  <c r="AV54" i="4" s="1"/>
  <c r="AR55" i="4" s="1"/>
  <c r="AT55" i="4" s="1"/>
  <c r="BJ75" i="4"/>
  <c r="BR75" i="4" s="1"/>
  <c r="BG76" i="4"/>
  <c r="BL75" i="4"/>
  <c r="BM75" i="4" s="1"/>
  <c r="S77" i="4"/>
  <c r="C95" i="4"/>
  <c r="B94" i="4" s="1"/>
  <c r="H95" i="5" l="1"/>
  <c r="Q95" i="5" s="1"/>
  <c r="W81" i="5"/>
  <c r="H95" i="4"/>
  <c r="W77" i="4"/>
  <c r="AP76" i="4" s="1"/>
  <c r="AZ80" i="5"/>
  <c r="BH79" i="5" s="1"/>
  <c r="BJ79" i="5" s="1"/>
  <c r="BI76" i="4"/>
  <c r="AM76" i="4"/>
  <c r="BF77" i="4"/>
  <c r="BL76" i="4" s="1"/>
  <c r="BM76" i="4" s="1"/>
  <c r="AB77" i="4"/>
  <c r="V78" i="4" s="1"/>
  <c r="BK77" i="4"/>
  <c r="BE78" i="4" s="1"/>
  <c r="T77" i="4"/>
  <c r="AM77" i="4" s="1"/>
  <c r="U77" i="4"/>
  <c r="I96" i="4" s="1"/>
  <c r="AC77" i="4"/>
  <c r="BI81" i="5"/>
  <c r="BW81" i="5"/>
  <c r="AB79" i="5"/>
  <c r="AE79" i="5" s="1"/>
  <c r="BY78" i="5"/>
  <c r="G94" i="5" s="1"/>
  <c r="P94" i="5" s="1"/>
  <c r="Y80" i="5"/>
  <c r="Z80" i="5" s="1"/>
  <c r="AB80" i="5" s="1"/>
  <c r="AE80" i="5" s="1"/>
  <c r="BK78" i="5"/>
  <c r="F94" i="5" s="1"/>
  <c r="O94" i="5" s="1"/>
  <c r="AG81" i="5"/>
  <c r="AU81" i="5"/>
  <c r="AV78" i="5"/>
  <c r="AW78" i="5"/>
  <c r="E94" i="5" s="1"/>
  <c r="N94" i="5" s="1"/>
  <c r="AH78" i="5"/>
  <c r="AI78" i="5"/>
  <c r="D94" i="5" s="1"/>
  <c r="M94" i="5" s="1"/>
  <c r="L96" i="5"/>
  <c r="X80" i="5"/>
  <c r="AF79" i="5" s="1"/>
  <c r="BH76" i="4"/>
  <c r="BH77" i="4" s="1"/>
  <c r="BS75" i="4"/>
  <c r="BN80" i="5"/>
  <c r="BV79" i="5" s="1"/>
  <c r="BX79" i="5" s="1"/>
  <c r="BB80" i="5"/>
  <c r="BB81" i="5" s="1"/>
  <c r="BR79" i="5"/>
  <c r="BT79" i="5" s="1"/>
  <c r="BU79" i="5" s="1"/>
  <c r="BP80" i="5"/>
  <c r="BP81" i="5" s="1"/>
  <c r="AP79" i="5"/>
  <c r="AR79" i="5" s="1"/>
  <c r="AS79" i="5" s="1"/>
  <c r="BC80" i="5"/>
  <c r="AO80" i="5"/>
  <c r="BQ80" i="5"/>
  <c r="BF79" i="5"/>
  <c r="BG79" i="5" s="1"/>
  <c r="BK79" i="5" s="1"/>
  <c r="BA81" i="5"/>
  <c r="AY81" i="5"/>
  <c r="C97" i="5"/>
  <c r="T82" i="5"/>
  <c r="BS81" i="5"/>
  <c r="AQ81" i="5"/>
  <c r="BE81" i="5"/>
  <c r="U81" i="5"/>
  <c r="AO81" i="5" s="1"/>
  <c r="AC81" i="5"/>
  <c r="V81" i="5"/>
  <c r="I97" i="5" s="1"/>
  <c r="R97" i="5" s="1"/>
  <c r="AD81" i="5"/>
  <c r="AN80" i="5"/>
  <c r="BM81" i="5"/>
  <c r="BO81" i="5"/>
  <c r="AK81" i="5"/>
  <c r="AM81" i="5"/>
  <c r="AL81" i="5"/>
  <c r="AT80" i="5" s="1"/>
  <c r="BP74" i="4"/>
  <c r="BQ74" i="4" s="1"/>
  <c r="F93" i="4" s="1"/>
  <c r="BQ73" i="4"/>
  <c r="F92" i="4" s="1"/>
  <c r="BT73" i="4"/>
  <c r="G92" i="4" s="1"/>
  <c r="BN75" i="4"/>
  <c r="BO75" i="4" s="1"/>
  <c r="BQ72" i="4"/>
  <c r="F91" i="4" s="1"/>
  <c r="BT72" i="4"/>
  <c r="G91" i="4" s="1"/>
  <c r="AY50" i="4"/>
  <c r="AQ77" i="4"/>
  <c r="AU55" i="4"/>
  <c r="AV55" i="4" s="1"/>
  <c r="AR56" i="4" s="1"/>
  <c r="AT56" i="4" s="1"/>
  <c r="S78" i="4"/>
  <c r="C96" i="4"/>
  <c r="BG77" i="4"/>
  <c r="H96" i="4" l="1"/>
  <c r="H96" i="5"/>
  <c r="Q96" i="5" s="1"/>
  <c r="W82" i="5"/>
  <c r="Z77" i="4"/>
  <c r="W78" i="4"/>
  <c r="AP77" i="4" s="1"/>
  <c r="AZ81" i="5"/>
  <c r="BH80" i="5" s="1"/>
  <c r="BJ80" i="5" s="1"/>
  <c r="BF78" i="4"/>
  <c r="BH78" i="4"/>
  <c r="AB78" i="4"/>
  <c r="V79" i="4" s="1"/>
  <c r="BK78" i="4"/>
  <c r="BE79" i="4" s="1"/>
  <c r="T78" i="4"/>
  <c r="Z78" i="4" s="1"/>
  <c r="U78" i="4"/>
  <c r="I97" i="4" s="1"/>
  <c r="AC78" i="4"/>
  <c r="BI77" i="4"/>
  <c r="BJ77" i="4" s="1"/>
  <c r="BR77" i="4" s="1"/>
  <c r="BI82" i="5"/>
  <c r="BW82" i="5"/>
  <c r="Y81" i="5"/>
  <c r="Z81" i="5" s="1"/>
  <c r="BY79" i="5"/>
  <c r="G95" i="5" s="1"/>
  <c r="P95" i="5" s="1"/>
  <c r="F95" i="5"/>
  <c r="O95" i="5" s="1"/>
  <c r="AG82" i="5"/>
  <c r="AU82" i="5"/>
  <c r="AV79" i="5"/>
  <c r="AW79" i="5"/>
  <c r="E95" i="5" s="1"/>
  <c r="N95" i="5" s="1"/>
  <c r="AH79" i="5"/>
  <c r="AI79" i="5"/>
  <c r="D95" i="5" s="1"/>
  <c r="M95" i="5" s="1"/>
  <c r="BN81" i="5"/>
  <c r="BV80" i="5" s="1"/>
  <c r="BX80" i="5" s="1"/>
  <c r="L97" i="5"/>
  <c r="X81" i="5"/>
  <c r="AF80" i="5" s="1"/>
  <c r="BD80" i="5"/>
  <c r="BF80" i="5" s="1"/>
  <c r="BG80" i="5" s="1"/>
  <c r="BK80" i="5" s="1"/>
  <c r="AP80" i="5"/>
  <c r="AR80" i="5" s="1"/>
  <c r="AS80" i="5" s="1"/>
  <c r="BR80" i="5"/>
  <c r="BT80" i="5" s="1"/>
  <c r="BU80" i="5" s="1"/>
  <c r="BQ81" i="5"/>
  <c r="BR81" i="5" s="1"/>
  <c r="AA81" i="5"/>
  <c r="BC81" i="5"/>
  <c r="BD81" i="5" s="1"/>
  <c r="AN81" i="5"/>
  <c r="AP81" i="5" s="1"/>
  <c r="BB82" i="5"/>
  <c r="BA82" i="5"/>
  <c r="AZ82" i="5"/>
  <c r="BH81" i="5" s="1"/>
  <c r="AY82" i="5"/>
  <c r="C98" i="5"/>
  <c r="T83" i="5"/>
  <c r="BS82" i="5"/>
  <c r="AQ82" i="5"/>
  <c r="BE82" i="5"/>
  <c r="U82" i="5"/>
  <c r="AA82" i="5" s="1"/>
  <c r="AC82" i="5"/>
  <c r="V82" i="5"/>
  <c r="I98" i="5" s="1"/>
  <c r="R98" i="5" s="1"/>
  <c r="AL82" i="5"/>
  <c r="AT81" i="5" s="1"/>
  <c r="AK82" i="5"/>
  <c r="AM82" i="5"/>
  <c r="AD82" i="5"/>
  <c r="BM82" i="5"/>
  <c r="BO82" i="5"/>
  <c r="BP82" i="5"/>
  <c r="BT74" i="4"/>
  <c r="G93" i="4" s="1"/>
  <c r="BJ76" i="4"/>
  <c r="BR76" i="4" s="1"/>
  <c r="BP75" i="4"/>
  <c r="BQ75" i="4" s="1"/>
  <c r="F94" i="4" s="1"/>
  <c r="BC50" i="4"/>
  <c r="E69" i="4" s="1"/>
  <c r="AZ50" i="4"/>
  <c r="D69" i="4" s="1"/>
  <c r="AQ78" i="4"/>
  <c r="AU56" i="4"/>
  <c r="AV56" i="4" s="1"/>
  <c r="AR57" i="4" s="1"/>
  <c r="AT57" i="4" s="1"/>
  <c r="BG78" i="4"/>
  <c r="BL77" i="4"/>
  <c r="BM77" i="4" s="1"/>
  <c r="S79" i="4"/>
  <c r="C97" i="4"/>
  <c r="H97" i="5" l="1"/>
  <c r="Q97" i="5" s="1"/>
  <c r="H97" i="4"/>
  <c r="W83" i="5"/>
  <c r="AB81" i="5"/>
  <c r="AE81" i="5" s="1"/>
  <c r="W79" i="4"/>
  <c r="Y82" i="5"/>
  <c r="Z82" i="5" s="1"/>
  <c r="AB82" i="5" s="1"/>
  <c r="AE82" i="5" s="1"/>
  <c r="BI78" i="4"/>
  <c r="BJ78" i="4" s="1"/>
  <c r="BR78" i="4" s="1"/>
  <c r="AM78" i="4"/>
  <c r="BH79" i="4"/>
  <c r="BF79" i="4"/>
  <c r="BL78" i="4" s="1"/>
  <c r="BM78" i="4" s="1"/>
  <c r="BK79" i="4"/>
  <c r="BE80" i="4" s="1"/>
  <c r="AB79" i="4"/>
  <c r="V80" i="4" s="1"/>
  <c r="T79" i="4"/>
  <c r="U79" i="4"/>
  <c r="I98" i="4" s="1"/>
  <c r="AC79" i="4"/>
  <c r="BI83" i="5"/>
  <c r="BW83" i="5"/>
  <c r="BY80" i="5"/>
  <c r="G96" i="5" s="1"/>
  <c r="P96" i="5" s="1"/>
  <c r="BJ81" i="5"/>
  <c r="F96" i="5"/>
  <c r="O96" i="5" s="1"/>
  <c r="AV80" i="5"/>
  <c r="AW80" i="5"/>
  <c r="E96" i="5" s="1"/>
  <c r="N96" i="5" s="1"/>
  <c r="AG83" i="5"/>
  <c r="AU83" i="5"/>
  <c r="AH80" i="5"/>
  <c r="AI80" i="5"/>
  <c r="D96" i="5" s="1"/>
  <c r="M96" i="5" s="1"/>
  <c r="BN82" i="5"/>
  <c r="BV81" i="5" s="1"/>
  <c r="BX81" i="5" s="1"/>
  <c r="L98" i="5"/>
  <c r="AP78" i="4"/>
  <c r="X82" i="5"/>
  <c r="AF81" i="5" s="1"/>
  <c r="BS77" i="4"/>
  <c r="BS76" i="4"/>
  <c r="BC82" i="5"/>
  <c r="BD82" i="5" s="1"/>
  <c r="AR81" i="5"/>
  <c r="AS81" i="5" s="1"/>
  <c r="BF81" i="5"/>
  <c r="BG81" i="5" s="1"/>
  <c r="AN82" i="5"/>
  <c r="BQ82" i="5"/>
  <c r="BR82" i="5" s="1"/>
  <c r="AM83" i="5"/>
  <c r="AL83" i="5"/>
  <c r="AT82" i="5" s="1"/>
  <c r="AK83" i="5"/>
  <c r="BB83" i="5"/>
  <c r="BA83" i="5"/>
  <c r="AZ83" i="5"/>
  <c r="BH82" i="5" s="1"/>
  <c r="AY83" i="5"/>
  <c r="AO82" i="5"/>
  <c r="BO83" i="5"/>
  <c r="BM83" i="5"/>
  <c r="BP83" i="5"/>
  <c r="BT81" i="5"/>
  <c r="BU81" i="5" s="1"/>
  <c r="C99" i="5"/>
  <c r="BE83" i="5"/>
  <c r="AC83" i="5"/>
  <c r="U83" i="5"/>
  <c r="AO83" i="5" s="1"/>
  <c r="T84" i="5"/>
  <c r="BS83" i="5"/>
  <c r="AQ83" i="5"/>
  <c r="V83" i="5"/>
  <c r="I99" i="5" s="1"/>
  <c r="R99" i="5" s="1"/>
  <c r="AD83" i="5"/>
  <c r="BT75" i="4"/>
  <c r="G94" i="4" s="1"/>
  <c r="BN76" i="4"/>
  <c r="BO76" i="4" s="1"/>
  <c r="BN77" i="4"/>
  <c r="BO77" i="4" s="1"/>
  <c r="AY51" i="4"/>
  <c r="AQ79" i="4"/>
  <c r="AU57" i="4"/>
  <c r="AV57" i="4" s="1"/>
  <c r="AR58" i="4" s="1"/>
  <c r="AT58" i="4" s="1"/>
  <c r="BG79" i="4"/>
  <c r="S80" i="4"/>
  <c r="C98" i="4"/>
  <c r="H98" i="4" s="1"/>
  <c r="H98" i="5" l="1"/>
  <c r="Q98" i="5" s="1"/>
  <c r="Y83" i="5"/>
  <c r="Z83" i="5" s="1"/>
  <c r="W84" i="5"/>
  <c r="W80" i="4"/>
  <c r="AP79" i="4" s="1"/>
  <c r="BK80" i="4"/>
  <c r="BE81" i="4" s="1"/>
  <c r="AB80" i="4"/>
  <c r="V81" i="4" s="1"/>
  <c r="T80" i="4"/>
  <c r="Z80" i="4" s="1"/>
  <c r="U80" i="4"/>
  <c r="I99" i="4" s="1"/>
  <c r="AC80" i="4"/>
  <c r="BF80" i="4"/>
  <c r="BL79" i="4" s="1"/>
  <c r="BM79" i="4" s="1"/>
  <c r="BH80" i="4"/>
  <c r="BI79" i="4"/>
  <c r="AM79" i="4"/>
  <c r="Z79" i="4"/>
  <c r="BI84" i="5"/>
  <c r="BW84" i="5"/>
  <c r="BY81" i="5"/>
  <c r="G97" i="5" s="1"/>
  <c r="P97" i="5" s="1"/>
  <c r="BJ82" i="5"/>
  <c r="BK81" i="5"/>
  <c r="F97" i="5" s="1"/>
  <c r="O97" i="5" s="1"/>
  <c r="AG84" i="5"/>
  <c r="AU84" i="5"/>
  <c r="AV81" i="5"/>
  <c r="AW81" i="5"/>
  <c r="E97" i="5" s="1"/>
  <c r="N97" i="5" s="1"/>
  <c r="AH81" i="5"/>
  <c r="AI81" i="5"/>
  <c r="D97" i="5" s="1"/>
  <c r="M97" i="5" s="1"/>
  <c r="X83" i="5"/>
  <c r="AF82" i="5" s="1"/>
  <c r="BN83" i="5"/>
  <c r="BV82" i="5" s="1"/>
  <c r="BX82" i="5" s="1"/>
  <c r="L99" i="5"/>
  <c r="BP76" i="4"/>
  <c r="BN78" i="4"/>
  <c r="BO78" i="4" s="1"/>
  <c r="AA83" i="5"/>
  <c r="AB83" i="5" s="1"/>
  <c r="AE83" i="5" s="1"/>
  <c r="BC83" i="5"/>
  <c r="BD83" i="5" s="1"/>
  <c r="BQ83" i="5"/>
  <c r="BR83" i="5" s="1"/>
  <c r="AM84" i="5"/>
  <c r="AL84" i="5"/>
  <c r="AT83" i="5" s="1"/>
  <c r="AK84" i="5"/>
  <c r="BE84" i="5"/>
  <c r="AC84" i="5"/>
  <c r="U84" i="5"/>
  <c r="AO84" i="5" s="1"/>
  <c r="C100" i="5"/>
  <c r="T85" i="5"/>
  <c r="BS84" i="5"/>
  <c r="AQ84" i="5"/>
  <c r="V84" i="5"/>
  <c r="I100" i="5" s="1"/>
  <c r="R100" i="5" s="1"/>
  <c r="BO84" i="5"/>
  <c r="BM84" i="5"/>
  <c r="BP84" i="5"/>
  <c r="AD84" i="5"/>
  <c r="Y84" i="5"/>
  <c r="Z84" i="5" s="1"/>
  <c r="BB84" i="5"/>
  <c r="BA84" i="5"/>
  <c r="AZ84" i="5"/>
  <c r="BH83" i="5" s="1"/>
  <c r="AY84" i="5"/>
  <c r="AP82" i="5"/>
  <c r="BT82" i="5"/>
  <c r="BU82" i="5" s="1"/>
  <c r="BY82" i="5" s="1"/>
  <c r="BF82" i="5"/>
  <c r="BG82" i="5" s="1"/>
  <c r="AN83" i="5"/>
  <c r="AP83" i="5" s="1"/>
  <c r="BS78" i="4"/>
  <c r="BC51" i="4"/>
  <c r="E70" i="4" s="1"/>
  <c r="AZ51" i="4"/>
  <c r="D70" i="4" s="1"/>
  <c r="AQ80" i="4"/>
  <c r="AU58" i="4"/>
  <c r="AV58" i="4" s="1"/>
  <c r="AR59" i="4" s="1"/>
  <c r="AT59" i="4" s="1"/>
  <c r="BJ79" i="4"/>
  <c r="BR79" i="4" s="1"/>
  <c r="BG80" i="4"/>
  <c r="C99" i="4"/>
  <c r="H99" i="4" s="1"/>
  <c r="S81" i="4"/>
  <c r="H99" i="5" l="1"/>
  <c r="Q99" i="5" s="1"/>
  <c r="W85" i="5"/>
  <c r="BI80" i="4"/>
  <c r="BJ80" i="4" s="1"/>
  <c r="BR80" i="4" s="1"/>
  <c r="AM80" i="4"/>
  <c r="BH81" i="4"/>
  <c r="W81" i="4"/>
  <c r="AP80" i="4" s="1"/>
  <c r="BK81" i="4"/>
  <c r="BE82" i="4" s="1"/>
  <c r="AB81" i="4"/>
  <c r="V82" i="4" s="1"/>
  <c r="T81" i="4"/>
  <c r="U81" i="4"/>
  <c r="I100" i="4" s="1"/>
  <c r="AC81" i="4"/>
  <c r="BF81" i="4"/>
  <c r="BL80" i="4" s="1"/>
  <c r="BM80" i="4" s="1"/>
  <c r="X84" i="5"/>
  <c r="AF83" i="5" s="1"/>
  <c r="BI85" i="5"/>
  <c r="BW85" i="5"/>
  <c r="G98" i="5"/>
  <c r="P98" i="5" s="1"/>
  <c r="BK82" i="5"/>
  <c r="F98" i="5" s="1"/>
  <c r="O98" i="5" s="1"/>
  <c r="BJ83" i="5"/>
  <c r="AV82" i="5"/>
  <c r="AG85" i="5"/>
  <c r="AU85" i="5"/>
  <c r="AH82" i="5"/>
  <c r="AI82" i="5"/>
  <c r="D98" i="5" s="1"/>
  <c r="M98" i="5" s="1"/>
  <c r="BN84" i="5"/>
  <c r="BV83" i="5" s="1"/>
  <c r="BX83" i="5" s="1"/>
  <c r="L100" i="5"/>
  <c r="BQ76" i="4"/>
  <c r="F95" i="4" s="1"/>
  <c r="BP77" i="4"/>
  <c r="BT77" i="4" s="1"/>
  <c r="G96" i="4" s="1"/>
  <c r="BT76" i="4"/>
  <c r="G95" i="4" s="1"/>
  <c r="BS79" i="4"/>
  <c r="BC84" i="5"/>
  <c r="BD84" i="5" s="1"/>
  <c r="AA84" i="5"/>
  <c r="AB84" i="5" s="1"/>
  <c r="AE84" i="5" s="1"/>
  <c r="BQ84" i="5"/>
  <c r="BR84" i="5" s="1"/>
  <c r="BT84" i="5" s="1"/>
  <c r="BU84" i="5" s="1"/>
  <c r="BT83" i="5"/>
  <c r="BU83" i="5" s="1"/>
  <c r="AM85" i="5"/>
  <c r="AL85" i="5"/>
  <c r="AT84" i="5" s="1"/>
  <c r="AK85" i="5"/>
  <c r="C101" i="5"/>
  <c r="BE85" i="5"/>
  <c r="AC85" i="5"/>
  <c r="U85" i="5"/>
  <c r="AO85" i="5" s="1"/>
  <c r="T86" i="5"/>
  <c r="AQ85" i="5"/>
  <c r="BS85" i="5"/>
  <c r="V85" i="5"/>
  <c r="I101" i="5" s="1"/>
  <c r="R101" i="5" s="1"/>
  <c r="BP85" i="5"/>
  <c r="BO85" i="5"/>
  <c r="BM85" i="5"/>
  <c r="AN84" i="5"/>
  <c r="AP84" i="5" s="1"/>
  <c r="AR83" i="5"/>
  <c r="AS83" i="5" s="1"/>
  <c r="AD85" i="5"/>
  <c r="Y85" i="5"/>
  <c r="Z85" i="5" s="1"/>
  <c r="AR82" i="5"/>
  <c r="AS82" i="5" s="1"/>
  <c r="BB85" i="5"/>
  <c r="AY85" i="5"/>
  <c r="BA85" i="5"/>
  <c r="AZ85" i="5"/>
  <c r="BH84" i="5" s="1"/>
  <c r="BF83" i="5"/>
  <c r="BG83" i="5" s="1"/>
  <c r="BK83" i="5" s="1"/>
  <c r="BN79" i="4"/>
  <c r="BO79" i="4" s="1"/>
  <c r="AQ81" i="4"/>
  <c r="AU59" i="4"/>
  <c r="AV59" i="4" s="1"/>
  <c r="AR60" i="4" s="1"/>
  <c r="AT60" i="4" s="1"/>
  <c r="AD52" i="4"/>
  <c r="S82" i="4"/>
  <c r="C100" i="4"/>
  <c r="H100" i="4" s="1"/>
  <c r="BG81" i="4"/>
  <c r="H100" i="5" l="1"/>
  <c r="Q100" i="5" s="1"/>
  <c r="W86" i="5"/>
  <c r="X85" i="5"/>
  <c r="AF84" i="5" s="1"/>
  <c r="Z81" i="4"/>
  <c r="AM81" i="4"/>
  <c r="BF82" i="4"/>
  <c r="BL81" i="4" s="1"/>
  <c r="BM81" i="4" s="1"/>
  <c r="BH82" i="4"/>
  <c r="BK82" i="4"/>
  <c r="BE83" i="4" s="1"/>
  <c r="AB82" i="4"/>
  <c r="V83" i="4" s="1"/>
  <c r="T82" i="4"/>
  <c r="U82" i="4"/>
  <c r="I101" i="4" s="1"/>
  <c r="AC82" i="4"/>
  <c r="W82" i="4"/>
  <c r="BI81" i="4"/>
  <c r="BJ81" i="4" s="1"/>
  <c r="BR81" i="4" s="1"/>
  <c r="BI86" i="5"/>
  <c r="BW86" i="5"/>
  <c r="BY84" i="5"/>
  <c r="G100" i="5" s="1"/>
  <c r="P100" i="5" s="1"/>
  <c r="BY83" i="5"/>
  <c r="G99" i="5" s="1"/>
  <c r="P99" i="5" s="1"/>
  <c r="F99" i="5"/>
  <c r="O99" i="5" s="1"/>
  <c r="BJ84" i="5"/>
  <c r="AW82" i="5"/>
  <c r="E98" i="5" s="1"/>
  <c r="N98" i="5" s="1"/>
  <c r="AW83" i="5"/>
  <c r="E99" i="5" s="1"/>
  <c r="N99" i="5" s="1"/>
  <c r="AV83" i="5"/>
  <c r="AG86" i="5"/>
  <c r="AU86" i="5"/>
  <c r="AH83" i="5"/>
  <c r="AI83" i="5"/>
  <c r="D99" i="5" s="1"/>
  <c r="M99" i="5" s="1"/>
  <c r="BN85" i="5"/>
  <c r="BV84" i="5" s="1"/>
  <c r="BX84" i="5" s="1"/>
  <c r="AP81" i="4"/>
  <c r="L101" i="5"/>
  <c r="BQ77" i="4"/>
  <c r="F96" i="4" s="1"/>
  <c r="BP78" i="4"/>
  <c r="BQ78" i="4" s="1"/>
  <c r="F97" i="4" s="1"/>
  <c r="AA85" i="5"/>
  <c r="AB85" i="5" s="1"/>
  <c r="AE85" i="5" s="1"/>
  <c r="BC85" i="5"/>
  <c r="BD85" i="5" s="1"/>
  <c r="BF84" i="5"/>
  <c r="BG84" i="5" s="1"/>
  <c r="BK84" i="5" s="1"/>
  <c r="AM86" i="5"/>
  <c r="AL86" i="5"/>
  <c r="AT85" i="5" s="1"/>
  <c r="AK86" i="5"/>
  <c r="C102" i="5"/>
  <c r="BE86" i="5"/>
  <c r="AC86" i="5"/>
  <c r="U86" i="5"/>
  <c r="BQ86" i="5" s="1"/>
  <c r="AQ86" i="5"/>
  <c r="T87" i="5"/>
  <c r="BS86" i="5"/>
  <c r="V86" i="5"/>
  <c r="I102" i="5" s="1"/>
  <c r="R102" i="5" s="1"/>
  <c r="AD86" i="5"/>
  <c r="Y86" i="5"/>
  <c r="Z86" i="5" s="1"/>
  <c r="X86" i="5"/>
  <c r="AF85" i="5" s="1"/>
  <c r="BQ85" i="5"/>
  <c r="BR85" i="5" s="1"/>
  <c r="AY86" i="5"/>
  <c r="AZ86" i="5"/>
  <c r="BH85" i="5" s="1"/>
  <c r="BB86" i="5"/>
  <c r="BA86" i="5"/>
  <c r="AN85" i="5"/>
  <c r="AP85" i="5" s="1"/>
  <c r="BP86" i="5"/>
  <c r="BO86" i="5"/>
  <c r="BM86" i="5"/>
  <c r="AR84" i="5"/>
  <c r="AS84" i="5" s="1"/>
  <c r="BS80" i="4"/>
  <c r="BN80" i="4"/>
  <c r="BO80" i="4" s="1"/>
  <c r="AQ82" i="4"/>
  <c r="AU60" i="4"/>
  <c r="AV60" i="4" s="1"/>
  <c r="AR61" i="4" s="1"/>
  <c r="AT61" i="4" s="1"/>
  <c r="AD53" i="4"/>
  <c r="AE64" i="4"/>
  <c r="AO64" i="4" s="1"/>
  <c r="AH52" i="4"/>
  <c r="AJ52" i="4" s="1"/>
  <c r="AW52" i="4" s="1"/>
  <c r="AX52" i="4" s="1"/>
  <c r="BG82" i="4"/>
  <c r="S83" i="4"/>
  <c r="C101" i="4"/>
  <c r="H101" i="4" s="1"/>
  <c r="H101" i="5" l="1"/>
  <c r="Q101" i="5" s="1"/>
  <c r="W87" i="5"/>
  <c r="W83" i="4"/>
  <c r="AP82" i="4" s="1"/>
  <c r="BH83" i="4"/>
  <c r="BF83" i="4"/>
  <c r="BI82" i="4"/>
  <c r="BJ82" i="4" s="1"/>
  <c r="BR82" i="4" s="1"/>
  <c r="AM82" i="4"/>
  <c r="BK83" i="4"/>
  <c r="BE84" i="4" s="1"/>
  <c r="AB83" i="4"/>
  <c r="V84" i="4" s="1"/>
  <c r="T83" i="4"/>
  <c r="U83" i="4"/>
  <c r="I102" i="4" s="1"/>
  <c r="AC83" i="4"/>
  <c r="Z82" i="4"/>
  <c r="BI87" i="5"/>
  <c r="BW87" i="5"/>
  <c r="F100" i="5"/>
  <c r="O100" i="5" s="1"/>
  <c r="BJ85" i="5"/>
  <c r="AG87" i="5"/>
  <c r="AU87" i="5"/>
  <c r="AV84" i="5"/>
  <c r="AW84" i="5"/>
  <c r="E100" i="5" s="1"/>
  <c r="N100" i="5" s="1"/>
  <c r="AH84" i="5"/>
  <c r="AI84" i="5"/>
  <c r="D100" i="5" s="1"/>
  <c r="M100" i="5" s="1"/>
  <c r="BN86" i="5"/>
  <c r="BV85" i="5" s="1"/>
  <c r="BX85" i="5" s="1"/>
  <c r="L102" i="5"/>
  <c r="BP79" i="4"/>
  <c r="BT79" i="4" s="1"/>
  <c r="G98" i="4" s="1"/>
  <c r="BT78" i="4"/>
  <c r="G97" i="4" s="1"/>
  <c r="AK52" i="4"/>
  <c r="BA52" i="4" s="1"/>
  <c r="BB52" i="4" s="1"/>
  <c r="BN81" i="4"/>
  <c r="BO81" i="4" s="1"/>
  <c r="BC86" i="5"/>
  <c r="BD86" i="5" s="1"/>
  <c r="BF86" i="5" s="1"/>
  <c r="BG86" i="5" s="1"/>
  <c r="AA86" i="5"/>
  <c r="AB86" i="5" s="1"/>
  <c r="AE86" i="5" s="1"/>
  <c r="AZ87" i="5"/>
  <c r="BH86" i="5" s="1"/>
  <c r="AY87" i="5"/>
  <c r="BA87" i="5"/>
  <c r="BB87" i="5"/>
  <c r="AN86" i="5"/>
  <c r="AN87" i="5" s="1"/>
  <c r="BR86" i="5"/>
  <c r="C103" i="5"/>
  <c r="BE87" i="5"/>
  <c r="AC87" i="5"/>
  <c r="U87" i="5"/>
  <c r="AA87" i="5" s="1"/>
  <c r="AQ87" i="5"/>
  <c r="BS87" i="5"/>
  <c r="T88" i="5"/>
  <c r="V87" i="5"/>
  <c r="I103" i="5" s="1"/>
  <c r="R103" i="5" s="1"/>
  <c r="AO86" i="5"/>
  <c r="AM87" i="5"/>
  <c r="AL87" i="5"/>
  <c r="AT86" i="5" s="1"/>
  <c r="AK87" i="5"/>
  <c r="BF85" i="5"/>
  <c r="BG85" i="5" s="1"/>
  <c r="BP87" i="5"/>
  <c r="BO87" i="5"/>
  <c r="BM87" i="5"/>
  <c r="AR85" i="5"/>
  <c r="AS85" i="5" s="1"/>
  <c r="BT85" i="5"/>
  <c r="BU85" i="5" s="1"/>
  <c r="X87" i="5"/>
  <c r="AF86" i="5" s="1"/>
  <c r="AD87" i="5"/>
  <c r="Y87" i="5"/>
  <c r="Z87" i="5" s="1"/>
  <c r="BS81" i="4"/>
  <c r="AQ83" i="4"/>
  <c r="AU61" i="4"/>
  <c r="AV61" i="4" s="1"/>
  <c r="AR62" i="4" s="1"/>
  <c r="AT62" i="4" s="1"/>
  <c r="AL64" i="4"/>
  <c r="AN64" i="4" s="1"/>
  <c r="AF76" i="4"/>
  <c r="AG88" i="4" s="1"/>
  <c r="AD54" i="4"/>
  <c r="AH53" i="4"/>
  <c r="AJ53" i="4" s="1"/>
  <c r="AW53" i="4" s="1"/>
  <c r="AX53" i="4" s="1"/>
  <c r="AE65" i="4"/>
  <c r="AO65" i="4" s="1"/>
  <c r="S84" i="4"/>
  <c r="C102" i="4"/>
  <c r="H102" i="4" s="1"/>
  <c r="BG83" i="4"/>
  <c r="BL82" i="4"/>
  <c r="BM82" i="4" s="1"/>
  <c r="H102" i="5" l="1"/>
  <c r="Q102" i="5" s="1"/>
  <c r="W88" i="5"/>
  <c r="BK84" i="4"/>
  <c r="BE85" i="4" s="1"/>
  <c r="AB84" i="4"/>
  <c r="V85" i="4" s="1"/>
  <c r="T84" i="4"/>
  <c r="Z84" i="4" s="1"/>
  <c r="U84" i="4"/>
  <c r="I103" i="4" s="1"/>
  <c r="AC84" i="4"/>
  <c r="BF84" i="4"/>
  <c r="BF85" i="4" s="1"/>
  <c r="BH84" i="4"/>
  <c r="BI83" i="4"/>
  <c r="BJ83" i="4" s="1"/>
  <c r="BR83" i="4" s="1"/>
  <c r="AM83" i="4"/>
  <c r="W84" i="4"/>
  <c r="AP83" i="4" s="1"/>
  <c r="Z83" i="4"/>
  <c r="BI88" i="5"/>
  <c r="BW88" i="5"/>
  <c r="BY85" i="5"/>
  <c r="G101" i="5" s="1"/>
  <c r="P101" i="5" s="1"/>
  <c r="BJ86" i="5"/>
  <c r="BK86" i="5"/>
  <c r="F102" i="5" s="1"/>
  <c r="O102" i="5" s="1"/>
  <c r="BK85" i="5"/>
  <c r="F101" i="5" s="1"/>
  <c r="O101" i="5" s="1"/>
  <c r="AW85" i="5"/>
  <c r="E101" i="5" s="1"/>
  <c r="N101" i="5" s="1"/>
  <c r="AV85" i="5"/>
  <c r="AG88" i="5"/>
  <c r="AU88" i="5"/>
  <c r="AH85" i="5"/>
  <c r="AI85" i="5"/>
  <c r="D101" i="5" s="1"/>
  <c r="M101" i="5" s="1"/>
  <c r="BN87" i="5"/>
  <c r="BV86" i="5" s="1"/>
  <c r="BX86" i="5" s="1"/>
  <c r="L103" i="5"/>
  <c r="BQ79" i="4"/>
  <c r="F98" i="4" s="1"/>
  <c r="BP80" i="4"/>
  <c r="BQ80" i="4" s="1"/>
  <c r="F99" i="4" s="1"/>
  <c r="AK53" i="4"/>
  <c r="BA53" i="4" s="1"/>
  <c r="BB53" i="4" s="1"/>
  <c r="BS82" i="4"/>
  <c r="BQ87" i="5"/>
  <c r="BR87" i="5" s="1"/>
  <c r="AN88" i="5"/>
  <c r="AM88" i="5"/>
  <c r="AK88" i="5"/>
  <c r="AL88" i="5"/>
  <c r="AT87" i="5" s="1"/>
  <c r="AO87" i="5"/>
  <c r="AP87" i="5" s="1"/>
  <c r="BT86" i="5"/>
  <c r="BU86" i="5" s="1"/>
  <c r="AB87" i="5"/>
  <c r="AE87" i="5" s="1"/>
  <c r="BC87" i="5"/>
  <c r="BD87" i="5" s="1"/>
  <c r="Y88" i="5"/>
  <c r="Z88" i="5" s="1"/>
  <c r="X88" i="5"/>
  <c r="AF87" i="5" s="1"/>
  <c r="AD88" i="5"/>
  <c r="C104" i="5"/>
  <c r="BS88" i="5"/>
  <c r="AQ88" i="5"/>
  <c r="BE88" i="5"/>
  <c r="U88" i="5"/>
  <c r="BC88" i="5" s="1"/>
  <c r="AC88" i="5"/>
  <c r="T89" i="5"/>
  <c r="V88" i="5"/>
  <c r="I104" i="5" s="1"/>
  <c r="R104" i="5" s="1"/>
  <c r="BA88" i="5"/>
  <c r="AZ88" i="5"/>
  <c r="BH87" i="5" s="1"/>
  <c r="AY88" i="5"/>
  <c r="BB88" i="5"/>
  <c r="AP86" i="5"/>
  <c r="BP88" i="5"/>
  <c r="BM88" i="5"/>
  <c r="BO88" i="5"/>
  <c r="BN82" i="4"/>
  <c r="BO82" i="4" s="1"/>
  <c r="AQ84" i="4"/>
  <c r="AU62" i="4"/>
  <c r="AV62" i="4" s="1"/>
  <c r="AF77" i="4"/>
  <c r="AG89" i="4" s="1"/>
  <c r="AL65" i="4"/>
  <c r="AN65" i="4" s="1"/>
  <c r="AD55" i="4"/>
  <c r="AH54" i="4"/>
  <c r="AJ54" i="4" s="1"/>
  <c r="AW54" i="4" s="1"/>
  <c r="AX54" i="4" s="1"/>
  <c r="AE66" i="4"/>
  <c r="AO66" i="4" s="1"/>
  <c r="BG84" i="4"/>
  <c r="S85" i="4"/>
  <c r="C103" i="4"/>
  <c r="H103" i="4" s="1"/>
  <c r="H103" i="5" l="1"/>
  <c r="Q103" i="5" s="1"/>
  <c r="W89" i="5"/>
  <c r="W85" i="4"/>
  <c r="AP84" i="4" s="1"/>
  <c r="BI84" i="4"/>
  <c r="AM84" i="4"/>
  <c r="BL83" i="4"/>
  <c r="BM83" i="4" s="1"/>
  <c r="AB85" i="4"/>
  <c r="V86" i="4" s="1"/>
  <c r="BK85" i="4"/>
  <c r="BE86" i="4" s="1"/>
  <c r="T85" i="4"/>
  <c r="AM85" i="4" s="1"/>
  <c r="U85" i="4"/>
  <c r="I104" i="4" s="1"/>
  <c r="AC85" i="4"/>
  <c r="BH85" i="4"/>
  <c r="BI89" i="5"/>
  <c r="BW89" i="5"/>
  <c r="BY86" i="5"/>
  <c r="G102" i="5" s="1"/>
  <c r="P102" i="5" s="1"/>
  <c r="BJ87" i="5"/>
  <c r="AV86" i="5"/>
  <c r="AG89" i="5"/>
  <c r="AU89" i="5"/>
  <c r="AH86" i="5"/>
  <c r="AI86" i="5"/>
  <c r="D102" i="5" s="1"/>
  <c r="M102" i="5" s="1"/>
  <c r="BN88" i="5"/>
  <c r="BV87" i="5" s="1"/>
  <c r="BX87" i="5" s="1"/>
  <c r="L104" i="5"/>
  <c r="BT80" i="4"/>
  <c r="G99" i="4" s="1"/>
  <c r="BP81" i="4"/>
  <c r="BQ81" i="4" s="1"/>
  <c r="F100" i="4" s="1"/>
  <c r="AK54" i="4"/>
  <c r="BA54" i="4" s="1"/>
  <c r="BB54" i="4" s="1"/>
  <c r="BS83" i="4"/>
  <c r="BQ88" i="5"/>
  <c r="BR88" i="5" s="1"/>
  <c r="BF87" i="5"/>
  <c r="BG87" i="5" s="1"/>
  <c r="BK87" i="5" s="1"/>
  <c r="AR87" i="5"/>
  <c r="AS87" i="5" s="1"/>
  <c r="BD88" i="5"/>
  <c r="Y89" i="5"/>
  <c r="Z89" i="5" s="1"/>
  <c r="X89" i="5"/>
  <c r="AF88" i="5" s="1"/>
  <c r="AD89" i="5"/>
  <c r="AO88" i="5"/>
  <c r="AP88" i="5" s="1"/>
  <c r="BT87" i="5"/>
  <c r="BU87" i="5" s="1"/>
  <c r="BB89" i="5"/>
  <c r="BA89" i="5"/>
  <c r="AZ89" i="5"/>
  <c r="BH88" i="5" s="1"/>
  <c r="AY89" i="5"/>
  <c r="AN89" i="5"/>
  <c r="AK89" i="5"/>
  <c r="AL89" i="5"/>
  <c r="AT88" i="5" s="1"/>
  <c r="AM89" i="5"/>
  <c r="BM89" i="5"/>
  <c r="BP89" i="5"/>
  <c r="BO89" i="5"/>
  <c r="AR86" i="5"/>
  <c r="AS86" i="5" s="1"/>
  <c r="AA88" i="5"/>
  <c r="AB88" i="5" s="1"/>
  <c r="AE88" i="5" s="1"/>
  <c r="C105" i="5"/>
  <c r="BS89" i="5"/>
  <c r="AQ89" i="5"/>
  <c r="T90" i="5"/>
  <c r="AC89" i="5"/>
  <c r="U89" i="5"/>
  <c r="AO89" i="5" s="1"/>
  <c r="BE89" i="5"/>
  <c r="V89" i="5"/>
  <c r="I105" i="5" s="1"/>
  <c r="R105" i="5" s="1"/>
  <c r="BN83" i="4"/>
  <c r="BO83" i="4" s="1"/>
  <c r="AY52" i="4"/>
  <c r="AQ85" i="4"/>
  <c r="AD56" i="4"/>
  <c r="AE67" i="4"/>
  <c r="AO67" i="4" s="1"/>
  <c r="AH55" i="4"/>
  <c r="AJ55" i="4" s="1"/>
  <c r="AW55" i="4" s="1"/>
  <c r="AX55" i="4" s="1"/>
  <c r="AL66" i="4"/>
  <c r="AN66" i="4" s="1"/>
  <c r="AF78" i="4"/>
  <c r="AG90" i="4" s="1"/>
  <c r="BJ84" i="4"/>
  <c r="BR84" i="4" s="1"/>
  <c r="BL84" i="4"/>
  <c r="BG85" i="4"/>
  <c r="S86" i="4"/>
  <c r="C104" i="4"/>
  <c r="H104" i="4" s="1"/>
  <c r="H104" i="5" l="1"/>
  <c r="Q104" i="5" s="1"/>
  <c r="W90" i="5"/>
  <c r="W86" i="4"/>
  <c r="AP85" i="4" s="1"/>
  <c r="BM84" i="4"/>
  <c r="BH86" i="4"/>
  <c r="BF86" i="4"/>
  <c r="BL85" i="4" s="1"/>
  <c r="BI85" i="4"/>
  <c r="BJ85" i="4" s="1"/>
  <c r="BR85" i="4" s="1"/>
  <c r="AB86" i="4"/>
  <c r="V87" i="4" s="1"/>
  <c r="BK86" i="4"/>
  <c r="BE87" i="4" s="1"/>
  <c r="T86" i="4"/>
  <c r="Z86" i="4" s="1"/>
  <c r="U86" i="4"/>
  <c r="I105" i="4" s="1"/>
  <c r="AC86" i="4"/>
  <c r="Z85" i="4"/>
  <c r="BI90" i="5"/>
  <c r="BW90" i="5"/>
  <c r="BY87" i="5"/>
  <c r="G103" i="5" s="1"/>
  <c r="P103" i="5" s="1"/>
  <c r="BJ88" i="5"/>
  <c r="F103" i="5"/>
  <c r="O103" i="5" s="1"/>
  <c r="AG90" i="5"/>
  <c r="AU90" i="5"/>
  <c r="AW86" i="5"/>
  <c r="E102" i="5" s="1"/>
  <c r="N102" i="5" s="1"/>
  <c r="AV87" i="5"/>
  <c r="AW87" i="5"/>
  <c r="E103" i="5" s="1"/>
  <c r="N103" i="5" s="1"/>
  <c r="AH87" i="5"/>
  <c r="AI87" i="5"/>
  <c r="D103" i="5" s="1"/>
  <c r="M103" i="5" s="1"/>
  <c r="BN89" i="5"/>
  <c r="BV88" i="5" s="1"/>
  <c r="BX88" i="5" s="1"/>
  <c r="L105" i="5"/>
  <c r="BT81" i="4"/>
  <c r="G100" i="4" s="1"/>
  <c r="BP82" i="4"/>
  <c r="BQ82" i="4" s="1"/>
  <c r="F101" i="4" s="1"/>
  <c r="AK55" i="4"/>
  <c r="BA55" i="4" s="1"/>
  <c r="BB55" i="4" s="1"/>
  <c r="BS84" i="4"/>
  <c r="BQ89" i="5"/>
  <c r="BR89" i="5" s="1"/>
  <c r="Y90" i="5"/>
  <c r="Z90" i="5" s="1"/>
  <c r="X90" i="5"/>
  <c r="AF89" i="5" s="1"/>
  <c r="AD90" i="5"/>
  <c r="BF88" i="5"/>
  <c r="BG88" i="5" s="1"/>
  <c r="AK90" i="5"/>
  <c r="AL90" i="5"/>
  <c r="AT89" i="5" s="1"/>
  <c r="AM90" i="5"/>
  <c r="AN90" i="5"/>
  <c r="BC89" i="5"/>
  <c r="BD89" i="5" s="1"/>
  <c r="BM90" i="5"/>
  <c r="BO90" i="5"/>
  <c r="BP90" i="5"/>
  <c r="AP89" i="5"/>
  <c r="C106" i="5"/>
  <c r="T91" i="5"/>
  <c r="BS90" i="5"/>
  <c r="AQ90" i="5"/>
  <c r="AC90" i="5"/>
  <c r="BF90" i="5"/>
  <c r="BE90" i="5"/>
  <c r="U90" i="5"/>
  <c r="BC90" i="5" s="1"/>
  <c r="V90" i="5"/>
  <c r="I106" i="5" s="1"/>
  <c r="R106" i="5" s="1"/>
  <c r="AR88" i="5"/>
  <c r="AS88" i="5" s="1"/>
  <c r="AA89" i="5"/>
  <c r="AB89" i="5" s="1"/>
  <c r="AE89" i="5" s="1"/>
  <c r="BB90" i="5"/>
  <c r="BA90" i="5"/>
  <c r="AZ90" i="5"/>
  <c r="BH89" i="5" s="1"/>
  <c r="AY90" i="5"/>
  <c r="BT88" i="5"/>
  <c r="BU88" i="5" s="1"/>
  <c r="BN84" i="4"/>
  <c r="BO84" i="4" s="1"/>
  <c r="BC52" i="4"/>
  <c r="E71" i="4" s="1"/>
  <c r="AZ52" i="4"/>
  <c r="D71" i="4" s="1"/>
  <c r="AY53" i="4"/>
  <c r="AQ86" i="4"/>
  <c r="AL67" i="4"/>
  <c r="AN67" i="4" s="1"/>
  <c r="AF79" i="4"/>
  <c r="AG91" i="4" s="1"/>
  <c r="AD57" i="4"/>
  <c r="AH56" i="4"/>
  <c r="AJ56" i="4" s="1"/>
  <c r="AW56" i="4" s="1"/>
  <c r="AX56" i="4" s="1"/>
  <c r="AE68" i="4"/>
  <c r="AO68" i="4" s="1"/>
  <c r="C105" i="4"/>
  <c r="H105" i="4" s="1"/>
  <c r="S87" i="4"/>
  <c r="BG86" i="4"/>
  <c r="H105" i="5" l="1"/>
  <c r="Q105" i="5" s="1"/>
  <c r="W91" i="5"/>
  <c r="BM85" i="4"/>
  <c r="W87" i="4"/>
  <c r="AP86" i="4" s="1"/>
  <c r="BH87" i="4"/>
  <c r="BI86" i="4"/>
  <c r="BJ86" i="4" s="1"/>
  <c r="BR86" i="4" s="1"/>
  <c r="AM86" i="4"/>
  <c r="BK87" i="4"/>
  <c r="BE88" i="4" s="1"/>
  <c r="AB87" i="4"/>
  <c r="V88" i="4" s="1"/>
  <c r="T87" i="4"/>
  <c r="Z87" i="4" s="1"/>
  <c r="U87" i="4"/>
  <c r="I106" i="4" s="1"/>
  <c r="AC87" i="4"/>
  <c r="BF87" i="4"/>
  <c r="BI91" i="5"/>
  <c r="BW91" i="5"/>
  <c r="BY88" i="5"/>
  <c r="G104" i="5" s="1"/>
  <c r="P104" i="5" s="1"/>
  <c r="BK88" i="5"/>
  <c r="F104" i="5" s="1"/>
  <c r="O104" i="5" s="1"/>
  <c r="BJ89" i="5"/>
  <c r="AV88" i="5"/>
  <c r="AW88" i="5"/>
  <c r="E104" i="5" s="1"/>
  <c r="N104" i="5" s="1"/>
  <c r="AG91" i="5"/>
  <c r="AU91" i="5"/>
  <c r="AH88" i="5"/>
  <c r="AI88" i="5"/>
  <c r="D104" i="5" s="1"/>
  <c r="M104" i="5" s="1"/>
  <c r="BN90" i="5"/>
  <c r="BV89" i="5" s="1"/>
  <c r="BX89" i="5" s="1"/>
  <c r="BP83" i="4"/>
  <c r="BT83" i="4" s="1"/>
  <c r="G102" i="4" s="1"/>
  <c r="BT82" i="4"/>
  <c r="G101" i="4" s="1"/>
  <c r="L106" i="5"/>
  <c r="AK56" i="4"/>
  <c r="BA56" i="4" s="1"/>
  <c r="BB56" i="4" s="1"/>
  <c r="BS85" i="4"/>
  <c r="BQ90" i="5"/>
  <c r="BR90" i="5" s="1"/>
  <c r="AO90" i="5"/>
  <c r="AP90" i="5" s="1"/>
  <c r="AN91" i="5" s="1"/>
  <c r="BF89" i="5"/>
  <c r="BG89" i="5" s="1"/>
  <c r="AA90" i="5"/>
  <c r="AB90" i="5" s="1"/>
  <c r="AE90" i="5" s="1"/>
  <c r="Y91" i="5"/>
  <c r="Z91" i="5" s="1"/>
  <c r="X91" i="5"/>
  <c r="AD91" i="5"/>
  <c r="C107" i="5"/>
  <c r="T92" i="5"/>
  <c r="BC91" i="5"/>
  <c r="BS91" i="5"/>
  <c r="AQ91" i="5"/>
  <c r="AC91" i="5"/>
  <c r="BE91" i="5"/>
  <c r="U91" i="5"/>
  <c r="AO91" i="5" s="1"/>
  <c r="V91" i="5"/>
  <c r="I107" i="5" s="1"/>
  <c r="R107" i="5" s="1"/>
  <c r="AL91" i="5"/>
  <c r="AT90" i="5" s="1"/>
  <c r="AK91" i="5"/>
  <c r="AM91" i="5"/>
  <c r="AR89" i="5"/>
  <c r="AS89" i="5" s="1"/>
  <c r="BD90" i="5"/>
  <c r="BG90" i="5" s="1"/>
  <c r="AY91" i="5" s="1"/>
  <c r="BM91" i="5"/>
  <c r="BO91" i="5"/>
  <c r="BT89" i="5"/>
  <c r="BU89" i="5" s="1"/>
  <c r="BN85" i="4"/>
  <c r="BO85" i="4" s="1"/>
  <c r="BC53" i="4"/>
  <c r="E72" i="4" s="1"/>
  <c r="AZ53" i="4"/>
  <c r="D72" i="4" s="1"/>
  <c r="AY54" i="4"/>
  <c r="AZ54" i="4" s="1"/>
  <c r="D73" i="4" s="1"/>
  <c r="AD58" i="4"/>
  <c r="AH57" i="4"/>
  <c r="AJ57" i="4" s="1"/>
  <c r="AW57" i="4" s="1"/>
  <c r="AX57" i="4" s="1"/>
  <c r="AE69" i="4"/>
  <c r="AO69" i="4" s="1"/>
  <c r="AL68" i="4"/>
  <c r="AN68" i="4" s="1"/>
  <c r="AF80" i="4"/>
  <c r="AG92" i="4" s="1"/>
  <c r="S88" i="4"/>
  <c r="C106" i="4"/>
  <c r="H106" i="4" s="1"/>
  <c r="BG87" i="4"/>
  <c r="BL86" i="4"/>
  <c r="BM86" i="4" s="1"/>
  <c r="H106" i="5" l="1"/>
  <c r="Q106" i="5" s="1"/>
  <c r="W92" i="5"/>
  <c r="L107" i="5"/>
  <c r="H107" i="5"/>
  <c r="Q107" i="5" s="1"/>
  <c r="BQ83" i="4"/>
  <c r="F102" i="4" s="1"/>
  <c r="BK88" i="4"/>
  <c r="BE89" i="4" s="1"/>
  <c r="AB88" i="4"/>
  <c r="V89" i="4" s="1"/>
  <c r="T88" i="4"/>
  <c r="Z88" i="4" s="1"/>
  <c r="U88" i="4"/>
  <c r="I107" i="4" s="1"/>
  <c r="AC88" i="4"/>
  <c r="BI87" i="4"/>
  <c r="BJ87" i="4" s="1"/>
  <c r="BR87" i="4" s="1"/>
  <c r="AM87" i="4"/>
  <c r="BF88" i="4"/>
  <c r="BL87" i="4" s="1"/>
  <c r="BM87" i="4" s="1"/>
  <c r="W88" i="4"/>
  <c r="BI92" i="5"/>
  <c r="BW92" i="5"/>
  <c r="BY89" i="5"/>
  <c r="G105" i="5" s="1"/>
  <c r="P105" i="5" s="1"/>
  <c r="BK90" i="5"/>
  <c r="F106" i="5" s="1"/>
  <c r="O106" i="5" s="1"/>
  <c r="BK89" i="5"/>
  <c r="F105" i="5" s="1"/>
  <c r="O105" i="5" s="1"/>
  <c r="AG92" i="5"/>
  <c r="AU92" i="5"/>
  <c r="AW89" i="5"/>
  <c r="E105" i="5" s="1"/>
  <c r="N105" i="5" s="1"/>
  <c r="AV89" i="5"/>
  <c r="BN91" i="5"/>
  <c r="BV90" i="5" s="1"/>
  <c r="BX90" i="5" s="1"/>
  <c r="AH89" i="5"/>
  <c r="AI89" i="5"/>
  <c r="D105" i="5" s="1"/>
  <c r="M105" i="5" s="1"/>
  <c r="BP84" i="4"/>
  <c r="BQ84" i="4" s="1"/>
  <c r="F103" i="4" s="1"/>
  <c r="AK57" i="4"/>
  <c r="BA57" i="4" s="1"/>
  <c r="BB57" i="4" s="1"/>
  <c r="BN86" i="4"/>
  <c r="BO86" i="4" s="1"/>
  <c r="AF90" i="5"/>
  <c r="BQ91" i="5"/>
  <c r="BA91" i="5"/>
  <c r="BB91" i="5" s="1"/>
  <c r="BD91" i="5" s="1"/>
  <c r="AZ91" i="5"/>
  <c r="BH90" i="5" s="1"/>
  <c r="BJ90" i="5" s="1"/>
  <c r="BO92" i="5"/>
  <c r="BM92" i="5"/>
  <c r="AR90" i="5"/>
  <c r="AS90" i="5" s="1"/>
  <c r="BT90" i="5"/>
  <c r="BU90" i="5" s="1"/>
  <c r="BY90" i="5" s="1"/>
  <c r="AA91" i="5"/>
  <c r="AB91" i="5" s="1"/>
  <c r="AE91" i="5" s="1"/>
  <c r="BP91" i="5"/>
  <c r="AY92" i="5"/>
  <c r="Y92" i="5"/>
  <c r="Z92" i="5" s="1"/>
  <c r="X92" i="5"/>
  <c r="AF91" i="5" s="1"/>
  <c r="AD92" i="5"/>
  <c r="C108" i="5"/>
  <c r="H108" i="5" s="1"/>
  <c r="Q108" i="5" s="1"/>
  <c r="BE92" i="5"/>
  <c r="AC92" i="5"/>
  <c r="U92" i="5"/>
  <c r="AO92" i="5" s="1"/>
  <c r="T93" i="5"/>
  <c r="BC92" i="5"/>
  <c r="AQ92" i="5"/>
  <c r="BS92" i="5"/>
  <c r="V92" i="5"/>
  <c r="I108" i="5" s="1"/>
  <c r="R108" i="5" s="1"/>
  <c r="AP91" i="5"/>
  <c r="AM92" i="5"/>
  <c r="AL92" i="5"/>
  <c r="AT91" i="5" s="1"/>
  <c r="AK92" i="5"/>
  <c r="AN92" i="5"/>
  <c r="BS86" i="4"/>
  <c r="BC54" i="4"/>
  <c r="E73" i="4" s="1"/>
  <c r="AQ88" i="4"/>
  <c r="AL69" i="4"/>
  <c r="AN69" i="4" s="1"/>
  <c r="AF81" i="4"/>
  <c r="AG93" i="4" s="1"/>
  <c r="AD59" i="4"/>
  <c r="AH58" i="4"/>
  <c r="AJ58" i="4" s="1"/>
  <c r="AW58" i="4" s="1"/>
  <c r="AX58" i="4" s="1"/>
  <c r="AE70" i="4"/>
  <c r="AO70" i="4" s="1"/>
  <c r="BG88" i="4"/>
  <c r="S89" i="4"/>
  <c r="C107" i="4"/>
  <c r="B106" i="4" s="1"/>
  <c r="W93" i="5" l="1"/>
  <c r="H107" i="4"/>
  <c r="W89" i="4"/>
  <c r="AP88" i="4" s="1"/>
  <c r="BF89" i="4"/>
  <c r="BI88" i="4"/>
  <c r="AM88" i="4"/>
  <c r="BK89" i="4"/>
  <c r="BE90" i="4" s="1"/>
  <c r="AB89" i="4"/>
  <c r="T89" i="4"/>
  <c r="AM89" i="4" s="1"/>
  <c r="U89" i="4"/>
  <c r="I108" i="4" s="1"/>
  <c r="AC89" i="4"/>
  <c r="BI93" i="5"/>
  <c r="BW93" i="5"/>
  <c r="G106" i="5"/>
  <c r="P106" i="5" s="1"/>
  <c r="AV90" i="5"/>
  <c r="AW90" i="5"/>
  <c r="E106" i="5" s="1"/>
  <c r="N106" i="5" s="1"/>
  <c r="AG93" i="5"/>
  <c r="AU93" i="5"/>
  <c r="BN92" i="5"/>
  <c r="BV91" i="5" s="1"/>
  <c r="BX91" i="5" s="1"/>
  <c r="AH90" i="5"/>
  <c r="AI90" i="5"/>
  <c r="D106" i="5" s="1"/>
  <c r="M106" i="5" s="1"/>
  <c r="BP85" i="4"/>
  <c r="BQ85" i="4" s="1"/>
  <c r="F104" i="4" s="1"/>
  <c r="BT84" i="4"/>
  <c r="G103" i="4" s="1"/>
  <c r="L108" i="5"/>
  <c r="AZ92" i="5"/>
  <c r="BH91" i="5" s="1"/>
  <c r="BJ91" i="5" s="1"/>
  <c r="BH88" i="4"/>
  <c r="BH89" i="4" s="1"/>
  <c r="BS87" i="4"/>
  <c r="AK58" i="4"/>
  <c r="BA58" i="4" s="1"/>
  <c r="BB58" i="4" s="1"/>
  <c r="BA92" i="5"/>
  <c r="BA93" i="5" s="1"/>
  <c r="BB92" i="5"/>
  <c r="BD92" i="5" s="1"/>
  <c r="BR91" i="5"/>
  <c r="BT91" i="5" s="1"/>
  <c r="BU91" i="5" s="1"/>
  <c r="BY91" i="5" s="1"/>
  <c r="AD93" i="5"/>
  <c r="Y93" i="5"/>
  <c r="Z93" i="5" s="1"/>
  <c r="X93" i="5"/>
  <c r="AF92" i="5" s="1"/>
  <c r="BQ92" i="5"/>
  <c r="AY93" i="5"/>
  <c r="BO93" i="5"/>
  <c r="BM93" i="5"/>
  <c r="AA92" i="5"/>
  <c r="AB92" i="5" s="1"/>
  <c r="AE92" i="5" s="1"/>
  <c r="AN93" i="5"/>
  <c r="AM93" i="5"/>
  <c r="AL93" i="5"/>
  <c r="AT92" i="5" s="1"/>
  <c r="AK93" i="5"/>
  <c r="AR91" i="5"/>
  <c r="AS91" i="5" s="1"/>
  <c r="AP92" i="5"/>
  <c r="BE93" i="5"/>
  <c r="AC93" i="5"/>
  <c r="U93" i="5"/>
  <c r="AA93" i="5" s="1"/>
  <c r="BC93" i="5"/>
  <c r="C109" i="5"/>
  <c r="H109" i="5" s="1"/>
  <c r="Q109" i="5" s="1"/>
  <c r="BS93" i="5"/>
  <c r="T94" i="5"/>
  <c r="AQ93" i="5"/>
  <c r="V93" i="5"/>
  <c r="I109" i="5" s="1"/>
  <c r="R109" i="5" s="1"/>
  <c r="BP92" i="5"/>
  <c r="BF91" i="5"/>
  <c r="BG91" i="5" s="1"/>
  <c r="BN87" i="4"/>
  <c r="BO87" i="4" s="1"/>
  <c r="AY55" i="4"/>
  <c r="AZ55" i="4" s="1"/>
  <c r="D74" i="4" s="1"/>
  <c r="AQ89" i="4"/>
  <c r="AD60" i="4"/>
  <c r="AH59" i="4"/>
  <c r="AJ59" i="4" s="1"/>
  <c r="AW59" i="4" s="1"/>
  <c r="AX59" i="4" s="1"/>
  <c r="AE71" i="4"/>
  <c r="AO71" i="4" s="1"/>
  <c r="AL70" i="4"/>
  <c r="AN70" i="4" s="1"/>
  <c r="AF82" i="4"/>
  <c r="AG94" i="4" s="1"/>
  <c r="S90" i="4"/>
  <c r="C108" i="4"/>
  <c r="H108" i="4" s="1"/>
  <c r="BG89" i="4"/>
  <c r="BL88" i="4"/>
  <c r="BM88" i="4" s="1"/>
  <c r="W94" i="5" l="1"/>
  <c r="BI89" i="4"/>
  <c r="BJ89" i="4" s="1"/>
  <c r="BR89" i="4" s="1"/>
  <c r="Z89" i="4"/>
  <c r="BH90" i="4"/>
  <c r="BN93" i="5"/>
  <c r="BV92" i="5" s="1"/>
  <c r="V90" i="4"/>
  <c r="AC90" i="4" s="1"/>
  <c r="W90" i="4"/>
  <c r="AP89" i="4" s="1"/>
  <c r="BK90" i="4"/>
  <c r="BE91" i="4" s="1"/>
  <c r="AB90" i="4"/>
  <c r="T90" i="4"/>
  <c r="Z90" i="4" s="1"/>
  <c r="U90" i="4"/>
  <c r="I109" i="4" s="1"/>
  <c r="BF90" i="4"/>
  <c r="BL89" i="4" s="1"/>
  <c r="BM89" i="4" s="1"/>
  <c r="BI94" i="5"/>
  <c r="BW94" i="5"/>
  <c r="BX92" i="5"/>
  <c r="G107" i="5"/>
  <c r="P107" i="5" s="1"/>
  <c r="BK91" i="5"/>
  <c r="F107" i="5" s="1"/>
  <c r="O107" i="5" s="1"/>
  <c r="AG94" i="5"/>
  <c r="AU94" i="5"/>
  <c r="AW91" i="5"/>
  <c r="E107" i="5" s="1"/>
  <c r="N107" i="5" s="1"/>
  <c r="AV91" i="5"/>
  <c r="AH91" i="5"/>
  <c r="AI91" i="5"/>
  <c r="D107" i="5" s="1"/>
  <c r="M107" i="5" s="1"/>
  <c r="BP86" i="4"/>
  <c r="BQ86" i="4" s="1"/>
  <c r="F105" i="4" s="1"/>
  <c r="BT85" i="4"/>
  <c r="G104" i="4" s="1"/>
  <c r="L109" i="5"/>
  <c r="AZ93" i="5"/>
  <c r="BH92" i="5" s="1"/>
  <c r="BJ92" i="5" s="1"/>
  <c r="AK59" i="4"/>
  <c r="BA59" i="4" s="1"/>
  <c r="BB59" i="4" s="1"/>
  <c r="BB93" i="5"/>
  <c r="BB94" i="5" s="1"/>
  <c r="BR92" i="5"/>
  <c r="BT92" i="5" s="1"/>
  <c r="BU92" i="5" s="1"/>
  <c r="BM94" i="5"/>
  <c r="BO94" i="5"/>
  <c r="BF92" i="5"/>
  <c r="BG92" i="5" s="1"/>
  <c r="AO93" i="5"/>
  <c r="AP93" i="5" s="1"/>
  <c r="Y94" i="5"/>
  <c r="Z94" i="5" s="1"/>
  <c r="X94" i="5"/>
  <c r="AF93" i="5" s="1"/>
  <c r="AD94" i="5"/>
  <c r="AY94" i="5"/>
  <c r="BA94" i="5"/>
  <c r="AB93" i="5"/>
  <c r="AE93" i="5" s="1"/>
  <c r="BQ93" i="5"/>
  <c r="AN94" i="5"/>
  <c r="AK94" i="5"/>
  <c r="AL94" i="5"/>
  <c r="AT93" i="5" s="1"/>
  <c r="AM94" i="5"/>
  <c r="AR92" i="5"/>
  <c r="AS92" i="5" s="1"/>
  <c r="BP93" i="5"/>
  <c r="T95" i="5"/>
  <c r="BC94" i="5"/>
  <c r="C110" i="5"/>
  <c r="H110" i="5" s="1"/>
  <c r="Q110" i="5" s="1"/>
  <c r="BS94" i="5"/>
  <c r="BE94" i="5"/>
  <c r="U94" i="5"/>
  <c r="AA94" i="5" s="1"/>
  <c r="AQ94" i="5"/>
  <c r="AC94" i="5"/>
  <c r="V94" i="5"/>
  <c r="I110" i="5" s="1"/>
  <c r="R110" i="5" s="1"/>
  <c r="BJ88" i="4"/>
  <c r="BR88" i="4" s="1"/>
  <c r="BC55" i="4"/>
  <c r="E74" i="4" s="1"/>
  <c r="AQ90" i="4"/>
  <c r="AF83" i="4"/>
  <c r="AG95" i="4" s="1"/>
  <c r="AL71" i="4"/>
  <c r="AN71" i="4" s="1"/>
  <c r="AD61" i="4"/>
  <c r="AE72" i="4"/>
  <c r="AO72" i="4" s="1"/>
  <c r="AH60" i="4"/>
  <c r="AJ60" i="4" s="1"/>
  <c r="AW60" i="4" s="1"/>
  <c r="AX60" i="4" s="1"/>
  <c r="BG90" i="4"/>
  <c r="C109" i="4"/>
  <c r="H109" i="4" s="1"/>
  <c r="S91" i="4"/>
  <c r="BN94" i="5" l="1"/>
  <c r="BV93" i="5" s="1"/>
  <c r="BX93" i="5" s="1"/>
  <c r="W95" i="5"/>
  <c r="BI90" i="4"/>
  <c r="BJ90" i="4" s="1"/>
  <c r="BR90" i="4" s="1"/>
  <c r="AM90" i="4"/>
  <c r="V91" i="4"/>
  <c r="W91" i="4"/>
  <c r="AP90" i="4" s="1"/>
  <c r="BK91" i="4"/>
  <c r="BE92" i="4" s="1"/>
  <c r="AB91" i="4"/>
  <c r="T91" i="4"/>
  <c r="U91" i="4"/>
  <c r="I110" i="4" s="1"/>
  <c r="AC91" i="4"/>
  <c r="BF91" i="4"/>
  <c r="BL90" i="4" s="1"/>
  <c r="BM90" i="4" s="1"/>
  <c r="BH91" i="4"/>
  <c r="BI95" i="5"/>
  <c r="BW95" i="5"/>
  <c r="BY92" i="5"/>
  <c r="G108" i="5" s="1"/>
  <c r="P108" i="5" s="1"/>
  <c r="BK92" i="5"/>
  <c r="F108" i="5" s="1"/>
  <c r="O108" i="5" s="1"/>
  <c r="AG95" i="5"/>
  <c r="AU95" i="5"/>
  <c r="AW92" i="5"/>
  <c r="E108" i="5" s="1"/>
  <c r="N108" i="5" s="1"/>
  <c r="AV92" i="5"/>
  <c r="AH92" i="5"/>
  <c r="AI92" i="5"/>
  <c r="D108" i="5" s="1"/>
  <c r="M108" i="5" s="1"/>
  <c r="BP87" i="4"/>
  <c r="BQ87" i="4" s="1"/>
  <c r="F106" i="4" s="1"/>
  <c r="BT86" i="4"/>
  <c r="G105" i="4" s="1"/>
  <c r="L110" i="5"/>
  <c r="AZ94" i="5"/>
  <c r="BH93" i="5" s="1"/>
  <c r="BJ93" i="5" s="1"/>
  <c r="AK60" i="4"/>
  <c r="BA60" i="4" s="1"/>
  <c r="BB60" i="4" s="1"/>
  <c r="BD93" i="5"/>
  <c r="BF93" i="5" s="1"/>
  <c r="BG93" i="5" s="1"/>
  <c r="BR93" i="5"/>
  <c r="BT93" i="5" s="1"/>
  <c r="BU93" i="5" s="1"/>
  <c r="BQ94" i="5"/>
  <c r="AY95" i="5"/>
  <c r="BB95" i="5"/>
  <c r="BA95" i="5"/>
  <c r="BO95" i="5"/>
  <c r="BN95" i="5"/>
  <c r="BV94" i="5" s="1"/>
  <c r="BM95" i="5"/>
  <c r="BD94" i="5"/>
  <c r="AD95" i="5"/>
  <c r="Y95" i="5"/>
  <c r="Z95" i="5" s="1"/>
  <c r="X95" i="5"/>
  <c r="AF94" i="5" s="1"/>
  <c r="AB94" i="5"/>
  <c r="AE94" i="5" s="1"/>
  <c r="AN95" i="5"/>
  <c r="AM95" i="5"/>
  <c r="AL95" i="5"/>
  <c r="AT94" i="5" s="1"/>
  <c r="AK95" i="5"/>
  <c r="AO94" i="5"/>
  <c r="AP94" i="5" s="1"/>
  <c r="AR93" i="5"/>
  <c r="AS93" i="5" s="1"/>
  <c r="BE95" i="5"/>
  <c r="AC95" i="5"/>
  <c r="U95" i="5"/>
  <c r="BQ95" i="5" s="1"/>
  <c r="T96" i="5"/>
  <c r="BS95" i="5"/>
  <c r="AQ95" i="5"/>
  <c r="C111" i="5"/>
  <c r="H111" i="5" s="1"/>
  <c r="Q111" i="5" s="1"/>
  <c r="BC95" i="5"/>
  <c r="V95" i="5"/>
  <c r="I111" i="5" s="1"/>
  <c r="R111" i="5" s="1"/>
  <c r="BP94" i="5"/>
  <c r="BS89" i="4"/>
  <c r="BN89" i="4"/>
  <c r="BO89" i="4" s="1"/>
  <c r="BS88" i="4"/>
  <c r="BN88" i="4"/>
  <c r="BO88" i="4" s="1"/>
  <c r="AY56" i="4"/>
  <c r="AQ91" i="4"/>
  <c r="AD62" i="4"/>
  <c r="AH61" i="4"/>
  <c r="AJ61" i="4" s="1"/>
  <c r="AW61" i="4" s="1"/>
  <c r="AX61" i="4" s="1"/>
  <c r="AE73" i="4"/>
  <c r="AO73" i="4" s="1"/>
  <c r="AL72" i="4"/>
  <c r="AN72" i="4" s="1"/>
  <c r="AF84" i="4"/>
  <c r="AG96" i="4" s="1"/>
  <c r="S92" i="4"/>
  <c r="C110" i="4"/>
  <c r="H110" i="4" s="1"/>
  <c r="BG91" i="4"/>
  <c r="W96" i="5" l="1"/>
  <c r="BI91" i="4"/>
  <c r="AM91" i="4"/>
  <c r="V92" i="4"/>
  <c r="W92" i="4"/>
  <c r="AP91" i="4" s="1"/>
  <c r="BH92" i="4"/>
  <c r="BF92" i="4"/>
  <c r="BL91" i="4" s="1"/>
  <c r="BM91" i="4" s="1"/>
  <c r="BK92" i="4"/>
  <c r="BE93" i="4" s="1"/>
  <c r="AB92" i="4"/>
  <c r="T92" i="4"/>
  <c r="Z92" i="4" s="1"/>
  <c r="U92" i="4"/>
  <c r="I111" i="4" s="1"/>
  <c r="AC92" i="4"/>
  <c r="Z91" i="4"/>
  <c r="BI96" i="5"/>
  <c r="BW96" i="5"/>
  <c r="BY93" i="5"/>
  <c r="G109" i="5" s="1"/>
  <c r="P109" i="5" s="1"/>
  <c r="BX94" i="5"/>
  <c r="BK93" i="5"/>
  <c r="F109" i="5" s="1"/>
  <c r="O109" i="5" s="1"/>
  <c r="AG96" i="5"/>
  <c r="AU96" i="5"/>
  <c r="AV93" i="5"/>
  <c r="AW93" i="5"/>
  <c r="E109" i="5" s="1"/>
  <c r="N109" i="5" s="1"/>
  <c r="AH93" i="5"/>
  <c r="AI93" i="5"/>
  <c r="D109" i="5" s="1"/>
  <c r="M109" i="5" s="1"/>
  <c r="BT87" i="4"/>
  <c r="G106" i="4" s="1"/>
  <c r="L111" i="5"/>
  <c r="AZ95" i="5"/>
  <c r="BH94" i="5" s="1"/>
  <c r="BJ94" i="5" s="1"/>
  <c r="BP88" i="4"/>
  <c r="AK61" i="4"/>
  <c r="BA61" i="4" s="1"/>
  <c r="BB61" i="4" s="1"/>
  <c r="BN90" i="4"/>
  <c r="BO90" i="4" s="1"/>
  <c r="BR94" i="5"/>
  <c r="BT94" i="5" s="1"/>
  <c r="BU94" i="5" s="1"/>
  <c r="AA95" i="5"/>
  <c r="AB95" i="5" s="1"/>
  <c r="AE95" i="5" s="1"/>
  <c r="AR94" i="5"/>
  <c r="AS94" i="5" s="1"/>
  <c r="AN96" i="5"/>
  <c r="AM96" i="5"/>
  <c r="AL96" i="5"/>
  <c r="AT95" i="5" s="1"/>
  <c r="AK96" i="5"/>
  <c r="AY96" i="5"/>
  <c r="BB96" i="5"/>
  <c r="BA96" i="5"/>
  <c r="BO96" i="5"/>
  <c r="BN96" i="5"/>
  <c r="BV95" i="5" s="1"/>
  <c r="BM96" i="5"/>
  <c r="BF94" i="5"/>
  <c r="BG94" i="5" s="1"/>
  <c r="BK94" i="5" s="1"/>
  <c r="BD95" i="5"/>
  <c r="AO95" i="5"/>
  <c r="AP95" i="5" s="1"/>
  <c r="BE96" i="5"/>
  <c r="AC96" i="5"/>
  <c r="U96" i="5"/>
  <c r="AO96" i="5" s="1"/>
  <c r="BS96" i="5"/>
  <c r="C112" i="5"/>
  <c r="H112" i="5" s="1"/>
  <c r="Q112" i="5" s="1"/>
  <c r="T97" i="5"/>
  <c r="AQ96" i="5"/>
  <c r="BC96" i="5"/>
  <c r="V96" i="5"/>
  <c r="I112" i="5" s="1"/>
  <c r="R112" i="5" s="1"/>
  <c r="BP95" i="5"/>
  <c r="BR95" i="5" s="1"/>
  <c r="AD96" i="5"/>
  <c r="Y96" i="5"/>
  <c r="Z96" i="5" s="1"/>
  <c r="X96" i="5"/>
  <c r="AF95" i="5" s="1"/>
  <c r="BS90" i="4"/>
  <c r="BC56" i="4"/>
  <c r="E75" i="4" s="1"/>
  <c r="AZ56" i="4"/>
  <c r="D75" i="4" s="1"/>
  <c r="AQ92" i="4"/>
  <c r="AL73" i="4"/>
  <c r="AN73" i="4" s="1"/>
  <c r="AF85" i="4"/>
  <c r="AG97" i="4" s="1"/>
  <c r="AD63" i="4"/>
  <c r="AE74" i="4"/>
  <c r="AO74" i="4" s="1"/>
  <c r="AH62" i="4"/>
  <c r="AJ62" i="4" s="1"/>
  <c r="AW62" i="4" s="1"/>
  <c r="AX62" i="4" s="1"/>
  <c r="BJ91" i="4"/>
  <c r="BR91" i="4" s="1"/>
  <c r="BG92" i="4"/>
  <c r="S93" i="4"/>
  <c r="C111" i="4"/>
  <c r="H111" i="4" s="1"/>
  <c r="W97" i="5" l="1"/>
  <c r="BF93" i="4"/>
  <c r="BH93" i="4"/>
  <c r="BI92" i="4"/>
  <c r="BJ92" i="4" s="1"/>
  <c r="BR92" i="4" s="1"/>
  <c r="AM92" i="4"/>
  <c r="AB93" i="4"/>
  <c r="BK93" i="4"/>
  <c r="BE94" i="4" s="1"/>
  <c r="T93" i="4"/>
  <c r="AM93" i="4" s="1"/>
  <c r="U93" i="4"/>
  <c r="I112" i="4" s="1"/>
  <c r="V93" i="4"/>
  <c r="AC93" i="4" s="1"/>
  <c r="W93" i="4"/>
  <c r="AP92" i="4" s="1"/>
  <c r="BI97" i="5"/>
  <c r="BW97" i="5"/>
  <c r="BY94" i="5"/>
  <c r="G110" i="5" s="1"/>
  <c r="P110" i="5" s="1"/>
  <c r="BX95" i="5"/>
  <c r="F110" i="5"/>
  <c r="O110" i="5" s="1"/>
  <c r="AG97" i="5"/>
  <c r="AU97" i="5"/>
  <c r="AV94" i="5"/>
  <c r="AW94" i="5"/>
  <c r="E110" i="5" s="1"/>
  <c r="N110" i="5" s="1"/>
  <c r="AH94" i="5"/>
  <c r="AI94" i="5"/>
  <c r="D110" i="5" s="1"/>
  <c r="M110" i="5" s="1"/>
  <c r="AZ96" i="5"/>
  <c r="BH95" i="5" s="1"/>
  <c r="BJ95" i="5" s="1"/>
  <c r="L112" i="5"/>
  <c r="BQ88" i="4"/>
  <c r="F107" i="4" s="1"/>
  <c r="BT88" i="4"/>
  <c r="G107" i="4" s="1"/>
  <c r="BP89" i="4"/>
  <c r="BQ89" i="4" s="1"/>
  <c r="F108" i="4" s="1"/>
  <c r="AK62" i="4"/>
  <c r="BA62" i="4" s="1"/>
  <c r="BB62" i="4" s="1"/>
  <c r="BS91" i="4"/>
  <c r="BQ96" i="5"/>
  <c r="AA96" i="5"/>
  <c r="AB96" i="5" s="1"/>
  <c r="AE96" i="5" s="1"/>
  <c r="AR95" i="5"/>
  <c r="AS95" i="5" s="1"/>
  <c r="BP96" i="5"/>
  <c r="AN97" i="5"/>
  <c r="AM97" i="5"/>
  <c r="AK97" i="5"/>
  <c r="AL97" i="5"/>
  <c r="AT96" i="5" s="1"/>
  <c r="X97" i="5"/>
  <c r="AF96" i="5" s="1"/>
  <c r="AD97" i="5"/>
  <c r="Y97" i="5"/>
  <c r="Z97" i="5" s="1"/>
  <c r="C113" i="5"/>
  <c r="H113" i="5" s="1"/>
  <c r="Q113" i="5" s="1"/>
  <c r="BE97" i="5"/>
  <c r="AC97" i="5"/>
  <c r="U97" i="5"/>
  <c r="BQ97" i="5" s="1"/>
  <c r="T98" i="5"/>
  <c r="BC97" i="5"/>
  <c r="BS97" i="5"/>
  <c r="AQ97" i="5"/>
  <c r="V97" i="5"/>
  <c r="I113" i="5" s="1"/>
  <c r="R113" i="5" s="1"/>
  <c r="AY97" i="5"/>
  <c r="BB97" i="5"/>
  <c r="BA97" i="5"/>
  <c r="BF95" i="5"/>
  <c r="BG95" i="5" s="1"/>
  <c r="AP96" i="5"/>
  <c r="BT95" i="5"/>
  <c r="BU95" i="5" s="1"/>
  <c r="BY95" i="5" s="1"/>
  <c r="BO97" i="5"/>
  <c r="BM97" i="5"/>
  <c r="BN97" i="5"/>
  <c r="BV96" i="5" s="1"/>
  <c r="BD96" i="5"/>
  <c r="BN91" i="4"/>
  <c r="BO91" i="4" s="1"/>
  <c r="AY57" i="4"/>
  <c r="AQ93" i="4"/>
  <c r="AF86" i="4"/>
  <c r="AG98" i="4" s="1"/>
  <c r="AL74" i="4"/>
  <c r="AN74" i="4" s="1"/>
  <c r="AH63" i="4"/>
  <c r="AJ63" i="4" s="1"/>
  <c r="AW63" i="4" s="1"/>
  <c r="AX63" i="4" s="1"/>
  <c r="AE75" i="4"/>
  <c r="AO75" i="4" s="1"/>
  <c r="S94" i="4"/>
  <c r="C112" i="4"/>
  <c r="H112" i="4" s="1"/>
  <c r="BG93" i="4"/>
  <c r="W98" i="5" l="1"/>
  <c r="AB94" i="4"/>
  <c r="BK94" i="4"/>
  <c r="BE95" i="4" s="1"/>
  <c r="T94" i="4"/>
  <c r="Z94" i="4" s="1"/>
  <c r="U94" i="4"/>
  <c r="I113" i="4" s="1"/>
  <c r="V94" i="4"/>
  <c r="AC94" i="4" s="1"/>
  <c r="W94" i="4"/>
  <c r="AP93" i="4" s="1"/>
  <c r="BH94" i="4"/>
  <c r="BI93" i="4"/>
  <c r="BJ93" i="4" s="1"/>
  <c r="BR93" i="4" s="1"/>
  <c r="BF94" i="4"/>
  <c r="BL92" i="4"/>
  <c r="BM92" i="4" s="1"/>
  <c r="Z93" i="4"/>
  <c r="BI98" i="5"/>
  <c r="BW98" i="5"/>
  <c r="BX96" i="5"/>
  <c r="G111" i="5"/>
  <c r="P111" i="5" s="1"/>
  <c r="BK95" i="5"/>
  <c r="F111" i="5" s="1"/>
  <c r="O111" i="5" s="1"/>
  <c r="AV95" i="5"/>
  <c r="AW95" i="5"/>
  <c r="E111" i="5" s="1"/>
  <c r="N111" i="5" s="1"/>
  <c r="AG98" i="5"/>
  <c r="AU98" i="5"/>
  <c r="AH95" i="5"/>
  <c r="AI95" i="5"/>
  <c r="D111" i="5" s="1"/>
  <c r="M111" i="5" s="1"/>
  <c r="AZ97" i="5"/>
  <c r="BH96" i="5" s="1"/>
  <c r="BJ96" i="5" s="1"/>
  <c r="L113" i="5"/>
  <c r="BP90" i="4"/>
  <c r="BQ90" i="4" s="1"/>
  <c r="F109" i="4" s="1"/>
  <c r="BT89" i="4"/>
  <c r="G108" i="4" s="1"/>
  <c r="AK63" i="4"/>
  <c r="BA63" i="4" s="1"/>
  <c r="BB63" i="4" s="1"/>
  <c r="BS92" i="4"/>
  <c r="BR96" i="5"/>
  <c r="BT96" i="5" s="1"/>
  <c r="BU96" i="5" s="1"/>
  <c r="BY96" i="5" s="1"/>
  <c r="BP97" i="5"/>
  <c r="BP98" i="5" s="1"/>
  <c r="BD97" i="5"/>
  <c r="BF97" i="5" s="1"/>
  <c r="BG97" i="5" s="1"/>
  <c r="AA97" i="5"/>
  <c r="AB97" i="5" s="1"/>
  <c r="AE97" i="5" s="1"/>
  <c r="AO97" i="5"/>
  <c r="AP97" i="5" s="1"/>
  <c r="BN98" i="5"/>
  <c r="BV97" i="5" s="1"/>
  <c r="BO98" i="5"/>
  <c r="BM98" i="5"/>
  <c r="BF96" i="5"/>
  <c r="BG96" i="5" s="1"/>
  <c r="C114" i="5"/>
  <c r="H114" i="5" s="1"/>
  <c r="Q114" i="5" s="1"/>
  <c r="BS98" i="5"/>
  <c r="AQ98" i="5"/>
  <c r="BC98" i="5"/>
  <c r="AC98" i="5"/>
  <c r="U98" i="5"/>
  <c r="AA98" i="5" s="1"/>
  <c r="BE98" i="5"/>
  <c r="T99" i="5"/>
  <c r="V98" i="5"/>
  <c r="I114" i="5" s="1"/>
  <c r="R114" i="5" s="1"/>
  <c r="AR96" i="5"/>
  <c r="AS96" i="5" s="1"/>
  <c r="AN98" i="5"/>
  <c r="AL98" i="5"/>
  <c r="AT97" i="5" s="1"/>
  <c r="AK98" i="5"/>
  <c r="AM98" i="5"/>
  <c r="Y98" i="5"/>
  <c r="Z98" i="5" s="1"/>
  <c r="X98" i="5"/>
  <c r="AF97" i="5" s="1"/>
  <c r="AD98" i="5"/>
  <c r="BA98" i="5"/>
  <c r="AY98" i="5"/>
  <c r="BB98" i="5"/>
  <c r="BN92" i="4"/>
  <c r="BO92" i="4" s="1"/>
  <c r="BC57" i="4"/>
  <c r="E76" i="4" s="1"/>
  <c r="AZ57" i="4"/>
  <c r="D76" i="4" s="1"/>
  <c r="AQ94" i="4"/>
  <c r="AQ63" i="4"/>
  <c r="AL75" i="4"/>
  <c r="AN75" i="4" s="1"/>
  <c r="AF87" i="4"/>
  <c r="AG99" i="4" s="1"/>
  <c r="S95" i="4"/>
  <c r="C113" i="4"/>
  <c r="H113" i="4" s="1"/>
  <c r="BG94" i="4"/>
  <c r="BL93" i="4"/>
  <c r="BM93" i="4" s="1"/>
  <c r="W99" i="5" l="1"/>
  <c r="BF95" i="4"/>
  <c r="BL94" i="4" s="1"/>
  <c r="BM94" i="4" s="1"/>
  <c r="BH95" i="4"/>
  <c r="BI94" i="4"/>
  <c r="BJ94" i="4" s="1"/>
  <c r="BR94" i="4" s="1"/>
  <c r="AM94" i="4"/>
  <c r="AB95" i="4"/>
  <c r="BK95" i="4"/>
  <c r="BE96" i="4" s="1"/>
  <c r="T95" i="4"/>
  <c r="U95" i="4"/>
  <c r="I114" i="4" s="1"/>
  <c r="V95" i="4"/>
  <c r="AC95" i="4" s="1"/>
  <c r="W95" i="4"/>
  <c r="AP94" i="4" s="1"/>
  <c r="BI99" i="5"/>
  <c r="BW99" i="5"/>
  <c r="BX97" i="5"/>
  <c r="G112" i="5"/>
  <c r="P112" i="5" s="1"/>
  <c r="BK97" i="5"/>
  <c r="F113" i="5" s="1"/>
  <c r="O113" i="5" s="1"/>
  <c r="BK96" i="5"/>
  <c r="F112" i="5" s="1"/>
  <c r="O112" i="5" s="1"/>
  <c r="AW96" i="5"/>
  <c r="E112" i="5" s="1"/>
  <c r="N112" i="5" s="1"/>
  <c r="AV96" i="5"/>
  <c r="AG99" i="5"/>
  <c r="AU99" i="5"/>
  <c r="AH96" i="5"/>
  <c r="AI96" i="5"/>
  <c r="D112" i="5" s="1"/>
  <c r="M112" i="5" s="1"/>
  <c r="AZ98" i="5"/>
  <c r="BH97" i="5" s="1"/>
  <c r="BJ97" i="5" s="1"/>
  <c r="L114" i="5"/>
  <c r="BT90" i="4"/>
  <c r="G109" i="4" s="1"/>
  <c r="BP91" i="4"/>
  <c r="BT91" i="4" s="1"/>
  <c r="G110" i="4" s="1"/>
  <c r="BS93" i="4"/>
  <c r="BR97" i="5"/>
  <c r="BT97" i="5" s="1"/>
  <c r="BU97" i="5" s="1"/>
  <c r="Y99" i="5"/>
  <c r="Z99" i="5" s="1"/>
  <c r="X99" i="5"/>
  <c r="AF98" i="5" s="1"/>
  <c r="AD99" i="5"/>
  <c r="BO99" i="5"/>
  <c r="BP99" i="5"/>
  <c r="BM99" i="5"/>
  <c r="BN99" i="5"/>
  <c r="BV98" i="5" s="1"/>
  <c r="AR97" i="5"/>
  <c r="AS97" i="5" s="1"/>
  <c r="C115" i="5"/>
  <c r="H115" i="5" s="1"/>
  <c r="Q115" i="5" s="1"/>
  <c r="BS99" i="5"/>
  <c r="AQ99" i="5"/>
  <c r="BE99" i="5"/>
  <c r="AC99" i="5"/>
  <c r="U99" i="5"/>
  <c r="AA99" i="5" s="1"/>
  <c r="BC99" i="5"/>
  <c r="T100" i="5"/>
  <c r="V99" i="5"/>
  <c r="I115" i="5" s="1"/>
  <c r="R115" i="5" s="1"/>
  <c r="BB99" i="5"/>
  <c r="BA99" i="5"/>
  <c r="AY99" i="5"/>
  <c r="AO98" i="5"/>
  <c r="AP98" i="5" s="1"/>
  <c r="BD98" i="5"/>
  <c r="BQ98" i="5"/>
  <c r="BR98" i="5" s="1"/>
  <c r="AB98" i="5"/>
  <c r="AE98" i="5" s="1"/>
  <c r="AM99" i="5"/>
  <c r="AL99" i="5"/>
  <c r="AT98" i="5" s="1"/>
  <c r="AK99" i="5"/>
  <c r="AN99" i="5"/>
  <c r="BN93" i="4"/>
  <c r="BO93" i="4" s="1"/>
  <c r="AY58" i="4"/>
  <c r="AQ95" i="4"/>
  <c r="BG95" i="4"/>
  <c r="S96" i="4"/>
  <c r="C114" i="4"/>
  <c r="H114" i="4" s="1"/>
  <c r="W100" i="5" l="1"/>
  <c r="BI95" i="4"/>
  <c r="AM95" i="4"/>
  <c r="V96" i="4"/>
  <c r="W96" i="4"/>
  <c r="AP95" i="4"/>
  <c r="BH96" i="4"/>
  <c r="BK96" i="4"/>
  <c r="BE97" i="4" s="1"/>
  <c r="AB96" i="4"/>
  <c r="T96" i="4"/>
  <c r="Z96" i="4" s="1"/>
  <c r="U96" i="4"/>
  <c r="I115" i="4" s="1"/>
  <c r="AC96" i="4"/>
  <c r="BF96" i="4"/>
  <c r="Z95" i="4"/>
  <c r="BI100" i="5"/>
  <c r="BW100" i="5"/>
  <c r="BY97" i="5"/>
  <c r="G113" i="5" s="1"/>
  <c r="P113" i="5" s="1"/>
  <c r="BX98" i="5"/>
  <c r="AV97" i="5"/>
  <c r="AW97" i="5"/>
  <c r="E113" i="5" s="1"/>
  <c r="N113" i="5" s="1"/>
  <c r="AG100" i="5"/>
  <c r="AU100" i="5"/>
  <c r="AH97" i="5"/>
  <c r="AI97" i="5"/>
  <c r="D113" i="5" s="1"/>
  <c r="M113" i="5" s="1"/>
  <c r="AZ99" i="5"/>
  <c r="BH98" i="5" s="1"/>
  <c r="BJ98" i="5" s="1"/>
  <c r="L115" i="5"/>
  <c r="BP92" i="4"/>
  <c r="BT92" i="4" s="1"/>
  <c r="G111" i="4" s="1"/>
  <c r="BQ91" i="4"/>
  <c r="F110" i="4" s="1"/>
  <c r="BN94" i="4"/>
  <c r="BO94" i="4" s="1"/>
  <c r="BD99" i="5"/>
  <c r="BF99" i="5" s="1"/>
  <c r="BT98" i="5"/>
  <c r="BU98" i="5" s="1"/>
  <c r="AR98" i="5"/>
  <c r="AS98" i="5" s="1"/>
  <c r="Y100" i="5"/>
  <c r="Z100" i="5" s="1"/>
  <c r="X100" i="5"/>
  <c r="AF99" i="5" s="1"/>
  <c r="AD100" i="5"/>
  <c r="BB100" i="5"/>
  <c r="BA100" i="5"/>
  <c r="AY100" i="5"/>
  <c r="T101" i="5"/>
  <c r="BC100" i="5"/>
  <c r="BS100" i="5"/>
  <c r="AQ100" i="5"/>
  <c r="C116" i="5"/>
  <c r="H116" i="5" s="1"/>
  <c r="Q116" i="5" s="1"/>
  <c r="BE100" i="5"/>
  <c r="AC100" i="5"/>
  <c r="U100" i="5"/>
  <c r="AA100" i="5" s="1"/>
  <c r="V100" i="5"/>
  <c r="I116" i="5" s="1"/>
  <c r="R116" i="5" s="1"/>
  <c r="AO99" i="5"/>
  <c r="AP99" i="5" s="1"/>
  <c r="BQ99" i="5"/>
  <c r="BR99" i="5" s="1"/>
  <c r="AK100" i="5"/>
  <c r="AN100" i="5"/>
  <c r="AL100" i="5"/>
  <c r="AT99" i="5" s="1"/>
  <c r="AM100" i="5"/>
  <c r="BF98" i="5"/>
  <c r="BG98" i="5" s="1"/>
  <c r="BM100" i="5"/>
  <c r="BP100" i="5"/>
  <c r="BN100" i="5"/>
  <c r="BV99" i="5" s="1"/>
  <c r="BO100" i="5"/>
  <c r="AB99" i="5"/>
  <c r="AE99" i="5" s="1"/>
  <c r="BS94" i="4"/>
  <c r="BC58" i="4"/>
  <c r="E77" i="4" s="1"/>
  <c r="AZ58" i="4"/>
  <c r="D77" i="4" s="1"/>
  <c r="AQ96" i="4"/>
  <c r="BJ95" i="4"/>
  <c r="BR95" i="4" s="1"/>
  <c r="S97" i="4"/>
  <c r="C115" i="4"/>
  <c r="H115" i="4" s="1"/>
  <c r="BG96" i="4"/>
  <c r="W101" i="5" l="1"/>
  <c r="BH97" i="4"/>
  <c r="BF97" i="4"/>
  <c r="BL96" i="4" s="1"/>
  <c r="BL95" i="4"/>
  <c r="BM95" i="4" s="1"/>
  <c r="BI96" i="4"/>
  <c r="BJ96" i="4" s="1"/>
  <c r="BR96" i="4" s="1"/>
  <c r="AM96" i="4"/>
  <c r="BK97" i="4"/>
  <c r="BE98" i="4" s="1"/>
  <c r="AB97" i="4"/>
  <c r="T97" i="4"/>
  <c r="AM97" i="4" s="1"/>
  <c r="U97" i="4"/>
  <c r="I116" i="4" s="1"/>
  <c r="V97" i="4"/>
  <c r="AC97" i="4" s="1"/>
  <c r="W97" i="4"/>
  <c r="AP96" i="4" s="1"/>
  <c r="BI101" i="5"/>
  <c r="BW101" i="5"/>
  <c r="BX99" i="5"/>
  <c r="BY98" i="5"/>
  <c r="G114" i="5" s="1"/>
  <c r="P114" i="5" s="1"/>
  <c r="BK98" i="5"/>
  <c r="F114" i="5" s="1"/>
  <c r="O114" i="5" s="1"/>
  <c r="AV98" i="5"/>
  <c r="AW98" i="5"/>
  <c r="E114" i="5" s="1"/>
  <c r="N114" i="5" s="1"/>
  <c r="AG101" i="5"/>
  <c r="AU101" i="5"/>
  <c r="AH98" i="5"/>
  <c r="AI98" i="5"/>
  <c r="D114" i="5" s="1"/>
  <c r="M114" i="5" s="1"/>
  <c r="AZ100" i="5"/>
  <c r="BH99" i="5" s="1"/>
  <c r="BJ99" i="5" s="1"/>
  <c r="L116" i="5"/>
  <c r="BQ92" i="4"/>
  <c r="F111" i="4" s="1"/>
  <c r="BP93" i="4"/>
  <c r="BT93" i="4" s="1"/>
  <c r="G112" i="4" s="1"/>
  <c r="BS95" i="4"/>
  <c r="BG99" i="5"/>
  <c r="BD100" i="5"/>
  <c r="BF100" i="5" s="1"/>
  <c r="BG100" i="5" s="1"/>
  <c r="BT99" i="5"/>
  <c r="BU99" i="5" s="1"/>
  <c r="BY99" i="5" s="1"/>
  <c r="C117" i="5"/>
  <c r="H117" i="5" s="1"/>
  <c r="Q117" i="5" s="1"/>
  <c r="T102" i="5"/>
  <c r="BC101" i="5"/>
  <c r="BS101" i="5"/>
  <c r="AQ101" i="5"/>
  <c r="BE101" i="5"/>
  <c r="AC101" i="5"/>
  <c r="U101" i="5"/>
  <c r="BQ101" i="5" s="1"/>
  <c r="V101" i="5"/>
  <c r="I117" i="5" s="1"/>
  <c r="R117" i="5" s="1"/>
  <c r="AO100" i="5"/>
  <c r="AP100" i="5" s="1"/>
  <c r="AL101" i="5"/>
  <c r="AT100" i="5" s="1"/>
  <c r="AK101" i="5"/>
  <c r="AN101" i="5"/>
  <c r="AM101" i="5"/>
  <c r="BQ100" i="5"/>
  <c r="BR100" i="5" s="1"/>
  <c r="BN101" i="5"/>
  <c r="BV100" i="5" s="1"/>
  <c r="BM101" i="5"/>
  <c r="BP101" i="5"/>
  <c r="BO101" i="5"/>
  <c r="AB100" i="5"/>
  <c r="AE100" i="5" s="1"/>
  <c r="Y101" i="5"/>
  <c r="Z101" i="5" s="1"/>
  <c r="AD101" i="5"/>
  <c r="X101" i="5"/>
  <c r="AF100" i="5" s="1"/>
  <c r="AR99" i="5"/>
  <c r="AS99" i="5" s="1"/>
  <c r="BB101" i="5"/>
  <c r="BA101" i="5"/>
  <c r="AY101" i="5"/>
  <c r="BN95" i="4"/>
  <c r="BO95" i="4" s="1"/>
  <c r="AY59" i="4"/>
  <c r="AQ97" i="4"/>
  <c r="S98" i="4"/>
  <c r="C116" i="4"/>
  <c r="H116" i="4" s="1"/>
  <c r="BG97" i="4"/>
  <c r="W102" i="5" l="1"/>
  <c r="Z97" i="4"/>
  <c r="BM96" i="4"/>
  <c r="BK98" i="4"/>
  <c r="BE99" i="4" s="1"/>
  <c r="AB98" i="4"/>
  <c r="T98" i="4"/>
  <c r="Z98" i="4" s="1"/>
  <c r="U98" i="4"/>
  <c r="I117" i="4" s="1"/>
  <c r="V98" i="4"/>
  <c r="AC98" i="4" s="1"/>
  <c r="W98" i="4"/>
  <c r="AP97" i="4" s="1"/>
  <c r="BI97" i="4"/>
  <c r="BJ97" i="4" s="1"/>
  <c r="BR97" i="4" s="1"/>
  <c r="BF98" i="4"/>
  <c r="BH98" i="4"/>
  <c r="BI102" i="5"/>
  <c r="BW102" i="5"/>
  <c r="BX100" i="5"/>
  <c r="G115" i="5"/>
  <c r="P115" i="5" s="1"/>
  <c r="BK100" i="5"/>
  <c r="F116" i="5" s="1"/>
  <c r="O116" i="5" s="1"/>
  <c r="BK99" i="5"/>
  <c r="F115" i="5" s="1"/>
  <c r="O115" i="5" s="1"/>
  <c r="AG102" i="5"/>
  <c r="AU102" i="5"/>
  <c r="AV99" i="5"/>
  <c r="AW99" i="5"/>
  <c r="E115" i="5" s="1"/>
  <c r="N115" i="5" s="1"/>
  <c r="AH99" i="5"/>
  <c r="AI99" i="5"/>
  <c r="D115" i="5" s="1"/>
  <c r="M115" i="5" s="1"/>
  <c r="AZ101" i="5"/>
  <c r="BH100" i="5" s="1"/>
  <c r="BJ100" i="5" s="1"/>
  <c r="L117" i="5"/>
  <c r="BQ93" i="4"/>
  <c r="F112" i="4" s="1"/>
  <c r="BP94" i="4"/>
  <c r="BQ94" i="4" s="1"/>
  <c r="F113" i="4" s="1"/>
  <c r="BD101" i="5"/>
  <c r="BF101" i="5" s="1"/>
  <c r="BG101" i="5" s="1"/>
  <c r="AA101" i="5"/>
  <c r="AB101" i="5" s="1"/>
  <c r="AE101" i="5" s="1"/>
  <c r="AO101" i="5"/>
  <c r="AP101" i="5" s="1"/>
  <c r="C118" i="5"/>
  <c r="H118" i="5" s="1"/>
  <c r="Q118" i="5" s="1"/>
  <c r="BE102" i="5"/>
  <c r="AC102" i="5"/>
  <c r="U102" i="5"/>
  <c r="AA102" i="5" s="1"/>
  <c r="T103" i="5"/>
  <c r="BC102" i="5"/>
  <c r="AQ102" i="5"/>
  <c r="BS102" i="5"/>
  <c r="V102" i="5"/>
  <c r="I118" i="5" s="1"/>
  <c r="R118" i="5" s="1"/>
  <c r="AR100" i="5"/>
  <c r="AS100" i="5" s="1"/>
  <c r="BR101" i="5"/>
  <c r="AM102" i="5"/>
  <c r="AL102" i="5"/>
  <c r="AT101" i="5" s="1"/>
  <c r="AK102" i="5"/>
  <c r="AN102" i="5"/>
  <c r="X102" i="5"/>
  <c r="AF101" i="5" s="1"/>
  <c r="Y102" i="5"/>
  <c r="Z102" i="5" s="1"/>
  <c r="AD102" i="5"/>
  <c r="BO102" i="5"/>
  <c r="BN102" i="5"/>
  <c r="BV101" i="5" s="1"/>
  <c r="BM102" i="5"/>
  <c r="BP102" i="5"/>
  <c r="BT100" i="5"/>
  <c r="BU100" i="5" s="1"/>
  <c r="BB102" i="5"/>
  <c r="BA102" i="5"/>
  <c r="AY102" i="5"/>
  <c r="BS96" i="4"/>
  <c r="BN96" i="4"/>
  <c r="BO96" i="4" s="1"/>
  <c r="BC59" i="4"/>
  <c r="E78" i="4" s="1"/>
  <c r="AZ59" i="4"/>
  <c r="D78" i="4" s="1"/>
  <c r="AQ98" i="4"/>
  <c r="BG98" i="4"/>
  <c r="C117" i="4"/>
  <c r="H117" i="4" s="1"/>
  <c r="S99" i="4"/>
  <c r="W103" i="5" l="1"/>
  <c r="BF99" i="4"/>
  <c r="BL97" i="4"/>
  <c r="BM97" i="4" s="1"/>
  <c r="BH99" i="4"/>
  <c r="BI98" i="4"/>
  <c r="BJ98" i="4" s="1"/>
  <c r="BR98" i="4" s="1"/>
  <c r="AM98" i="4"/>
  <c r="BK99" i="4"/>
  <c r="BE100" i="4" s="1"/>
  <c r="AB99" i="4"/>
  <c r="T99" i="4"/>
  <c r="U99" i="4"/>
  <c r="I118" i="4" s="1"/>
  <c r="V99" i="4"/>
  <c r="AC99" i="4" s="1"/>
  <c r="W99" i="4"/>
  <c r="AP98" i="4" s="1"/>
  <c r="BI103" i="5"/>
  <c r="BW103" i="5"/>
  <c r="BX101" i="5"/>
  <c r="BY100" i="5"/>
  <c r="G116" i="5" s="1"/>
  <c r="P116" i="5" s="1"/>
  <c r="BK101" i="5"/>
  <c r="F117" i="5" s="1"/>
  <c r="O117" i="5" s="1"/>
  <c r="AG103" i="5"/>
  <c r="AU103" i="5"/>
  <c r="AV100" i="5"/>
  <c r="AW100" i="5"/>
  <c r="E116" i="5" s="1"/>
  <c r="N116" i="5" s="1"/>
  <c r="AH100" i="5"/>
  <c r="AI100" i="5"/>
  <c r="D116" i="5" s="1"/>
  <c r="M116" i="5" s="1"/>
  <c r="AZ102" i="5"/>
  <c r="BH101" i="5" s="1"/>
  <c r="BJ101" i="5" s="1"/>
  <c r="L118" i="5"/>
  <c r="BT94" i="4"/>
  <c r="G113" i="4" s="1"/>
  <c r="BP95" i="4"/>
  <c r="BT95" i="4" s="1"/>
  <c r="G114" i="4" s="1"/>
  <c r="BD102" i="5"/>
  <c r="BF102" i="5" s="1"/>
  <c r="BG102" i="5" s="1"/>
  <c r="AM103" i="5"/>
  <c r="AL103" i="5"/>
  <c r="AT102" i="5" s="1"/>
  <c r="AK103" i="5"/>
  <c r="AB102" i="5"/>
  <c r="AE102" i="5" s="1"/>
  <c r="AR101" i="5"/>
  <c r="AS101" i="5" s="1"/>
  <c r="BQ102" i="5"/>
  <c r="BR102" i="5" s="1"/>
  <c r="C119" i="5"/>
  <c r="BE103" i="5"/>
  <c r="AC103" i="5"/>
  <c r="U103" i="5"/>
  <c r="AO103" i="5" s="1"/>
  <c r="T104" i="5"/>
  <c r="BS103" i="5"/>
  <c r="AQ103" i="5"/>
  <c r="V103" i="5"/>
  <c r="I119" i="5" s="1"/>
  <c r="R119" i="5" s="1"/>
  <c r="BT101" i="5"/>
  <c r="BU101" i="5" s="1"/>
  <c r="Y103" i="5"/>
  <c r="Z103" i="5" s="1"/>
  <c r="AD103" i="5"/>
  <c r="X103" i="5"/>
  <c r="BA103" i="5"/>
  <c r="AY103" i="5"/>
  <c r="AO102" i="5"/>
  <c r="AP102" i="5" s="1"/>
  <c r="BO103" i="5"/>
  <c r="BN103" i="5"/>
  <c r="BV102" i="5" s="1"/>
  <c r="BM103" i="5"/>
  <c r="BS97" i="4"/>
  <c r="BN97" i="4"/>
  <c r="BO97" i="4" s="1"/>
  <c r="AY60" i="4"/>
  <c r="S100" i="4"/>
  <c r="C118" i="4"/>
  <c r="H118" i="4" s="1"/>
  <c r="BL98" i="4"/>
  <c r="BG99" i="4"/>
  <c r="W104" i="5" l="1"/>
  <c r="L119" i="5"/>
  <c r="H119" i="5"/>
  <c r="Q119" i="5" s="1"/>
  <c r="BF100" i="4"/>
  <c r="BL99" i="4" s="1"/>
  <c r="BM98" i="4"/>
  <c r="BI99" i="4"/>
  <c r="BJ99" i="4" s="1"/>
  <c r="BR99" i="4" s="1"/>
  <c r="AM99" i="4"/>
  <c r="Z99" i="4"/>
  <c r="V100" i="4"/>
  <c r="AC100" i="4" s="1"/>
  <c r="W100" i="4"/>
  <c r="BK100" i="4"/>
  <c r="BE101" i="4" s="1"/>
  <c r="AB100" i="4"/>
  <c r="T100" i="4"/>
  <c r="Z100" i="4" s="1"/>
  <c r="U100" i="4"/>
  <c r="I119" i="4" s="1"/>
  <c r="BI104" i="5"/>
  <c r="BW104" i="5"/>
  <c r="BX102" i="5"/>
  <c r="BY101" i="5"/>
  <c r="G117" i="5" s="1"/>
  <c r="P117" i="5" s="1"/>
  <c r="BK102" i="5"/>
  <c r="F118" i="5" s="1"/>
  <c r="O118" i="5" s="1"/>
  <c r="AV101" i="5"/>
  <c r="AW101" i="5"/>
  <c r="E117" i="5" s="1"/>
  <c r="N117" i="5" s="1"/>
  <c r="AG104" i="5"/>
  <c r="AU104" i="5"/>
  <c r="AH101" i="5"/>
  <c r="AI101" i="5"/>
  <c r="D117" i="5" s="1"/>
  <c r="M117" i="5" s="1"/>
  <c r="AZ103" i="5"/>
  <c r="BH102" i="5" s="1"/>
  <c r="BJ102" i="5" s="1"/>
  <c r="BQ95" i="4"/>
  <c r="F114" i="4" s="1"/>
  <c r="BP96" i="4"/>
  <c r="BQ96" i="4" s="1"/>
  <c r="F115" i="4" s="1"/>
  <c r="BB103" i="5"/>
  <c r="BB104" i="5" s="1"/>
  <c r="AF102" i="5"/>
  <c r="AA103" i="5"/>
  <c r="AB103" i="5" s="1"/>
  <c r="AE103" i="5" s="1"/>
  <c r="BC103" i="5"/>
  <c r="BQ103" i="5"/>
  <c r="AR102" i="5"/>
  <c r="AS102" i="5" s="1"/>
  <c r="AN103" i="5"/>
  <c r="AP103" i="5" s="1"/>
  <c r="AM104" i="5"/>
  <c r="AL104" i="5"/>
  <c r="AT103" i="5" s="1"/>
  <c r="AK104" i="5"/>
  <c r="BO104" i="5"/>
  <c r="BN104" i="5"/>
  <c r="BV103" i="5" s="1"/>
  <c r="BM104" i="5"/>
  <c r="C120" i="5"/>
  <c r="BE104" i="5"/>
  <c r="AC104" i="5"/>
  <c r="U104" i="5"/>
  <c r="AA104" i="5" s="1"/>
  <c r="BS104" i="5"/>
  <c r="AQ104" i="5"/>
  <c r="T105" i="5"/>
  <c r="V104" i="5"/>
  <c r="I120" i="5" s="1"/>
  <c r="R120" i="5" s="1"/>
  <c r="BT102" i="5"/>
  <c r="BU102" i="5" s="1"/>
  <c r="BY102" i="5" s="1"/>
  <c r="AD104" i="5"/>
  <c r="X104" i="5"/>
  <c r="AF103" i="5" s="1"/>
  <c r="Y104" i="5"/>
  <c r="Z104" i="5" s="1"/>
  <c r="BP103" i="5"/>
  <c r="AY104" i="5"/>
  <c r="BA104" i="5"/>
  <c r="BS98" i="4"/>
  <c r="BN98" i="4"/>
  <c r="BO98" i="4" s="1"/>
  <c r="BC60" i="4"/>
  <c r="E79" i="4" s="1"/>
  <c r="AZ60" i="4"/>
  <c r="D79" i="4" s="1"/>
  <c r="AQ100" i="4"/>
  <c r="S101" i="4"/>
  <c r="C119" i="4"/>
  <c r="B118" i="4" s="1"/>
  <c r="BG100" i="4"/>
  <c r="H120" i="5" l="1"/>
  <c r="Q120" i="5" s="1"/>
  <c r="BM99" i="4"/>
  <c r="W105" i="5"/>
  <c r="AD105" i="5" s="1"/>
  <c r="H119" i="4"/>
  <c r="W101" i="4"/>
  <c r="AP100" i="4" s="1"/>
  <c r="BF101" i="4"/>
  <c r="BL100" i="4" s="1"/>
  <c r="BM100" i="4" s="1"/>
  <c r="AB101" i="4"/>
  <c r="BK101" i="4"/>
  <c r="BE102" i="4" s="1"/>
  <c r="T101" i="4"/>
  <c r="AM101" i="4" s="1"/>
  <c r="U101" i="4"/>
  <c r="I120" i="4" s="1"/>
  <c r="BI100" i="4"/>
  <c r="AM100" i="4"/>
  <c r="V101" i="4"/>
  <c r="AC101" i="4" s="1"/>
  <c r="BI105" i="5"/>
  <c r="BW105" i="5"/>
  <c r="BX103" i="5"/>
  <c r="G118" i="5"/>
  <c r="P118" i="5" s="1"/>
  <c r="AG105" i="5"/>
  <c r="AU105" i="5"/>
  <c r="AW102" i="5"/>
  <c r="E118" i="5" s="1"/>
  <c r="N118" i="5" s="1"/>
  <c r="AV102" i="5"/>
  <c r="AH102" i="5"/>
  <c r="AI102" i="5"/>
  <c r="D118" i="5" s="1"/>
  <c r="M118" i="5" s="1"/>
  <c r="AZ104" i="5"/>
  <c r="BH103" i="5" s="1"/>
  <c r="BJ103" i="5" s="1"/>
  <c r="BT96" i="4"/>
  <c r="G115" i="4" s="1"/>
  <c r="BP97" i="4"/>
  <c r="BT97" i="4" s="1"/>
  <c r="G116" i="4" s="1"/>
  <c r="L120" i="5"/>
  <c r="BH100" i="4"/>
  <c r="BH101" i="4" s="1"/>
  <c r="BS99" i="4"/>
  <c r="BD103" i="5"/>
  <c r="BF103" i="5" s="1"/>
  <c r="BG103" i="5" s="1"/>
  <c r="BK103" i="5" s="1"/>
  <c r="BR103" i="5"/>
  <c r="BT103" i="5" s="1"/>
  <c r="BU103" i="5" s="1"/>
  <c r="BY103" i="5" s="1"/>
  <c r="AN104" i="5"/>
  <c r="AN105" i="5" s="1"/>
  <c r="BC104" i="5"/>
  <c r="BD104" i="5" s="1"/>
  <c r="AO104" i="5"/>
  <c r="BQ104" i="5"/>
  <c r="AB104" i="5"/>
  <c r="AE104" i="5" s="1"/>
  <c r="C121" i="5"/>
  <c r="H121" i="5" s="1"/>
  <c r="Q121" i="5" s="1"/>
  <c r="BE105" i="5"/>
  <c r="AC105" i="5"/>
  <c r="U105" i="5"/>
  <c r="BQ105" i="5" s="1"/>
  <c r="T106" i="5"/>
  <c r="AQ105" i="5"/>
  <c r="BS105" i="5"/>
  <c r="V105" i="5"/>
  <c r="I121" i="5" s="1"/>
  <c r="R121" i="5" s="1"/>
  <c r="AM105" i="5"/>
  <c r="AK105" i="5"/>
  <c r="AL105" i="5"/>
  <c r="AT104" i="5" s="1"/>
  <c r="X105" i="5"/>
  <c r="AF104" i="5" s="1"/>
  <c r="Y105" i="5"/>
  <c r="Z105" i="5" s="1"/>
  <c r="AR103" i="5"/>
  <c r="AS103" i="5" s="1"/>
  <c r="BO105" i="5"/>
  <c r="BM105" i="5"/>
  <c r="BN105" i="5"/>
  <c r="BV104" i="5" s="1"/>
  <c r="AY105" i="5"/>
  <c r="BB105" i="5"/>
  <c r="BA105" i="5"/>
  <c r="BP104" i="5"/>
  <c r="BN99" i="4"/>
  <c r="BO99" i="4" s="1"/>
  <c r="AY61" i="4"/>
  <c r="AQ101" i="4"/>
  <c r="S102" i="4"/>
  <c r="C120" i="4"/>
  <c r="BG101" i="4"/>
  <c r="W106" i="5" l="1"/>
  <c r="H120" i="4"/>
  <c r="BH102" i="4"/>
  <c r="BI101" i="4"/>
  <c r="Z101" i="4"/>
  <c r="AZ105" i="5"/>
  <c r="BH104" i="5" s="1"/>
  <c r="BJ104" i="5" s="1"/>
  <c r="AB102" i="4"/>
  <c r="BK102" i="4"/>
  <c r="BE103" i="4" s="1"/>
  <c r="T102" i="4"/>
  <c r="Z102" i="4" s="1"/>
  <c r="U102" i="4"/>
  <c r="I121" i="4" s="1"/>
  <c r="V102" i="4"/>
  <c r="AC102" i="4" s="1"/>
  <c r="W102" i="4"/>
  <c r="AP101" i="4" s="1"/>
  <c r="BF102" i="4"/>
  <c r="BL101" i="4" s="1"/>
  <c r="BM101" i="4" s="1"/>
  <c r="BI106" i="5"/>
  <c r="BW106" i="5"/>
  <c r="BX104" i="5"/>
  <c r="G119" i="5"/>
  <c r="P119" i="5" s="1"/>
  <c r="F119" i="5"/>
  <c r="O119" i="5" s="1"/>
  <c r="AV103" i="5"/>
  <c r="AW103" i="5"/>
  <c r="E119" i="5" s="1"/>
  <c r="N119" i="5" s="1"/>
  <c r="AG106" i="5"/>
  <c r="AU106" i="5"/>
  <c r="AH103" i="5"/>
  <c r="AI103" i="5"/>
  <c r="D119" i="5" s="1"/>
  <c r="M119" i="5" s="1"/>
  <c r="BQ97" i="4"/>
  <c r="F116" i="4" s="1"/>
  <c r="BP98" i="4"/>
  <c r="BQ98" i="4" s="1"/>
  <c r="F117" i="4" s="1"/>
  <c r="L121" i="5"/>
  <c r="AP104" i="5"/>
  <c r="AR104" i="5" s="1"/>
  <c r="AS104" i="5" s="1"/>
  <c r="BR104" i="5"/>
  <c r="BT104" i="5" s="1"/>
  <c r="BU104" i="5" s="1"/>
  <c r="AA105" i="5"/>
  <c r="AB105" i="5" s="1"/>
  <c r="AE105" i="5" s="1"/>
  <c r="AO105" i="5"/>
  <c r="AP105" i="5" s="1"/>
  <c r="BF104" i="5"/>
  <c r="BG104" i="5" s="1"/>
  <c r="BK104" i="5" s="1"/>
  <c r="AN106" i="5"/>
  <c r="AL106" i="5"/>
  <c r="AT105" i="5" s="1"/>
  <c r="AM106" i="5"/>
  <c r="AK106" i="5"/>
  <c r="BA106" i="5"/>
  <c r="AY106" i="5"/>
  <c r="BB106" i="5"/>
  <c r="BP105" i="5"/>
  <c r="BR105" i="5" s="1"/>
  <c r="BC105" i="5"/>
  <c r="BD105" i="5" s="1"/>
  <c r="C122" i="5"/>
  <c r="H122" i="5" s="1"/>
  <c r="Q122" i="5" s="1"/>
  <c r="BS106" i="5"/>
  <c r="AQ106" i="5"/>
  <c r="BE106" i="5"/>
  <c r="AC106" i="5"/>
  <c r="T107" i="5"/>
  <c r="U106" i="5"/>
  <c r="BC106" i="5" s="1"/>
  <c r="V106" i="5"/>
  <c r="I122" i="5" s="1"/>
  <c r="R122" i="5" s="1"/>
  <c r="BN106" i="5"/>
  <c r="BV105" i="5" s="1"/>
  <c r="BM106" i="5"/>
  <c r="BO106" i="5"/>
  <c r="Y106" i="5"/>
  <c r="Z106" i="5" s="1"/>
  <c r="X106" i="5"/>
  <c r="AF105" i="5" s="1"/>
  <c r="AD106" i="5"/>
  <c r="BC61" i="4"/>
  <c r="E80" i="4" s="1"/>
  <c r="AZ61" i="4"/>
  <c r="D80" i="4" s="1"/>
  <c r="AQ102" i="4"/>
  <c r="BJ100" i="4"/>
  <c r="BR100" i="4" s="1"/>
  <c r="S103" i="4"/>
  <c r="C121" i="4"/>
  <c r="H121" i="4" s="1"/>
  <c r="BG102" i="4"/>
  <c r="W107" i="5" l="1"/>
  <c r="AZ106" i="5"/>
  <c r="BH105" i="5" s="1"/>
  <c r="BJ105" i="5" s="1"/>
  <c r="BI102" i="4"/>
  <c r="BJ102" i="4" s="1"/>
  <c r="BR102" i="4" s="1"/>
  <c r="AM102" i="4"/>
  <c r="BK103" i="4"/>
  <c r="BE104" i="4" s="1"/>
  <c r="AB103" i="4"/>
  <c r="T103" i="4"/>
  <c r="Z103" i="4" s="1"/>
  <c r="U103" i="4"/>
  <c r="I122" i="4" s="1"/>
  <c r="BF103" i="4"/>
  <c r="BL102" i="4" s="1"/>
  <c r="BM102" i="4" s="1"/>
  <c r="V103" i="4"/>
  <c r="AC103" i="4" s="1"/>
  <c r="W103" i="4"/>
  <c r="AP102" i="4" s="1"/>
  <c r="BH103" i="4"/>
  <c r="BI107" i="5"/>
  <c r="BW107" i="5"/>
  <c r="BX105" i="5"/>
  <c r="BY104" i="5"/>
  <c r="G120" i="5" s="1"/>
  <c r="P120" i="5" s="1"/>
  <c r="F120" i="5"/>
  <c r="O120" i="5" s="1"/>
  <c r="AW104" i="5"/>
  <c r="E120" i="5" s="1"/>
  <c r="N120" i="5" s="1"/>
  <c r="AV104" i="5"/>
  <c r="AG107" i="5"/>
  <c r="AU107" i="5"/>
  <c r="AH104" i="5"/>
  <c r="AI104" i="5"/>
  <c r="D120" i="5" s="1"/>
  <c r="M120" i="5" s="1"/>
  <c r="BT98" i="4"/>
  <c r="G117" i="4" s="1"/>
  <c r="BP99" i="4"/>
  <c r="BQ99" i="4" s="1"/>
  <c r="F118" i="4" s="1"/>
  <c r="L122" i="5"/>
  <c r="BP106" i="5"/>
  <c r="BP107" i="5" s="1"/>
  <c r="AR105" i="5"/>
  <c r="AS105" i="5" s="1"/>
  <c r="AA106" i="5"/>
  <c r="AB106" i="5" s="1"/>
  <c r="AE106" i="5" s="1"/>
  <c r="AO106" i="5"/>
  <c r="AP106" i="5" s="1"/>
  <c r="BF105" i="5"/>
  <c r="BG105" i="5" s="1"/>
  <c r="C123" i="5"/>
  <c r="H123" i="5" s="1"/>
  <c r="Q123" i="5" s="1"/>
  <c r="BS107" i="5"/>
  <c r="AQ107" i="5"/>
  <c r="BE107" i="5"/>
  <c r="AC107" i="5"/>
  <c r="U107" i="5"/>
  <c r="AA107" i="5" s="1"/>
  <c r="T108" i="5"/>
  <c r="V107" i="5"/>
  <c r="I123" i="5" s="1"/>
  <c r="R123" i="5" s="1"/>
  <c r="BQ106" i="5"/>
  <c r="Y107" i="5"/>
  <c r="Z107" i="5" s="1"/>
  <c r="X107" i="5"/>
  <c r="AF106" i="5" s="1"/>
  <c r="AD107" i="5"/>
  <c r="AM107" i="5"/>
  <c r="AN107" i="5"/>
  <c r="AL107" i="5"/>
  <c r="AT106" i="5" s="1"/>
  <c r="AK107" i="5"/>
  <c r="BD106" i="5"/>
  <c r="BO107" i="5"/>
  <c r="BN107" i="5"/>
  <c r="BV106" i="5" s="1"/>
  <c r="BM107" i="5"/>
  <c r="BB107" i="5"/>
  <c r="BA107" i="5"/>
  <c r="AZ107" i="5"/>
  <c r="BH106" i="5" s="1"/>
  <c r="AY107" i="5"/>
  <c r="BT105" i="5"/>
  <c r="BU105" i="5" s="1"/>
  <c r="BS100" i="4"/>
  <c r="BN100" i="4"/>
  <c r="BO100" i="4" s="1"/>
  <c r="AY62" i="4"/>
  <c r="AQ103" i="4"/>
  <c r="BJ101" i="4"/>
  <c r="BR101" i="4" s="1"/>
  <c r="BG103" i="4"/>
  <c r="S104" i="4"/>
  <c r="C122" i="4"/>
  <c r="H122" i="4" s="1"/>
  <c r="W108" i="5" l="1"/>
  <c r="BT99" i="4"/>
  <c r="G118" i="4" s="1"/>
  <c r="BH104" i="4"/>
  <c r="BI103" i="4"/>
  <c r="BJ103" i="4" s="1"/>
  <c r="BR103" i="4" s="1"/>
  <c r="AM103" i="4"/>
  <c r="V104" i="4"/>
  <c r="AC104" i="4" s="1"/>
  <c r="W104" i="4"/>
  <c r="AP103" i="4" s="1"/>
  <c r="BK104" i="4"/>
  <c r="BE105" i="4" s="1"/>
  <c r="AB104" i="4"/>
  <c r="T104" i="4"/>
  <c r="Z104" i="4" s="1"/>
  <c r="U104" i="4"/>
  <c r="I123" i="4" s="1"/>
  <c r="BF104" i="4"/>
  <c r="BI108" i="5"/>
  <c r="BW108" i="5"/>
  <c r="BX106" i="5"/>
  <c r="BY105" i="5"/>
  <c r="G121" i="5" s="1"/>
  <c r="P121" i="5" s="1"/>
  <c r="BJ106" i="5"/>
  <c r="BK105" i="5"/>
  <c r="F121" i="5" s="1"/>
  <c r="O121" i="5" s="1"/>
  <c r="AV105" i="5"/>
  <c r="AW105" i="5"/>
  <c r="E121" i="5" s="1"/>
  <c r="N121" i="5" s="1"/>
  <c r="AG108" i="5"/>
  <c r="AU108" i="5"/>
  <c r="AH105" i="5"/>
  <c r="AI105" i="5"/>
  <c r="D121" i="5" s="1"/>
  <c r="M121" i="5" s="1"/>
  <c r="L123" i="5"/>
  <c r="BN102" i="4"/>
  <c r="BO102" i="4" s="1"/>
  <c r="BR106" i="5"/>
  <c r="BT106" i="5" s="1"/>
  <c r="BU106" i="5" s="1"/>
  <c r="BY106" i="5" s="1"/>
  <c r="BO108" i="5"/>
  <c r="BN108" i="5"/>
  <c r="BV107" i="5" s="1"/>
  <c r="BM108" i="5"/>
  <c r="BP108" i="5"/>
  <c r="AR106" i="5"/>
  <c r="AS106" i="5" s="1"/>
  <c r="BF106" i="5"/>
  <c r="BG106" i="5" s="1"/>
  <c r="AB107" i="5"/>
  <c r="AE107" i="5" s="1"/>
  <c r="Y108" i="5"/>
  <c r="Z108" i="5" s="1"/>
  <c r="X108" i="5"/>
  <c r="AF107" i="5" s="1"/>
  <c r="AD108" i="5"/>
  <c r="BB108" i="5"/>
  <c r="BA108" i="5"/>
  <c r="AZ108" i="5"/>
  <c r="BH107" i="5" s="1"/>
  <c r="AY108" i="5"/>
  <c r="BC107" i="5"/>
  <c r="BD107" i="5" s="1"/>
  <c r="AO107" i="5"/>
  <c r="AP107" i="5" s="1"/>
  <c r="C124" i="5"/>
  <c r="H124" i="5" s="1"/>
  <c r="Q124" i="5" s="1"/>
  <c r="BS108" i="5"/>
  <c r="AQ108" i="5"/>
  <c r="BE108" i="5"/>
  <c r="AC108" i="5"/>
  <c r="U108" i="5"/>
  <c r="AO108" i="5" s="1"/>
  <c r="T109" i="5"/>
  <c r="V108" i="5"/>
  <c r="I124" i="5" s="1"/>
  <c r="R124" i="5" s="1"/>
  <c r="BQ107" i="5"/>
  <c r="BR107" i="5" s="1"/>
  <c r="AM108" i="5"/>
  <c r="AN108" i="5"/>
  <c r="AL108" i="5"/>
  <c r="AT107" i="5" s="1"/>
  <c r="AK108" i="5"/>
  <c r="BS101" i="4"/>
  <c r="BN101" i="4"/>
  <c r="BO101" i="4" s="1"/>
  <c r="BS102" i="4"/>
  <c r="BP100" i="4"/>
  <c r="BT100" i="4" s="1"/>
  <c r="G119" i="4" s="1"/>
  <c r="BC62" i="4"/>
  <c r="E81" i="4" s="1"/>
  <c r="AZ62" i="4"/>
  <c r="D81" i="4" s="1"/>
  <c r="AQ104" i="4"/>
  <c r="C123" i="4"/>
  <c r="H123" i="4" s="1"/>
  <c r="S105" i="4"/>
  <c r="BG104" i="4"/>
  <c r="W109" i="5" l="1"/>
  <c r="BF105" i="4"/>
  <c r="BL104" i="4" s="1"/>
  <c r="BK105" i="4"/>
  <c r="BE106" i="4" s="1"/>
  <c r="AB105" i="4"/>
  <c r="T105" i="4"/>
  <c r="AM105" i="4" s="1"/>
  <c r="U105" i="4"/>
  <c r="I124" i="4" s="1"/>
  <c r="V105" i="4"/>
  <c r="AC105" i="4" s="1"/>
  <c r="W105" i="4"/>
  <c r="AP104" i="4" s="1"/>
  <c r="BH105" i="4"/>
  <c r="BL103" i="4"/>
  <c r="BM103" i="4" s="1"/>
  <c r="BI104" i="4"/>
  <c r="BJ104" i="4" s="1"/>
  <c r="BR104" i="4" s="1"/>
  <c r="AM104" i="4"/>
  <c r="BI109" i="5"/>
  <c r="BW109" i="5"/>
  <c r="BX107" i="5"/>
  <c r="G122" i="5"/>
  <c r="P122" i="5" s="1"/>
  <c r="BJ107" i="5"/>
  <c r="BK106" i="5"/>
  <c r="F122" i="5" s="1"/>
  <c r="O122" i="5" s="1"/>
  <c r="AV106" i="5"/>
  <c r="AW106" i="5"/>
  <c r="E122" i="5" s="1"/>
  <c r="N122" i="5" s="1"/>
  <c r="AG109" i="5"/>
  <c r="AU109" i="5"/>
  <c r="AH106" i="5"/>
  <c r="AI106" i="5"/>
  <c r="D122" i="5" s="1"/>
  <c r="M122" i="5" s="1"/>
  <c r="L124" i="5"/>
  <c r="BS103" i="4"/>
  <c r="AA108" i="5"/>
  <c r="AB108" i="5" s="1"/>
  <c r="AE108" i="5" s="1"/>
  <c r="BC108" i="5"/>
  <c r="BD108" i="5" s="1"/>
  <c r="BQ108" i="5"/>
  <c r="BR108" i="5" s="1"/>
  <c r="AR107" i="5"/>
  <c r="AS107" i="5" s="1"/>
  <c r="BF107" i="5"/>
  <c r="BG107" i="5" s="1"/>
  <c r="BK107" i="5" s="1"/>
  <c r="BT107" i="5"/>
  <c r="BU107" i="5" s="1"/>
  <c r="BB109" i="5"/>
  <c r="BA109" i="5"/>
  <c r="AZ109" i="5"/>
  <c r="BH108" i="5" s="1"/>
  <c r="AY109" i="5"/>
  <c r="AP108" i="5"/>
  <c r="AK109" i="5"/>
  <c r="AN109" i="5"/>
  <c r="AM109" i="5"/>
  <c r="AL109" i="5"/>
  <c r="AT108" i="5" s="1"/>
  <c r="C125" i="5"/>
  <c r="H125" i="5" s="1"/>
  <c r="Q125" i="5" s="1"/>
  <c r="T110" i="5"/>
  <c r="BS109" i="5"/>
  <c r="AQ109" i="5"/>
  <c r="U109" i="5"/>
  <c r="BC109" i="5" s="1"/>
  <c r="BE109" i="5"/>
  <c r="AC109" i="5"/>
  <c r="V109" i="5"/>
  <c r="I125" i="5" s="1"/>
  <c r="R125" i="5" s="1"/>
  <c r="BM109" i="5"/>
  <c r="BP109" i="5"/>
  <c r="BO109" i="5"/>
  <c r="BN109" i="5"/>
  <c r="BV108" i="5" s="1"/>
  <c r="Y109" i="5"/>
  <c r="Z109" i="5" s="1"/>
  <c r="X109" i="5"/>
  <c r="AF108" i="5" s="1"/>
  <c r="AD109" i="5"/>
  <c r="BQ100" i="4"/>
  <c r="F119" i="4" s="1"/>
  <c r="BN103" i="4"/>
  <c r="BO103" i="4" s="1"/>
  <c r="BP101" i="4"/>
  <c r="BP102" i="4" s="1"/>
  <c r="AY63" i="4"/>
  <c r="AQ105" i="4"/>
  <c r="X64" i="4"/>
  <c r="BG105" i="4"/>
  <c r="S106" i="4"/>
  <c r="C124" i="4"/>
  <c r="H124" i="4" s="1"/>
  <c r="W110" i="5" l="1"/>
  <c r="BF106" i="4"/>
  <c r="BL105" i="4" s="1"/>
  <c r="BI105" i="4"/>
  <c r="Z105" i="4"/>
  <c r="BK106" i="4"/>
  <c r="BE107" i="4" s="1"/>
  <c r="AB106" i="4"/>
  <c r="T106" i="4"/>
  <c r="Z106" i="4" s="1"/>
  <c r="U106" i="4"/>
  <c r="I125" i="4" s="1"/>
  <c r="V106" i="4"/>
  <c r="AC106" i="4" s="1"/>
  <c r="W106" i="4"/>
  <c r="AP105" i="4" s="1"/>
  <c r="BM104" i="4"/>
  <c r="BH106" i="4"/>
  <c r="BI110" i="5"/>
  <c r="BW110" i="5"/>
  <c r="BY107" i="5"/>
  <c r="G123" i="5" s="1"/>
  <c r="P123" i="5" s="1"/>
  <c r="BX108" i="5"/>
  <c r="BJ108" i="5"/>
  <c r="F123" i="5"/>
  <c r="O123" i="5" s="1"/>
  <c r="AG110" i="5"/>
  <c r="AU110" i="5"/>
  <c r="AV107" i="5"/>
  <c r="AW107" i="5"/>
  <c r="E123" i="5" s="1"/>
  <c r="N123" i="5" s="1"/>
  <c r="AH107" i="5"/>
  <c r="AI107" i="5"/>
  <c r="D123" i="5" s="1"/>
  <c r="M123" i="5" s="1"/>
  <c r="L125" i="5"/>
  <c r="BB110" i="5"/>
  <c r="BA110" i="5"/>
  <c r="AY110" i="5"/>
  <c r="AZ110" i="5"/>
  <c r="BH109" i="5" s="1"/>
  <c r="BN110" i="5"/>
  <c r="BV109" i="5" s="1"/>
  <c r="BM110" i="5"/>
  <c r="BP110" i="5"/>
  <c r="BO110" i="5"/>
  <c r="BD109" i="5"/>
  <c r="AO109" i="5"/>
  <c r="AP109" i="5" s="1"/>
  <c r="BT108" i="5"/>
  <c r="BU108" i="5" s="1"/>
  <c r="BY108" i="5" s="1"/>
  <c r="BF108" i="5"/>
  <c r="BG108" i="5" s="1"/>
  <c r="BQ109" i="5"/>
  <c r="BR109" i="5" s="1"/>
  <c r="AA109" i="5"/>
  <c r="AB109" i="5" s="1"/>
  <c r="AE109" i="5" s="1"/>
  <c r="AR108" i="5"/>
  <c r="AS108" i="5" s="1"/>
  <c r="C126" i="5"/>
  <c r="H126" i="5" s="1"/>
  <c r="Q126" i="5" s="1"/>
  <c r="T111" i="5"/>
  <c r="BS110" i="5"/>
  <c r="AQ110" i="5"/>
  <c r="U110" i="5"/>
  <c r="AA110" i="5" s="1"/>
  <c r="AC110" i="5"/>
  <c r="BE110" i="5"/>
  <c r="V110" i="5"/>
  <c r="I126" i="5" s="1"/>
  <c r="R126" i="5" s="1"/>
  <c r="Y110" i="5"/>
  <c r="Z110" i="5" s="1"/>
  <c r="AD110" i="5"/>
  <c r="X110" i="5"/>
  <c r="AF109" i="5" s="1"/>
  <c r="AL110" i="5"/>
  <c r="AT109" i="5" s="1"/>
  <c r="AK110" i="5"/>
  <c r="AN110" i="5"/>
  <c r="AM110" i="5"/>
  <c r="BQ102" i="4"/>
  <c r="F121" i="4" s="1"/>
  <c r="BT102" i="4"/>
  <c r="G121" i="4" s="1"/>
  <c r="BS104" i="4"/>
  <c r="BN104" i="4"/>
  <c r="BO104" i="4" s="1"/>
  <c r="BP103" i="4"/>
  <c r="BT103" i="4" s="1"/>
  <c r="G122" i="4" s="1"/>
  <c r="BT101" i="4"/>
  <c r="G120" i="4" s="1"/>
  <c r="BQ101" i="4"/>
  <c r="F120" i="4" s="1"/>
  <c r="BC63" i="4"/>
  <c r="E82" i="4" s="1"/>
  <c r="AZ63" i="4"/>
  <c r="D82" i="4" s="1"/>
  <c r="AQ106" i="4"/>
  <c r="AR63" i="4"/>
  <c r="AS64" i="4"/>
  <c r="Y64" i="4"/>
  <c r="AA64" i="4" s="1"/>
  <c r="AC64" i="4" s="1"/>
  <c r="X65" i="4"/>
  <c r="BJ105" i="4"/>
  <c r="BR105" i="4" s="1"/>
  <c r="S107" i="4"/>
  <c r="C125" i="4"/>
  <c r="H125" i="4" s="1"/>
  <c r="BG106" i="4"/>
  <c r="W111" i="5" l="1"/>
  <c r="BM105" i="4"/>
  <c r="BI106" i="4"/>
  <c r="BJ106" i="4" s="1"/>
  <c r="BR106" i="4" s="1"/>
  <c r="AM106" i="4"/>
  <c r="BH107" i="4"/>
  <c r="V107" i="4"/>
  <c r="AC107" i="4" s="1"/>
  <c r="W107" i="4"/>
  <c r="AP106" i="4" s="1"/>
  <c r="BK107" i="4"/>
  <c r="BE108" i="4" s="1"/>
  <c r="AB107" i="4"/>
  <c r="T107" i="4"/>
  <c r="Z107" i="4" s="1"/>
  <c r="U107" i="4"/>
  <c r="I126" i="4" s="1"/>
  <c r="BF107" i="4"/>
  <c r="BI111" i="5"/>
  <c r="BW111" i="5"/>
  <c r="BX109" i="5"/>
  <c r="G124" i="5"/>
  <c r="P124" i="5" s="1"/>
  <c r="BK108" i="5"/>
  <c r="F124" i="5" s="1"/>
  <c r="O124" i="5" s="1"/>
  <c r="BJ109" i="5"/>
  <c r="AV108" i="5"/>
  <c r="AW108" i="5"/>
  <c r="E124" i="5" s="1"/>
  <c r="N124" i="5" s="1"/>
  <c r="AG111" i="5"/>
  <c r="AU111" i="5"/>
  <c r="AH108" i="5"/>
  <c r="AI108" i="5"/>
  <c r="D124" i="5" s="1"/>
  <c r="M124" i="5" s="1"/>
  <c r="L126" i="5"/>
  <c r="AS63" i="4"/>
  <c r="AT63" i="4" s="1"/>
  <c r="AR109" i="5"/>
  <c r="AS109" i="5" s="1"/>
  <c r="BT109" i="5"/>
  <c r="BU109" i="5" s="1"/>
  <c r="BC110" i="5"/>
  <c r="BD110" i="5" s="1"/>
  <c r="AO110" i="5"/>
  <c r="AP110" i="5" s="1"/>
  <c r="C127" i="5"/>
  <c r="H127" i="5" s="1"/>
  <c r="Q127" i="5" s="1"/>
  <c r="T112" i="5"/>
  <c r="BE111" i="5"/>
  <c r="AC111" i="5"/>
  <c r="U111" i="5"/>
  <c r="BQ111" i="5" s="1"/>
  <c r="BS111" i="5"/>
  <c r="AQ111" i="5"/>
  <c r="V111" i="5"/>
  <c r="I127" i="5" s="1"/>
  <c r="R127" i="5" s="1"/>
  <c r="BQ110" i="5"/>
  <c r="BR110" i="5" s="1"/>
  <c r="BF109" i="5"/>
  <c r="BG109" i="5" s="1"/>
  <c r="BK109" i="5" s="1"/>
  <c r="BB111" i="5"/>
  <c r="AZ111" i="5"/>
  <c r="BH110" i="5" s="1"/>
  <c r="BA111" i="5"/>
  <c r="AY111" i="5"/>
  <c r="AM111" i="5"/>
  <c r="AL111" i="5"/>
  <c r="AT110" i="5" s="1"/>
  <c r="AK111" i="5"/>
  <c r="AN111" i="5"/>
  <c r="BO111" i="5"/>
  <c r="BN111" i="5"/>
  <c r="BV110" i="5" s="1"/>
  <c r="BM111" i="5"/>
  <c r="BP111" i="5"/>
  <c r="X111" i="5"/>
  <c r="AF110" i="5" s="1"/>
  <c r="AD111" i="5"/>
  <c r="Y111" i="5"/>
  <c r="Z111" i="5" s="1"/>
  <c r="AB110" i="5"/>
  <c r="AE110" i="5" s="1"/>
  <c r="BP104" i="4"/>
  <c r="BQ104" i="4" s="1"/>
  <c r="F123" i="4" s="1"/>
  <c r="BS105" i="4"/>
  <c r="BN105" i="4"/>
  <c r="BO105" i="4" s="1"/>
  <c r="BQ103" i="4"/>
  <c r="F122" i="4" s="1"/>
  <c r="AQ107" i="4"/>
  <c r="Y65" i="4"/>
  <c r="AA65" i="4" s="1"/>
  <c r="AC65" i="4" s="1"/>
  <c r="X66" i="4"/>
  <c r="AS65" i="4"/>
  <c r="S108" i="4"/>
  <c r="C126" i="4"/>
  <c r="H126" i="4" s="1"/>
  <c r="BL106" i="4"/>
  <c r="BM106" i="4" s="1"/>
  <c r="BG107" i="4"/>
  <c r="W112" i="5" l="1"/>
  <c r="BF108" i="4"/>
  <c r="BH108" i="4"/>
  <c r="BI107" i="4"/>
  <c r="BJ107" i="4" s="1"/>
  <c r="BR107" i="4" s="1"/>
  <c r="AM107" i="4"/>
  <c r="BK108" i="4"/>
  <c r="BE109" i="4" s="1"/>
  <c r="AB108" i="4"/>
  <c r="T108" i="4"/>
  <c r="U108" i="4"/>
  <c r="I127" i="4" s="1"/>
  <c r="V108" i="4"/>
  <c r="AC108" i="4" s="1"/>
  <c r="W108" i="4"/>
  <c r="AP107" i="4" s="1"/>
  <c r="BI112" i="5"/>
  <c r="BW112" i="5"/>
  <c r="BY109" i="5"/>
  <c r="G125" i="5" s="1"/>
  <c r="P125" i="5" s="1"/>
  <c r="BX110" i="5"/>
  <c r="BJ110" i="5"/>
  <c r="F125" i="5"/>
  <c r="O125" i="5" s="1"/>
  <c r="AG112" i="5"/>
  <c r="AU112" i="5"/>
  <c r="AV109" i="5"/>
  <c r="AW109" i="5"/>
  <c r="E125" i="5" s="1"/>
  <c r="N125" i="5" s="1"/>
  <c r="AH109" i="5"/>
  <c r="AI109" i="5"/>
  <c r="D125" i="5" s="1"/>
  <c r="M125" i="5" s="1"/>
  <c r="L127" i="5"/>
  <c r="BN106" i="4"/>
  <c r="BO106" i="4" s="1"/>
  <c r="BP105" i="4"/>
  <c r="BQ105" i="4" s="1"/>
  <c r="F124" i="4" s="1"/>
  <c r="BT104" i="4"/>
  <c r="G123" i="4" s="1"/>
  <c r="BT110" i="5"/>
  <c r="BU110" i="5" s="1"/>
  <c r="BY110" i="5" s="1"/>
  <c r="AR110" i="5"/>
  <c r="AS110" i="5" s="1"/>
  <c r="AA111" i="5"/>
  <c r="AB111" i="5" s="1"/>
  <c r="AE111" i="5" s="1"/>
  <c r="AO111" i="5"/>
  <c r="AP111" i="5" s="1"/>
  <c r="BC111" i="5"/>
  <c r="BD111" i="5" s="1"/>
  <c r="BR111" i="5"/>
  <c r="AL112" i="5"/>
  <c r="AT111" i="5" s="1"/>
  <c r="AM112" i="5"/>
  <c r="AK112" i="5"/>
  <c r="AN112" i="5"/>
  <c r="X112" i="5"/>
  <c r="AF111" i="5" s="1"/>
  <c r="Y112" i="5"/>
  <c r="Z112" i="5" s="1"/>
  <c r="AD112" i="5"/>
  <c r="BN112" i="5"/>
  <c r="BV111" i="5" s="1"/>
  <c r="BP112" i="5"/>
  <c r="BM112" i="5"/>
  <c r="BO112" i="5"/>
  <c r="AZ112" i="5"/>
  <c r="BH111" i="5" s="1"/>
  <c r="AY112" i="5"/>
  <c r="BB112" i="5"/>
  <c r="BA112" i="5"/>
  <c r="C128" i="5"/>
  <c r="H128" i="5" s="1"/>
  <c r="Q128" i="5" s="1"/>
  <c r="BS112" i="5"/>
  <c r="T113" i="5"/>
  <c r="AQ112" i="5"/>
  <c r="AC112" i="5"/>
  <c r="BE112" i="5"/>
  <c r="U112" i="5"/>
  <c r="AA112" i="5" s="1"/>
  <c r="V112" i="5"/>
  <c r="I128" i="5" s="1"/>
  <c r="R128" i="5" s="1"/>
  <c r="BF110" i="5"/>
  <c r="BG110" i="5" s="1"/>
  <c r="BK110" i="5" s="1"/>
  <c r="BS106" i="4"/>
  <c r="AQ108" i="4"/>
  <c r="AU63" i="4"/>
  <c r="AV63" i="4" s="1"/>
  <c r="AR64" i="4" s="1"/>
  <c r="AT64" i="4" s="1"/>
  <c r="AS66" i="4"/>
  <c r="Y66" i="4"/>
  <c r="AA66" i="4" s="1"/>
  <c r="AC66" i="4" s="1"/>
  <c r="X67" i="4"/>
  <c r="BL107" i="4"/>
  <c r="BM107" i="4" s="1"/>
  <c r="BG108" i="4"/>
  <c r="S109" i="4"/>
  <c r="C127" i="4"/>
  <c r="H127" i="4" s="1"/>
  <c r="W113" i="5" l="1"/>
  <c r="BI108" i="4"/>
  <c r="BJ108" i="4" s="1"/>
  <c r="BR108" i="4" s="1"/>
  <c r="AM108" i="4"/>
  <c r="V109" i="4"/>
  <c r="AC109" i="4" s="1"/>
  <c r="W109" i="4"/>
  <c r="AP108" i="4" s="1"/>
  <c r="BH109" i="4"/>
  <c r="BF109" i="4"/>
  <c r="BL108" i="4" s="1"/>
  <c r="BM108" i="4" s="1"/>
  <c r="AB109" i="4"/>
  <c r="BK109" i="4"/>
  <c r="BE110" i="4" s="1"/>
  <c r="T109" i="4"/>
  <c r="AM109" i="4" s="1"/>
  <c r="U109" i="4"/>
  <c r="I128" i="4" s="1"/>
  <c r="BT105" i="4"/>
  <c r="G124" i="4" s="1"/>
  <c r="Z108" i="4"/>
  <c r="BI113" i="5"/>
  <c r="BW113" i="5"/>
  <c r="BX111" i="5"/>
  <c r="G126" i="5"/>
  <c r="P126" i="5" s="1"/>
  <c r="BJ111" i="5"/>
  <c r="F126" i="5"/>
  <c r="O126" i="5" s="1"/>
  <c r="AG113" i="5"/>
  <c r="AU113" i="5"/>
  <c r="AV110" i="5"/>
  <c r="AW110" i="5"/>
  <c r="E126" i="5" s="1"/>
  <c r="N126" i="5" s="1"/>
  <c r="AH110" i="5"/>
  <c r="AI110" i="5"/>
  <c r="D126" i="5" s="1"/>
  <c r="M126" i="5" s="1"/>
  <c r="L128" i="5"/>
  <c r="BP106" i="4"/>
  <c r="BQ106" i="4" s="1"/>
  <c r="F125" i="4" s="1"/>
  <c r="BS107" i="4"/>
  <c r="BQ112" i="5"/>
  <c r="BR112" i="5" s="1"/>
  <c r="AO112" i="5"/>
  <c r="AP112" i="5" s="1"/>
  <c r="BF111" i="5"/>
  <c r="BG111" i="5" s="1"/>
  <c r="Y113" i="5"/>
  <c r="Z113" i="5" s="1"/>
  <c r="X113" i="5"/>
  <c r="AF112" i="5" s="1"/>
  <c r="AD113" i="5"/>
  <c r="BT111" i="5"/>
  <c r="BU111" i="5" s="1"/>
  <c r="BY111" i="5" s="1"/>
  <c r="BC112" i="5"/>
  <c r="BD112" i="5" s="1"/>
  <c r="AM113" i="5"/>
  <c r="AN113" i="5"/>
  <c r="AL113" i="5"/>
  <c r="AT112" i="5" s="1"/>
  <c r="AK113" i="5"/>
  <c r="BS113" i="5"/>
  <c r="AQ113" i="5"/>
  <c r="C129" i="5"/>
  <c r="H129" i="5" s="1"/>
  <c r="Q129" i="5" s="1"/>
  <c r="BE113" i="5"/>
  <c r="AC113" i="5"/>
  <c r="U113" i="5"/>
  <c r="AA113" i="5" s="1"/>
  <c r="T114" i="5"/>
  <c r="V113" i="5"/>
  <c r="I129" i="5" s="1"/>
  <c r="R129" i="5" s="1"/>
  <c r="BO113" i="5"/>
  <c r="BM113" i="5"/>
  <c r="BN113" i="5"/>
  <c r="BV112" i="5" s="1"/>
  <c r="BP113" i="5"/>
  <c r="AR111" i="5"/>
  <c r="AS111" i="5" s="1"/>
  <c r="BA113" i="5"/>
  <c r="AZ113" i="5"/>
  <c r="BH112" i="5" s="1"/>
  <c r="AY113" i="5"/>
  <c r="BB113" i="5"/>
  <c r="AB112" i="5"/>
  <c r="AE112" i="5" s="1"/>
  <c r="BN107" i="4"/>
  <c r="BO107" i="4" s="1"/>
  <c r="AQ109" i="4"/>
  <c r="AU64" i="4"/>
  <c r="AV64" i="4" s="1"/>
  <c r="AR65" i="4" s="1"/>
  <c r="AT65" i="4" s="1"/>
  <c r="AD64" i="4"/>
  <c r="Y67" i="4"/>
  <c r="AA67" i="4" s="1"/>
  <c r="AC67" i="4" s="1"/>
  <c r="X68" i="4"/>
  <c r="AS67" i="4"/>
  <c r="BG109" i="4"/>
  <c r="S110" i="4"/>
  <c r="C128" i="4"/>
  <c r="H128" i="4" s="1"/>
  <c r="W114" i="5" l="1"/>
  <c r="Z109" i="4"/>
  <c r="BF110" i="4"/>
  <c r="BH110" i="4"/>
  <c r="BI109" i="4"/>
  <c r="BJ109" i="4" s="1"/>
  <c r="BR109" i="4" s="1"/>
  <c r="AB110" i="4"/>
  <c r="BK110" i="4"/>
  <c r="BE111" i="4" s="1"/>
  <c r="T110" i="4"/>
  <c r="Z110" i="4" s="1"/>
  <c r="U110" i="4"/>
  <c r="V110" i="4"/>
  <c r="AC110" i="4" s="1"/>
  <c r="W110" i="4"/>
  <c r="AP109" i="4" s="1"/>
  <c r="BI114" i="5"/>
  <c r="BW114" i="5"/>
  <c r="BX112" i="5"/>
  <c r="G127" i="5"/>
  <c r="P127" i="5" s="1"/>
  <c r="BK111" i="5"/>
  <c r="F127" i="5" s="1"/>
  <c r="O127" i="5" s="1"/>
  <c r="BJ112" i="5"/>
  <c r="AV111" i="5"/>
  <c r="AW111" i="5"/>
  <c r="E127" i="5" s="1"/>
  <c r="N127" i="5" s="1"/>
  <c r="AG114" i="5"/>
  <c r="AU114" i="5"/>
  <c r="AH111" i="5"/>
  <c r="AI111" i="5"/>
  <c r="D127" i="5" s="1"/>
  <c r="M127" i="5" s="1"/>
  <c r="L129" i="5"/>
  <c r="BT106" i="4"/>
  <c r="G125" i="4" s="1"/>
  <c r="BP107" i="4"/>
  <c r="AH64" i="4"/>
  <c r="AJ64" i="4" s="1"/>
  <c r="AW64" i="4" s="1"/>
  <c r="AX64" i="4" s="1"/>
  <c r="BS108" i="4"/>
  <c r="AO113" i="5"/>
  <c r="AP113" i="5" s="1"/>
  <c r="BC113" i="5"/>
  <c r="BD113" i="5" s="1"/>
  <c r="BF113" i="5" s="1"/>
  <c r="BG113" i="5" s="1"/>
  <c r="BQ113" i="5"/>
  <c r="BR113" i="5" s="1"/>
  <c r="Y114" i="5"/>
  <c r="Z114" i="5" s="1"/>
  <c r="X114" i="5"/>
  <c r="AF113" i="5" s="1"/>
  <c r="BB114" i="5"/>
  <c r="BA114" i="5"/>
  <c r="AZ114" i="5"/>
  <c r="BH113" i="5" s="1"/>
  <c r="AY114" i="5"/>
  <c r="C130" i="5"/>
  <c r="H130" i="5" s="1"/>
  <c r="Q130" i="5" s="1"/>
  <c r="T115" i="5"/>
  <c r="BS114" i="5"/>
  <c r="AQ114" i="5"/>
  <c r="AD114" i="5"/>
  <c r="AC114" i="5"/>
  <c r="BE114" i="5"/>
  <c r="U114" i="5"/>
  <c r="AA114" i="5" s="1"/>
  <c r="V114" i="5"/>
  <c r="I130" i="5" s="1"/>
  <c r="R130" i="5" s="1"/>
  <c r="AK114" i="5"/>
  <c r="AN114" i="5"/>
  <c r="AM114" i="5"/>
  <c r="AL114" i="5"/>
  <c r="AT113" i="5" s="1"/>
  <c r="BM114" i="5"/>
  <c r="BP114" i="5"/>
  <c r="BN114" i="5"/>
  <c r="BV113" i="5" s="1"/>
  <c r="BO114" i="5"/>
  <c r="AR112" i="5"/>
  <c r="AS112" i="5" s="1"/>
  <c r="BT112" i="5"/>
  <c r="BU112" i="5" s="1"/>
  <c r="AB113" i="5"/>
  <c r="AE113" i="5" s="1"/>
  <c r="BF112" i="5"/>
  <c r="BG112" i="5" s="1"/>
  <c r="BN108" i="4"/>
  <c r="BO108" i="4" s="1"/>
  <c r="AD65" i="4"/>
  <c r="AQ110" i="4"/>
  <c r="AE76" i="4"/>
  <c r="AU65" i="4"/>
  <c r="AV65" i="4" s="1"/>
  <c r="AR66" i="4" s="1"/>
  <c r="AT66" i="4" s="1"/>
  <c r="Y68" i="4"/>
  <c r="AA68" i="4" s="1"/>
  <c r="AC68" i="4" s="1"/>
  <c r="X69" i="4"/>
  <c r="AS68" i="4"/>
  <c r="C129" i="4"/>
  <c r="H129" i="4" s="1"/>
  <c r="S111" i="4"/>
  <c r="I129" i="4"/>
  <c r="BL109" i="4"/>
  <c r="BM109" i="4" s="1"/>
  <c r="BG110" i="4"/>
  <c r="BI110" i="4" l="1"/>
  <c r="BJ110" i="4" s="1"/>
  <c r="BR110" i="4" s="1"/>
  <c r="AM110" i="4"/>
  <c r="V111" i="4"/>
  <c r="W111" i="4"/>
  <c r="AP110" i="4" s="1"/>
  <c r="AB111" i="4"/>
  <c r="BK111" i="4"/>
  <c r="BE112" i="4" s="1"/>
  <c r="AC111" i="4"/>
  <c r="T111" i="4"/>
  <c r="U111" i="4"/>
  <c r="I130" i="4" s="1"/>
  <c r="BH111" i="4"/>
  <c r="BF111" i="4"/>
  <c r="BI115" i="5"/>
  <c r="BW115" i="5"/>
  <c r="BX113" i="5"/>
  <c r="BY112" i="5"/>
  <c r="G128" i="5" s="1"/>
  <c r="P128" i="5" s="1"/>
  <c r="BK112" i="5"/>
  <c r="F128" i="5" s="1"/>
  <c r="O128" i="5" s="1"/>
  <c r="BK113" i="5"/>
  <c r="F129" i="5" s="1"/>
  <c r="O129" i="5" s="1"/>
  <c r="BJ113" i="5"/>
  <c r="AV112" i="5"/>
  <c r="AW112" i="5"/>
  <c r="E128" i="5" s="1"/>
  <c r="N128" i="5" s="1"/>
  <c r="AG115" i="5"/>
  <c r="AU115" i="5"/>
  <c r="AH112" i="5"/>
  <c r="AI112" i="5"/>
  <c r="D128" i="5" s="1"/>
  <c r="M128" i="5" s="1"/>
  <c r="L130" i="5"/>
  <c r="BQ107" i="4"/>
  <c r="F126" i="4" s="1"/>
  <c r="BT107" i="4"/>
  <c r="G126" i="4" s="1"/>
  <c r="BP108" i="4"/>
  <c r="AF88" i="4"/>
  <c r="AG100" i="4" s="1"/>
  <c r="AO76" i="4"/>
  <c r="AD66" i="4"/>
  <c r="AE78" i="4" s="1"/>
  <c r="AO78" i="4" s="1"/>
  <c r="AK64" i="4"/>
  <c r="BA64" i="4" s="1"/>
  <c r="BB64" i="4" s="1"/>
  <c r="BS109" i="4"/>
  <c r="AO114" i="5"/>
  <c r="AP114" i="5" s="1"/>
  <c r="AN115" i="5" s="1"/>
  <c r="BT113" i="5"/>
  <c r="BU113" i="5" s="1"/>
  <c r="BC114" i="5"/>
  <c r="BD114" i="5" s="1"/>
  <c r="BB115" i="5" s="1"/>
  <c r="BQ114" i="5"/>
  <c r="BR114" i="5" s="1"/>
  <c r="C131" i="5"/>
  <c r="T116" i="5"/>
  <c r="AA115" i="5"/>
  <c r="BS115" i="5"/>
  <c r="AQ115" i="5"/>
  <c r="AC115" i="5"/>
  <c r="BE115" i="5"/>
  <c r="U115" i="5"/>
  <c r="BC115" i="5" s="1"/>
  <c r="V115" i="5"/>
  <c r="I131" i="5" s="1"/>
  <c r="R131" i="5" s="1"/>
  <c r="AR113" i="5"/>
  <c r="AS113" i="5" s="1"/>
  <c r="AL115" i="5"/>
  <c r="AT114" i="5" s="1"/>
  <c r="AK115" i="5"/>
  <c r="AM115" i="5"/>
  <c r="BA115" i="5"/>
  <c r="AZ115" i="5"/>
  <c r="BH114" i="5" s="1"/>
  <c r="AY115" i="5"/>
  <c r="BN115" i="5"/>
  <c r="BV114" i="5" s="1"/>
  <c r="BM115" i="5"/>
  <c r="BO115" i="5"/>
  <c r="AB114" i="5"/>
  <c r="AE114" i="5" s="1"/>
  <c r="W115" i="5" s="1"/>
  <c r="W116" i="5" s="1"/>
  <c r="BN109" i="4"/>
  <c r="BO109" i="4" s="1"/>
  <c r="AE77" i="4"/>
  <c r="AY64" i="4"/>
  <c r="AH65" i="4"/>
  <c r="AJ65" i="4" s="1"/>
  <c r="AW65" i="4" s="1"/>
  <c r="AX65" i="4" s="1"/>
  <c r="AL76" i="4"/>
  <c r="AN76" i="4" s="1"/>
  <c r="AU66" i="4"/>
  <c r="AV66" i="4" s="1"/>
  <c r="AR67" i="4" s="1"/>
  <c r="AT67" i="4" s="1"/>
  <c r="AS69" i="4"/>
  <c r="Y69" i="4"/>
  <c r="AA69" i="4" s="1"/>
  <c r="AC69" i="4" s="1"/>
  <c r="X70" i="4"/>
  <c r="S112" i="4"/>
  <c r="C130" i="4"/>
  <c r="H130" i="4" s="1"/>
  <c r="BL110" i="4"/>
  <c r="BM110" i="4" s="1"/>
  <c r="BG111" i="4"/>
  <c r="L131" i="5" l="1"/>
  <c r="H131" i="5"/>
  <c r="Q131" i="5" s="1"/>
  <c r="BK112" i="4"/>
  <c r="BE113" i="4" s="1"/>
  <c r="AB112" i="4"/>
  <c r="Z112" i="4"/>
  <c r="T112" i="4"/>
  <c r="U112" i="4"/>
  <c r="I131" i="4" s="1"/>
  <c r="BF112" i="4"/>
  <c r="BL111" i="4" s="1"/>
  <c r="BM111" i="4" s="1"/>
  <c r="BI111" i="4"/>
  <c r="AM111" i="4"/>
  <c r="Z111" i="4"/>
  <c r="BI116" i="5"/>
  <c r="BW116" i="5"/>
  <c r="BX114" i="5"/>
  <c r="BY113" i="5"/>
  <c r="G129" i="5" s="1"/>
  <c r="P129" i="5" s="1"/>
  <c r="BJ114" i="5"/>
  <c r="AG116" i="5"/>
  <c r="AU116" i="5"/>
  <c r="AV113" i="5"/>
  <c r="AW113" i="5"/>
  <c r="E129" i="5" s="1"/>
  <c r="N129" i="5" s="1"/>
  <c r="AH113" i="5"/>
  <c r="AI113" i="5"/>
  <c r="D129" i="5" s="1"/>
  <c r="M129" i="5" s="1"/>
  <c r="AH66" i="4"/>
  <c r="AJ66" i="4" s="1"/>
  <c r="AW66" i="4" s="1"/>
  <c r="AX66" i="4" s="1"/>
  <c r="BT108" i="4"/>
  <c r="G127" i="4" s="1"/>
  <c r="BQ108" i="4"/>
  <c r="F127" i="4" s="1"/>
  <c r="BP109" i="4"/>
  <c r="AK65" i="4"/>
  <c r="BA65" i="4" s="1"/>
  <c r="BB65" i="4" s="1"/>
  <c r="AL77" i="4"/>
  <c r="AN77" i="4" s="1"/>
  <c r="AO77" i="4"/>
  <c r="AD67" i="4"/>
  <c r="BQ115" i="5"/>
  <c r="AO115" i="5"/>
  <c r="AP115" i="5" s="1"/>
  <c r="Y115" i="5"/>
  <c r="Z115" i="5" s="1"/>
  <c r="AB115" i="5" s="1"/>
  <c r="X115" i="5"/>
  <c r="AF114" i="5" s="1"/>
  <c r="BF114" i="5"/>
  <c r="BG114" i="5" s="1"/>
  <c r="BT114" i="5"/>
  <c r="BU114" i="5" s="1"/>
  <c r="AM116" i="5"/>
  <c r="AL116" i="5"/>
  <c r="AT115" i="5" s="1"/>
  <c r="AK116" i="5"/>
  <c r="AN116" i="5"/>
  <c r="BE116" i="5"/>
  <c r="AC116" i="5"/>
  <c r="W117" i="5" s="1"/>
  <c r="U116" i="5"/>
  <c r="BQ116" i="5" s="1"/>
  <c r="C132" i="5"/>
  <c r="H132" i="5" s="1"/>
  <c r="Q132" i="5" s="1"/>
  <c r="T117" i="5"/>
  <c r="AA116" i="5"/>
  <c r="BS116" i="5"/>
  <c r="AQ116" i="5"/>
  <c r="V116" i="5"/>
  <c r="I132" i="5" s="1"/>
  <c r="R132" i="5" s="1"/>
  <c r="BP115" i="5"/>
  <c r="BO116" i="5"/>
  <c r="BN116" i="5"/>
  <c r="BV115" i="5" s="1"/>
  <c r="BM116" i="5"/>
  <c r="AR114" i="5"/>
  <c r="AS114" i="5" s="1"/>
  <c r="BD115" i="5"/>
  <c r="BB116" i="5"/>
  <c r="BA116" i="5"/>
  <c r="AZ116" i="5"/>
  <c r="BH115" i="5" s="1"/>
  <c r="AY116" i="5"/>
  <c r="BS110" i="4"/>
  <c r="BN110" i="4"/>
  <c r="BO110" i="4" s="1"/>
  <c r="AF90" i="4"/>
  <c r="AG102" i="4" s="1"/>
  <c r="AL78" i="4"/>
  <c r="AN78" i="4" s="1"/>
  <c r="AF89" i="4"/>
  <c r="AG101" i="4" s="1"/>
  <c r="BC64" i="4"/>
  <c r="E83" i="4" s="1"/>
  <c r="AZ64" i="4"/>
  <c r="D83" i="4" s="1"/>
  <c r="AQ112" i="4"/>
  <c r="AU67" i="4"/>
  <c r="AV67" i="4" s="1"/>
  <c r="AR68" i="4" s="1"/>
  <c r="AT68" i="4" s="1"/>
  <c r="Y70" i="4"/>
  <c r="AA70" i="4" s="1"/>
  <c r="AC70" i="4" s="1"/>
  <c r="X71" i="4"/>
  <c r="AS70" i="4"/>
  <c r="BJ111" i="4"/>
  <c r="BR111" i="4" s="1"/>
  <c r="BG112" i="4"/>
  <c r="S113" i="4"/>
  <c r="C131" i="4"/>
  <c r="B130" i="4" s="1"/>
  <c r="H131" i="4" l="1"/>
  <c r="BF113" i="4"/>
  <c r="BI112" i="4"/>
  <c r="AM112" i="4"/>
  <c r="AB113" i="4"/>
  <c r="BK113" i="4"/>
  <c r="BE114" i="4" s="1"/>
  <c r="Z113" i="4"/>
  <c r="T113" i="4"/>
  <c r="AM113" i="4" s="1"/>
  <c r="U113" i="4"/>
  <c r="BI117" i="5"/>
  <c r="BW117" i="5"/>
  <c r="BX115" i="5"/>
  <c r="BY114" i="5"/>
  <c r="G130" i="5" s="1"/>
  <c r="P130" i="5" s="1"/>
  <c r="BJ115" i="5"/>
  <c r="BK114" i="5"/>
  <c r="F130" i="5" s="1"/>
  <c r="O130" i="5" s="1"/>
  <c r="AV114" i="5"/>
  <c r="AW114" i="5"/>
  <c r="E130" i="5" s="1"/>
  <c r="N130" i="5" s="1"/>
  <c r="AG117" i="5"/>
  <c r="AU117" i="5"/>
  <c r="AH114" i="5"/>
  <c r="AI114" i="5"/>
  <c r="D130" i="5" s="1"/>
  <c r="M130" i="5" s="1"/>
  <c r="L132" i="5"/>
  <c r="AK66" i="4"/>
  <c r="BA66" i="4" s="1"/>
  <c r="BB66" i="4" s="1"/>
  <c r="BT109" i="4"/>
  <c r="G128" i="4" s="1"/>
  <c r="BQ109" i="4"/>
  <c r="F128" i="4" s="1"/>
  <c r="BP110" i="4"/>
  <c r="AH67" i="4"/>
  <c r="AJ67" i="4" s="1"/>
  <c r="AW67" i="4" s="1"/>
  <c r="AX67" i="4" s="1"/>
  <c r="AD68" i="4"/>
  <c r="AE79" i="4"/>
  <c r="BH112" i="4"/>
  <c r="BH113" i="4" s="1"/>
  <c r="BS111" i="4"/>
  <c r="BR115" i="5"/>
  <c r="BT115" i="5" s="1"/>
  <c r="BU115" i="5" s="1"/>
  <c r="X116" i="5"/>
  <c r="AF115" i="5" s="1"/>
  <c r="Y116" i="5"/>
  <c r="Z116" i="5" s="1"/>
  <c r="AB116" i="5" s="1"/>
  <c r="BC116" i="5"/>
  <c r="BD116" i="5" s="1"/>
  <c r="AO116" i="5"/>
  <c r="AP116" i="5" s="1"/>
  <c r="BB117" i="5"/>
  <c r="BA117" i="5"/>
  <c r="AY117" i="5"/>
  <c r="AZ117" i="5"/>
  <c r="BH116" i="5" s="1"/>
  <c r="BF115" i="5"/>
  <c r="BG115" i="5" s="1"/>
  <c r="BO117" i="5"/>
  <c r="BN117" i="5"/>
  <c r="BV116" i="5" s="1"/>
  <c r="BM117" i="5"/>
  <c r="C133" i="5"/>
  <c r="H133" i="5" s="1"/>
  <c r="Q133" i="5" s="1"/>
  <c r="BE117" i="5"/>
  <c r="AC117" i="5"/>
  <c r="W118" i="5" s="1"/>
  <c r="U117" i="5"/>
  <c r="AO117" i="5" s="1"/>
  <c r="T118" i="5"/>
  <c r="AA117" i="5"/>
  <c r="BS117" i="5"/>
  <c r="AQ117" i="5"/>
  <c r="V117" i="5"/>
  <c r="I133" i="5" s="1"/>
  <c r="R133" i="5" s="1"/>
  <c r="BP116" i="5"/>
  <c r="BR116" i="5" s="1"/>
  <c r="AR115" i="5"/>
  <c r="AS115" i="5" s="1"/>
  <c r="AN117" i="5"/>
  <c r="AM117" i="5"/>
  <c r="AL117" i="5"/>
  <c r="AT116" i="5" s="1"/>
  <c r="AK117" i="5"/>
  <c r="AD115" i="5"/>
  <c r="AE115" i="5" s="1"/>
  <c r="BN111" i="4"/>
  <c r="BO111" i="4" s="1"/>
  <c r="AY65" i="4"/>
  <c r="AQ113" i="4"/>
  <c r="AU68" i="4"/>
  <c r="AV68" i="4" s="1"/>
  <c r="AR69" i="4" s="1"/>
  <c r="AT69" i="4" s="1"/>
  <c r="Y71" i="4"/>
  <c r="AA71" i="4" s="1"/>
  <c r="AC71" i="4" s="1"/>
  <c r="X72" i="4"/>
  <c r="AS71" i="4"/>
  <c r="C132" i="4"/>
  <c r="S114" i="4"/>
  <c r="I132" i="4"/>
  <c r="BG113" i="4"/>
  <c r="BL112" i="4"/>
  <c r="BM112" i="4" s="1"/>
  <c r="H132" i="4" l="1"/>
  <c r="BH114" i="4"/>
  <c r="BF114" i="4"/>
  <c r="AB114" i="4"/>
  <c r="Z114" i="4"/>
  <c r="BK114" i="4"/>
  <c r="BE115" i="4" s="1"/>
  <c r="T114" i="4"/>
  <c r="U114" i="4"/>
  <c r="I133" i="4" s="1"/>
  <c r="BI113" i="4"/>
  <c r="BJ113" i="4" s="1"/>
  <c r="BR113" i="4" s="1"/>
  <c r="BI118" i="5"/>
  <c r="BW118" i="5"/>
  <c r="BX116" i="5"/>
  <c r="BY115" i="5"/>
  <c r="G131" i="5" s="1"/>
  <c r="P131" i="5" s="1"/>
  <c r="BK115" i="5"/>
  <c r="F131" i="5" s="1"/>
  <c r="O131" i="5" s="1"/>
  <c r="BJ116" i="5"/>
  <c r="AG118" i="5"/>
  <c r="AU118" i="5"/>
  <c r="AV115" i="5"/>
  <c r="AW115" i="5"/>
  <c r="E131" i="5" s="1"/>
  <c r="N131" i="5" s="1"/>
  <c r="AH115" i="5"/>
  <c r="AI115" i="5"/>
  <c r="D131" i="5" s="1"/>
  <c r="M131" i="5" s="1"/>
  <c r="L133" i="5"/>
  <c r="AK67" i="4"/>
  <c r="BA67" i="4" s="1"/>
  <c r="BB67" i="4" s="1"/>
  <c r="BT110" i="4"/>
  <c r="G129" i="4" s="1"/>
  <c r="BQ110" i="4"/>
  <c r="F129" i="4" s="1"/>
  <c r="BP111" i="4"/>
  <c r="AF91" i="4"/>
  <c r="AG103" i="4" s="1"/>
  <c r="AO79" i="4"/>
  <c r="AL79" i="4"/>
  <c r="AN79" i="4" s="1"/>
  <c r="AH68" i="4"/>
  <c r="AJ68" i="4" s="1"/>
  <c r="AW68" i="4" s="1"/>
  <c r="AX68" i="4" s="1"/>
  <c r="AD69" i="4"/>
  <c r="AE80" i="4"/>
  <c r="X117" i="5"/>
  <c r="AF116" i="5" s="1"/>
  <c r="Y117" i="5"/>
  <c r="Z117" i="5" s="1"/>
  <c r="AB117" i="5" s="1"/>
  <c r="BF116" i="5"/>
  <c r="BG116" i="5" s="1"/>
  <c r="BQ117" i="5"/>
  <c r="BC117" i="5"/>
  <c r="BD117" i="5" s="1"/>
  <c r="AD116" i="5"/>
  <c r="AE116" i="5" s="1"/>
  <c r="C134" i="5"/>
  <c r="H134" i="5" s="1"/>
  <c r="Q134" i="5" s="1"/>
  <c r="BE118" i="5"/>
  <c r="AC118" i="5"/>
  <c r="W119" i="5" s="1"/>
  <c r="U118" i="5"/>
  <c r="AO118" i="5" s="1"/>
  <c r="T119" i="5"/>
  <c r="AA118" i="5"/>
  <c r="AQ118" i="5"/>
  <c r="BS118" i="5"/>
  <c r="V118" i="5"/>
  <c r="I134" i="5" s="1"/>
  <c r="R134" i="5" s="1"/>
  <c r="AR116" i="5"/>
  <c r="AS116" i="5" s="1"/>
  <c r="AN118" i="5"/>
  <c r="AM118" i="5"/>
  <c r="AL118" i="5"/>
  <c r="AT117" i="5" s="1"/>
  <c r="AK118" i="5"/>
  <c r="BT116" i="5"/>
  <c r="BU116" i="5" s="1"/>
  <c r="BY116" i="5" s="1"/>
  <c r="BO118" i="5"/>
  <c r="BN118" i="5"/>
  <c r="BV117" i="5" s="1"/>
  <c r="BM118" i="5"/>
  <c r="AY118" i="5"/>
  <c r="BB118" i="5"/>
  <c r="AZ118" i="5"/>
  <c r="BH117" i="5" s="1"/>
  <c r="BA118" i="5"/>
  <c r="AP117" i="5"/>
  <c r="BP117" i="5"/>
  <c r="BJ112" i="4"/>
  <c r="BR112" i="4" s="1"/>
  <c r="AY66" i="4"/>
  <c r="BC66" i="4" s="1"/>
  <c r="E85" i="4" s="1"/>
  <c r="BC65" i="4"/>
  <c r="E84" i="4" s="1"/>
  <c r="AZ65" i="4"/>
  <c r="D84" i="4" s="1"/>
  <c r="AQ114" i="4"/>
  <c r="AU69" i="4"/>
  <c r="AV69" i="4" s="1"/>
  <c r="AR70" i="4" s="1"/>
  <c r="AT70" i="4" s="1"/>
  <c r="Y72" i="4"/>
  <c r="AA72" i="4" s="1"/>
  <c r="AC72" i="4" s="1"/>
  <c r="X73" i="4"/>
  <c r="AS72" i="4"/>
  <c r="S115" i="4"/>
  <c r="C133" i="4"/>
  <c r="H133" i="4" s="1"/>
  <c r="BG114" i="4"/>
  <c r="BL113" i="4"/>
  <c r="BM113" i="4" s="1"/>
  <c r="BI114" i="4" l="1"/>
  <c r="AM114" i="4"/>
  <c r="BF115" i="4"/>
  <c r="BL114" i="4" s="1"/>
  <c r="BM114" i="4" s="1"/>
  <c r="BK115" i="4"/>
  <c r="BE116" i="4" s="1"/>
  <c r="AB115" i="4"/>
  <c r="Z115" i="4"/>
  <c r="T115" i="4"/>
  <c r="U115" i="4"/>
  <c r="I134" i="4" s="1"/>
  <c r="BH115" i="4"/>
  <c r="BI119" i="5"/>
  <c r="BW119" i="5"/>
  <c r="BX117" i="5"/>
  <c r="G132" i="5"/>
  <c r="P132" i="5" s="1"/>
  <c r="BJ117" i="5"/>
  <c r="BK116" i="5"/>
  <c r="F132" i="5" s="1"/>
  <c r="O132" i="5" s="1"/>
  <c r="BR117" i="5"/>
  <c r="BT117" i="5" s="1"/>
  <c r="BU117" i="5" s="1"/>
  <c r="BY117" i="5" s="1"/>
  <c r="AV116" i="5"/>
  <c r="AW116" i="5"/>
  <c r="E132" i="5" s="1"/>
  <c r="N132" i="5" s="1"/>
  <c r="AG119" i="5"/>
  <c r="AU119" i="5"/>
  <c r="AH116" i="5"/>
  <c r="AI116" i="5"/>
  <c r="D132" i="5" s="1"/>
  <c r="M132" i="5" s="1"/>
  <c r="L134" i="5"/>
  <c r="BQ111" i="4"/>
  <c r="F130" i="4" s="1"/>
  <c r="BT111" i="4"/>
  <c r="G130" i="4" s="1"/>
  <c r="AK68" i="4"/>
  <c r="BA68" i="4" s="1"/>
  <c r="BB68" i="4" s="1"/>
  <c r="AO80" i="4"/>
  <c r="AL80" i="4"/>
  <c r="AN80" i="4" s="1"/>
  <c r="AF92" i="4"/>
  <c r="AG104" i="4" s="1"/>
  <c r="AE81" i="4"/>
  <c r="AD70" i="4"/>
  <c r="AH69" i="4"/>
  <c r="AJ69" i="4" s="1"/>
  <c r="AW69" i="4" s="1"/>
  <c r="AX69" i="4" s="1"/>
  <c r="X118" i="5"/>
  <c r="AF117" i="5" s="1"/>
  <c r="Y118" i="5"/>
  <c r="Z118" i="5" s="1"/>
  <c r="AB118" i="5" s="1"/>
  <c r="AD118" i="5" s="1"/>
  <c r="AE118" i="5" s="1"/>
  <c r="BP118" i="5"/>
  <c r="BP119" i="5" s="1"/>
  <c r="BQ118" i="5"/>
  <c r="BC118" i="5"/>
  <c r="BD118" i="5" s="1"/>
  <c r="BO119" i="5"/>
  <c r="BN119" i="5"/>
  <c r="BV118" i="5" s="1"/>
  <c r="BM119" i="5"/>
  <c r="AN119" i="5"/>
  <c r="AM119" i="5"/>
  <c r="AL119" i="5"/>
  <c r="AT118" i="5" s="1"/>
  <c r="AK119" i="5"/>
  <c r="BF117" i="5"/>
  <c r="BG117" i="5" s="1"/>
  <c r="AZ119" i="5"/>
  <c r="BH118" i="5" s="1"/>
  <c r="AY119" i="5"/>
  <c r="BA119" i="5"/>
  <c r="BB119" i="5"/>
  <c r="AP118" i="5"/>
  <c r="AR117" i="5"/>
  <c r="AS117" i="5" s="1"/>
  <c r="AD117" i="5"/>
  <c r="AE117" i="5" s="1"/>
  <c r="C135" i="5"/>
  <c r="H135" i="5" s="1"/>
  <c r="Q135" i="5" s="1"/>
  <c r="BE119" i="5"/>
  <c r="AC119" i="5"/>
  <c r="W120" i="5" s="1"/>
  <c r="U119" i="5"/>
  <c r="BQ119" i="5" s="1"/>
  <c r="T120" i="5"/>
  <c r="AA119" i="5"/>
  <c r="BS119" i="5"/>
  <c r="AQ119" i="5"/>
  <c r="V119" i="5"/>
  <c r="I135" i="5" s="1"/>
  <c r="R135" i="5" s="1"/>
  <c r="BS113" i="4"/>
  <c r="BS112" i="4"/>
  <c r="BN112" i="4"/>
  <c r="BO112" i="4" s="1"/>
  <c r="BN113" i="4"/>
  <c r="BO113" i="4" s="1"/>
  <c r="AZ66" i="4"/>
  <c r="D85" i="4" s="1"/>
  <c r="AY67" i="4"/>
  <c r="BC67" i="4" s="1"/>
  <c r="E86" i="4" s="1"/>
  <c r="AQ115" i="4"/>
  <c r="AU70" i="4"/>
  <c r="AV70" i="4" s="1"/>
  <c r="AR71" i="4" s="1"/>
  <c r="AT71" i="4" s="1"/>
  <c r="Y73" i="4"/>
  <c r="AA73" i="4" s="1"/>
  <c r="AC73" i="4" s="1"/>
  <c r="X74" i="4"/>
  <c r="AS73" i="4"/>
  <c r="BJ114" i="4"/>
  <c r="BR114" i="4" s="1"/>
  <c r="BG115" i="4"/>
  <c r="C134" i="4"/>
  <c r="H134" i="4" s="1"/>
  <c r="S116" i="4"/>
  <c r="BI115" i="4" l="1"/>
  <c r="AM115" i="4"/>
  <c r="BK116" i="4"/>
  <c r="BE117" i="4" s="1"/>
  <c r="AB116" i="4"/>
  <c r="Z116" i="4"/>
  <c r="T116" i="4"/>
  <c r="U116" i="4"/>
  <c r="I135" i="4" s="1"/>
  <c r="BF116" i="4"/>
  <c r="BL115" i="4" s="1"/>
  <c r="BM115" i="4" s="1"/>
  <c r="BH116" i="4"/>
  <c r="BI120" i="5"/>
  <c r="BW120" i="5"/>
  <c r="BX118" i="5"/>
  <c r="G133" i="5"/>
  <c r="P133" i="5" s="1"/>
  <c r="BJ118" i="5"/>
  <c r="BK117" i="5"/>
  <c r="F133" i="5" s="1"/>
  <c r="O133" i="5" s="1"/>
  <c r="AV117" i="5"/>
  <c r="AW117" i="5"/>
  <c r="E133" i="5" s="1"/>
  <c r="N133" i="5" s="1"/>
  <c r="AG120" i="5"/>
  <c r="AU120" i="5"/>
  <c r="AH117" i="5"/>
  <c r="AI117" i="5"/>
  <c r="D133" i="5" s="1"/>
  <c r="M133" i="5" s="1"/>
  <c r="L135" i="5"/>
  <c r="AK69" i="4"/>
  <c r="BA69" i="4" s="1"/>
  <c r="BB69" i="4" s="1"/>
  <c r="Y119" i="5"/>
  <c r="Z119" i="5" s="1"/>
  <c r="AB119" i="5" s="1"/>
  <c r="BP112" i="4"/>
  <c r="AE82" i="4"/>
  <c r="AD71" i="4"/>
  <c r="AH70" i="4"/>
  <c r="AJ70" i="4" s="1"/>
  <c r="AW70" i="4" s="1"/>
  <c r="AX70" i="4" s="1"/>
  <c r="AO81" i="4"/>
  <c r="AL81" i="4"/>
  <c r="AN81" i="4" s="1"/>
  <c r="AF93" i="4"/>
  <c r="AG105" i="4" s="1"/>
  <c r="BN114" i="4"/>
  <c r="BO114" i="4" s="1"/>
  <c r="X119" i="5"/>
  <c r="AF118" i="5" s="1"/>
  <c r="BR118" i="5"/>
  <c r="BT118" i="5" s="1"/>
  <c r="BU118" i="5" s="1"/>
  <c r="AO119" i="5"/>
  <c r="AP119" i="5" s="1"/>
  <c r="BC119" i="5"/>
  <c r="BD119" i="5" s="1"/>
  <c r="C136" i="5"/>
  <c r="H136" i="5" s="1"/>
  <c r="Q136" i="5" s="1"/>
  <c r="BE120" i="5"/>
  <c r="AC120" i="5"/>
  <c r="W121" i="5" s="1"/>
  <c r="U120" i="5"/>
  <c r="BQ120" i="5" s="1"/>
  <c r="T121" i="5"/>
  <c r="AA120" i="5"/>
  <c r="BS120" i="5"/>
  <c r="AQ120" i="5"/>
  <c r="V120" i="5"/>
  <c r="I136" i="5" s="1"/>
  <c r="R136" i="5" s="1"/>
  <c r="AZ120" i="5"/>
  <c r="BH119" i="5" s="1"/>
  <c r="AY120" i="5"/>
  <c r="BA120" i="5"/>
  <c r="BB120" i="5"/>
  <c r="AR118" i="5"/>
  <c r="AS118" i="5" s="1"/>
  <c r="AN120" i="5"/>
  <c r="AM120" i="5"/>
  <c r="AL120" i="5"/>
  <c r="AT119" i="5" s="1"/>
  <c r="AK120" i="5"/>
  <c r="BP120" i="5"/>
  <c r="BO120" i="5"/>
  <c r="BN120" i="5"/>
  <c r="BV119" i="5" s="1"/>
  <c r="BM120" i="5"/>
  <c r="BF118" i="5"/>
  <c r="BG118" i="5" s="1"/>
  <c r="BK118" i="5" s="1"/>
  <c r="BR119" i="5"/>
  <c r="BS114" i="4"/>
  <c r="AZ67" i="4"/>
  <c r="D86" i="4" s="1"/>
  <c r="AY68" i="4"/>
  <c r="AQ116" i="4"/>
  <c r="AU71" i="4"/>
  <c r="AV71" i="4" s="1"/>
  <c r="AR72" i="4" s="1"/>
  <c r="AT72" i="4" s="1"/>
  <c r="AS74" i="4"/>
  <c r="Y74" i="4"/>
  <c r="AA74" i="4" s="1"/>
  <c r="AC74" i="4" s="1"/>
  <c r="X75" i="4"/>
  <c r="BJ115" i="4"/>
  <c r="BR115" i="4" s="1"/>
  <c r="BG116" i="4"/>
  <c r="S117" i="4"/>
  <c r="C135" i="4"/>
  <c r="H135" i="4" s="1"/>
  <c r="BI116" i="4" l="1"/>
  <c r="BJ116" i="4" s="1"/>
  <c r="BR116" i="4" s="1"/>
  <c r="AM116" i="4"/>
  <c r="AB117" i="4"/>
  <c r="Z117" i="4"/>
  <c r="BK117" i="4"/>
  <c r="BE118" i="4" s="1"/>
  <c r="T117" i="4"/>
  <c r="U117" i="4"/>
  <c r="I136" i="4" s="1"/>
  <c r="BH117" i="4"/>
  <c r="BF117" i="4"/>
  <c r="BL116" i="4" s="1"/>
  <c r="BM116" i="4" s="1"/>
  <c r="BI121" i="5"/>
  <c r="BW121" i="5"/>
  <c r="BX119" i="5"/>
  <c r="BY118" i="5"/>
  <c r="G134" i="5" s="1"/>
  <c r="P134" i="5" s="1"/>
  <c r="BJ119" i="5"/>
  <c r="F134" i="5"/>
  <c r="O134" i="5" s="1"/>
  <c r="AW118" i="5"/>
  <c r="E134" i="5" s="1"/>
  <c r="N134" i="5" s="1"/>
  <c r="AV118" i="5"/>
  <c r="AG121" i="5"/>
  <c r="AU121" i="5"/>
  <c r="AH118" i="5"/>
  <c r="AI118" i="5"/>
  <c r="D134" i="5" s="1"/>
  <c r="M134" i="5" s="1"/>
  <c r="Y120" i="5"/>
  <c r="Z120" i="5" s="1"/>
  <c r="AB120" i="5" s="1"/>
  <c r="AD120" i="5" s="1"/>
  <c r="AE120" i="5" s="1"/>
  <c r="L136" i="5"/>
  <c r="BQ112" i="4"/>
  <c r="F131" i="4" s="1"/>
  <c r="BP113" i="4"/>
  <c r="BQ113" i="4" s="1"/>
  <c r="F132" i="4" s="1"/>
  <c r="BT112" i="4"/>
  <c r="G131" i="4" s="1"/>
  <c r="AH71" i="4"/>
  <c r="AJ71" i="4" s="1"/>
  <c r="AW71" i="4" s="1"/>
  <c r="AX71" i="4" s="1"/>
  <c r="AE83" i="4"/>
  <c r="AD72" i="4"/>
  <c r="AK70" i="4"/>
  <c r="BA70" i="4" s="1"/>
  <c r="BB70" i="4" s="1"/>
  <c r="AO82" i="4"/>
  <c r="AL82" i="4"/>
  <c r="AN82" i="4" s="1"/>
  <c r="AF94" i="4"/>
  <c r="AG106" i="4" s="1"/>
  <c r="BS115" i="4"/>
  <c r="X120" i="5"/>
  <c r="AF119" i="5" s="1"/>
  <c r="BC120" i="5"/>
  <c r="BD120" i="5" s="1"/>
  <c r="BF120" i="5" s="1"/>
  <c r="BG120" i="5" s="1"/>
  <c r="BF119" i="5"/>
  <c r="BG119" i="5" s="1"/>
  <c r="BT119" i="5"/>
  <c r="BU119" i="5" s="1"/>
  <c r="AR119" i="5"/>
  <c r="AS119" i="5" s="1"/>
  <c r="BA121" i="5"/>
  <c r="AZ121" i="5"/>
  <c r="BH120" i="5" s="1"/>
  <c r="AY121" i="5"/>
  <c r="BB121" i="5"/>
  <c r="AN121" i="5"/>
  <c r="AM121" i="5"/>
  <c r="AL121" i="5"/>
  <c r="AT120" i="5" s="1"/>
  <c r="AK121" i="5"/>
  <c r="BP121" i="5"/>
  <c r="BO121" i="5"/>
  <c r="BN121" i="5"/>
  <c r="BV120" i="5" s="1"/>
  <c r="BM121" i="5"/>
  <c r="AO120" i="5"/>
  <c r="AP120" i="5" s="1"/>
  <c r="AD119" i="5"/>
  <c r="AE119" i="5" s="1"/>
  <c r="C137" i="5"/>
  <c r="H137" i="5" s="1"/>
  <c r="Q137" i="5" s="1"/>
  <c r="BS121" i="5"/>
  <c r="AQ121" i="5"/>
  <c r="BE121" i="5"/>
  <c r="AC121" i="5"/>
  <c r="W122" i="5" s="1"/>
  <c r="U121" i="5"/>
  <c r="BQ121" i="5" s="1"/>
  <c r="AA121" i="5"/>
  <c r="T122" i="5"/>
  <c r="V121" i="5"/>
  <c r="I137" i="5" s="1"/>
  <c r="R137" i="5" s="1"/>
  <c r="BR120" i="5"/>
  <c r="BN115" i="4"/>
  <c r="BO115" i="4" s="1"/>
  <c r="BC68" i="4"/>
  <c r="E87" i="4" s="1"/>
  <c r="AZ68" i="4"/>
  <c r="D87" i="4" s="1"/>
  <c r="AQ117" i="4"/>
  <c r="AU72" i="4"/>
  <c r="AV72" i="4" s="1"/>
  <c r="AR73" i="4" s="1"/>
  <c r="AT73" i="4" s="1"/>
  <c r="Y75" i="4"/>
  <c r="AA75" i="4" s="1"/>
  <c r="X76" i="4"/>
  <c r="BG117" i="4"/>
  <c r="S118" i="4"/>
  <c r="C136" i="4"/>
  <c r="H136" i="4" s="1"/>
  <c r="BI117" i="4" l="1"/>
  <c r="AM117" i="4"/>
  <c r="AB118" i="4"/>
  <c r="Z118" i="4"/>
  <c r="BK118" i="4"/>
  <c r="BE119" i="4" s="1"/>
  <c r="T118" i="4"/>
  <c r="U118" i="4"/>
  <c r="I137" i="4" s="1"/>
  <c r="BF118" i="4"/>
  <c r="BL117" i="4" s="1"/>
  <c r="BM117" i="4" s="1"/>
  <c r="BH118" i="4"/>
  <c r="BI122" i="5"/>
  <c r="BW122" i="5"/>
  <c r="BX120" i="5"/>
  <c r="BY119" i="5"/>
  <c r="G135" i="5" s="1"/>
  <c r="P135" i="5" s="1"/>
  <c r="BJ120" i="5"/>
  <c r="BK120" i="5"/>
  <c r="F136" i="5" s="1"/>
  <c r="O136" i="5" s="1"/>
  <c r="BK119" i="5"/>
  <c r="F135" i="5" s="1"/>
  <c r="O135" i="5" s="1"/>
  <c r="AV119" i="5"/>
  <c r="AW119" i="5"/>
  <c r="E135" i="5" s="1"/>
  <c r="N135" i="5" s="1"/>
  <c r="AG122" i="5"/>
  <c r="AU122" i="5"/>
  <c r="AH119" i="5"/>
  <c r="AI119" i="5"/>
  <c r="D135" i="5" s="1"/>
  <c r="M135" i="5" s="1"/>
  <c r="Y121" i="5"/>
  <c r="Z121" i="5" s="1"/>
  <c r="AB121" i="5" s="1"/>
  <c r="AC75" i="4"/>
  <c r="AP75" i="4"/>
  <c r="L137" i="5"/>
  <c r="BP114" i="4"/>
  <c r="BQ114" i="4" s="1"/>
  <c r="F133" i="4" s="1"/>
  <c r="BT113" i="4"/>
  <c r="G132" i="4" s="1"/>
  <c r="AH72" i="4"/>
  <c r="AJ72" i="4" s="1"/>
  <c r="AW72" i="4" s="1"/>
  <c r="AX72" i="4" s="1"/>
  <c r="AD73" i="4"/>
  <c r="AE84" i="4"/>
  <c r="AL83" i="4"/>
  <c r="AN83" i="4" s="1"/>
  <c r="AO83" i="4"/>
  <c r="AF95" i="4"/>
  <c r="AG107" i="4" s="1"/>
  <c r="AK71" i="4"/>
  <c r="BA71" i="4" s="1"/>
  <c r="BB71" i="4" s="1"/>
  <c r="BS116" i="4"/>
  <c r="X121" i="5"/>
  <c r="AF120" i="5" s="1"/>
  <c r="C138" i="5"/>
  <c r="H138" i="5" s="1"/>
  <c r="Q138" i="5" s="1"/>
  <c r="T123" i="5"/>
  <c r="AQ122" i="5"/>
  <c r="BS122" i="5"/>
  <c r="BE122" i="5"/>
  <c r="AC122" i="5"/>
  <c r="W123" i="5" s="1"/>
  <c r="U122" i="5"/>
  <c r="BC122" i="5" s="1"/>
  <c r="AA122" i="5"/>
  <c r="V122" i="5"/>
  <c r="I138" i="5" s="1"/>
  <c r="R138" i="5" s="1"/>
  <c r="BC121" i="5"/>
  <c r="BD121" i="5" s="1"/>
  <c r="AO121" i="5"/>
  <c r="AP121" i="5" s="1"/>
  <c r="AR120" i="5"/>
  <c r="AS120" i="5" s="1"/>
  <c r="AN122" i="5"/>
  <c r="AM122" i="5"/>
  <c r="AK122" i="5"/>
  <c r="AL122" i="5"/>
  <c r="AT121" i="5" s="1"/>
  <c r="BT120" i="5"/>
  <c r="BU120" i="5" s="1"/>
  <c r="BY120" i="5" s="1"/>
  <c r="BM122" i="5"/>
  <c r="BP122" i="5"/>
  <c r="BN122" i="5"/>
  <c r="BV121" i="5" s="1"/>
  <c r="BO122" i="5"/>
  <c r="BR121" i="5"/>
  <c r="BB122" i="5"/>
  <c r="BA122" i="5"/>
  <c r="AZ122" i="5"/>
  <c r="BH121" i="5" s="1"/>
  <c r="AY122" i="5"/>
  <c r="BN116" i="4"/>
  <c r="BO116" i="4" s="1"/>
  <c r="AY69" i="4"/>
  <c r="AQ118" i="4"/>
  <c r="AU73" i="4"/>
  <c r="AV73" i="4" s="1"/>
  <c r="AR74" i="4" s="1"/>
  <c r="AT74" i="4" s="1"/>
  <c r="AS76" i="4"/>
  <c r="Y76" i="4"/>
  <c r="AA76" i="4" s="1"/>
  <c r="X77" i="4"/>
  <c r="BJ117" i="4"/>
  <c r="BR117" i="4" s="1"/>
  <c r="BG118" i="4"/>
  <c r="S119" i="4"/>
  <c r="C137" i="4"/>
  <c r="H137" i="4" s="1"/>
  <c r="BI118" i="4" l="1"/>
  <c r="AM118" i="4"/>
  <c r="BK119" i="4"/>
  <c r="BE120" i="4" s="1"/>
  <c r="Z119" i="4"/>
  <c r="AB119" i="4"/>
  <c r="T119" i="4"/>
  <c r="U119" i="4"/>
  <c r="I138" i="4" s="1"/>
  <c r="BH119" i="4"/>
  <c r="BF119" i="4"/>
  <c r="BI123" i="5"/>
  <c r="BW123" i="5"/>
  <c r="BX121" i="5"/>
  <c r="G136" i="5"/>
  <c r="P136" i="5" s="1"/>
  <c r="BJ121" i="5"/>
  <c r="AW120" i="5"/>
  <c r="E136" i="5" s="1"/>
  <c r="N136" i="5" s="1"/>
  <c r="AV120" i="5"/>
  <c r="AG123" i="5"/>
  <c r="AU123" i="5"/>
  <c r="AH120" i="5"/>
  <c r="AI120" i="5"/>
  <c r="D136" i="5" s="1"/>
  <c r="M136" i="5" s="1"/>
  <c r="Y122" i="5"/>
  <c r="Z122" i="5" s="1"/>
  <c r="AB122" i="5" s="1"/>
  <c r="L138" i="5"/>
  <c r="BT114" i="4"/>
  <c r="G133" i="4" s="1"/>
  <c r="BP115" i="4"/>
  <c r="BQ115" i="4" s="1"/>
  <c r="F134" i="4" s="1"/>
  <c r="AK72" i="4"/>
  <c r="BA72" i="4" s="1"/>
  <c r="BB72" i="4" s="1"/>
  <c r="AF96" i="4"/>
  <c r="AG108" i="4" s="1"/>
  <c r="AO84" i="4"/>
  <c r="AL84" i="4"/>
  <c r="AN84" i="4" s="1"/>
  <c r="AE85" i="4"/>
  <c r="AH73" i="4"/>
  <c r="AJ73" i="4" s="1"/>
  <c r="AW73" i="4" s="1"/>
  <c r="AX73" i="4" s="1"/>
  <c r="AD74" i="4"/>
  <c r="BS117" i="4"/>
  <c r="X122" i="5"/>
  <c r="AF121" i="5" s="1"/>
  <c r="AR121" i="5"/>
  <c r="AS121" i="5" s="1"/>
  <c r="BA123" i="5"/>
  <c r="AY123" i="5"/>
  <c r="AZ123" i="5"/>
  <c r="BH122" i="5" s="1"/>
  <c r="BB123" i="5"/>
  <c r="BF121" i="5"/>
  <c r="BG121" i="5" s="1"/>
  <c r="BK121" i="5" s="1"/>
  <c r="C139" i="5"/>
  <c r="H139" i="5" s="1"/>
  <c r="Q139" i="5" s="1"/>
  <c r="BS123" i="5"/>
  <c r="AQ123" i="5"/>
  <c r="BE123" i="5"/>
  <c r="U123" i="5"/>
  <c r="BQ123" i="5" s="1"/>
  <c r="T124" i="5"/>
  <c r="AA123" i="5"/>
  <c r="AC123" i="5"/>
  <c r="W124" i="5" s="1"/>
  <c r="V123" i="5"/>
  <c r="I139" i="5" s="1"/>
  <c r="R139" i="5" s="1"/>
  <c r="BQ122" i="5"/>
  <c r="BR122" i="5" s="1"/>
  <c r="AO122" i="5"/>
  <c r="AP122" i="5" s="1"/>
  <c r="AD121" i="5"/>
  <c r="AE121" i="5" s="1"/>
  <c r="BD122" i="5"/>
  <c r="BN123" i="5"/>
  <c r="BV122" i="5" s="1"/>
  <c r="BP123" i="5"/>
  <c r="BM123" i="5"/>
  <c r="BO123" i="5"/>
  <c r="BT121" i="5"/>
  <c r="BU121" i="5" s="1"/>
  <c r="BY121" i="5" s="1"/>
  <c r="AL123" i="5"/>
  <c r="AT122" i="5" s="1"/>
  <c r="AM123" i="5"/>
  <c r="AK123" i="5"/>
  <c r="AN123" i="5"/>
  <c r="BN117" i="4"/>
  <c r="BO117" i="4" s="1"/>
  <c r="BC69" i="4"/>
  <c r="E88" i="4" s="1"/>
  <c r="AZ69" i="4"/>
  <c r="D88" i="4" s="1"/>
  <c r="AQ119" i="4"/>
  <c r="AU74" i="4"/>
  <c r="AV74" i="4" s="1"/>
  <c r="AS77" i="4"/>
  <c r="Y77" i="4"/>
  <c r="AA77" i="4" s="1"/>
  <c r="X78" i="4"/>
  <c r="BJ118" i="4"/>
  <c r="BR118" i="4" s="1"/>
  <c r="BG119" i="4"/>
  <c r="BL118" i="4"/>
  <c r="BM118" i="4" s="1"/>
  <c r="S120" i="4"/>
  <c r="C138" i="4"/>
  <c r="H138" i="4" s="1"/>
  <c r="BT115" i="4" l="1"/>
  <c r="G134" i="4" s="1"/>
  <c r="BI119" i="4"/>
  <c r="AM119" i="4"/>
  <c r="BK120" i="4"/>
  <c r="BE121" i="4" s="1"/>
  <c r="AB120" i="4"/>
  <c r="Z120" i="4"/>
  <c r="T120" i="4"/>
  <c r="U120" i="4"/>
  <c r="I139" i="4" s="1"/>
  <c r="BF120" i="4"/>
  <c r="BH120" i="4"/>
  <c r="BI124" i="5"/>
  <c r="BW124" i="5"/>
  <c r="BX122" i="5"/>
  <c r="G137" i="5"/>
  <c r="P137" i="5" s="1"/>
  <c r="BJ122" i="5"/>
  <c r="F137" i="5"/>
  <c r="O137" i="5" s="1"/>
  <c r="AG124" i="5"/>
  <c r="AU124" i="5"/>
  <c r="AV121" i="5"/>
  <c r="AW121" i="5"/>
  <c r="E137" i="5" s="1"/>
  <c r="N137" i="5" s="1"/>
  <c r="AH121" i="5"/>
  <c r="AI121" i="5"/>
  <c r="D137" i="5" s="1"/>
  <c r="M137" i="5" s="1"/>
  <c r="Y123" i="5"/>
  <c r="Z123" i="5" s="1"/>
  <c r="AB123" i="5" s="1"/>
  <c r="AD123" i="5" s="1"/>
  <c r="AE123" i="5" s="1"/>
  <c r="L139" i="5"/>
  <c r="BP116" i="4"/>
  <c r="BQ116" i="4" s="1"/>
  <c r="F135" i="4" s="1"/>
  <c r="AD75" i="4"/>
  <c r="AH74" i="4"/>
  <c r="AJ74" i="4" s="1"/>
  <c r="AE86" i="4"/>
  <c r="AK73" i="4"/>
  <c r="BA73" i="4" s="1"/>
  <c r="BB73" i="4" s="1"/>
  <c r="AO85" i="4"/>
  <c r="AL85" i="4"/>
  <c r="AN85" i="4" s="1"/>
  <c r="AF97" i="4"/>
  <c r="AG109" i="4" s="1"/>
  <c r="BN118" i="4"/>
  <c r="BO118" i="4" s="1"/>
  <c r="X123" i="5"/>
  <c r="AF122" i="5" s="1"/>
  <c r="BC123" i="5"/>
  <c r="BD123" i="5" s="1"/>
  <c r="BF123" i="5" s="1"/>
  <c r="BG123" i="5" s="1"/>
  <c r="BT122" i="5"/>
  <c r="BU122" i="5" s="1"/>
  <c r="AR122" i="5"/>
  <c r="AS122" i="5" s="1"/>
  <c r="AM124" i="5"/>
  <c r="AN124" i="5"/>
  <c r="AL124" i="5"/>
  <c r="AT123" i="5" s="1"/>
  <c r="AK124" i="5"/>
  <c r="BF122" i="5"/>
  <c r="BG122" i="5" s="1"/>
  <c r="BO124" i="5"/>
  <c r="BM124" i="5"/>
  <c r="BN124" i="5"/>
  <c r="BV123" i="5" s="1"/>
  <c r="BP124" i="5"/>
  <c r="BB124" i="5"/>
  <c r="AZ124" i="5"/>
  <c r="BH123" i="5" s="1"/>
  <c r="AY124" i="5"/>
  <c r="BA124" i="5"/>
  <c r="AO123" i="5"/>
  <c r="AP123" i="5" s="1"/>
  <c r="AD122" i="5"/>
  <c r="AE122" i="5" s="1"/>
  <c r="BR123" i="5"/>
  <c r="C140" i="5"/>
  <c r="H140" i="5" s="1"/>
  <c r="Q140" i="5" s="1"/>
  <c r="BE124" i="5"/>
  <c r="AC124" i="5"/>
  <c r="W125" i="5" s="1"/>
  <c r="U124" i="5"/>
  <c r="AO124" i="5" s="1"/>
  <c r="AA124" i="5"/>
  <c r="BS124" i="5"/>
  <c r="AQ124" i="5"/>
  <c r="T125" i="5"/>
  <c r="V124" i="5"/>
  <c r="I140" i="5" s="1"/>
  <c r="R140" i="5" s="1"/>
  <c r="BS118" i="4"/>
  <c r="AS78" i="4"/>
  <c r="AY70" i="4"/>
  <c r="AQ120" i="4"/>
  <c r="Y78" i="4"/>
  <c r="AA78" i="4" s="1"/>
  <c r="X79" i="4"/>
  <c r="BJ119" i="4"/>
  <c r="BR119" i="4" s="1"/>
  <c r="S121" i="4"/>
  <c r="C139" i="4"/>
  <c r="H139" i="4" s="1"/>
  <c r="BL119" i="4"/>
  <c r="BM119" i="4" s="1"/>
  <c r="BG120" i="4"/>
  <c r="BI120" i="4" l="1"/>
  <c r="AM120" i="4"/>
  <c r="AB121" i="4"/>
  <c r="BK121" i="4"/>
  <c r="BE122" i="4" s="1"/>
  <c r="Z121" i="4"/>
  <c r="T121" i="4"/>
  <c r="AM121" i="4" s="1"/>
  <c r="U121" i="4"/>
  <c r="I140" i="4" s="1"/>
  <c r="BH121" i="4"/>
  <c r="BF121" i="4"/>
  <c r="BL120" i="4" s="1"/>
  <c r="BM120" i="4" s="1"/>
  <c r="BI125" i="5"/>
  <c r="BW125" i="5"/>
  <c r="BX123" i="5"/>
  <c r="BY122" i="5"/>
  <c r="G138" i="5" s="1"/>
  <c r="P138" i="5" s="1"/>
  <c r="BJ123" i="5"/>
  <c r="BK123" i="5"/>
  <c r="F139" i="5" s="1"/>
  <c r="O139" i="5" s="1"/>
  <c r="BK122" i="5"/>
  <c r="F138" i="5" s="1"/>
  <c r="O138" i="5" s="1"/>
  <c r="AV122" i="5"/>
  <c r="AW122" i="5"/>
  <c r="E138" i="5" s="1"/>
  <c r="N138" i="5" s="1"/>
  <c r="AG125" i="5"/>
  <c r="AU125" i="5"/>
  <c r="Y124" i="5"/>
  <c r="Z124" i="5" s="1"/>
  <c r="AB124" i="5" s="1"/>
  <c r="AH122" i="5"/>
  <c r="AI122" i="5"/>
  <c r="D138" i="5" s="1"/>
  <c r="M138" i="5" s="1"/>
  <c r="BP117" i="4"/>
  <c r="BP118" i="4" s="1"/>
  <c r="BQ118" i="4" s="1"/>
  <c r="F137" i="4" s="1"/>
  <c r="BT116" i="4"/>
  <c r="G135" i="4" s="1"/>
  <c r="L140" i="5"/>
  <c r="AW74" i="4"/>
  <c r="AX74" i="4" s="1"/>
  <c r="AK74" i="4"/>
  <c r="BA74" i="4" s="1"/>
  <c r="AL86" i="4"/>
  <c r="AN86" i="4" s="1"/>
  <c r="AO86" i="4"/>
  <c r="AF98" i="4"/>
  <c r="AG110" i="4" s="1"/>
  <c r="AH75" i="4"/>
  <c r="AJ75" i="4" s="1"/>
  <c r="AK75" i="4" s="1"/>
  <c r="BA75" i="4" s="1"/>
  <c r="AE87" i="4"/>
  <c r="BS119" i="4"/>
  <c r="X124" i="5"/>
  <c r="AF123" i="5" s="1"/>
  <c r="BC124" i="5"/>
  <c r="BD124" i="5" s="1"/>
  <c r="BQ124" i="5"/>
  <c r="BR124" i="5" s="1"/>
  <c r="AR123" i="5"/>
  <c r="AS123" i="5" s="1"/>
  <c r="AP124" i="5"/>
  <c r="BM125" i="5"/>
  <c r="BP125" i="5"/>
  <c r="BO125" i="5"/>
  <c r="BN125" i="5"/>
  <c r="BV124" i="5" s="1"/>
  <c r="BT123" i="5"/>
  <c r="BU123" i="5" s="1"/>
  <c r="C141" i="5"/>
  <c r="H141" i="5" s="1"/>
  <c r="Q141" i="5" s="1"/>
  <c r="T126" i="5"/>
  <c r="AA125" i="5"/>
  <c r="U125" i="5"/>
  <c r="BQ125" i="5" s="1"/>
  <c r="BS125" i="5"/>
  <c r="BE125" i="5"/>
  <c r="AC125" i="5"/>
  <c r="W126" i="5" s="1"/>
  <c r="AQ125" i="5"/>
  <c r="V125" i="5"/>
  <c r="I141" i="5" s="1"/>
  <c r="R141" i="5" s="1"/>
  <c r="AK125" i="5"/>
  <c r="AN125" i="5"/>
  <c r="AM125" i="5"/>
  <c r="AL125" i="5"/>
  <c r="AT124" i="5" s="1"/>
  <c r="BB125" i="5"/>
  <c r="BA125" i="5"/>
  <c r="AZ125" i="5"/>
  <c r="BH124" i="5" s="1"/>
  <c r="AY125" i="5"/>
  <c r="BN119" i="4"/>
  <c r="BO119" i="4" s="1"/>
  <c r="AS79" i="4"/>
  <c r="BC70" i="4"/>
  <c r="E89" i="4" s="1"/>
  <c r="AZ70" i="4"/>
  <c r="D89" i="4" s="1"/>
  <c r="AQ121" i="4"/>
  <c r="Y79" i="4"/>
  <c r="AA79" i="4" s="1"/>
  <c r="X80" i="4"/>
  <c r="BJ120" i="4"/>
  <c r="BR120" i="4" s="1"/>
  <c r="S122" i="4"/>
  <c r="C140" i="4"/>
  <c r="H140" i="4" s="1"/>
  <c r="BG121" i="4"/>
  <c r="BI121" i="4" l="1"/>
  <c r="BJ121" i="4" s="1"/>
  <c r="BR121" i="4" s="1"/>
  <c r="BF122" i="4"/>
  <c r="BL121" i="4" s="1"/>
  <c r="BM121" i="4" s="1"/>
  <c r="BH122" i="4"/>
  <c r="AB122" i="4"/>
  <c r="Z122" i="4"/>
  <c r="BK122" i="4"/>
  <c r="BE123" i="4" s="1"/>
  <c r="T122" i="4"/>
  <c r="U122" i="4"/>
  <c r="I141" i="4" s="1"/>
  <c r="BI126" i="5"/>
  <c r="BW126" i="5"/>
  <c r="Y125" i="5"/>
  <c r="Z125" i="5" s="1"/>
  <c r="AB125" i="5" s="1"/>
  <c r="AD125" i="5" s="1"/>
  <c r="AE125" i="5" s="1"/>
  <c r="BX124" i="5"/>
  <c r="BY123" i="5"/>
  <c r="G139" i="5" s="1"/>
  <c r="P139" i="5" s="1"/>
  <c r="BJ124" i="5"/>
  <c r="AV123" i="5"/>
  <c r="AW123" i="5"/>
  <c r="E139" i="5" s="1"/>
  <c r="N139" i="5" s="1"/>
  <c r="AG126" i="5"/>
  <c r="AU126" i="5"/>
  <c r="AH123" i="5"/>
  <c r="AI123" i="5"/>
  <c r="D139" i="5" s="1"/>
  <c r="M139" i="5" s="1"/>
  <c r="BQ117" i="4"/>
  <c r="F136" i="4" s="1"/>
  <c r="BT117" i="4"/>
  <c r="G136" i="4" s="1"/>
  <c r="L141" i="5"/>
  <c r="BT118" i="4"/>
  <c r="G137" i="4" s="1"/>
  <c r="BP119" i="4"/>
  <c r="AQ75" i="4"/>
  <c r="AR75" i="4" s="1"/>
  <c r="AW75" i="4"/>
  <c r="AX75" i="4" s="1"/>
  <c r="BB74" i="4"/>
  <c r="AO87" i="4"/>
  <c r="AF99" i="4"/>
  <c r="AG111" i="4" s="1"/>
  <c r="AL87" i="4"/>
  <c r="AN87" i="4" s="1"/>
  <c r="BN120" i="4"/>
  <c r="BO120" i="4" s="1"/>
  <c r="X125" i="5"/>
  <c r="AF124" i="5" s="1"/>
  <c r="AO125" i="5"/>
  <c r="AP125" i="5" s="1"/>
  <c r="BR125" i="5"/>
  <c r="AL126" i="5"/>
  <c r="AT125" i="5" s="1"/>
  <c r="AK126" i="5"/>
  <c r="AN126" i="5"/>
  <c r="AM126" i="5"/>
  <c r="AD124" i="5"/>
  <c r="AE124" i="5" s="1"/>
  <c r="BB126" i="5"/>
  <c r="BA126" i="5"/>
  <c r="AY126" i="5"/>
  <c r="AZ126" i="5"/>
  <c r="BH125" i="5" s="1"/>
  <c r="AR124" i="5"/>
  <c r="AS124" i="5" s="1"/>
  <c r="BN126" i="5"/>
  <c r="BV125" i="5" s="1"/>
  <c r="BM126" i="5"/>
  <c r="BP126" i="5"/>
  <c r="BO126" i="5"/>
  <c r="BT124" i="5"/>
  <c r="BU124" i="5" s="1"/>
  <c r="BY124" i="5" s="1"/>
  <c r="BF124" i="5"/>
  <c r="BG124" i="5" s="1"/>
  <c r="BK124" i="5" s="1"/>
  <c r="BC125" i="5"/>
  <c r="BD125" i="5" s="1"/>
  <c r="C142" i="5"/>
  <c r="H142" i="5" s="1"/>
  <c r="Q142" i="5" s="1"/>
  <c r="T127" i="5"/>
  <c r="AA126" i="5"/>
  <c r="BS126" i="5"/>
  <c r="AQ126" i="5"/>
  <c r="U126" i="5"/>
  <c r="BC126" i="5" s="1"/>
  <c r="BE126" i="5"/>
  <c r="AC126" i="5"/>
  <c r="W127" i="5" s="1"/>
  <c r="V126" i="5"/>
  <c r="I142" i="5" s="1"/>
  <c r="R142" i="5" s="1"/>
  <c r="BS120" i="4"/>
  <c r="AS80" i="4"/>
  <c r="AY71" i="4"/>
  <c r="AZ71" i="4" s="1"/>
  <c r="D90" i="4" s="1"/>
  <c r="AQ122" i="4"/>
  <c r="Y80" i="4"/>
  <c r="AA80" i="4" s="1"/>
  <c r="X81" i="4"/>
  <c r="BG122" i="4"/>
  <c r="S123" i="4"/>
  <c r="C141" i="4"/>
  <c r="H141" i="4" s="1"/>
  <c r="BI122" i="4" l="1"/>
  <c r="AM122" i="4"/>
  <c r="BH123" i="4"/>
  <c r="BF123" i="4"/>
  <c r="BK123" i="4"/>
  <c r="BE124" i="4" s="1"/>
  <c r="Z123" i="4"/>
  <c r="AB123" i="4"/>
  <c r="T123" i="4"/>
  <c r="U123" i="4"/>
  <c r="I142" i="4" s="1"/>
  <c r="Y126" i="5"/>
  <c r="Z126" i="5" s="1"/>
  <c r="AB126" i="5" s="1"/>
  <c r="BI127" i="5"/>
  <c r="BW127" i="5"/>
  <c r="BX125" i="5"/>
  <c r="G140" i="5"/>
  <c r="P140" i="5" s="1"/>
  <c r="BJ125" i="5"/>
  <c r="F140" i="5"/>
  <c r="O140" i="5" s="1"/>
  <c r="AG127" i="5"/>
  <c r="AU127" i="5"/>
  <c r="AV124" i="5"/>
  <c r="AW124" i="5"/>
  <c r="E140" i="5" s="1"/>
  <c r="N140" i="5" s="1"/>
  <c r="AH124" i="5"/>
  <c r="AI124" i="5"/>
  <c r="D140" i="5" s="1"/>
  <c r="M140" i="5" s="1"/>
  <c r="L142" i="5"/>
  <c r="X126" i="5"/>
  <c r="AF125" i="5" s="1"/>
  <c r="AS75" i="4"/>
  <c r="AT75" i="4" s="1"/>
  <c r="AU75" i="4" s="1"/>
  <c r="AV75" i="4" s="1"/>
  <c r="AR76" i="4" s="1"/>
  <c r="BT119" i="4"/>
  <c r="G138" i="4" s="1"/>
  <c r="BQ119" i="4"/>
  <c r="F138" i="4" s="1"/>
  <c r="BB75" i="4"/>
  <c r="BP120" i="4"/>
  <c r="BN121" i="4"/>
  <c r="BO121" i="4" s="1"/>
  <c r="BQ126" i="5"/>
  <c r="BR126" i="5" s="1"/>
  <c r="BP127" i="5" s="1"/>
  <c r="BF125" i="5"/>
  <c r="BG125" i="5" s="1"/>
  <c r="AO126" i="5"/>
  <c r="AP126" i="5" s="1"/>
  <c r="AN127" i="5" s="1"/>
  <c r="C143" i="5"/>
  <c r="BE127" i="5"/>
  <c r="AC127" i="5"/>
  <c r="W128" i="5" s="1"/>
  <c r="U127" i="5"/>
  <c r="BC127" i="5" s="1"/>
  <c r="T128" i="5"/>
  <c r="AQ127" i="5"/>
  <c r="BS127" i="5"/>
  <c r="V127" i="5"/>
  <c r="I143" i="5" s="1"/>
  <c r="R143" i="5" s="1"/>
  <c r="AD127" i="5"/>
  <c r="AM127" i="5"/>
  <c r="AL127" i="5"/>
  <c r="AT126" i="5" s="1"/>
  <c r="AK127" i="5"/>
  <c r="BO127" i="5"/>
  <c r="BN127" i="5"/>
  <c r="BV126" i="5" s="1"/>
  <c r="BM127" i="5"/>
  <c r="AZ127" i="5"/>
  <c r="BH126" i="5" s="1"/>
  <c r="BA127" i="5"/>
  <c r="AY127" i="5"/>
  <c r="AR125" i="5"/>
  <c r="AS125" i="5" s="1"/>
  <c r="BD126" i="5"/>
  <c r="BB127" i="5" s="1"/>
  <c r="BT125" i="5"/>
  <c r="BU125" i="5" s="1"/>
  <c r="BY125" i="5" s="1"/>
  <c r="BS121" i="4"/>
  <c r="AS81" i="4"/>
  <c r="BC71" i="4"/>
  <c r="E90" i="4" s="1"/>
  <c r="Y81" i="4"/>
  <c r="AA81" i="4" s="1"/>
  <c r="X82" i="4"/>
  <c r="BJ122" i="4"/>
  <c r="BR122" i="4" s="1"/>
  <c r="S124" i="4"/>
  <c r="C142" i="4"/>
  <c r="H142" i="4" s="1"/>
  <c r="BL122" i="4"/>
  <c r="BM122" i="4" s="1"/>
  <c r="BG123" i="4"/>
  <c r="Y127" i="5" l="1"/>
  <c r="Z127" i="5" s="1"/>
  <c r="L143" i="5"/>
  <c r="H143" i="5"/>
  <c r="Q143" i="5" s="1"/>
  <c r="BF124" i="4"/>
  <c r="BL123" i="4" s="1"/>
  <c r="BM123" i="4" s="1"/>
  <c r="BK124" i="4"/>
  <c r="BE125" i="4" s="1"/>
  <c r="AB124" i="4"/>
  <c r="T124" i="4"/>
  <c r="Z124" i="4" s="1"/>
  <c r="U124" i="4"/>
  <c r="I143" i="4" s="1"/>
  <c r="BI123" i="4"/>
  <c r="BJ123" i="4" s="1"/>
  <c r="BR123" i="4" s="1"/>
  <c r="AM123" i="4"/>
  <c r="BI128" i="5"/>
  <c r="BW128" i="5"/>
  <c r="BX126" i="5"/>
  <c r="G141" i="5"/>
  <c r="P141" i="5" s="1"/>
  <c r="BJ126" i="5"/>
  <c r="BK125" i="5"/>
  <c r="F141" i="5" s="1"/>
  <c r="O141" i="5" s="1"/>
  <c r="AG128" i="5"/>
  <c r="AU128" i="5"/>
  <c r="AW125" i="5"/>
  <c r="E141" i="5" s="1"/>
  <c r="N141" i="5" s="1"/>
  <c r="AV125" i="5"/>
  <c r="AH125" i="5"/>
  <c r="AI125" i="5"/>
  <c r="D141" i="5" s="1"/>
  <c r="M141" i="5" s="1"/>
  <c r="X127" i="5"/>
  <c r="X128" i="5" s="1"/>
  <c r="AF127" i="5" s="1"/>
  <c r="BQ120" i="4"/>
  <c r="F139" i="4" s="1"/>
  <c r="BT120" i="4"/>
  <c r="G139" i="4" s="1"/>
  <c r="BP121" i="4"/>
  <c r="BQ121" i="4" s="1"/>
  <c r="F140" i="4" s="1"/>
  <c r="AT76" i="4"/>
  <c r="AU76" i="4" s="1"/>
  <c r="AV76" i="4" s="1"/>
  <c r="AR77" i="4" s="1"/>
  <c r="BN122" i="4"/>
  <c r="BO122" i="4" s="1"/>
  <c r="BD127" i="5"/>
  <c r="BF127" i="5" s="1"/>
  <c r="BG127" i="5" s="1"/>
  <c r="AO127" i="5"/>
  <c r="AP127" i="5" s="1"/>
  <c r="AR127" i="5" s="1"/>
  <c r="AS127" i="5" s="1"/>
  <c r="BQ127" i="5"/>
  <c r="BR127" i="5" s="1"/>
  <c r="BT127" i="5" s="1"/>
  <c r="BU127" i="5" s="1"/>
  <c r="AA127" i="5"/>
  <c r="AB127" i="5" s="1"/>
  <c r="AE127" i="5" s="1"/>
  <c r="BT126" i="5"/>
  <c r="BU126" i="5" s="1"/>
  <c r="Y128" i="5"/>
  <c r="Z128" i="5" s="1"/>
  <c r="AD128" i="5"/>
  <c r="AD126" i="5"/>
  <c r="AE126" i="5" s="1"/>
  <c r="BA128" i="5"/>
  <c r="BB128" i="5"/>
  <c r="AY128" i="5"/>
  <c r="AZ128" i="5"/>
  <c r="BH127" i="5" s="1"/>
  <c r="BP128" i="5"/>
  <c r="BO128" i="5"/>
  <c r="BN128" i="5"/>
  <c r="BV127" i="5" s="1"/>
  <c r="BM128" i="5"/>
  <c r="BF126" i="5"/>
  <c r="BG126" i="5" s="1"/>
  <c r="BK126" i="5" s="1"/>
  <c r="C144" i="5"/>
  <c r="H144" i="5" s="1"/>
  <c r="Q144" i="5" s="1"/>
  <c r="BE128" i="5"/>
  <c r="AC128" i="5"/>
  <c r="W129" i="5" s="1"/>
  <c r="U128" i="5"/>
  <c r="BC128" i="5" s="1"/>
  <c r="BS128" i="5"/>
  <c r="AQ128" i="5"/>
  <c r="T129" i="5"/>
  <c r="V128" i="5"/>
  <c r="I144" i="5" s="1"/>
  <c r="R144" i="5" s="1"/>
  <c r="AR126" i="5"/>
  <c r="AS126" i="5" s="1"/>
  <c r="AN128" i="5"/>
  <c r="AM128" i="5"/>
  <c r="AL128" i="5"/>
  <c r="AT127" i="5" s="1"/>
  <c r="AK128" i="5"/>
  <c r="AS82" i="4"/>
  <c r="BS122" i="4"/>
  <c r="AY72" i="4"/>
  <c r="AZ72" i="4" s="1"/>
  <c r="D91" i="4" s="1"/>
  <c r="AQ124" i="4"/>
  <c r="Y82" i="4"/>
  <c r="AA82" i="4" s="1"/>
  <c r="X83" i="4"/>
  <c r="S125" i="4"/>
  <c r="C143" i="4"/>
  <c r="B142" i="4" s="1"/>
  <c r="BG124" i="4"/>
  <c r="H143" i="4" l="1"/>
  <c r="BI124" i="4"/>
  <c r="AM124" i="4"/>
  <c r="AB125" i="4"/>
  <c r="BK125" i="4"/>
  <c r="BE126" i="4" s="1"/>
  <c r="T125" i="4"/>
  <c r="AM125" i="4" s="1"/>
  <c r="U125" i="4"/>
  <c r="I144" i="4" s="1"/>
  <c r="BF125" i="4"/>
  <c r="BL124" i="4" s="1"/>
  <c r="BM124" i="4" s="1"/>
  <c r="BI129" i="5"/>
  <c r="BW129" i="5"/>
  <c r="BY127" i="5"/>
  <c r="G143" i="5" s="1"/>
  <c r="P143" i="5" s="1"/>
  <c r="BX127" i="5"/>
  <c r="BY126" i="5"/>
  <c r="G142" i="5" s="1"/>
  <c r="P142" i="5" s="1"/>
  <c r="AF126" i="5"/>
  <c r="AH126" i="5" s="1"/>
  <c r="BJ127" i="5"/>
  <c r="BK127" i="5"/>
  <c r="F143" i="5" s="1"/>
  <c r="O143" i="5" s="1"/>
  <c r="F142" i="5"/>
  <c r="O142" i="5" s="1"/>
  <c r="AG129" i="5"/>
  <c r="AU129" i="5"/>
  <c r="AV126" i="5"/>
  <c r="AW126" i="5"/>
  <c r="E142" i="5" s="1"/>
  <c r="N142" i="5" s="1"/>
  <c r="AI126" i="5"/>
  <c r="D142" i="5" s="1"/>
  <c r="M142" i="5" s="1"/>
  <c r="L144" i="5"/>
  <c r="BP122" i="4"/>
  <c r="BQ122" i="4" s="1"/>
  <c r="F141" i="4" s="1"/>
  <c r="BT121" i="4"/>
  <c r="G140" i="4" s="1"/>
  <c r="AT77" i="4"/>
  <c r="AU77" i="4" s="1"/>
  <c r="AV77" i="4" s="1"/>
  <c r="AR78" i="4" s="1"/>
  <c r="AT78" i="4" s="1"/>
  <c r="AU78" i="4" s="1"/>
  <c r="AV78" i="4" s="1"/>
  <c r="AR79" i="4" s="1"/>
  <c r="AT79" i="4" s="1"/>
  <c r="AU79" i="4" s="1"/>
  <c r="AV79" i="4" s="1"/>
  <c r="AR80" i="4" s="1"/>
  <c r="AT80" i="4" s="1"/>
  <c r="BH124" i="4"/>
  <c r="BH125" i="4" s="1"/>
  <c r="BS123" i="4"/>
  <c r="AA128" i="5"/>
  <c r="AB128" i="5" s="1"/>
  <c r="AE128" i="5" s="1"/>
  <c r="AO128" i="5"/>
  <c r="AP128" i="5" s="1"/>
  <c r="AR128" i="5" s="1"/>
  <c r="AS128" i="5" s="1"/>
  <c r="BQ128" i="5"/>
  <c r="BR128" i="5" s="1"/>
  <c r="Y129" i="5"/>
  <c r="Z129" i="5" s="1"/>
  <c r="X129" i="5"/>
  <c r="AF128" i="5" s="1"/>
  <c r="AD129" i="5"/>
  <c r="BS129" i="5"/>
  <c r="BE129" i="5"/>
  <c r="U129" i="5"/>
  <c r="AA129" i="5" s="1"/>
  <c r="T130" i="5"/>
  <c r="AC129" i="5"/>
  <c r="W130" i="5" s="1"/>
  <c r="AQ129" i="5"/>
  <c r="C145" i="5"/>
  <c r="H145" i="5" s="1"/>
  <c r="Q145" i="5" s="1"/>
  <c r="V129" i="5"/>
  <c r="I145" i="5" s="1"/>
  <c r="R145" i="5" s="1"/>
  <c r="BB129" i="5"/>
  <c r="AY129" i="5"/>
  <c r="BA129" i="5"/>
  <c r="AZ129" i="5"/>
  <c r="BH128" i="5" s="1"/>
  <c r="BD128" i="5"/>
  <c r="AN129" i="5"/>
  <c r="AL129" i="5"/>
  <c r="AT128" i="5" s="1"/>
  <c r="AK129" i="5"/>
  <c r="AM129" i="5"/>
  <c r="BP129" i="5"/>
  <c r="BO129" i="5"/>
  <c r="BM129" i="5"/>
  <c r="BN129" i="5"/>
  <c r="BV128" i="5" s="1"/>
  <c r="AS83" i="4"/>
  <c r="BN123" i="4"/>
  <c r="BO123" i="4" s="1"/>
  <c r="BC72" i="4"/>
  <c r="E91" i="4" s="1"/>
  <c r="AQ125" i="4"/>
  <c r="Y83" i="4"/>
  <c r="AA83" i="4" s="1"/>
  <c r="X84" i="4"/>
  <c r="BG125" i="4"/>
  <c r="S126" i="4"/>
  <c r="C144" i="4"/>
  <c r="H144" i="4" s="1"/>
  <c r="BH126" i="4" l="1"/>
  <c r="BI125" i="4"/>
  <c r="BJ125" i="4" s="1"/>
  <c r="BR125" i="4" s="1"/>
  <c r="Z125" i="4"/>
  <c r="AB126" i="4"/>
  <c r="BK126" i="4"/>
  <c r="BE127" i="4" s="1"/>
  <c r="T126" i="4"/>
  <c r="Z126" i="4" s="1"/>
  <c r="U126" i="4"/>
  <c r="I145" i="4" s="1"/>
  <c r="BF126" i="4"/>
  <c r="BI130" i="5"/>
  <c r="BW130" i="5"/>
  <c r="BX128" i="5"/>
  <c r="BJ128" i="5"/>
  <c r="AV127" i="5"/>
  <c r="AW127" i="5"/>
  <c r="E143" i="5" s="1"/>
  <c r="N143" i="5" s="1"/>
  <c r="AG130" i="5"/>
  <c r="AU130" i="5"/>
  <c r="AH127" i="5"/>
  <c r="AI127" i="5"/>
  <c r="D143" i="5" s="1"/>
  <c r="M143" i="5" s="1"/>
  <c r="L145" i="5"/>
  <c r="BT122" i="4"/>
  <c r="G141" i="4" s="1"/>
  <c r="BP123" i="4"/>
  <c r="BC129" i="5"/>
  <c r="BD129" i="5" s="1"/>
  <c r="AD130" i="5"/>
  <c r="Y130" i="5"/>
  <c r="Z130" i="5" s="1"/>
  <c r="X130" i="5"/>
  <c r="AF129" i="5" s="1"/>
  <c r="BT128" i="5"/>
  <c r="BU128" i="5" s="1"/>
  <c r="BY128" i="5" s="1"/>
  <c r="BQ129" i="5"/>
  <c r="BR129" i="5" s="1"/>
  <c r="AO129" i="5"/>
  <c r="AP129" i="5" s="1"/>
  <c r="AY130" i="5"/>
  <c r="AZ130" i="5"/>
  <c r="BH129" i="5" s="1"/>
  <c r="BA130" i="5"/>
  <c r="BB130" i="5"/>
  <c r="C146" i="5"/>
  <c r="H146" i="5" s="1"/>
  <c r="Q146" i="5" s="1"/>
  <c r="T131" i="5"/>
  <c r="BE130" i="5"/>
  <c r="AQ130" i="5"/>
  <c r="BS130" i="5"/>
  <c r="AC130" i="5"/>
  <c r="W131" i="5" s="1"/>
  <c r="U130" i="5"/>
  <c r="AO130" i="5" s="1"/>
  <c r="V130" i="5"/>
  <c r="I146" i="5" s="1"/>
  <c r="R146" i="5" s="1"/>
  <c r="BF128" i="5"/>
  <c r="BG128" i="5" s="1"/>
  <c r="AK130" i="5"/>
  <c r="AM130" i="5"/>
  <c r="AL130" i="5"/>
  <c r="AT129" i="5" s="1"/>
  <c r="AN130" i="5"/>
  <c r="BO130" i="5"/>
  <c r="BN130" i="5"/>
  <c r="BV129" i="5" s="1"/>
  <c r="BM130" i="5"/>
  <c r="BP130" i="5"/>
  <c r="AB129" i="5"/>
  <c r="AE129" i="5" s="1"/>
  <c r="AS84" i="4"/>
  <c r="BJ124" i="4"/>
  <c r="BR124" i="4" s="1"/>
  <c r="AY73" i="4"/>
  <c r="AQ126" i="4"/>
  <c r="AU80" i="4"/>
  <c r="AV80" i="4" s="1"/>
  <c r="AR81" i="4" s="1"/>
  <c r="AT81" i="4" s="1"/>
  <c r="Y84" i="4"/>
  <c r="AA84" i="4" s="1"/>
  <c r="X85" i="4"/>
  <c r="C145" i="4"/>
  <c r="H145" i="4" s="1"/>
  <c r="S127" i="4"/>
  <c r="BG126" i="4"/>
  <c r="BH127" i="4" l="1"/>
  <c r="BF127" i="4"/>
  <c r="BI126" i="4"/>
  <c r="BJ126" i="4" s="1"/>
  <c r="BR126" i="4" s="1"/>
  <c r="AM126" i="4"/>
  <c r="BL125" i="4"/>
  <c r="BM125" i="4" s="1"/>
  <c r="AB127" i="4"/>
  <c r="BK127" i="4"/>
  <c r="BE128" i="4" s="1"/>
  <c r="T127" i="4"/>
  <c r="Z127" i="4" s="1"/>
  <c r="U127" i="4"/>
  <c r="I146" i="4" s="1"/>
  <c r="BI131" i="5"/>
  <c r="BW131" i="5"/>
  <c r="BX129" i="5"/>
  <c r="G144" i="5"/>
  <c r="P144" i="5" s="1"/>
  <c r="BJ129" i="5"/>
  <c r="BK128" i="5"/>
  <c r="F144" i="5" s="1"/>
  <c r="O144" i="5" s="1"/>
  <c r="AW128" i="5"/>
  <c r="E144" i="5" s="1"/>
  <c r="N144" i="5" s="1"/>
  <c r="AV128" i="5"/>
  <c r="AG131" i="5"/>
  <c r="AU131" i="5"/>
  <c r="AH128" i="5"/>
  <c r="AI128" i="5"/>
  <c r="D144" i="5" s="1"/>
  <c r="M144" i="5" s="1"/>
  <c r="L146" i="5"/>
  <c r="BQ123" i="4"/>
  <c r="F142" i="4" s="1"/>
  <c r="BT123" i="4"/>
  <c r="G142" i="4" s="1"/>
  <c r="BS124" i="4"/>
  <c r="BS125" i="4"/>
  <c r="AS85" i="4"/>
  <c r="BF129" i="5"/>
  <c r="BG129" i="5" s="1"/>
  <c r="BQ130" i="5"/>
  <c r="BR130" i="5" s="1"/>
  <c r="AP130" i="5"/>
  <c r="AN131" i="5"/>
  <c r="AM131" i="5"/>
  <c r="AL131" i="5"/>
  <c r="AT130" i="5" s="1"/>
  <c r="AK131" i="5"/>
  <c r="AR129" i="5"/>
  <c r="AS129" i="5" s="1"/>
  <c r="BA131" i="5"/>
  <c r="AZ131" i="5"/>
  <c r="BH130" i="5" s="1"/>
  <c r="AY131" i="5"/>
  <c r="BB131" i="5"/>
  <c r="Y131" i="5"/>
  <c r="Z131" i="5" s="1"/>
  <c r="X131" i="5"/>
  <c r="AF130" i="5" s="1"/>
  <c r="AD131" i="5"/>
  <c r="AA130" i="5"/>
  <c r="AB130" i="5" s="1"/>
  <c r="AE130" i="5" s="1"/>
  <c r="BC130" i="5"/>
  <c r="BD130" i="5" s="1"/>
  <c r="BP131" i="5"/>
  <c r="BO131" i="5"/>
  <c r="BN131" i="5"/>
  <c r="BV130" i="5" s="1"/>
  <c r="BM131" i="5"/>
  <c r="BS131" i="5"/>
  <c r="AQ131" i="5"/>
  <c r="BE131" i="5"/>
  <c r="AC131" i="5"/>
  <c r="W132" i="5" s="1"/>
  <c r="U131" i="5"/>
  <c r="AO131" i="5" s="1"/>
  <c r="T132" i="5"/>
  <c r="C147" i="5"/>
  <c r="H147" i="5" s="1"/>
  <c r="Q147" i="5" s="1"/>
  <c r="V131" i="5"/>
  <c r="I147" i="5" s="1"/>
  <c r="R147" i="5" s="1"/>
  <c r="BT129" i="5"/>
  <c r="BU129" i="5" s="1"/>
  <c r="BN124" i="4"/>
  <c r="BO124" i="4" s="1"/>
  <c r="BN125" i="4"/>
  <c r="BO125" i="4" s="1"/>
  <c r="BC73" i="4"/>
  <c r="E92" i="4" s="1"/>
  <c r="AZ73" i="4"/>
  <c r="D92" i="4" s="1"/>
  <c r="AQ127" i="4"/>
  <c r="AU81" i="4"/>
  <c r="AV81" i="4" s="1"/>
  <c r="AR82" i="4" s="1"/>
  <c r="AT82" i="4" s="1"/>
  <c r="Y85" i="4"/>
  <c r="AA85" i="4" s="1"/>
  <c r="X86" i="4"/>
  <c r="BG127" i="4"/>
  <c r="BL126" i="4"/>
  <c r="S128" i="4"/>
  <c r="C146" i="4"/>
  <c r="H146" i="4" s="1"/>
  <c r="BM126" i="4" l="1"/>
  <c r="AB128" i="4"/>
  <c r="BK128" i="4"/>
  <c r="BE129" i="4" s="1"/>
  <c r="T128" i="4"/>
  <c r="Z128" i="4" s="1"/>
  <c r="U128" i="4"/>
  <c r="I147" i="4" s="1"/>
  <c r="BH128" i="4"/>
  <c r="BF128" i="4"/>
  <c r="BI127" i="4"/>
  <c r="BJ127" i="4" s="1"/>
  <c r="BR127" i="4" s="1"/>
  <c r="AM127" i="4"/>
  <c r="BI132" i="5"/>
  <c r="BW132" i="5"/>
  <c r="BX130" i="5"/>
  <c r="BY129" i="5"/>
  <c r="G145" i="5" s="1"/>
  <c r="P145" i="5" s="1"/>
  <c r="BK129" i="5"/>
  <c r="F145" i="5" s="1"/>
  <c r="O145" i="5" s="1"/>
  <c r="BJ130" i="5"/>
  <c r="AG132" i="5"/>
  <c r="AU132" i="5"/>
  <c r="AV129" i="5"/>
  <c r="AW129" i="5"/>
  <c r="E145" i="5" s="1"/>
  <c r="N145" i="5" s="1"/>
  <c r="AH129" i="5"/>
  <c r="AI129" i="5"/>
  <c r="D145" i="5" s="1"/>
  <c r="M145" i="5" s="1"/>
  <c r="L147" i="5"/>
  <c r="BP124" i="4"/>
  <c r="BN126" i="4"/>
  <c r="BO126" i="4" s="1"/>
  <c r="AS86" i="4"/>
  <c r="BQ131" i="5"/>
  <c r="BR131" i="5" s="1"/>
  <c r="AA131" i="5"/>
  <c r="AB131" i="5" s="1"/>
  <c r="AE131" i="5" s="1"/>
  <c r="BC131" i="5"/>
  <c r="BD131" i="5" s="1"/>
  <c r="BF130" i="5"/>
  <c r="BG130" i="5" s="1"/>
  <c r="Y132" i="5"/>
  <c r="Z132" i="5" s="1"/>
  <c r="X132" i="5"/>
  <c r="AF131" i="5" s="1"/>
  <c r="AD132" i="5"/>
  <c r="BT130" i="5"/>
  <c r="BU130" i="5" s="1"/>
  <c r="BA132" i="5"/>
  <c r="AZ132" i="5"/>
  <c r="BH131" i="5" s="1"/>
  <c r="AY132" i="5"/>
  <c r="BB132" i="5"/>
  <c r="AP131" i="5"/>
  <c r="AN132" i="5"/>
  <c r="AM132" i="5"/>
  <c r="AL132" i="5"/>
  <c r="AT131" i="5" s="1"/>
  <c r="AK132" i="5"/>
  <c r="AR130" i="5"/>
  <c r="AS130" i="5" s="1"/>
  <c r="C148" i="5"/>
  <c r="H148" i="5" s="1"/>
  <c r="Q148" i="5" s="1"/>
  <c r="BS132" i="5"/>
  <c r="AQ132" i="5"/>
  <c r="BE132" i="5"/>
  <c r="AC132" i="5"/>
  <c r="W133" i="5" s="1"/>
  <c r="U132" i="5"/>
  <c r="BQ132" i="5" s="1"/>
  <c r="T133" i="5"/>
  <c r="V132" i="5"/>
  <c r="I148" i="5" s="1"/>
  <c r="R148" i="5" s="1"/>
  <c r="BP132" i="5"/>
  <c r="BO132" i="5"/>
  <c r="BN132" i="5"/>
  <c r="BV131" i="5" s="1"/>
  <c r="BM132" i="5"/>
  <c r="BS126" i="4"/>
  <c r="AY74" i="4"/>
  <c r="AQ128" i="4"/>
  <c r="AU82" i="4"/>
  <c r="AV82" i="4" s="1"/>
  <c r="AR83" i="4" s="1"/>
  <c r="AT83" i="4" s="1"/>
  <c r="Y86" i="4"/>
  <c r="AA86" i="4" s="1"/>
  <c r="X87" i="4"/>
  <c r="C147" i="4"/>
  <c r="H147" i="4" s="1"/>
  <c r="S129" i="4"/>
  <c r="BG128" i="4"/>
  <c r="BH129" i="4" l="1"/>
  <c r="BF129" i="4"/>
  <c r="BI128" i="4"/>
  <c r="BJ128" i="4" s="1"/>
  <c r="BR128" i="4" s="1"/>
  <c r="AM128" i="4"/>
  <c r="AB129" i="4"/>
  <c r="BK129" i="4"/>
  <c r="BE130" i="4" s="1"/>
  <c r="T129" i="4"/>
  <c r="AM129" i="4" s="1"/>
  <c r="U129" i="4"/>
  <c r="I148" i="4" s="1"/>
  <c r="BL127" i="4"/>
  <c r="BM127" i="4" s="1"/>
  <c r="BI133" i="5"/>
  <c r="BW133" i="5"/>
  <c r="BX131" i="5"/>
  <c r="BY130" i="5"/>
  <c r="G146" i="5" s="1"/>
  <c r="P146" i="5" s="1"/>
  <c r="BK130" i="5"/>
  <c r="F146" i="5" s="1"/>
  <c r="O146" i="5" s="1"/>
  <c r="BJ131" i="5"/>
  <c r="AV130" i="5"/>
  <c r="AW130" i="5"/>
  <c r="E146" i="5" s="1"/>
  <c r="N146" i="5" s="1"/>
  <c r="AG133" i="5"/>
  <c r="AU133" i="5"/>
  <c r="AH130" i="5"/>
  <c r="AI130" i="5"/>
  <c r="D146" i="5" s="1"/>
  <c r="M146" i="5" s="1"/>
  <c r="L148" i="5"/>
  <c r="BQ124" i="4"/>
  <c r="F143" i="4" s="1"/>
  <c r="BT124" i="4"/>
  <c r="G143" i="4" s="1"/>
  <c r="BP125" i="4"/>
  <c r="BT125" i="4" s="1"/>
  <c r="G144" i="4" s="1"/>
  <c r="BS127" i="4"/>
  <c r="AS88" i="4"/>
  <c r="BC132" i="5"/>
  <c r="BD132" i="5" s="1"/>
  <c r="AN133" i="5"/>
  <c r="AM133" i="5"/>
  <c r="AL133" i="5"/>
  <c r="AT132" i="5" s="1"/>
  <c r="AK133" i="5"/>
  <c r="BR132" i="5"/>
  <c r="AO132" i="5"/>
  <c r="AP132" i="5" s="1"/>
  <c r="BP133" i="5"/>
  <c r="BO133" i="5"/>
  <c r="BN133" i="5"/>
  <c r="BV132" i="5" s="1"/>
  <c r="BM133" i="5"/>
  <c r="BT131" i="5"/>
  <c r="BU131" i="5" s="1"/>
  <c r="BF131" i="5"/>
  <c r="BG131" i="5" s="1"/>
  <c r="BK131" i="5" s="1"/>
  <c r="Y133" i="5"/>
  <c r="Z133" i="5" s="1"/>
  <c r="AD133" i="5"/>
  <c r="X133" i="5"/>
  <c r="AF132" i="5" s="1"/>
  <c r="AR131" i="5"/>
  <c r="AS131" i="5" s="1"/>
  <c r="AA132" i="5"/>
  <c r="AB132" i="5" s="1"/>
  <c r="AE132" i="5" s="1"/>
  <c r="BB133" i="5"/>
  <c r="BA133" i="5"/>
  <c r="AY133" i="5"/>
  <c r="AZ133" i="5"/>
  <c r="BH132" i="5" s="1"/>
  <c r="C149" i="5"/>
  <c r="H149" i="5" s="1"/>
  <c r="Q149" i="5" s="1"/>
  <c r="BS133" i="5"/>
  <c r="AQ133" i="5"/>
  <c r="BE133" i="5"/>
  <c r="AC133" i="5"/>
  <c r="W134" i="5" s="1"/>
  <c r="U133" i="5"/>
  <c r="BQ133" i="5" s="1"/>
  <c r="T134" i="5"/>
  <c r="V133" i="5"/>
  <c r="I149" i="5" s="1"/>
  <c r="R149" i="5" s="1"/>
  <c r="BN127" i="4"/>
  <c r="BO127" i="4" s="1"/>
  <c r="BC74" i="4"/>
  <c r="E93" i="4" s="1"/>
  <c r="AZ74" i="4"/>
  <c r="D93" i="4" s="1"/>
  <c r="AQ129" i="4"/>
  <c r="AU83" i="4"/>
  <c r="AV83" i="4" s="1"/>
  <c r="AR84" i="4" s="1"/>
  <c r="AT84" i="4" s="1"/>
  <c r="Y87" i="4"/>
  <c r="AA87" i="4" s="1"/>
  <c r="AP87" i="4" s="1"/>
  <c r="X88" i="4"/>
  <c r="S130" i="4"/>
  <c r="C148" i="4"/>
  <c r="H148" i="4" s="1"/>
  <c r="BL128" i="4"/>
  <c r="BM128" i="4" s="1"/>
  <c r="BG129" i="4"/>
  <c r="BH130" i="4" l="1"/>
  <c r="BI129" i="4"/>
  <c r="BJ129" i="4" s="1"/>
  <c r="BR129" i="4" s="1"/>
  <c r="BF130" i="4"/>
  <c r="BK130" i="4"/>
  <c r="BE131" i="4" s="1"/>
  <c r="AB130" i="4"/>
  <c r="T130" i="4"/>
  <c r="Z130" i="4" s="1"/>
  <c r="U130" i="4"/>
  <c r="I149" i="4" s="1"/>
  <c r="Z129" i="4"/>
  <c r="BI134" i="5"/>
  <c r="BW134" i="5"/>
  <c r="BY131" i="5"/>
  <c r="G147" i="5" s="1"/>
  <c r="P147" i="5" s="1"/>
  <c r="BX132" i="5"/>
  <c r="BJ132" i="5"/>
  <c r="F147" i="5"/>
  <c r="O147" i="5" s="1"/>
  <c r="AG134" i="5"/>
  <c r="AU134" i="5"/>
  <c r="AW131" i="5"/>
  <c r="E147" i="5" s="1"/>
  <c r="N147" i="5" s="1"/>
  <c r="AV131" i="5"/>
  <c r="AH131" i="5"/>
  <c r="AI131" i="5"/>
  <c r="D147" i="5" s="1"/>
  <c r="M147" i="5" s="1"/>
  <c r="L149" i="5"/>
  <c r="BQ125" i="4"/>
  <c r="F144" i="4" s="1"/>
  <c r="BP126" i="4"/>
  <c r="BQ126" i="4" s="1"/>
  <c r="F145" i="4" s="1"/>
  <c r="BN128" i="4"/>
  <c r="BO128" i="4" s="1"/>
  <c r="BC133" i="5"/>
  <c r="BD133" i="5" s="1"/>
  <c r="BF132" i="5"/>
  <c r="BG132" i="5" s="1"/>
  <c r="BB134" i="5"/>
  <c r="AZ134" i="5"/>
  <c r="BH133" i="5" s="1"/>
  <c r="AY134" i="5"/>
  <c r="BA134" i="5"/>
  <c r="X134" i="5"/>
  <c r="AF133" i="5" s="1"/>
  <c r="AD134" i="5"/>
  <c r="Y134" i="5"/>
  <c r="Z134" i="5" s="1"/>
  <c r="AA133" i="5"/>
  <c r="AB133" i="5" s="1"/>
  <c r="AE133" i="5" s="1"/>
  <c r="AO133" i="5"/>
  <c r="AP133" i="5" s="1"/>
  <c r="BR133" i="5"/>
  <c r="C150" i="5"/>
  <c r="H150" i="5" s="1"/>
  <c r="Q150" i="5" s="1"/>
  <c r="T135" i="5"/>
  <c r="AQ134" i="5"/>
  <c r="BE134" i="5"/>
  <c r="BS134" i="5"/>
  <c r="AC134" i="5"/>
  <c r="W135" i="5" s="1"/>
  <c r="U134" i="5"/>
  <c r="AA134" i="5" s="1"/>
  <c r="V134" i="5"/>
  <c r="I150" i="5" s="1"/>
  <c r="R150" i="5" s="1"/>
  <c r="AK134" i="5"/>
  <c r="AN134" i="5"/>
  <c r="AM134" i="5"/>
  <c r="AL134" i="5"/>
  <c r="AT133" i="5" s="1"/>
  <c r="AR132" i="5"/>
  <c r="AS132" i="5" s="1"/>
  <c r="BM134" i="5"/>
  <c r="BP134" i="5"/>
  <c r="BO134" i="5"/>
  <c r="BN134" i="5"/>
  <c r="BV133" i="5" s="1"/>
  <c r="BT132" i="5"/>
  <c r="BU132" i="5" s="1"/>
  <c r="BY132" i="5" s="1"/>
  <c r="BS128" i="4"/>
  <c r="AY75" i="4"/>
  <c r="AS89" i="4"/>
  <c r="AQ130" i="4"/>
  <c r="AU84" i="4"/>
  <c r="AV84" i="4" s="1"/>
  <c r="AR85" i="4" s="1"/>
  <c r="AT85" i="4" s="1"/>
  <c r="Y88" i="4"/>
  <c r="AA88" i="4" s="1"/>
  <c r="X89" i="4"/>
  <c r="BL129" i="4"/>
  <c r="BM129" i="4" s="1"/>
  <c r="BG130" i="4"/>
  <c r="S131" i="4"/>
  <c r="C149" i="4"/>
  <c r="H149" i="4" s="1"/>
  <c r="BI130" i="4" l="1"/>
  <c r="BJ130" i="4" s="1"/>
  <c r="BR130" i="4" s="1"/>
  <c r="AM130" i="4"/>
  <c r="BK131" i="4"/>
  <c r="BE132" i="4" s="1"/>
  <c r="AB131" i="4"/>
  <c r="T131" i="4"/>
  <c r="Z131" i="4" s="1"/>
  <c r="U131" i="4"/>
  <c r="I150" i="4" s="1"/>
  <c r="BF131" i="4"/>
  <c r="BH131" i="4"/>
  <c r="BI135" i="5"/>
  <c r="BW135" i="5"/>
  <c r="BX133" i="5"/>
  <c r="G148" i="5"/>
  <c r="P148" i="5" s="1"/>
  <c r="BJ133" i="5"/>
  <c r="BK132" i="5"/>
  <c r="F148" i="5" s="1"/>
  <c r="O148" i="5" s="1"/>
  <c r="AV132" i="5"/>
  <c r="AW132" i="5"/>
  <c r="E148" i="5" s="1"/>
  <c r="N148" i="5" s="1"/>
  <c r="AG135" i="5"/>
  <c r="AU135" i="5"/>
  <c r="AH132" i="5"/>
  <c r="AI132" i="5"/>
  <c r="D148" i="5" s="1"/>
  <c r="M148" i="5" s="1"/>
  <c r="L150" i="5"/>
  <c r="BP127" i="4"/>
  <c r="BQ127" i="4" s="1"/>
  <c r="F146" i="4" s="1"/>
  <c r="BT126" i="4"/>
  <c r="G145" i="4" s="1"/>
  <c r="AR133" i="5"/>
  <c r="AS133" i="5" s="1"/>
  <c r="BC134" i="5"/>
  <c r="BD134" i="5" s="1"/>
  <c r="BF133" i="5"/>
  <c r="BG133" i="5" s="1"/>
  <c r="C151" i="5"/>
  <c r="H151" i="5" s="1"/>
  <c r="Q151" i="5" s="1"/>
  <c r="T136" i="5"/>
  <c r="BS135" i="5"/>
  <c r="AQ135" i="5"/>
  <c r="U135" i="5"/>
  <c r="BQ135" i="5" s="1"/>
  <c r="AC135" i="5"/>
  <c r="W136" i="5" s="1"/>
  <c r="BE135" i="5"/>
  <c r="V135" i="5"/>
  <c r="I151" i="5" s="1"/>
  <c r="R151" i="5" s="1"/>
  <c r="AO134" i="5"/>
  <c r="AP134" i="5" s="1"/>
  <c r="BQ134" i="5"/>
  <c r="BR134" i="5" s="1"/>
  <c r="BT133" i="5"/>
  <c r="BU133" i="5" s="1"/>
  <c r="BY133" i="5" s="1"/>
  <c r="Y135" i="5"/>
  <c r="Z135" i="5" s="1"/>
  <c r="X135" i="5"/>
  <c r="AF134" i="5" s="1"/>
  <c r="AD135" i="5"/>
  <c r="BN135" i="5"/>
  <c r="BV134" i="5" s="1"/>
  <c r="BM135" i="5"/>
  <c r="BP135" i="5"/>
  <c r="BO135" i="5"/>
  <c r="AB134" i="5"/>
  <c r="AE134" i="5" s="1"/>
  <c r="BA135" i="5"/>
  <c r="AZ135" i="5"/>
  <c r="BH134" i="5" s="1"/>
  <c r="AY135" i="5"/>
  <c r="BB135" i="5"/>
  <c r="AL135" i="5"/>
  <c r="AT134" i="5" s="1"/>
  <c r="AK135" i="5"/>
  <c r="AN135" i="5"/>
  <c r="AM135" i="5"/>
  <c r="BS129" i="4"/>
  <c r="BN129" i="4"/>
  <c r="BO129" i="4" s="1"/>
  <c r="AS90" i="4"/>
  <c r="BC75" i="4"/>
  <c r="E94" i="4" s="1"/>
  <c r="AZ75" i="4"/>
  <c r="D94" i="4" s="1"/>
  <c r="AQ131" i="4"/>
  <c r="AU85" i="4"/>
  <c r="AV85" i="4" s="1"/>
  <c r="AR86" i="4" s="1"/>
  <c r="AT86" i="4" s="1"/>
  <c r="Y89" i="4"/>
  <c r="AA89" i="4" s="1"/>
  <c r="X90" i="4"/>
  <c r="BL130" i="4"/>
  <c r="BM130" i="4" s="1"/>
  <c r="BG131" i="4"/>
  <c r="S132" i="4"/>
  <c r="C150" i="4"/>
  <c r="H150" i="4" s="1"/>
  <c r="BI131" i="4" l="1"/>
  <c r="BJ131" i="4" s="1"/>
  <c r="BR131" i="4" s="1"/>
  <c r="AM131" i="4"/>
  <c r="BK132" i="4"/>
  <c r="BE133" i="4" s="1"/>
  <c r="AB132" i="4"/>
  <c r="T132" i="4"/>
  <c r="Z132" i="4" s="1"/>
  <c r="U132" i="4"/>
  <c r="I151" i="4" s="1"/>
  <c r="BH132" i="4"/>
  <c r="BF132" i="4"/>
  <c r="BL131" i="4" s="1"/>
  <c r="BM131" i="4" s="1"/>
  <c r="BI136" i="5"/>
  <c r="BW136" i="5"/>
  <c r="BX134" i="5"/>
  <c r="G149" i="5"/>
  <c r="P149" i="5" s="1"/>
  <c r="BJ134" i="5"/>
  <c r="BK133" i="5"/>
  <c r="F149" i="5" s="1"/>
  <c r="O149" i="5" s="1"/>
  <c r="AG136" i="5"/>
  <c r="AU136" i="5"/>
  <c r="AV133" i="5"/>
  <c r="AW133" i="5"/>
  <c r="E149" i="5" s="1"/>
  <c r="N149" i="5" s="1"/>
  <c r="AH133" i="5"/>
  <c r="AI133" i="5"/>
  <c r="D149" i="5" s="1"/>
  <c r="M149" i="5" s="1"/>
  <c r="L151" i="5"/>
  <c r="BT127" i="4"/>
  <c r="G146" i="4" s="1"/>
  <c r="BP128" i="4"/>
  <c r="BQ128" i="4" s="1"/>
  <c r="F147" i="4" s="1"/>
  <c r="BN130" i="4"/>
  <c r="BO130" i="4" s="1"/>
  <c r="AR134" i="5"/>
  <c r="AS134" i="5" s="1"/>
  <c r="BR135" i="5"/>
  <c r="BB136" i="5"/>
  <c r="BA136" i="5"/>
  <c r="AZ136" i="5"/>
  <c r="BH135" i="5" s="1"/>
  <c r="AY136" i="5"/>
  <c r="AM136" i="5"/>
  <c r="AL136" i="5"/>
  <c r="AT135" i="5" s="1"/>
  <c r="AK136" i="5"/>
  <c r="AN136" i="5"/>
  <c r="Y136" i="5"/>
  <c r="Z136" i="5" s="1"/>
  <c r="X136" i="5"/>
  <c r="AF135" i="5" s="1"/>
  <c r="AD136" i="5"/>
  <c r="BO136" i="5"/>
  <c r="BN136" i="5"/>
  <c r="BV135" i="5" s="1"/>
  <c r="BM136" i="5"/>
  <c r="BP136" i="5"/>
  <c r="BF134" i="5"/>
  <c r="BG134" i="5" s="1"/>
  <c r="BK134" i="5" s="1"/>
  <c r="BT134" i="5"/>
  <c r="BU134" i="5" s="1"/>
  <c r="AA135" i="5"/>
  <c r="AB135" i="5" s="1"/>
  <c r="AE135" i="5" s="1"/>
  <c r="BC135" i="5"/>
  <c r="BD135" i="5" s="1"/>
  <c r="AO135" i="5"/>
  <c r="AP135" i="5" s="1"/>
  <c r="C152" i="5"/>
  <c r="H152" i="5" s="1"/>
  <c r="Q152" i="5" s="1"/>
  <c r="BE136" i="5"/>
  <c r="AC136" i="5"/>
  <c r="W137" i="5" s="1"/>
  <c r="U136" i="5"/>
  <c r="BQ136" i="5" s="1"/>
  <c r="T137" i="5"/>
  <c r="BS136" i="5"/>
  <c r="AQ136" i="5"/>
  <c r="V136" i="5"/>
  <c r="I152" i="5" s="1"/>
  <c r="R152" i="5" s="1"/>
  <c r="BS130" i="4"/>
  <c r="AS91" i="4"/>
  <c r="AQ132" i="4"/>
  <c r="AU86" i="4"/>
  <c r="AV86" i="4" s="1"/>
  <c r="Y90" i="4"/>
  <c r="AA90" i="4" s="1"/>
  <c r="X91" i="4"/>
  <c r="AD76" i="4"/>
  <c r="BG132" i="4"/>
  <c r="C151" i="4"/>
  <c r="H151" i="4" s="1"/>
  <c r="S133" i="4"/>
  <c r="BI132" i="4" l="1"/>
  <c r="AM132" i="4"/>
  <c r="BK133" i="4"/>
  <c r="BE134" i="4" s="1"/>
  <c r="AB133" i="4"/>
  <c r="T133" i="4"/>
  <c r="AM133" i="4" s="1"/>
  <c r="U133" i="4"/>
  <c r="I152" i="4" s="1"/>
  <c r="BF133" i="4"/>
  <c r="BL132" i="4" s="1"/>
  <c r="BM132" i="4" s="1"/>
  <c r="BH133" i="4"/>
  <c r="BI137" i="5"/>
  <c r="BW137" i="5"/>
  <c r="BX135" i="5"/>
  <c r="BY134" i="5"/>
  <c r="G150" i="5" s="1"/>
  <c r="P150" i="5" s="1"/>
  <c r="BJ135" i="5"/>
  <c r="F150" i="5"/>
  <c r="O150" i="5" s="1"/>
  <c r="AV134" i="5"/>
  <c r="AW134" i="5"/>
  <c r="E150" i="5" s="1"/>
  <c r="N150" i="5" s="1"/>
  <c r="AG137" i="5"/>
  <c r="AU137" i="5"/>
  <c r="AH134" i="5"/>
  <c r="AI134" i="5"/>
  <c r="D150" i="5" s="1"/>
  <c r="M150" i="5" s="1"/>
  <c r="BP129" i="4"/>
  <c r="BQ129" i="4" s="1"/>
  <c r="F148" i="4" s="1"/>
  <c r="BT128" i="4"/>
  <c r="G147" i="4" s="1"/>
  <c r="L152" i="5"/>
  <c r="BS131" i="4"/>
  <c r="AO136" i="5"/>
  <c r="AP136" i="5" s="1"/>
  <c r="AA136" i="5"/>
  <c r="AB136" i="5" s="1"/>
  <c r="AE136" i="5" s="1"/>
  <c r="BC136" i="5"/>
  <c r="BD136" i="5" s="1"/>
  <c r="AR135" i="5"/>
  <c r="AS135" i="5" s="1"/>
  <c r="BF135" i="5"/>
  <c r="BG135" i="5" s="1"/>
  <c r="BK135" i="5" s="1"/>
  <c r="BR136" i="5"/>
  <c r="BT135" i="5"/>
  <c r="BU135" i="5" s="1"/>
  <c r="C153" i="5"/>
  <c r="H153" i="5" s="1"/>
  <c r="Q153" i="5" s="1"/>
  <c r="T138" i="5"/>
  <c r="AC137" i="5"/>
  <c r="W138" i="5" s="1"/>
  <c r="U137" i="5"/>
  <c r="AO137" i="5" s="1"/>
  <c r="BE137" i="5"/>
  <c r="BS137" i="5"/>
  <c r="AQ137" i="5"/>
  <c r="V137" i="5"/>
  <c r="I153" i="5" s="1"/>
  <c r="R153" i="5" s="1"/>
  <c r="AN137" i="5"/>
  <c r="AM137" i="5"/>
  <c r="AL137" i="5"/>
  <c r="AT136" i="5" s="1"/>
  <c r="AK137" i="5"/>
  <c r="Y137" i="5"/>
  <c r="Z137" i="5" s="1"/>
  <c r="X137" i="5"/>
  <c r="AF136" i="5" s="1"/>
  <c r="AD137" i="5"/>
  <c r="BP137" i="5"/>
  <c r="BN137" i="5"/>
  <c r="BV136" i="5" s="1"/>
  <c r="BM137" i="5"/>
  <c r="BO137" i="5"/>
  <c r="BB137" i="5"/>
  <c r="AZ137" i="5"/>
  <c r="BH136" i="5" s="1"/>
  <c r="BA137" i="5"/>
  <c r="AY137" i="5"/>
  <c r="BN131" i="4"/>
  <c r="BO131" i="4" s="1"/>
  <c r="AS92" i="4"/>
  <c r="AQ133" i="4"/>
  <c r="Y91" i="4"/>
  <c r="AA91" i="4" s="1"/>
  <c r="X92" i="4"/>
  <c r="AE88" i="4"/>
  <c r="AO88" i="4" s="1"/>
  <c r="AD77" i="4"/>
  <c r="AH76" i="4"/>
  <c r="AJ76" i="4" s="1"/>
  <c r="AW76" i="4" s="1"/>
  <c r="AX76" i="4" s="1"/>
  <c r="BJ132" i="4"/>
  <c r="BR132" i="4" s="1"/>
  <c r="BG133" i="4"/>
  <c r="S134" i="4"/>
  <c r="C152" i="4"/>
  <c r="H152" i="4" s="1"/>
  <c r="BI133" i="4" l="1"/>
  <c r="Z133" i="4"/>
  <c r="BH134" i="4"/>
  <c r="BF134" i="4"/>
  <c r="BL133" i="4" s="1"/>
  <c r="BM133" i="4" s="1"/>
  <c r="AB134" i="4"/>
  <c r="BK134" i="4"/>
  <c r="BE135" i="4" s="1"/>
  <c r="T134" i="4"/>
  <c r="Z134" i="4" s="1"/>
  <c r="U134" i="4"/>
  <c r="I153" i="4" s="1"/>
  <c r="BI138" i="5"/>
  <c r="BW138" i="5"/>
  <c r="BX136" i="5"/>
  <c r="BY135" i="5"/>
  <c r="G151" i="5" s="1"/>
  <c r="P151" i="5" s="1"/>
  <c r="BJ136" i="5"/>
  <c r="F151" i="5"/>
  <c r="O151" i="5" s="1"/>
  <c r="AG138" i="5"/>
  <c r="AU138" i="5"/>
  <c r="AV135" i="5"/>
  <c r="AW135" i="5"/>
  <c r="E151" i="5" s="1"/>
  <c r="N151" i="5" s="1"/>
  <c r="AH135" i="5"/>
  <c r="AI135" i="5"/>
  <c r="D151" i="5" s="1"/>
  <c r="M151" i="5" s="1"/>
  <c r="BT129" i="4"/>
  <c r="G148" i="4" s="1"/>
  <c r="BP130" i="4"/>
  <c r="BQ130" i="4" s="1"/>
  <c r="F149" i="4" s="1"/>
  <c r="L153" i="5"/>
  <c r="AK76" i="4"/>
  <c r="BA76" i="4" s="1"/>
  <c r="BB76" i="4" s="1"/>
  <c r="BS132" i="4"/>
  <c r="BF136" i="5"/>
  <c r="BG136" i="5" s="1"/>
  <c r="BC137" i="5"/>
  <c r="BD137" i="5" s="1"/>
  <c r="BQ137" i="5"/>
  <c r="BR137" i="5" s="1"/>
  <c r="AA137" i="5"/>
  <c r="AB137" i="5" s="1"/>
  <c r="AE137" i="5" s="1"/>
  <c r="AR136" i="5"/>
  <c r="AS136" i="5" s="1"/>
  <c r="BO138" i="5"/>
  <c r="BN138" i="5"/>
  <c r="BV137" i="5" s="1"/>
  <c r="BM138" i="5"/>
  <c r="BP138" i="5"/>
  <c r="AP137" i="5"/>
  <c r="C154" i="5"/>
  <c r="H154" i="5" s="1"/>
  <c r="Q154" i="5" s="1"/>
  <c r="BE138" i="5"/>
  <c r="AC138" i="5"/>
  <c r="W139" i="5" s="1"/>
  <c r="U138" i="5"/>
  <c r="BC138" i="5" s="1"/>
  <c r="T139" i="5"/>
  <c r="BS138" i="5"/>
  <c r="AQ138" i="5"/>
  <c r="AR138" i="5"/>
  <c r="V138" i="5"/>
  <c r="I154" i="5" s="1"/>
  <c r="R154" i="5" s="1"/>
  <c r="AY138" i="5"/>
  <c r="BA138" i="5"/>
  <c r="BB138" i="5"/>
  <c r="AZ138" i="5"/>
  <c r="BH137" i="5" s="1"/>
  <c r="BT136" i="5"/>
  <c r="BU136" i="5" s="1"/>
  <c r="BY136" i="5" s="1"/>
  <c r="AM138" i="5"/>
  <c r="AL138" i="5"/>
  <c r="AT137" i="5" s="1"/>
  <c r="AK138" i="5"/>
  <c r="AN138" i="5"/>
  <c r="AD138" i="5"/>
  <c r="Y138" i="5"/>
  <c r="Z138" i="5" s="1"/>
  <c r="X138" i="5"/>
  <c r="AF137" i="5" s="1"/>
  <c r="AS93" i="4"/>
  <c r="BN132" i="4"/>
  <c r="BO132" i="4" s="1"/>
  <c r="AQ134" i="4"/>
  <c r="Y92" i="4"/>
  <c r="AA92" i="4" s="1"/>
  <c r="X93" i="4"/>
  <c r="AD78" i="4"/>
  <c r="AE89" i="4"/>
  <c r="AO89" i="4" s="1"/>
  <c r="AH77" i="4"/>
  <c r="AJ77" i="4" s="1"/>
  <c r="AW77" i="4" s="1"/>
  <c r="AX77" i="4" s="1"/>
  <c r="AF100" i="4"/>
  <c r="AG112" i="4" s="1"/>
  <c r="AL88" i="4"/>
  <c r="AN88" i="4" s="1"/>
  <c r="BJ133" i="4"/>
  <c r="BR133" i="4" s="1"/>
  <c r="BG134" i="4"/>
  <c r="S135" i="4"/>
  <c r="C153" i="4"/>
  <c r="H153" i="4" s="1"/>
  <c r="BI134" i="4" l="1"/>
  <c r="AM134" i="4"/>
  <c r="BF135" i="4"/>
  <c r="BL134" i="4" s="1"/>
  <c r="BM134" i="4" s="1"/>
  <c r="BH135" i="4"/>
  <c r="AB135" i="4"/>
  <c r="BR135" i="4"/>
  <c r="BK135" i="4"/>
  <c r="T135" i="4"/>
  <c r="U135" i="4"/>
  <c r="I154" i="4" s="1"/>
  <c r="BI139" i="5"/>
  <c r="BW139" i="5"/>
  <c r="BX137" i="5"/>
  <c r="G152" i="5"/>
  <c r="P152" i="5" s="1"/>
  <c r="BJ137" i="5"/>
  <c r="BK136" i="5"/>
  <c r="F152" i="5" s="1"/>
  <c r="O152" i="5" s="1"/>
  <c r="AV136" i="5"/>
  <c r="AW136" i="5"/>
  <c r="E152" i="5" s="1"/>
  <c r="N152" i="5" s="1"/>
  <c r="AG139" i="5"/>
  <c r="AU139" i="5"/>
  <c r="AH136" i="5"/>
  <c r="AI136" i="5"/>
  <c r="D152" i="5" s="1"/>
  <c r="M152" i="5" s="1"/>
  <c r="BP131" i="4"/>
  <c r="BQ131" i="4" s="1"/>
  <c r="F150" i="4" s="1"/>
  <c r="BT130" i="4"/>
  <c r="G149" i="4" s="1"/>
  <c r="L154" i="5"/>
  <c r="AK77" i="4"/>
  <c r="BA77" i="4" s="1"/>
  <c r="BB77" i="4" s="1"/>
  <c r="BS133" i="4"/>
  <c r="BT137" i="5"/>
  <c r="BU137" i="5" s="1"/>
  <c r="BY137" i="5" s="1"/>
  <c r="BQ138" i="5"/>
  <c r="BR138" i="5" s="1"/>
  <c r="BP139" i="5" s="1"/>
  <c r="AO138" i="5"/>
  <c r="AP138" i="5" s="1"/>
  <c r="AS138" i="5" s="1"/>
  <c r="AK139" i="5" s="1"/>
  <c r="BO139" i="5"/>
  <c r="BN139" i="5"/>
  <c r="BV138" i="5" s="1"/>
  <c r="BM139" i="5"/>
  <c r="BD138" i="5"/>
  <c r="BB139" i="5" s="1"/>
  <c r="AA138" i="5"/>
  <c r="AB138" i="5" s="1"/>
  <c r="AE138" i="5" s="1"/>
  <c r="AR137" i="5"/>
  <c r="AS137" i="5" s="1"/>
  <c r="C155" i="5"/>
  <c r="BE139" i="5"/>
  <c r="AC139" i="5"/>
  <c r="W140" i="5" s="1"/>
  <c r="U139" i="5"/>
  <c r="AA139" i="5" s="1"/>
  <c r="AO139" i="5"/>
  <c r="BS139" i="5"/>
  <c r="AQ139" i="5"/>
  <c r="T140" i="5"/>
  <c r="V139" i="5"/>
  <c r="I155" i="5" s="1"/>
  <c r="R155" i="5" s="1"/>
  <c r="BF137" i="5"/>
  <c r="BG137" i="5" s="1"/>
  <c r="X139" i="5"/>
  <c r="Y139" i="5"/>
  <c r="Z139" i="5" s="1"/>
  <c r="AD139" i="5"/>
  <c r="AZ139" i="5"/>
  <c r="BH138" i="5" s="1"/>
  <c r="BA139" i="5"/>
  <c r="AY139" i="5"/>
  <c r="AS94" i="4"/>
  <c r="BN133" i="4"/>
  <c r="BO133" i="4" s="1"/>
  <c r="Y93" i="4"/>
  <c r="AA93" i="4" s="1"/>
  <c r="X94" i="4"/>
  <c r="AL89" i="4"/>
  <c r="AN89" i="4" s="1"/>
  <c r="AF101" i="4"/>
  <c r="AG113" i="4" s="1"/>
  <c r="AE90" i="4"/>
  <c r="AO90" i="4" s="1"/>
  <c r="AD79" i="4"/>
  <c r="AH78" i="4"/>
  <c r="AJ78" i="4" s="1"/>
  <c r="AW78" i="4" s="1"/>
  <c r="AX78" i="4" s="1"/>
  <c r="BJ134" i="4"/>
  <c r="BR134" i="4" s="1"/>
  <c r="BG135" i="4"/>
  <c r="S136" i="4"/>
  <c r="C154" i="4"/>
  <c r="H154" i="4" s="1"/>
  <c r="L155" i="5" l="1"/>
  <c r="H155" i="5"/>
  <c r="Q155" i="5" s="1"/>
  <c r="BI135" i="4"/>
  <c r="BJ135" i="4" s="1"/>
  <c r="AM135" i="4"/>
  <c r="AB136" i="4"/>
  <c r="BK136" i="4"/>
  <c r="BI136" i="4"/>
  <c r="T136" i="4"/>
  <c r="AM136" i="4" s="1"/>
  <c r="U136" i="4"/>
  <c r="I155" i="4" s="1"/>
  <c r="Z135" i="4"/>
  <c r="BI140" i="5"/>
  <c r="BW140" i="5"/>
  <c r="BX138" i="5"/>
  <c r="G153" i="5"/>
  <c r="P153" i="5" s="1"/>
  <c r="BJ138" i="5"/>
  <c r="BK137" i="5"/>
  <c r="F153" i="5" s="1"/>
  <c r="O153" i="5" s="1"/>
  <c r="AG140" i="5"/>
  <c r="AU140" i="5"/>
  <c r="AV137" i="5"/>
  <c r="AW137" i="5"/>
  <c r="E153" i="5" s="1"/>
  <c r="N153" i="5" s="1"/>
  <c r="AH137" i="5"/>
  <c r="AI137" i="5"/>
  <c r="D153" i="5" s="1"/>
  <c r="M153" i="5" s="1"/>
  <c r="BP132" i="4"/>
  <c r="BQ132" i="4" s="1"/>
  <c r="F151" i="4" s="1"/>
  <c r="BT131" i="4"/>
  <c r="G150" i="4" s="1"/>
  <c r="AK78" i="4"/>
  <c r="BA78" i="4" s="1"/>
  <c r="BB78" i="4" s="1"/>
  <c r="AS95" i="4"/>
  <c r="BC139" i="5"/>
  <c r="BD139" i="5" s="1"/>
  <c r="AM139" i="5"/>
  <c r="AN139" i="5" s="1"/>
  <c r="AP139" i="5" s="1"/>
  <c r="AL139" i="5"/>
  <c r="AT138" i="5" s="1"/>
  <c r="AB139" i="5"/>
  <c r="AE139" i="5" s="1"/>
  <c r="AF138" i="5"/>
  <c r="C156" i="5"/>
  <c r="H156" i="5" s="1"/>
  <c r="Q156" i="5" s="1"/>
  <c r="BS140" i="5"/>
  <c r="AQ140" i="5"/>
  <c r="AO140" i="5"/>
  <c r="BE140" i="5"/>
  <c r="AC140" i="5"/>
  <c r="W141" i="5" s="1"/>
  <c r="U140" i="5"/>
  <c r="BQ140" i="5" s="1"/>
  <c r="T141" i="5"/>
  <c r="V140" i="5"/>
  <c r="I156" i="5" s="1"/>
  <c r="R156" i="5" s="1"/>
  <c r="AK140" i="5"/>
  <c r="BQ139" i="5"/>
  <c r="BR139" i="5" s="1"/>
  <c r="Y140" i="5"/>
  <c r="Z140" i="5" s="1"/>
  <c r="AD140" i="5"/>
  <c r="X140" i="5"/>
  <c r="AF139" i="5" s="1"/>
  <c r="BP140" i="5"/>
  <c r="BO140" i="5"/>
  <c r="BM140" i="5"/>
  <c r="BN140" i="5"/>
  <c r="BV139" i="5" s="1"/>
  <c r="BA140" i="5"/>
  <c r="AY140" i="5"/>
  <c r="BB140" i="5"/>
  <c r="AZ140" i="5"/>
  <c r="BH139" i="5" s="1"/>
  <c r="BF138" i="5"/>
  <c r="BG138" i="5" s="1"/>
  <c r="BK138" i="5" s="1"/>
  <c r="BT138" i="5"/>
  <c r="BU138" i="5" s="1"/>
  <c r="BS134" i="4"/>
  <c r="BN134" i="4"/>
  <c r="BO134" i="4" s="1"/>
  <c r="AY76" i="4"/>
  <c r="AZ76" i="4" s="1"/>
  <c r="D95" i="4" s="1"/>
  <c r="AQ136" i="4"/>
  <c r="Y94" i="4"/>
  <c r="AA94" i="4" s="1"/>
  <c r="X95" i="4"/>
  <c r="AE91" i="4"/>
  <c r="AO91" i="4" s="1"/>
  <c r="AH79" i="4"/>
  <c r="AJ79" i="4" s="1"/>
  <c r="AW79" i="4" s="1"/>
  <c r="AX79" i="4" s="1"/>
  <c r="AD80" i="4"/>
  <c r="AF102" i="4"/>
  <c r="AG114" i="4" s="1"/>
  <c r="AL90" i="4"/>
  <c r="AN90" i="4" s="1"/>
  <c r="S137" i="4"/>
  <c r="C155" i="4"/>
  <c r="B154" i="4" s="1"/>
  <c r="H155" i="4" l="1"/>
  <c r="Z136" i="4"/>
  <c r="BK137" i="4"/>
  <c r="AB137" i="4"/>
  <c r="BI137" i="4"/>
  <c r="T137" i="4"/>
  <c r="U137" i="4"/>
  <c r="I156" i="4" s="1"/>
  <c r="BI141" i="5"/>
  <c r="BW141" i="5"/>
  <c r="BX139" i="5"/>
  <c r="BY138" i="5"/>
  <c r="G154" i="5" s="1"/>
  <c r="P154" i="5" s="1"/>
  <c r="BJ139" i="5"/>
  <c r="F154" i="5"/>
  <c r="O154" i="5" s="1"/>
  <c r="AW138" i="5"/>
  <c r="E154" i="5" s="1"/>
  <c r="N154" i="5" s="1"/>
  <c r="AV138" i="5"/>
  <c r="AG141" i="5"/>
  <c r="AU141" i="5"/>
  <c r="AH138" i="5"/>
  <c r="AI138" i="5"/>
  <c r="D154" i="5" s="1"/>
  <c r="M154" i="5" s="1"/>
  <c r="BP133" i="4"/>
  <c r="BQ133" i="4" s="1"/>
  <c r="F152" i="4" s="1"/>
  <c r="BT132" i="4"/>
  <c r="G151" i="4" s="1"/>
  <c r="L156" i="5"/>
  <c r="BS135" i="4"/>
  <c r="BE136" i="4"/>
  <c r="AK79" i="4"/>
  <c r="BA79" i="4" s="1"/>
  <c r="BB79" i="4" s="1"/>
  <c r="AS96" i="4"/>
  <c r="AN140" i="5"/>
  <c r="AP140" i="5" s="1"/>
  <c r="AM140" i="5"/>
  <c r="AM141" i="5" s="1"/>
  <c r="BT139" i="5"/>
  <c r="BU139" i="5" s="1"/>
  <c r="BB141" i="5"/>
  <c r="AZ141" i="5"/>
  <c r="BH140" i="5" s="1"/>
  <c r="AY141" i="5"/>
  <c r="BA141" i="5"/>
  <c r="BR140" i="5"/>
  <c r="BP141" i="5"/>
  <c r="BN141" i="5"/>
  <c r="BV140" i="5" s="1"/>
  <c r="BO141" i="5"/>
  <c r="BM141" i="5"/>
  <c r="AL140" i="5"/>
  <c r="AT139" i="5" s="1"/>
  <c r="AA140" i="5"/>
  <c r="AB140" i="5" s="1"/>
  <c r="AE140" i="5" s="1"/>
  <c r="BF139" i="5"/>
  <c r="BG139" i="5" s="1"/>
  <c r="BK139" i="5" s="1"/>
  <c r="BC140" i="5"/>
  <c r="BD140" i="5" s="1"/>
  <c r="C157" i="5"/>
  <c r="H157" i="5" s="1"/>
  <c r="Q157" i="5" s="1"/>
  <c r="AO141" i="5"/>
  <c r="AQ141" i="5"/>
  <c r="T142" i="5"/>
  <c r="BE141" i="5"/>
  <c r="AC141" i="5"/>
  <c r="W142" i="5" s="1"/>
  <c r="U141" i="5"/>
  <c r="BC141" i="5" s="1"/>
  <c r="BS141" i="5"/>
  <c r="V141" i="5"/>
  <c r="I157" i="5" s="1"/>
  <c r="R157" i="5" s="1"/>
  <c r="AK141" i="5"/>
  <c r="X141" i="5"/>
  <c r="AF140" i="5" s="1"/>
  <c r="AD141" i="5"/>
  <c r="Y141" i="5"/>
  <c r="Z141" i="5" s="1"/>
  <c r="AR139" i="5"/>
  <c r="AS139" i="5" s="1"/>
  <c r="BN135" i="4"/>
  <c r="BO135" i="4" s="1"/>
  <c r="BC76" i="4"/>
  <c r="E95" i="4" s="1"/>
  <c r="AY77" i="4"/>
  <c r="AQ137" i="4"/>
  <c r="Y95" i="4"/>
  <c r="AA95" i="4" s="1"/>
  <c r="X96" i="4"/>
  <c r="AD81" i="4"/>
  <c r="AE92" i="4"/>
  <c r="AO92" i="4" s="1"/>
  <c r="AH80" i="4"/>
  <c r="AJ80" i="4" s="1"/>
  <c r="AW80" i="4" s="1"/>
  <c r="AX80" i="4" s="1"/>
  <c r="AL91" i="4"/>
  <c r="AN91" i="4" s="1"/>
  <c r="AF103" i="4"/>
  <c r="AG115" i="4" s="1"/>
  <c r="S138" i="4"/>
  <c r="C156" i="4"/>
  <c r="H156" i="4" l="1"/>
  <c r="AB138" i="4"/>
  <c r="BI138" i="4"/>
  <c r="BK138" i="4"/>
  <c r="T138" i="4"/>
  <c r="AM138" i="4" s="1"/>
  <c r="U138" i="4"/>
  <c r="I157" i="4" s="1"/>
  <c r="Z137" i="4"/>
  <c r="AM137" i="4"/>
  <c r="BI142" i="5"/>
  <c r="BW142" i="5"/>
  <c r="BY139" i="5"/>
  <c r="G155" i="5" s="1"/>
  <c r="P155" i="5" s="1"/>
  <c r="BX140" i="5"/>
  <c r="F155" i="5"/>
  <c r="O155" i="5" s="1"/>
  <c r="BJ140" i="5"/>
  <c r="AV139" i="5"/>
  <c r="AW139" i="5"/>
  <c r="E155" i="5" s="1"/>
  <c r="N155" i="5" s="1"/>
  <c r="AG142" i="5"/>
  <c r="AU142" i="5"/>
  <c r="AH139" i="5"/>
  <c r="AI139" i="5"/>
  <c r="D155" i="5" s="1"/>
  <c r="M155" i="5" s="1"/>
  <c r="BP134" i="4"/>
  <c r="BQ134" i="4" s="1"/>
  <c r="F153" i="4" s="1"/>
  <c r="BT133" i="4"/>
  <c r="G152" i="4" s="1"/>
  <c r="L157" i="5"/>
  <c r="BE137" i="4"/>
  <c r="BE138" i="4" s="1"/>
  <c r="BF136" i="4"/>
  <c r="BF137" i="4" s="1"/>
  <c r="BF138" i="4" s="1"/>
  <c r="AK80" i="4"/>
  <c r="BA80" i="4" s="1"/>
  <c r="BB80" i="4" s="1"/>
  <c r="AS97" i="4"/>
  <c r="AN141" i="5"/>
  <c r="AP141" i="5" s="1"/>
  <c r="AR140" i="5"/>
  <c r="AS140" i="5" s="1"/>
  <c r="AA141" i="5"/>
  <c r="AB141" i="5" s="1"/>
  <c r="AE141" i="5" s="1"/>
  <c r="BQ141" i="5"/>
  <c r="BR141" i="5" s="1"/>
  <c r="AL141" i="5"/>
  <c r="AT140" i="5" s="1"/>
  <c r="BF140" i="5"/>
  <c r="BG140" i="5" s="1"/>
  <c r="Y142" i="5"/>
  <c r="Z142" i="5" s="1"/>
  <c r="AD142" i="5"/>
  <c r="X142" i="5"/>
  <c r="AF141" i="5" s="1"/>
  <c r="BB142" i="5"/>
  <c r="BA142" i="5"/>
  <c r="AY142" i="5"/>
  <c r="AZ142" i="5"/>
  <c r="BH141" i="5" s="1"/>
  <c r="BD141" i="5"/>
  <c r="C158" i="5"/>
  <c r="H158" i="5" s="1"/>
  <c r="Q158" i="5" s="1"/>
  <c r="AO142" i="5"/>
  <c r="U142" i="5"/>
  <c r="BC142" i="5" s="1"/>
  <c r="BS142" i="5"/>
  <c r="AQ142" i="5"/>
  <c r="BE142" i="5"/>
  <c r="AC142" i="5"/>
  <c r="W143" i="5" s="1"/>
  <c r="T143" i="5"/>
  <c r="V142" i="5"/>
  <c r="I158" i="5" s="1"/>
  <c r="R158" i="5" s="1"/>
  <c r="BT140" i="5"/>
  <c r="BU140" i="5" s="1"/>
  <c r="BY140" i="5" s="1"/>
  <c r="AM142" i="5"/>
  <c r="AK142" i="5"/>
  <c r="BP142" i="5"/>
  <c r="BN142" i="5"/>
  <c r="BV141" i="5" s="1"/>
  <c r="BO142" i="5"/>
  <c r="BM142" i="5"/>
  <c r="BC77" i="4"/>
  <c r="E96" i="4" s="1"/>
  <c r="AZ77" i="4"/>
  <c r="D96" i="4" s="1"/>
  <c r="AY78" i="4"/>
  <c r="AQ138" i="4"/>
  <c r="Y96" i="4"/>
  <c r="AA96" i="4" s="1"/>
  <c r="X97" i="4"/>
  <c r="AL92" i="4"/>
  <c r="AN92" i="4" s="1"/>
  <c r="AF104" i="4"/>
  <c r="AG116" i="4" s="1"/>
  <c r="AD82" i="4"/>
  <c r="AE93" i="4"/>
  <c r="AO93" i="4" s="1"/>
  <c r="AH81" i="4"/>
  <c r="AJ81" i="4" s="1"/>
  <c r="AW81" i="4" s="1"/>
  <c r="AX81" i="4" s="1"/>
  <c r="BG136" i="4"/>
  <c r="S139" i="4"/>
  <c r="C157" i="4"/>
  <c r="H157" i="4" l="1"/>
  <c r="BF139" i="4"/>
  <c r="BE139" i="4"/>
  <c r="BP135" i="4"/>
  <c r="BT135" i="4" s="1"/>
  <c r="G154" i="4" s="1"/>
  <c r="BT134" i="4"/>
  <c r="G153" i="4" s="1"/>
  <c r="Z138" i="4"/>
  <c r="BK139" i="4"/>
  <c r="BI139" i="4"/>
  <c r="AB139" i="4"/>
  <c r="T139" i="4"/>
  <c r="AM139" i="4" s="1"/>
  <c r="U139" i="4"/>
  <c r="I158" i="4" s="1"/>
  <c r="AL142" i="5"/>
  <c r="AT141" i="5" s="1"/>
  <c r="BI143" i="5"/>
  <c r="BW143" i="5"/>
  <c r="BX141" i="5"/>
  <c r="G156" i="5"/>
  <c r="P156" i="5" s="1"/>
  <c r="BJ141" i="5"/>
  <c r="BK140" i="5"/>
  <c r="F156" i="5" s="1"/>
  <c r="O156" i="5" s="1"/>
  <c r="AG143" i="5"/>
  <c r="AU143" i="5"/>
  <c r="AW140" i="5"/>
  <c r="E156" i="5" s="1"/>
  <c r="N156" i="5" s="1"/>
  <c r="AV140" i="5"/>
  <c r="AH140" i="5"/>
  <c r="AI140" i="5"/>
  <c r="D156" i="5" s="1"/>
  <c r="M156" i="5" s="1"/>
  <c r="BL135" i="4"/>
  <c r="BM135" i="4" s="1"/>
  <c r="L158" i="5"/>
  <c r="AK81" i="4"/>
  <c r="BA81" i="4" s="1"/>
  <c r="BB81" i="4" s="1"/>
  <c r="BH136" i="4"/>
  <c r="BH137" i="4" s="1"/>
  <c r="BH138" i="4" s="1"/>
  <c r="BH139" i="4" s="1"/>
  <c r="AS98" i="4"/>
  <c r="AN142" i="5"/>
  <c r="AP142" i="5" s="1"/>
  <c r="BL136" i="4"/>
  <c r="AY143" i="5"/>
  <c r="BB143" i="5"/>
  <c r="AZ143" i="5"/>
  <c r="BH142" i="5" s="1"/>
  <c r="BA143" i="5"/>
  <c r="AK143" i="5"/>
  <c r="AM143" i="5"/>
  <c r="BQ142" i="5"/>
  <c r="BR142" i="5" s="1"/>
  <c r="BM143" i="5"/>
  <c r="BO143" i="5"/>
  <c r="BP143" i="5"/>
  <c r="BN143" i="5"/>
  <c r="BV142" i="5" s="1"/>
  <c r="BD142" i="5"/>
  <c r="C159" i="5"/>
  <c r="H159" i="5" s="1"/>
  <c r="Q159" i="5" s="1"/>
  <c r="AO143" i="5"/>
  <c r="AC143" i="5"/>
  <c r="W144" i="5" s="1"/>
  <c r="BE143" i="5"/>
  <c r="U143" i="5"/>
  <c r="BC143" i="5" s="1"/>
  <c r="AQ143" i="5"/>
  <c r="BS143" i="5"/>
  <c r="T144" i="5"/>
  <c r="V143" i="5"/>
  <c r="I159" i="5" s="1"/>
  <c r="R159" i="5" s="1"/>
  <c r="AA142" i="5"/>
  <c r="AB142" i="5" s="1"/>
  <c r="AE142" i="5" s="1"/>
  <c r="AR141" i="5"/>
  <c r="AS141" i="5" s="1"/>
  <c r="AD143" i="5"/>
  <c r="Y143" i="5"/>
  <c r="Z143" i="5" s="1"/>
  <c r="X143" i="5"/>
  <c r="AF142" i="5" s="1"/>
  <c r="BF141" i="5"/>
  <c r="BG141" i="5" s="1"/>
  <c r="BT141" i="5"/>
  <c r="BU141" i="5" s="1"/>
  <c r="BC78" i="4"/>
  <c r="E97" i="4" s="1"/>
  <c r="AZ78" i="4"/>
  <c r="D97" i="4" s="1"/>
  <c r="AY79" i="4"/>
  <c r="AQ139" i="4"/>
  <c r="Y97" i="4"/>
  <c r="AA97" i="4" s="1"/>
  <c r="X98" i="4"/>
  <c r="AF105" i="4"/>
  <c r="AG117" i="4" s="1"/>
  <c r="AL93" i="4"/>
  <c r="AN93" i="4" s="1"/>
  <c r="AE94" i="4"/>
  <c r="AO94" i="4" s="1"/>
  <c r="AH82" i="4"/>
  <c r="AJ82" i="4" s="1"/>
  <c r="AW82" i="4" s="1"/>
  <c r="AX82" i="4" s="1"/>
  <c r="AD83" i="4"/>
  <c r="BG137" i="4"/>
  <c r="BG138" i="4" s="1"/>
  <c r="BG139" i="4" s="1"/>
  <c r="S140" i="4"/>
  <c r="C158" i="4"/>
  <c r="BQ135" i="4" l="1"/>
  <c r="F154" i="4" s="1"/>
  <c r="H158" i="4"/>
  <c r="BF140" i="4"/>
  <c r="BH140" i="4"/>
  <c r="AL143" i="5"/>
  <c r="AT142" i="5" s="1"/>
  <c r="Z139" i="4"/>
  <c r="BK140" i="4"/>
  <c r="BF141" i="4" s="1"/>
  <c r="BI140" i="4"/>
  <c r="AB140" i="4"/>
  <c r="T140" i="4"/>
  <c r="AM140" i="4" s="1"/>
  <c r="U140" i="4"/>
  <c r="I159" i="4" s="1"/>
  <c r="BE140" i="4"/>
  <c r="BI144" i="5"/>
  <c r="BW144" i="5"/>
  <c r="BX142" i="5"/>
  <c r="BY141" i="5"/>
  <c r="G157" i="5" s="1"/>
  <c r="P157" i="5" s="1"/>
  <c r="BJ142" i="5"/>
  <c r="BK141" i="5"/>
  <c r="F157" i="5" s="1"/>
  <c r="O157" i="5" s="1"/>
  <c r="AW141" i="5"/>
  <c r="E157" i="5" s="1"/>
  <c r="N157" i="5" s="1"/>
  <c r="AV141" i="5"/>
  <c r="AG144" i="5"/>
  <c r="AU144" i="5"/>
  <c r="AH141" i="5"/>
  <c r="AI141" i="5"/>
  <c r="D157" i="5" s="1"/>
  <c r="M157" i="5" s="1"/>
  <c r="BM136" i="4"/>
  <c r="L159" i="5"/>
  <c r="BJ137" i="4"/>
  <c r="BR137" i="4" s="1"/>
  <c r="AK82" i="4"/>
  <c r="BA82" i="4" s="1"/>
  <c r="BB82" i="4" s="1"/>
  <c r="BJ136" i="4"/>
  <c r="BR136" i="4" s="1"/>
  <c r="AN143" i="5"/>
  <c r="AN144" i="5" s="1"/>
  <c r="BL137" i="4"/>
  <c r="BT142" i="5"/>
  <c r="BU142" i="5" s="1"/>
  <c r="BY142" i="5" s="1"/>
  <c r="C160" i="5"/>
  <c r="H160" i="5" s="1"/>
  <c r="Q160" i="5" s="1"/>
  <c r="T145" i="5"/>
  <c r="BS144" i="5"/>
  <c r="AQ144" i="5"/>
  <c r="AO144" i="5"/>
  <c r="AC144" i="5"/>
  <c r="W145" i="5" s="1"/>
  <c r="BE144" i="5"/>
  <c r="U144" i="5"/>
  <c r="BQ144" i="5" s="1"/>
  <c r="V144" i="5"/>
  <c r="I160" i="5" s="1"/>
  <c r="R160" i="5" s="1"/>
  <c r="Y144" i="5"/>
  <c r="Z144" i="5" s="1"/>
  <c r="X144" i="5"/>
  <c r="AF143" i="5" s="1"/>
  <c r="AD144" i="5"/>
  <c r="BM144" i="5"/>
  <c r="BO144" i="5"/>
  <c r="BN144" i="5"/>
  <c r="BV143" i="5" s="1"/>
  <c r="BP144" i="5"/>
  <c r="AK144" i="5"/>
  <c r="AM144" i="5"/>
  <c r="AL144" i="5"/>
  <c r="AT143" i="5" s="1"/>
  <c r="BQ143" i="5"/>
  <c r="BR143" i="5" s="1"/>
  <c r="AA143" i="5"/>
  <c r="AB143" i="5" s="1"/>
  <c r="AE143" i="5" s="1"/>
  <c r="BD143" i="5"/>
  <c r="BA144" i="5"/>
  <c r="AZ144" i="5"/>
  <c r="BH143" i="5" s="1"/>
  <c r="AY144" i="5"/>
  <c r="BB144" i="5"/>
  <c r="BF142" i="5"/>
  <c r="BG142" i="5" s="1"/>
  <c r="BK142" i="5" s="1"/>
  <c r="AR142" i="5"/>
  <c r="AS142" i="5" s="1"/>
  <c r="BC79" i="4"/>
  <c r="E98" i="4" s="1"/>
  <c r="AZ79" i="4"/>
  <c r="D98" i="4" s="1"/>
  <c r="AY80" i="4"/>
  <c r="AZ80" i="4" s="1"/>
  <c r="D99" i="4" s="1"/>
  <c r="AQ140" i="4"/>
  <c r="AS100" i="4"/>
  <c r="Y98" i="4"/>
  <c r="AA98" i="4" s="1"/>
  <c r="X99" i="4"/>
  <c r="AD84" i="4"/>
  <c r="AE95" i="4"/>
  <c r="AO95" i="4" s="1"/>
  <c r="AH83" i="4"/>
  <c r="AJ83" i="4" s="1"/>
  <c r="AW83" i="4" s="1"/>
  <c r="AX83" i="4" s="1"/>
  <c r="AL94" i="4"/>
  <c r="AN94" i="4" s="1"/>
  <c r="AF106" i="4"/>
  <c r="AG118" i="4" s="1"/>
  <c r="BJ138" i="4"/>
  <c r="BR138" i="4" s="1"/>
  <c r="BG140" i="4"/>
  <c r="S141" i="4"/>
  <c r="C159" i="4"/>
  <c r="BH141" i="4" l="1"/>
  <c r="H159" i="4"/>
  <c r="Z140" i="4"/>
  <c r="BK141" i="4"/>
  <c r="BF142" i="4" s="1"/>
  <c r="BI141" i="4"/>
  <c r="AB141" i="4"/>
  <c r="T141" i="4"/>
  <c r="AM141" i="4" s="1"/>
  <c r="U141" i="4"/>
  <c r="I160" i="4" s="1"/>
  <c r="BE141" i="4"/>
  <c r="BI145" i="5"/>
  <c r="BW145" i="5"/>
  <c r="G158" i="5"/>
  <c r="P158" i="5" s="1"/>
  <c r="BX143" i="5"/>
  <c r="BJ143" i="5"/>
  <c r="F158" i="5"/>
  <c r="O158" i="5" s="1"/>
  <c r="AG145" i="5"/>
  <c r="AU145" i="5"/>
  <c r="AW142" i="5"/>
  <c r="E158" i="5" s="1"/>
  <c r="N158" i="5" s="1"/>
  <c r="AV142" i="5"/>
  <c r="AH142" i="5"/>
  <c r="AI142" i="5"/>
  <c r="D158" i="5" s="1"/>
  <c r="M158" i="5" s="1"/>
  <c r="BM137" i="4"/>
  <c r="BN138" i="4" s="1"/>
  <c r="BO138" i="4" s="1"/>
  <c r="L160" i="5"/>
  <c r="BS137" i="4"/>
  <c r="BN137" i="4"/>
  <c r="BO137" i="4" s="1"/>
  <c r="AK83" i="4"/>
  <c r="BA83" i="4" s="1"/>
  <c r="BB83" i="4" s="1"/>
  <c r="BN136" i="4"/>
  <c r="BO136" i="4" s="1"/>
  <c r="BS136" i="4"/>
  <c r="AP143" i="5"/>
  <c r="AR143" i="5" s="1"/>
  <c r="AS143" i="5" s="1"/>
  <c r="BL138" i="4"/>
  <c r="AA144" i="5"/>
  <c r="AB144" i="5" s="1"/>
  <c r="AE144" i="5" s="1"/>
  <c r="AP144" i="5"/>
  <c r="AR144" i="5" s="1"/>
  <c r="AS144" i="5" s="1"/>
  <c r="BT143" i="5"/>
  <c r="BU143" i="5" s="1"/>
  <c r="BY143" i="5" s="1"/>
  <c r="BN145" i="5"/>
  <c r="BV144" i="5" s="1"/>
  <c r="BP145" i="5"/>
  <c r="BO145" i="5"/>
  <c r="BM145" i="5"/>
  <c r="AL145" i="5"/>
  <c r="AT144" i="5" s="1"/>
  <c r="AK145" i="5"/>
  <c r="AN145" i="5"/>
  <c r="AM145" i="5"/>
  <c r="Y145" i="5"/>
  <c r="Z145" i="5" s="1"/>
  <c r="X145" i="5"/>
  <c r="AF144" i="5" s="1"/>
  <c r="AD145" i="5"/>
  <c r="BC144" i="5"/>
  <c r="BD144" i="5" s="1"/>
  <c r="BB145" i="5"/>
  <c r="BA145" i="5"/>
  <c r="AZ145" i="5"/>
  <c r="BH144" i="5" s="1"/>
  <c r="AY145" i="5"/>
  <c r="C161" i="5"/>
  <c r="H161" i="5" s="1"/>
  <c r="Q161" i="5" s="1"/>
  <c r="BS145" i="5"/>
  <c r="AQ145" i="5"/>
  <c r="T146" i="5"/>
  <c r="AC145" i="5"/>
  <c r="W146" i="5" s="1"/>
  <c r="U145" i="5"/>
  <c r="AA145" i="5" s="1"/>
  <c r="BE145" i="5"/>
  <c r="AO145" i="5"/>
  <c r="V145" i="5"/>
  <c r="I161" i="5" s="1"/>
  <c r="R161" i="5" s="1"/>
  <c r="BF143" i="5"/>
  <c r="BG143" i="5" s="1"/>
  <c r="BK143" i="5" s="1"/>
  <c r="BR144" i="5"/>
  <c r="BS138" i="4"/>
  <c r="BC80" i="4"/>
  <c r="E99" i="4" s="1"/>
  <c r="AY81" i="4"/>
  <c r="AS101" i="4"/>
  <c r="AQ141" i="4"/>
  <c r="Y99" i="4"/>
  <c r="AA99" i="4" s="1"/>
  <c r="AP99" i="4" s="1"/>
  <c r="X100" i="4"/>
  <c r="AL95" i="4"/>
  <c r="AN95" i="4" s="1"/>
  <c r="AF107" i="4"/>
  <c r="AG119" i="4" s="1"/>
  <c r="AE96" i="4"/>
  <c r="AO96" i="4" s="1"/>
  <c r="AH84" i="4"/>
  <c r="AJ84" i="4" s="1"/>
  <c r="AW84" i="4" s="1"/>
  <c r="AX84" i="4" s="1"/>
  <c r="AD85" i="4"/>
  <c r="BJ140" i="4"/>
  <c r="BR140" i="4" s="1"/>
  <c r="C160" i="4"/>
  <c r="S142" i="4"/>
  <c r="BG141" i="4"/>
  <c r="H160" i="4" l="1"/>
  <c r="Z141" i="4"/>
  <c r="AB142" i="4"/>
  <c r="BI142" i="4"/>
  <c r="BK142" i="4"/>
  <c r="BF143" i="4" s="1"/>
  <c r="T142" i="4"/>
  <c r="AM142" i="4" s="1"/>
  <c r="U142" i="4"/>
  <c r="I161" i="4" s="1"/>
  <c r="BH142" i="4"/>
  <c r="BE142" i="4"/>
  <c r="BI146" i="5"/>
  <c r="BW146" i="5"/>
  <c r="G159" i="5"/>
  <c r="P159" i="5" s="1"/>
  <c r="BX144" i="5"/>
  <c r="BJ144" i="5"/>
  <c r="F159" i="5"/>
  <c r="O159" i="5" s="1"/>
  <c r="AV143" i="5"/>
  <c r="AW143" i="5"/>
  <c r="E159" i="5" s="1"/>
  <c r="N159" i="5" s="1"/>
  <c r="AG146" i="5"/>
  <c r="AU146" i="5"/>
  <c r="AH143" i="5"/>
  <c r="AI143" i="5"/>
  <c r="D159" i="5" s="1"/>
  <c r="M159" i="5" s="1"/>
  <c r="BM138" i="4"/>
  <c r="L161" i="5"/>
  <c r="BL139" i="4"/>
  <c r="BP136" i="4"/>
  <c r="AK84" i="4"/>
  <c r="BA84" i="4" s="1"/>
  <c r="BB84" i="4" s="1"/>
  <c r="BS140" i="4"/>
  <c r="BQ145" i="5"/>
  <c r="BR145" i="5" s="1"/>
  <c r="BC145" i="5"/>
  <c r="BD145" i="5" s="1"/>
  <c r="BB146" i="5"/>
  <c r="BA146" i="5"/>
  <c r="AY146" i="5"/>
  <c r="AZ146" i="5"/>
  <c r="BH145" i="5" s="1"/>
  <c r="BT144" i="5"/>
  <c r="BU144" i="5" s="1"/>
  <c r="AM146" i="5"/>
  <c r="AK146" i="5"/>
  <c r="AL146" i="5"/>
  <c r="AT145" i="5" s="1"/>
  <c r="AN146" i="5"/>
  <c r="AP145" i="5"/>
  <c r="C162" i="5"/>
  <c r="H162" i="5" s="1"/>
  <c r="Q162" i="5" s="1"/>
  <c r="BE146" i="5"/>
  <c r="AC146" i="5"/>
  <c r="W147" i="5" s="1"/>
  <c r="U146" i="5"/>
  <c r="BC146" i="5" s="1"/>
  <c r="T147" i="5"/>
  <c r="BS146" i="5"/>
  <c r="AQ146" i="5"/>
  <c r="AO146" i="5"/>
  <c r="V146" i="5"/>
  <c r="I162" i="5" s="1"/>
  <c r="R162" i="5" s="1"/>
  <c r="BF144" i="5"/>
  <c r="BG144" i="5" s="1"/>
  <c r="BO146" i="5"/>
  <c r="BM146" i="5"/>
  <c r="BP146" i="5"/>
  <c r="BN146" i="5"/>
  <c r="BV145" i="5" s="1"/>
  <c r="Y146" i="5"/>
  <c r="Z146" i="5" s="1"/>
  <c r="AD146" i="5"/>
  <c r="X146" i="5"/>
  <c r="AF145" i="5" s="1"/>
  <c r="AB145" i="5"/>
  <c r="AE145" i="5" s="1"/>
  <c r="BC81" i="4"/>
  <c r="E100" i="4" s="1"/>
  <c r="AZ81" i="4"/>
  <c r="D100" i="4" s="1"/>
  <c r="AY82" i="4"/>
  <c r="AZ82" i="4" s="1"/>
  <c r="D101" i="4" s="1"/>
  <c r="AS102" i="4"/>
  <c r="AQ142" i="4"/>
  <c r="Y100" i="4"/>
  <c r="AA100" i="4" s="1"/>
  <c r="X101" i="4"/>
  <c r="AF108" i="4"/>
  <c r="AG120" i="4" s="1"/>
  <c r="AL96" i="4"/>
  <c r="AN96" i="4" s="1"/>
  <c r="AD86" i="4"/>
  <c r="AH85" i="4"/>
  <c r="AJ85" i="4" s="1"/>
  <c r="AW85" i="4" s="1"/>
  <c r="AX85" i="4" s="1"/>
  <c r="AE97" i="4"/>
  <c r="AO97" i="4" s="1"/>
  <c r="BJ139" i="4"/>
  <c r="BR139" i="4" s="1"/>
  <c r="S143" i="4"/>
  <c r="C161" i="4"/>
  <c r="BG142" i="4"/>
  <c r="H161" i="4" l="1"/>
  <c r="Z142" i="4"/>
  <c r="BE143" i="4"/>
  <c r="AB143" i="4"/>
  <c r="BK143" i="4"/>
  <c r="BF144" i="4" s="1"/>
  <c r="BI143" i="4"/>
  <c r="T143" i="4"/>
  <c r="AM143" i="4" s="1"/>
  <c r="U143" i="4"/>
  <c r="I162" i="4" s="1"/>
  <c r="BH143" i="4"/>
  <c r="BI147" i="5"/>
  <c r="BW147" i="5"/>
  <c r="BX145" i="5"/>
  <c r="BY144" i="5"/>
  <c r="G160" i="5" s="1"/>
  <c r="P160" i="5" s="1"/>
  <c r="BK144" i="5"/>
  <c r="F160" i="5" s="1"/>
  <c r="O160" i="5" s="1"/>
  <c r="BJ145" i="5"/>
  <c r="AG147" i="5"/>
  <c r="AU147" i="5"/>
  <c r="AV144" i="5"/>
  <c r="AW144" i="5"/>
  <c r="E160" i="5" s="1"/>
  <c r="N160" i="5" s="1"/>
  <c r="AH144" i="5"/>
  <c r="AI144" i="5"/>
  <c r="D160" i="5" s="1"/>
  <c r="M160" i="5" s="1"/>
  <c r="BM139" i="4"/>
  <c r="L162" i="5"/>
  <c r="BL140" i="4"/>
  <c r="BQ136" i="4"/>
  <c r="F155" i="4" s="1"/>
  <c r="BP137" i="4"/>
  <c r="BT136" i="4"/>
  <c r="G155" i="4" s="1"/>
  <c r="AK85" i="4"/>
  <c r="BA85" i="4" s="1"/>
  <c r="BB85" i="4" s="1"/>
  <c r="BS139" i="4"/>
  <c r="AA146" i="5"/>
  <c r="AB146" i="5" s="1"/>
  <c r="AE146" i="5" s="1"/>
  <c r="BQ146" i="5"/>
  <c r="BR146" i="5" s="1"/>
  <c r="BT146" i="5" s="1"/>
  <c r="BU146" i="5" s="1"/>
  <c r="BF145" i="5"/>
  <c r="BG145" i="5" s="1"/>
  <c r="BK145" i="5" s="1"/>
  <c r="C163" i="5"/>
  <c r="H163" i="5" s="1"/>
  <c r="Q163" i="5" s="1"/>
  <c r="T148" i="5"/>
  <c r="BE147" i="5"/>
  <c r="U147" i="5"/>
  <c r="BQ147" i="5" s="1"/>
  <c r="AC147" i="5"/>
  <c r="W148" i="5" s="1"/>
  <c r="BS147" i="5"/>
  <c r="AQ147" i="5"/>
  <c r="AO147" i="5"/>
  <c r="V147" i="5"/>
  <c r="I163" i="5" s="1"/>
  <c r="R163" i="5" s="1"/>
  <c r="AN147" i="5"/>
  <c r="AL147" i="5"/>
  <c r="AT146" i="5" s="1"/>
  <c r="AK147" i="5"/>
  <c r="AM147" i="5"/>
  <c r="X147" i="5"/>
  <c r="AF146" i="5" s="1"/>
  <c r="AD147" i="5"/>
  <c r="Y147" i="5"/>
  <c r="Z147" i="5" s="1"/>
  <c r="BP147" i="5"/>
  <c r="BN147" i="5"/>
  <c r="BV146" i="5" s="1"/>
  <c r="BM147" i="5"/>
  <c r="BO147" i="5"/>
  <c r="BB147" i="5"/>
  <c r="AZ147" i="5"/>
  <c r="BH146" i="5" s="1"/>
  <c r="AY147" i="5"/>
  <c r="BA147" i="5"/>
  <c r="AP146" i="5"/>
  <c r="BT145" i="5"/>
  <c r="BU145" i="5" s="1"/>
  <c r="BY145" i="5" s="1"/>
  <c r="BD146" i="5"/>
  <c r="AR145" i="5"/>
  <c r="AS145" i="5" s="1"/>
  <c r="BN139" i="4"/>
  <c r="BO139" i="4" s="1"/>
  <c r="BN140" i="4"/>
  <c r="BO140" i="4" s="1"/>
  <c r="BC82" i="4"/>
  <c r="E101" i="4" s="1"/>
  <c r="AY83" i="4"/>
  <c r="AS103" i="4"/>
  <c r="AQ143" i="4"/>
  <c r="Y101" i="4"/>
  <c r="AA101" i="4" s="1"/>
  <c r="X102" i="4"/>
  <c r="AL97" i="4"/>
  <c r="AN97" i="4" s="1"/>
  <c r="AF109" i="4"/>
  <c r="AG121" i="4" s="1"/>
  <c r="AH86" i="4"/>
  <c r="AJ86" i="4" s="1"/>
  <c r="AW86" i="4" s="1"/>
  <c r="AX86" i="4" s="1"/>
  <c r="AE98" i="4"/>
  <c r="AO98" i="4" s="1"/>
  <c r="AD87" i="4"/>
  <c r="BJ141" i="4"/>
  <c r="BR141" i="4" s="1"/>
  <c r="BJ142" i="4"/>
  <c r="BR142" i="4" s="1"/>
  <c r="S144" i="4"/>
  <c r="C162" i="4"/>
  <c r="BG143" i="4"/>
  <c r="H162" i="4" l="1"/>
  <c r="BE144" i="4"/>
  <c r="Z143" i="4"/>
  <c r="AB144" i="4"/>
  <c r="BK144" i="4"/>
  <c r="BF145" i="4" s="1"/>
  <c r="BI144" i="4"/>
  <c r="T144" i="4"/>
  <c r="AM144" i="4" s="1"/>
  <c r="U144" i="4"/>
  <c r="I163" i="4" s="1"/>
  <c r="BH144" i="4"/>
  <c r="BI148" i="5"/>
  <c r="BW148" i="5"/>
  <c r="BY146" i="5"/>
  <c r="G162" i="5" s="1"/>
  <c r="P162" i="5" s="1"/>
  <c r="BX146" i="5"/>
  <c r="G161" i="5"/>
  <c r="P161" i="5" s="1"/>
  <c r="F161" i="5"/>
  <c r="O161" i="5" s="1"/>
  <c r="BJ146" i="5"/>
  <c r="AW145" i="5"/>
  <c r="E161" i="5" s="1"/>
  <c r="N161" i="5" s="1"/>
  <c r="AV145" i="5"/>
  <c r="AG148" i="5"/>
  <c r="AU148" i="5"/>
  <c r="AH145" i="5"/>
  <c r="AI145" i="5"/>
  <c r="D161" i="5" s="1"/>
  <c r="M161" i="5" s="1"/>
  <c r="BM140" i="4"/>
  <c r="BN141" i="4" s="1"/>
  <c r="BO141" i="4" s="1"/>
  <c r="L163" i="5"/>
  <c r="BL141" i="4"/>
  <c r="BP138" i="4"/>
  <c r="BP139" i="4" s="1"/>
  <c r="BQ139" i="4" s="1"/>
  <c r="F158" i="4" s="1"/>
  <c r="BQ137" i="4"/>
  <c r="F156" i="4" s="1"/>
  <c r="BT137" i="4"/>
  <c r="G156" i="4" s="1"/>
  <c r="AK86" i="4"/>
  <c r="BA86" i="4" s="1"/>
  <c r="BB86" i="4" s="1"/>
  <c r="BS141" i="4"/>
  <c r="BS142" i="4"/>
  <c r="AA147" i="5"/>
  <c r="AB147" i="5" s="1"/>
  <c r="AE147" i="5" s="1"/>
  <c r="AR146" i="5"/>
  <c r="AS146" i="5" s="1"/>
  <c r="AY148" i="5"/>
  <c r="BA148" i="5"/>
  <c r="AZ148" i="5"/>
  <c r="BH147" i="5" s="1"/>
  <c r="BB148" i="5"/>
  <c r="BR147" i="5"/>
  <c r="AM148" i="5"/>
  <c r="AL148" i="5"/>
  <c r="AT147" i="5" s="1"/>
  <c r="AK148" i="5"/>
  <c r="AN148" i="5"/>
  <c r="BO148" i="5"/>
  <c r="BN148" i="5"/>
  <c r="BV147" i="5" s="1"/>
  <c r="BM148" i="5"/>
  <c r="BP148" i="5"/>
  <c r="AP147" i="5"/>
  <c r="AD148" i="5"/>
  <c r="Y148" i="5"/>
  <c r="Z148" i="5" s="1"/>
  <c r="X148" i="5"/>
  <c r="AF147" i="5" s="1"/>
  <c r="BC147" i="5"/>
  <c r="BD147" i="5" s="1"/>
  <c r="BF146" i="5"/>
  <c r="BG146" i="5" s="1"/>
  <c r="C164" i="5"/>
  <c r="H164" i="5" s="1"/>
  <c r="Q164" i="5" s="1"/>
  <c r="AO148" i="5"/>
  <c r="BE148" i="5"/>
  <c r="AC148" i="5"/>
  <c r="W149" i="5" s="1"/>
  <c r="U148" i="5"/>
  <c r="BC148" i="5" s="1"/>
  <c r="T149" i="5"/>
  <c r="BS148" i="5"/>
  <c r="AQ148" i="5"/>
  <c r="V148" i="5"/>
  <c r="I164" i="5" s="1"/>
  <c r="R164" i="5" s="1"/>
  <c r="AS104" i="4"/>
  <c r="BC83" i="4"/>
  <c r="E102" i="4" s="1"/>
  <c r="AZ83" i="4"/>
  <c r="D102" i="4" s="1"/>
  <c r="AY84" i="4"/>
  <c r="AQ144" i="4"/>
  <c r="Y102" i="4"/>
  <c r="AA102" i="4" s="1"/>
  <c r="X103" i="4"/>
  <c r="AF110" i="4"/>
  <c r="AG122" i="4" s="1"/>
  <c r="AL98" i="4"/>
  <c r="AN98" i="4" s="1"/>
  <c r="AE99" i="4"/>
  <c r="AO99" i="4" s="1"/>
  <c r="AH87" i="4"/>
  <c r="AJ87" i="4" s="1"/>
  <c r="AK87" i="4" s="1"/>
  <c r="BJ143" i="4"/>
  <c r="BR143" i="4" s="1"/>
  <c r="BG144" i="4"/>
  <c r="S145" i="4"/>
  <c r="C163" i="4"/>
  <c r="H163" i="4" l="1"/>
  <c r="Z144" i="4"/>
  <c r="BK145" i="4"/>
  <c r="BF146" i="4" s="1"/>
  <c r="AB145" i="4"/>
  <c r="BI145" i="4"/>
  <c r="T145" i="4"/>
  <c r="U145" i="4"/>
  <c r="I164" i="4" s="1"/>
  <c r="BE145" i="4"/>
  <c r="BH145" i="4"/>
  <c r="BI149" i="5"/>
  <c r="BW149" i="5"/>
  <c r="BX147" i="5"/>
  <c r="BJ147" i="5"/>
  <c r="BK146" i="5"/>
  <c r="F162" i="5" s="1"/>
  <c r="O162" i="5" s="1"/>
  <c r="AV146" i="5"/>
  <c r="AW146" i="5"/>
  <c r="E162" i="5" s="1"/>
  <c r="N162" i="5" s="1"/>
  <c r="AG149" i="5"/>
  <c r="AU149" i="5"/>
  <c r="AH146" i="5"/>
  <c r="AI146" i="5"/>
  <c r="D162" i="5" s="1"/>
  <c r="M162" i="5" s="1"/>
  <c r="BM141" i="4"/>
  <c r="BN142" i="4" s="1"/>
  <c r="BO142" i="4" s="1"/>
  <c r="L164" i="5"/>
  <c r="BL142" i="4"/>
  <c r="BQ138" i="4"/>
  <c r="F157" i="4" s="1"/>
  <c r="BT138" i="4"/>
  <c r="G157" i="4" s="1"/>
  <c r="BS143" i="4"/>
  <c r="AP148" i="5"/>
  <c r="AR148" i="5" s="1"/>
  <c r="AS148" i="5" s="1"/>
  <c r="BT147" i="5"/>
  <c r="BU147" i="5" s="1"/>
  <c r="BD148" i="5"/>
  <c r="X149" i="5"/>
  <c r="AF148" i="5" s="1"/>
  <c r="AD149" i="5"/>
  <c r="Y149" i="5"/>
  <c r="Z149" i="5" s="1"/>
  <c r="BF147" i="5"/>
  <c r="BG147" i="5" s="1"/>
  <c r="AR147" i="5"/>
  <c r="AS147" i="5" s="1"/>
  <c r="BP149" i="5"/>
  <c r="BO149" i="5"/>
  <c r="BN149" i="5"/>
  <c r="BV148" i="5" s="1"/>
  <c r="BM149" i="5"/>
  <c r="C165" i="5"/>
  <c r="H165" i="5" s="1"/>
  <c r="Q165" i="5" s="1"/>
  <c r="T150" i="5"/>
  <c r="BE149" i="5"/>
  <c r="AC149" i="5"/>
  <c r="W150" i="5" s="1"/>
  <c r="U149" i="5"/>
  <c r="BQ149" i="5" s="1"/>
  <c r="AO149" i="5"/>
  <c r="BS149" i="5"/>
  <c r="AQ149" i="5"/>
  <c r="V149" i="5"/>
  <c r="I165" i="5" s="1"/>
  <c r="R165" i="5" s="1"/>
  <c r="BQ148" i="5"/>
  <c r="BR148" i="5" s="1"/>
  <c r="AN149" i="5"/>
  <c r="AM149" i="5"/>
  <c r="AL149" i="5"/>
  <c r="AT148" i="5" s="1"/>
  <c r="AK149" i="5"/>
  <c r="AA148" i="5"/>
  <c r="AB148" i="5" s="1"/>
  <c r="AE148" i="5" s="1"/>
  <c r="AZ149" i="5"/>
  <c r="BH148" i="5" s="1"/>
  <c r="BB149" i="5"/>
  <c r="BA149" i="5"/>
  <c r="AY149" i="5"/>
  <c r="BT139" i="4"/>
  <c r="G158" i="4" s="1"/>
  <c r="BP140" i="4"/>
  <c r="AS105" i="4"/>
  <c r="BL143" i="4"/>
  <c r="BC84" i="4"/>
  <c r="E103" i="4" s="1"/>
  <c r="AZ84" i="4"/>
  <c r="D103" i="4" s="1"/>
  <c r="AY85" i="4"/>
  <c r="AQ87" i="4"/>
  <c r="AR87" i="4" s="1"/>
  <c r="AW87" i="4"/>
  <c r="AX87" i="4" s="1"/>
  <c r="AQ145" i="4"/>
  <c r="Y103" i="4"/>
  <c r="AA103" i="4" s="1"/>
  <c r="X104" i="4"/>
  <c r="BA87" i="4"/>
  <c r="AF111" i="4"/>
  <c r="AG123" i="4" s="1"/>
  <c r="AL99" i="4"/>
  <c r="AN99" i="4" s="1"/>
  <c r="C164" i="4"/>
  <c r="S146" i="4"/>
  <c r="BG145" i="4"/>
  <c r="BJ144" i="4"/>
  <c r="BR144" i="4" s="1"/>
  <c r="H164" i="4" l="1"/>
  <c r="BH146" i="4"/>
  <c r="BE146" i="4"/>
  <c r="BI146" i="4"/>
  <c r="BK146" i="4"/>
  <c r="BF147" i="4" s="1"/>
  <c r="AB146" i="4"/>
  <c r="T146" i="4"/>
  <c r="AM146" i="4" s="1"/>
  <c r="U146" i="4"/>
  <c r="I165" i="4" s="1"/>
  <c r="Z145" i="4"/>
  <c r="AM145" i="4"/>
  <c r="BM142" i="4"/>
  <c r="BM143" i="4" s="1"/>
  <c r="BI150" i="5"/>
  <c r="BW150" i="5"/>
  <c r="BY147" i="5"/>
  <c r="G163" i="5" s="1"/>
  <c r="P163" i="5" s="1"/>
  <c r="BX148" i="5"/>
  <c r="BJ148" i="5"/>
  <c r="BK147" i="5"/>
  <c r="F163" i="5" s="1"/>
  <c r="O163" i="5" s="1"/>
  <c r="AG150" i="5"/>
  <c r="AU150" i="5"/>
  <c r="AW147" i="5"/>
  <c r="E163" i="5" s="1"/>
  <c r="N163" i="5" s="1"/>
  <c r="AV147" i="5"/>
  <c r="AH147" i="5"/>
  <c r="AI147" i="5"/>
  <c r="D163" i="5" s="1"/>
  <c r="M163" i="5" s="1"/>
  <c r="L165" i="5"/>
  <c r="AS87" i="4"/>
  <c r="AT87" i="4" s="1"/>
  <c r="AU87" i="4" s="1"/>
  <c r="AV87" i="4" s="1"/>
  <c r="AR88" i="4" s="1"/>
  <c r="AT88" i="4" s="1"/>
  <c r="BB87" i="4"/>
  <c r="AA149" i="5"/>
  <c r="AB149" i="5" s="1"/>
  <c r="AE149" i="5" s="1"/>
  <c r="AP149" i="5"/>
  <c r="AR149" i="5" s="1"/>
  <c r="AS149" i="5" s="1"/>
  <c r="BT148" i="5"/>
  <c r="BU148" i="5" s="1"/>
  <c r="BP150" i="5"/>
  <c r="BM150" i="5"/>
  <c r="BN150" i="5"/>
  <c r="BV149" i="5" s="1"/>
  <c r="BO150" i="5"/>
  <c r="BF148" i="5"/>
  <c r="BG148" i="5" s="1"/>
  <c r="AN150" i="5"/>
  <c r="AK150" i="5"/>
  <c r="AM150" i="5"/>
  <c r="AL150" i="5"/>
  <c r="AT149" i="5" s="1"/>
  <c r="Y150" i="5"/>
  <c r="Z150" i="5" s="1"/>
  <c r="AD150" i="5"/>
  <c r="X150" i="5"/>
  <c r="AF149" i="5" s="1"/>
  <c r="BC149" i="5"/>
  <c r="BD149" i="5" s="1"/>
  <c r="AZ150" i="5"/>
  <c r="BH149" i="5" s="1"/>
  <c r="BB150" i="5"/>
  <c r="AY150" i="5"/>
  <c r="BA150" i="5"/>
  <c r="C166" i="5"/>
  <c r="H166" i="5" s="1"/>
  <c r="Q166" i="5" s="1"/>
  <c r="T151" i="5"/>
  <c r="BE150" i="5"/>
  <c r="AQ150" i="5"/>
  <c r="AO150" i="5"/>
  <c r="BS150" i="5"/>
  <c r="AC150" i="5"/>
  <c r="W151" i="5" s="1"/>
  <c r="U150" i="5"/>
  <c r="BQ150" i="5" s="1"/>
  <c r="V150" i="5"/>
  <c r="I166" i="5" s="1"/>
  <c r="R166" i="5" s="1"/>
  <c r="BR149" i="5"/>
  <c r="BS144" i="4"/>
  <c r="BT140" i="4"/>
  <c r="G159" i="4" s="1"/>
  <c r="BQ140" i="4"/>
  <c r="F159" i="4" s="1"/>
  <c r="BN143" i="4"/>
  <c r="BO143" i="4" s="1"/>
  <c r="BP141" i="4"/>
  <c r="BP142" i="4" s="1"/>
  <c r="BL144" i="4"/>
  <c r="AS106" i="4"/>
  <c r="BC85" i="4"/>
  <c r="E104" i="4" s="1"/>
  <c r="AZ85" i="4"/>
  <c r="D104" i="4" s="1"/>
  <c r="AY86" i="4"/>
  <c r="AQ146" i="4"/>
  <c r="Y104" i="4"/>
  <c r="AA104" i="4" s="1"/>
  <c r="X105" i="4"/>
  <c r="BJ145" i="4"/>
  <c r="BR145" i="4" s="1"/>
  <c r="BG146" i="4"/>
  <c r="S147" i="4"/>
  <c r="C165" i="4"/>
  <c r="H165" i="4" l="1"/>
  <c r="BH147" i="4"/>
  <c r="BE147" i="4"/>
  <c r="Z146" i="4"/>
  <c r="BK147" i="4"/>
  <c r="BF148" i="4" s="1"/>
  <c r="BI147" i="4"/>
  <c r="AB147" i="4"/>
  <c r="T147" i="4"/>
  <c r="AM147" i="4" s="1"/>
  <c r="U147" i="4"/>
  <c r="I166" i="4" s="1"/>
  <c r="BI151" i="5"/>
  <c r="BW151" i="5"/>
  <c r="BX149" i="5"/>
  <c r="BY148" i="5"/>
  <c r="G164" i="5" s="1"/>
  <c r="P164" i="5" s="1"/>
  <c r="BJ149" i="5"/>
  <c r="BK148" i="5"/>
  <c r="F164" i="5" s="1"/>
  <c r="O164" i="5" s="1"/>
  <c r="AW148" i="5"/>
  <c r="E164" i="5" s="1"/>
  <c r="N164" i="5" s="1"/>
  <c r="AV148" i="5"/>
  <c r="AG151" i="5"/>
  <c r="AU151" i="5"/>
  <c r="AH148" i="5"/>
  <c r="AI148" i="5"/>
  <c r="D164" i="5" s="1"/>
  <c r="M164" i="5" s="1"/>
  <c r="L166" i="5"/>
  <c r="BL145" i="4"/>
  <c r="BC150" i="5"/>
  <c r="BD150" i="5" s="1"/>
  <c r="AA150" i="5"/>
  <c r="AB150" i="5" s="1"/>
  <c r="AE150" i="5" s="1"/>
  <c r="Y151" i="5"/>
  <c r="Z151" i="5" s="1"/>
  <c r="X151" i="5"/>
  <c r="AD151" i="5"/>
  <c r="BS151" i="5"/>
  <c r="AQ151" i="5"/>
  <c r="BE151" i="5"/>
  <c r="AC151" i="5"/>
  <c r="W152" i="5" s="1"/>
  <c r="U151" i="5"/>
  <c r="BQ151" i="5" s="1"/>
  <c r="C167" i="5"/>
  <c r="T152" i="5"/>
  <c r="V151" i="5"/>
  <c r="I167" i="5" s="1"/>
  <c r="R167" i="5" s="1"/>
  <c r="BT149" i="5"/>
  <c r="BU149" i="5" s="1"/>
  <c r="BO151" i="5"/>
  <c r="BN151" i="5"/>
  <c r="BV150" i="5" s="1"/>
  <c r="BM151" i="5"/>
  <c r="AP150" i="5"/>
  <c r="AN151" i="5" s="1"/>
  <c r="BR150" i="5"/>
  <c r="BP151" i="5" s="1"/>
  <c r="BF149" i="5"/>
  <c r="BG149" i="5" s="1"/>
  <c r="BK149" i="5" s="1"/>
  <c r="AM151" i="5"/>
  <c r="AL151" i="5"/>
  <c r="AT150" i="5" s="1"/>
  <c r="AK151" i="5"/>
  <c r="BA151" i="5"/>
  <c r="AZ151" i="5"/>
  <c r="BH150" i="5" s="1"/>
  <c r="AY151" i="5"/>
  <c r="AS107" i="4"/>
  <c r="BT142" i="4"/>
  <c r="G161" i="4" s="1"/>
  <c r="BQ142" i="4"/>
  <c r="F161" i="4" s="1"/>
  <c r="BP143" i="4"/>
  <c r="BS145" i="4"/>
  <c r="BM144" i="4"/>
  <c r="BN144" i="4"/>
  <c r="BO144" i="4" s="1"/>
  <c r="BT141" i="4"/>
  <c r="G160" i="4" s="1"/>
  <c r="BQ141" i="4"/>
  <c r="F160" i="4" s="1"/>
  <c r="BC86" i="4"/>
  <c r="E105" i="4" s="1"/>
  <c r="AZ86" i="4"/>
  <c r="D105" i="4" s="1"/>
  <c r="AY87" i="4"/>
  <c r="AU88" i="4"/>
  <c r="AV88" i="4" s="1"/>
  <c r="AR89" i="4" s="1"/>
  <c r="AT89" i="4" s="1"/>
  <c r="Y105" i="4"/>
  <c r="AA105" i="4" s="1"/>
  <c r="X106" i="4"/>
  <c r="AS108" i="4"/>
  <c r="AD88" i="4"/>
  <c r="S148" i="4"/>
  <c r="C166" i="4"/>
  <c r="BJ146" i="4"/>
  <c r="BR146" i="4" s="1"/>
  <c r="BG147" i="4"/>
  <c r="L167" i="5" l="1"/>
  <c r="H167" i="5"/>
  <c r="Q167" i="5" s="1"/>
  <c r="H166" i="4"/>
  <c r="Z147" i="4"/>
  <c r="BK148" i="4"/>
  <c r="BF149" i="4" s="1"/>
  <c r="AB148" i="4"/>
  <c r="T148" i="4"/>
  <c r="Z148" i="4" s="1"/>
  <c r="U148" i="4"/>
  <c r="I167" i="4" s="1"/>
  <c r="BE148" i="4"/>
  <c r="BI152" i="5"/>
  <c r="BW152" i="5"/>
  <c r="BX150" i="5"/>
  <c r="BY149" i="5"/>
  <c r="G165" i="5" s="1"/>
  <c r="P165" i="5" s="1"/>
  <c r="BJ150" i="5"/>
  <c r="F165" i="5"/>
  <c r="O165" i="5" s="1"/>
  <c r="AG152" i="5"/>
  <c r="AU152" i="5"/>
  <c r="AV149" i="5"/>
  <c r="AW149" i="5"/>
  <c r="E165" i="5" s="1"/>
  <c r="N165" i="5" s="1"/>
  <c r="AH149" i="5"/>
  <c r="AI149" i="5"/>
  <c r="D165" i="5" s="1"/>
  <c r="M165" i="5" s="1"/>
  <c r="BL146" i="4"/>
  <c r="AE100" i="4"/>
  <c r="AO100" i="4" s="1"/>
  <c r="AA151" i="5"/>
  <c r="AB151" i="5" s="1"/>
  <c r="AE151" i="5" s="1"/>
  <c r="BR151" i="5"/>
  <c r="BT151" i="5" s="1"/>
  <c r="BU151" i="5" s="1"/>
  <c r="AO151" i="5"/>
  <c r="AP151" i="5" s="1"/>
  <c r="AR151" i="5" s="1"/>
  <c r="BC151" i="5"/>
  <c r="Y152" i="5"/>
  <c r="Z152" i="5" s="1"/>
  <c r="X152" i="5"/>
  <c r="AF151" i="5" s="1"/>
  <c r="AD152" i="5"/>
  <c r="BA152" i="5"/>
  <c r="AZ152" i="5"/>
  <c r="BH151" i="5" s="1"/>
  <c r="AY152" i="5"/>
  <c r="BP144" i="4"/>
  <c r="BQ144" i="4" s="1"/>
  <c r="F163" i="4" s="1"/>
  <c r="BF150" i="5"/>
  <c r="BG150" i="5" s="1"/>
  <c r="C168" i="5"/>
  <c r="H168" i="5" s="1"/>
  <c r="Q168" i="5" s="1"/>
  <c r="BS152" i="5"/>
  <c r="AQ152" i="5"/>
  <c r="BE152" i="5"/>
  <c r="AC152" i="5"/>
  <c r="W153" i="5" s="1"/>
  <c r="U152" i="5"/>
  <c r="AA152" i="5" s="1"/>
  <c r="T153" i="5"/>
  <c r="V152" i="5"/>
  <c r="I168" i="5" s="1"/>
  <c r="R168" i="5" s="1"/>
  <c r="AF150" i="5"/>
  <c r="AR150" i="5"/>
  <c r="AS150" i="5" s="1"/>
  <c r="BB151" i="5"/>
  <c r="AN152" i="5"/>
  <c r="AM152" i="5"/>
  <c r="AK152" i="5"/>
  <c r="AL152" i="5"/>
  <c r="AT151" i="5" s="1"/>
  <c r="BP152" i="5"/>
  <c r="BO152" i="5"/>
  <c r="BN152" i="5"/>
  <c r="BV151" i="5" s="1"/>
  <c r="BM152" i="5"/>
  <c r="BT150" i="5"/>
  <c r="BU150" i="5" s="1"/>
  <c r="BY150" i="5" s="1"/>
  <c r="BS146" i="4"/>
  <c r="BN145" i="4"/>
  <c r="BO145" i="4" s="1"/>
  <c r="BM145" i="4"/>
  <c r="BT143" i="4"/>
  <c r="G162" i="4" s="1"/>
  <c r="BQ143" i="4"/>
  <c r="F162" i="4" s="1"/>
  <c r="BC87" i="4"/>
  <c r="E106" i="4" s="1"/>
  <c r="AZ87" i="4"/>
  <c r="D106" i="4" s="1"/>
  <c r="AH88" i="4"/>
  <c r="AJ88" i="4" s="1"/>
  <c r="AW88" i="4" s="1"/>
  <c r="AX88" i="4" s="1"/>
  <c r="AQ148" i="4"/>
  <c r="AD89" i="4"/>
  <c r="AU89" i="4"/>
  <c r="AV89" i="4" s="1"/>
  <c r="AR90" i="4" s="1"/>
  <c r="AT90" i="4" s="1"/>
  <c r="AS109" i="4"/>
  <c r="Y106" i="4"/>
  <c r="AA106" i="4" s="1"/>
  <c r="X107" i="4"/>
  <c r="BJ147" i="4"/>
  <c r="BR147" i="4" s="1"/>
  <c r="BG148" i="4"/>
  <c r="S149" i="4"/>
  <c r="C167" i="4"/>
  <c r="B166" i="4" s="1"/>
  <c r="BE149" i="4" l="1"/>
  <c r="H167" i="4"/>
  <c r="BI148" i="4"/>
  <c r="AM148" i="4"/>
  <c r="BK149" i="4"/>
  <c r="BF150" i="4" s="1"/>
  <c r="AB149" i="4"/>
  <c r="T149" i="4"/>
  <c r="AM149" i="4" s="1"/>
  <c r="U149" i="4"/>
  <c r="I168" i="4" s="1"/>
  <c r="BI153" i="5"/>
  <c r="BW153" i="5"/>
  <c r="BX151" i="5"/>
  <c r="BY151" i="5"/>
  <c r="G167" i="5" s="1"/>
  <c r="P167" i="5" s="1"/>
  <c r="G166" i="5"/>
  <c r="P166" i="5" s="1"/>
  <c r="BJ151" i="5"/>
  <c r="BK150" i="5"/>
  <c r="F166" i="5" s="1"/>
  <c r="O166" i="5" s="1"/>
  <c r="AG153" i="5"/>
  <c r="AU153" i="5"/>
  <c r="AW150" i="5"/>
  <c r="E166" i="5" s="1"/>
  <c r="N166" i="5" s="1"/>
  <c r="AV150" i="5"/>
  <c r="AH150" i="5"/>
  <c r="AI150" i="5"/>
  <c r="D166" i="5" s="1"/>
  <c r="M166" i="5" s="1"/>
  <c r="L168" i="5"/>
  <c r="BL147" i="4"/>
  <c r="AF112" i="4"/>
  <c r="AG124" i="4" s="1"/>
  <c r="AL100" i="4"/>
  <c r="AN100" i="4" s="1"/>
  <c r="AH89" i="4"/>
  <c r="AJ89" i="4" s="1"/>
  <c r="AW89" i="4" s="1"/>
  <c r="AX89" i="4" s="1"/>
  <c r="BH148" i="4"/>
  <c r="BH149" i="4" s="1"/>
  <c r="BS147" i="4"/>
  <c r="AK88" i="4"/>
  <c r="BA88" i="4" s="1"/>
  <c r="BB88" i="4" s="1"/>
  <c r="BD151" i="5"/>
  <c r="BF151" i="5" s="1"/>
  <c r="BG151" i="5" s="1"/>
  <c r="BK151" i="5" s="1"/>
  <c r="BQ152" i="5"/>
  <c r="BR152" i="5" s="1"/>
  <c r="AS151" i="5"/>
  <c r="AO152" i="5"/>
  <c r="AP152" i="5" s="1"/>
  <c r="BC152" i="5"/>
  <c r="BM153" i="5"/>
  <c r="BP153" i="5"/>
  <c r="BO153" i="5"/>
  <c r="BN153" i="5"/>
  <c r="BV152" i="5" s="1"/>
  <c r="BP145" i="4"/>
  <c r="BT145" i="4" s="1"/>
  <c r="G164" i="4" s="1"/>
  <c r="Y153" i="5"/>
  <c r="Z153" i="5" s="1"/>
  <c r="X153" i="5"/>
  <c r="AF152" i="5" s="1"/>
  <c r="AD153" i="5"/>
  <c r="BT144" i="4"/>
  <c r="G163" i="4" s="1"/>
  <c r="BA153" i="5"/>
  <c r="AZ153" i="5"/>
  <c r="BH152" i="5" s="1"/>
  <c r="AY153" i="5"/>
  <c r="AB152" i="5"/>
  <c r="AE152" i="5" s="1"/>
  <c r="AK153" i="5"/>
  <c r="AN153" i="5"/>
  <c r="AL153" i="5"/>
  <c r="AT152" i="5" s="1"/>
  <c r="AM153" i="5"/>
  <c r="BB152" i="5"/>
  <c r="BB153" i="5" s="1"/>
  <c r="T154" i="5"/>
  <c r="BS153" i="5"/>
  <c r="AQ153" i="5"/>
  <c r="C169" i="5"/>
  <c r="H169" i="5" s="1"/>
  <c r="Q169" i="5" s="1"/>
  <c r="AC153" i="5"/>
  <c r="W154" i="5" s="1"/>
  <c r="BE153" i="5"/>
  <c r="U153" i="5"/>
  <c r="BQ153" i="5" s="1"/>
  <c r="V153" i="5"/>
  <c r="I169" i="5" s="1"/>
  <c r="R169" i="5" s="1"/>
  <c r="BN146" i="4"/>
  <c r="BO146" i="4" s="1"/>
  <c r="BM146" i="4"/>
  <c r="AD90" i="4"/>
  <c r="AE101" i="4"/>
  <c r="AQ149" i="4"/>
  <c r="AU90" i="4"/>
  <c r="AV90" i="4" s="1"/>
  <c r="AR91" i="4" s="1"/>
  <c r="AT91" i="4" s="1"/>
  <c r="Y107" i="4"/>
  <c r="AA107" i="4" s="1"/>
  <c r="X108" i="4"/>
  <c r="AS110" i="4"/>
  <c r="BL148" i="4"/>
  <c r="BG149" i="4"/>
  <c r="C168" i="4"/>
  <c r="S150" i="4"/>
  <c r="H168" i="4" l="1"/>
  <c r="BI149" i="4"/>
  <c r="BK150" i="4"/>
  <c r="BF151" i="4" s="1"/>
  <c r="AB150" i="4"/>
  <c r="T150" i="4"/>
  <c r="Z150" i="4" s="1"/>
  <c r="U150" i="4"/>
  <c r="I169" i="4" s="1"/>
  <c r="BE150" i="4"/>
  <c r="BH150" i="4"/>
  <c r="Z149" i="4"/>
  <c r="BI154" i="5"/>
  <c r="BW154" i="5"/>
  <c r="BX152" i="5"/>
  <c r="BJ152" i="5"/>
  <c r="F167" i="5"/>
  <c r="O167" i="5" s="1"/>
  <c r="AV151" i="5"/>
  <c r="AW151" i="5"/>
  <c r="E167" i="5" s="1"/>
  <c r="N167" i="5" s="1"/>
  <c r="AG154" i="5"/>
  <c r="AU154" i="5"/>
  <c r="AH151" i="5"/>
  <c r="AI151" i="5"/>
  <c r="D167" i="5" s="1"/>
  <c r="M167" i="5" s="1"/>
  <c r="L169" i="5"/>
  <c r="AF113" i="4"/>
  <c r="AG125" i="4" s="1"/>
  <c r="AO101" i="4"/>
  <c r="AD91" i="4"/>
  <c r="AH91" i="4" s="1"/>
  <c r="AJ91" i="4" s="1"/>
  <c r="AW91" i="4" s="1"/>
  <c r="AX91" i="4" s="1"/>
  <c r="AK89" i="4"/>
  <c r="BA89" i="4" s="1"/>
  <c r="BB89" i="4" s="1"/>
  <c r="BP146" i="4"/>
  <c r="BQ146" i="4" s="1"/>
  <c r="F165" i="4" s="1"/>
  <c r="BQ145" i="4"/>
  <c r="F164" i="4" s="1"/>
  <c r="AO153" i="5"/>
  <c r="AP153" i="5" s="1"/>
  <c r="BC153" i="5"/>
  <c r="BD153" i="5" s="1"/>
  <c r="AR152" i="5"/>
  <c r="AS152" i="5" s="1"/>
  <c r="AA153" i="5"/>
  <c r="AB153" i="5" s="1"/>
  <c r="AE153" i="5" s="1"/>
  <c r="BT152" i="5"/>
  <c r="BU152" i="5" s="1"/>
  <c r="BY152" i="5" s="1"/>
  <c r="C170" i="5"/>
  <c r="H170" i="5" s="1"/>
  <c r="Q170" i="5" s="1"/>
  <c r="T155" i="5"/>
  <c r="BS154" i="5"/>
  <c r="AQ154" i="5"/>
  <c r="AC154" i="5"/>
  <c r="W155" i="5" s="1"/>
  <c r="U154" i="5"/>
  <c r="BQ154" i="5" s="1"/>
  <c r="BE154" i="5"/>
  <c r="V154" i="5"/>
  <c r="I170" i="5" s="1"/>
  <c r="R170" i="5" s="1"/>
  <c r="BR153" i="5"/>
  <c r="BB154" i="5"/>
  <c r="BA154" i="5"/>
  <c r="AZ154" i="5"/>
  <c r="BH153" i="5" s="1"/>
  <c r="AY154" i="5"/>
  <c r="AL154" i="5"/>
  <c r="AT153" i="5" s="1"/>
  <c r="AK154" i="5"/>
  <c r="AM154" i="5"/>
  <c r="AN154" i="5"/>
  <c r="Y154" i="5"/>
  <c r="Z154" i="5" s="1"/>
  <c r="X154" i="5"/>
  <c r="AF153" i="5" s="1"/>
  <c r="AD154" i="5"/>
  <c r="BN154" i="5"/>
  <c r="BV153" i="5" s="1"/>
  <c r="BM154" i="5"/>
  <c r="BP154" i="5"/>
  <c r="BO154" i="5"/>
  <c r="BD152" i="5"/>
  <c r="BJ148" i="4"/>
  <c r="BR148" i="4" s="1"/>
  <c r="BM147" i="4"/>
  <c r="BN147" i="4"/>
  <c r="BO147" i="4" s="1"/>
  <c r="AH90" i="4"/>
  <c r="AJ90" i="4" s="1"/>
  <c r="AW90" i="4" s="1"/>
  <c r="AX90" i="4" s="1"/>
  <c r="AL101" i="4"/>
  <c r="AN101" i="4" s="1"/>
  <c r="AE102" i="4"/>
  <c r="AO102" i="4" s="1"/>
  <c r="AY88" i="4"/>
  <c r="AZ88" i="4" s="1"/>
  <c r="D107" i="4" s="1"/>
  <c r="AQ150" i="4"/>
  <c r="AU91" i="4"/>
  <c r="AV91" i="4" s="1"/>
  <c r="AR92" i="4" s="1"/>
  <c r="AT92" i="4" s="1"/>
  <c r="Y108" i="4"/>
  <c r="AA108" i="4" s="1"/>
  <c r="X109" i="4"/>
  <c r="BJ149" i="4"/>
  <c r="BR149" i="4" s="1"/>
  <c r="C169" i="4"/>
  <c r="S151" i="4"/>
  <c r="BL149" i="4"/>
  <c r="BG150" i="4"/>
  <c r="H169" i="4" l="1"/>
  <c r="BH151" i="4"/>
  <c r="BE151" i="4"/>
  <c r="BI150" i="4"/>
  <c r="BJ150" i="4" s="1"/>
  <c r="BR150" i="4" s="1"/>
  <c r="AM150" i="4"/>
  <c r="BK151" i="4"/>
  <c r="BF152" i="4" s="1"/>
  <c r="AB151" i="4"/>
  <c r="T151" i="4"/>
  <c r="Z151" i="4" s="1"/>
  <c r="U151" i="4"/>
  <c r="BI155" i="5"/>
  <c r="BW155" i="5"/>
  <c r="G168" i="5"/>
  <c r="P168" i="5" s="1"/>
  <c r="BX153" i="5"/>
  <c r="BJ153" i="5"/>
  <c r="AG155" i="5"/>
  <c r="AU155" i="5"/>
  <c r="AW152" i="5"/>
  <c r="E168" i="5" s="1"/>
  <c r="N168" i="5" s="1"/>
  <c r="AV152" i="5"/>
  <c r="AH152" i="5"/>
  <c r="AI152" i="5"/>
  <c r="D168" i="5" s="1"/>
  <c r="M168" i="5" s="1"/>
  <c r="L170" i="5"/>
  <c r="AE103" i="4"/>
  <c r="AO103" i="4" s="1"/>
  <c r="AD92" i="4"/>
  <c r="AH92" i="4" s="1"/>
  <c r="AJ92" i="4" s="1"/>
  <c r="AW92" i="4" s="1"/>
  <c r="AX92" i="4" s="1"/>
  <c r="AK90" i="4"/>
  <c r="BA90" i="4" s="1"/>
  <c r="BB90" i="4" s="1"/>
  <c r="AK91" i="4"/>
  <c r="BA91" i="4" s="1"/>
  <c r="BB91" i="4" s="1"/>
  <c r="BS149" i="4"/>
  <c r="BS148" i="4"/>
  <c r="BT146" i="4"/>
  <c r="G165" i="4" s="1"/>
  <c r="BP147" i="4"/>
  <c r="BQ147" i="4" s="1"/>
  <c r="F166" i="4" s="1"/>
  <c r="AR153" i="5"/>
  <c r="AS153" i="5" s="1"/>
  <c r="BF152" i="5"/>
  <c r="BG152" i="5" s="1"/>
  <c r="Y155" i="5"/>
  <c r="Z155" i="5" s="1"/>
  <c r="X155" i="5"/>
  <c r="AF154" i="5" s="1"/>
  <c r="AD155" i="5"/>
  <c r="BM155" i="5"/>
  <c r="BP155" i="5"/>
  <c r="BO155" i="5"/>
  <c r="BN155" i="5"/>
  <c r="BV154" i="5" s="1"/>
  <c r="AA154" i="5"/>
  <c r="AB154" i="5" s="1"/>
  <c r="AE154" i="5" s="1"/>
  <c r="BR154" i="5"/>
  <c r="BT153" i="5"/>
  <c r="BU153" i="5" s="1"/>
  <c r="AO154" i="5"/>
  <c r="AP154" i="5" s="1"/>
  <c r="BC154" i="5"/>
  <c r="BD154" i="5" s="1"/>
  <c r="BF153" i="5"/>
  <c r="BG153" i="5" s="1"/>
  <c r="BS155" i="5"/>
  <c r="AC155" i="5"/>
  <c r="W156" i="5" s="1"/>
  <c r="U155" i="5"/>
  <c r="AA155" i="5" s="1"/>
  <c r="BE155" i="5"/>
  <c r="T156" i="5"/>
  <c r="AQ155" i="5"/>
  <c r="C171" i="5"/>
  <c r="H171" i="5" s="1"/>
  <c r="Q171" i="5" s="1"/>
  <c r="V155" i="5"/>
  <c r="I171" i="5" s="1"/>
  <c r="R171" i="5" s="1"/>
  <c r="BA155" i="5"/>
  <c r="BB155" i="5"/>
  <c r="AY155" i="5"/>
  <c r="AZ155" i="5"/>
  <c r="BH154" i="5" s="1"/>
  <c r="AM155" i="5"/>
  <c r="AL155" i="5"/>
  <c r="AT154" i="5" s="1"/>
  <c r="AK155" i="5"/>
  <c r="AN155" i="5"/>
  <c r="BN148" i="4"/>
  <c r="BO148" i="4" s="1"/>
  <c r="BM148" i="4"/>
  <c r="AF114" i="4"/>
  <c r="AG126" i="4" s="1"/>
  <c r="AL102" i="4"/>
  <c r="AN102" i="4" s="1"/>
  <c r="BC88" i="4"/>
  <c r="E107" i="4" s="1"/>
  <c r="AY89" i="4"/>
  <c r="AQ151" i="4"/>
  <c r="AU92" i="4"/>
  <c r="AV92" i="4" s="1"/>
  <c r="AR93" i="4" s="1"/>
  <c r="AT93" i="4" s="1"/>
  <c r="Y109" i="4"/>
  <c r="AA109" i="4" s="1"/>
  <c r="X110" i="4"/>
  <c r="I170" i="4"/>
  <c r="C170" i="4"/>
  <c r="S152" i="4"/>
  <c r="BL150" i="4"/>
  <c r="BG151" i="4"/>
  <c r="H170" i="4" l="1"/>
  <c r="BI151" i="4"/>
  <c r="AM151" i="4"/>
  <c r="AB152" i="4"/>
  <c r="BK152" i="4"/>
  <c r="BF153" i="4" s="1"/>
  <c r="T152" i="4"/>
  <c r="Z152" i="4" s="1"/>
  <c r="U152" i="4"/>
  <c r="I171" i="4" s="1"/>
  <c r="BH152" i="4"/>
  <c r="BE152" i="4"/>
  <c r="BI156" i="5"/>
  <c r="BW156" i="5"/>
  <c r="BX154" i="5"/>
  <c r="BY153" i="5"/>
  <c r="G169" i="5" s="1"/>
  <c r="P169" i="5" s="1"/>
  <c r="BK152" i="5"/>
  <c r="F168" i="5" s="1"/>
  <c r="O168" i="5" s="1"/>
  <c r="BK153" i="5"/>
  <c r="F169" i="5" s="1"/>
  <c r="O169" i="5" s="1"/>
  <c r="BJ154" i="5"/>
  <c r="AW153" i="5"/>
  <c r="E169" i="5" s="1"/>
  <c r="N169" i="5" s="1"/>
  <c r="AV153" i="5"/>
  <c r="AG156" i="5"/>
  <c r="AU156" i="5"/>
  <c r="AH153" i="5"/>
  <c r="AI153" i="5"/>
  <c r="D169" i="5" s="1"/>
  <c r="M169" i="5" s="1"/>
  <c r="AL103" i="4"/>
  <c r="AN103" i="4" s="1"/>
  <c r="AE104" i="4"/>
  <c r="AO104" i="4" s="1"/>
  <c r="AD93" i="4"/>
  <c r="AE105" i="4" s="1"/>
  <c r="AO105" i="4" s="1"/>
  <c r="L171" i="5"/>
  <c r="AF115" i="4"/>
  <c r="AG127" i="4" s="1"/>
  <c r="AK92" i="4"/>
  <c r="BA92" i="4" s="1"/>
  <c r="BB92" i="4" s="1"/>
  <c r="BP148" i="4"/>
  <c r="BQ148" i="4" s="1"/>
  <c r="F167" i="4" s="1"/>
  <c r="BS150" i="4"/>
  <c r="BT147" i="4"/>
  <c r="G166" i="4" s="1"/>
  <c r="AR154" i="5"/>
  <c r="AS154" i="5" s="1"/>
  <c r="BF154" i="5"/>
  <c r="BG154" i="5" s="1"/>
  <c r="AK156" i="5"/>
  <c r="AL156" i="5"/>
  <c r="AT155" i="5" s="1"/>
  <c r="AM156" i="5"/>
  <c r="AN156" i="5"/>
  <c r="AB155" i="5"/>
  <c r="AE155" i="5" s="1"/>
  <c r="T157" i="5"/>
  <c r="C172" i="5"/>
  <c r="H172" i="5" s="1"/>
  <c r="Q172" i="5" s="1"/>
  <c r="BS156" i="5"/>
  <c r="AQ156" i="5"/>
  <c r="U156" i="5"/>
  <c r="BC156" i="5" s="1"/>
  <c r="BE156" i="5"/>
  <c r="AC156" i="5"/>
  <c r="W157" i="5" s="1"/>
  <c r="V156" i="5"/>
  <c r="I172" i="5" s="1"/>
  <c r="R172" i="5" s="1"/>
  <c r="Y156" i="5"/>
  <c r="Z156" i="5" s="1"/>
  <c r="X156" i="5"/>
  <c r="AF155" i="5" s="1"/>
  <c r="AD156" i="5"/>
  <c r="BM156" i="5"/>
  <c r="BO156" i="5"/>
  <c r="BN156" i="5"/>
  <c r="BV155" i="5" s="1"/>
  <c r="BP156" i="5"/>
  <c r="BB156" i="5"/>
  <c r="BA156" i="5"/>
  <c r="AY156" i="5"/>
  <c r="AZ156" i="5"/>
  <c r="BH155" i="5" s="1"/>
  <c r="BC155" i="5"/>
  <c r="BD155" i="5" s="1"/>
  <c r="BT154" i="5"/>
  <c r="BU154" i="5" s="1"/>
  <c r="AO155" i="5"/>
  <c r="AP155" i="5" s="1"/>
  <c r="BQ155" i="5"/>
  <c r="BR155" i="5" s="1"/>
  <c r="BN149" i="4"/>
  <c r="BO149" i="4" s="1"/>
  <c r="BM149" i="4"/>
  <c r="BC89" i="4"/>
  <c r="E108" i="4" s="1"/>
  <c r="AZ89" i="4"/>
  <c r="D108" i="4" s="1"/>
  <c r="AY90" i="4"/>
  <c r="AQ152" i="4"/>
  <c r="AU93" i="4"/>
  <c r="AV93" i="4" s="1"/>
  <c r="AR94" i="4" s="1"/>
  <c r="AT94" i="4" s="1"/>
  <c r="Y110" i="4"/>
  <c r="AA110" i="4" s="1"/>
  <c r="X111" i="4"/>
  <c r="Y111" i="4" s="1"/>
  <c r="AA111" i="4" s="1"/>
  <c r="BJ151" i="4"/>
  <c r="BR151" i="4" s="1"/>
  <c r="BL151" i="4"/>
  <c r="BG152" i="4"/>
  <c r="C171" i="4"/>
  <c r="S153" i="4"/>
  <c r="H171" i="4" l="1"/>
  <c r="BE153" i="4"/>
  <c r="BI152" i="4"/>
  <c r="AM152" i="4"/>
  <c r="AB153" i="4"/>
  <c r="BK153" i="4"/>
  <c r="BF154" i="4" s="1"/>
  <c r="T153" i="4"/>
  <c r="AM153" i="4" s="1"/>
  <c r="U153" i="4"/>
  <c r="I172" i="4" s="1"/>
  <c r="BH153" i="4"/>
  <c r="BI157" i="5"/>
  <c r="BW157" i="5"/>
  <c r="BX155" i="5"/>
  <c r="BY154" i="5"/>
  <c r="G170" i="5" s="1"/>
  <c r="P170" i="5" s="1"/>
  <c r="BJ155" i="5"/>
  <c r="BK154" i="5"/>
  <c r="F170" i="5" s="1"/>
  <c r="O170" i="5" s="1"/>
  <c r="AV154" i="5"/>
  <c r="AW154" i="5"/>
  <c r="E170" i="5" s="1"/>
  <c r="N170" i="5" s="1"/>
  <c r="AG157" i="5"/>
  <c r="AU157" i="5"/>
  <c r="AH154" i="5"/>
  <c r="AI154" i="5"/>
  <c r="D170" i="5" s="1"/>
  <c r="M170" i="5" s="1"/>
  <c r="AL104" i="4"/>
  <c r="AN104" i="4" s="1"/>
  <c r="AF116" i="4"/>
  <c r="AG128" i="4" s="1"/>
  <c r="AD94" i="4"/>
  <c r="AD95" i="4" s="1"/>
  <c r="AH93" i="4"/>
  <c r="AJ93" i="4" s="1"/>
  <c r="AW93" i="4" s="1"/>
  <c r="AX93" i="4" s="1"/>
  <c r="L172" i="5"/>
  <c r="V112" i="4"/>
  <c r="V113" i="4" s="1"/>
  <c r="V114" i="4" s="1"/>
  <c r="V115" i="4" s="1"/>
  <c r="V116" i="4" s="1"/>
  <c r="V117" i="4" s="1"/>
  <c r="V118" i="4" s="1"/>
  <c r="V119" i="4" s="1"/>
  <c r="V120" i="4" s="1"/>
  <c r="V121" i="4" s="1"/>
  <c r="V122" i="4" s="1"/>
  <c r="V123" i="4" s="1"/>
  <c r="V124" i="4" s="1"/>
  <c r="BP149" i="4"/>
  <c r="BT148" i="4"/>
  <c r="G167" i="4" s="1"/>
  <c r="BS151" i="4"/>
  <c r="BQ156" i="5"/>
  <c r="BR156" i="5" s="1"/>
  <c r="AO156" i="5"/>
  <c r="AP156" i="5" s="1"/>
  <c r="BT155" i="5"/>
  <c r="BU155" i="5" s="1"/>
  <c r="BY155" i="5" s="1"/>
  <c r="AR155" i="5"/>
  <c r="AS155" i="5" s="1"/>
  <c r="BF155" i="5"/>
  <c r="BG155" i="5" s="1"/>
  <c r="BK155" i="5" s="1"/>
  <c r="AL157" i="5"/>
  <c r="AT156" i="5" s="1"/>
  <c r="AK157" i="5"/>
  <c r="AM157" i="5"/>
  <c r="AN157" i="5"/>
  <c r="AD157" i="5"/>
  <c r="X157" i="5"/>
  <c r="AF156" i="5" s="1"/>
  <c r="Y157" i="5"/>
  <c r="Z157" i="5" s="1"/>
  <c r="BN157" i="5"/>
  <c r="BV156" i="5" s="1"/>
  <c r="BM157" i="5"/>
  <c r="BP157" i="5"/>
  <c r="BO157" i="5"/>
  <c r="BB157" i="5"/>
  <c r="AZ157" i="5"/>
  <c r="BH156" i="5" s="1"/>
  <c r="AY157" i="5"/>
  <c r="BA157" i="5"/>
  <c r="BD156" i="5"/>
  <c r="AA156" i="5"/>
  <c r="AB156" i="5" s="1"/>
  <c r="AE156" i="5" s="1"/>
  <c r="T158" i="5"/>
  <c r="C173" i="5"/>
  <c r="H173" i="5" s="1"/>
  <c r="Q173" i="5" s="1"/>
  <c r="U157" i="5"/>
  <c r="AA157" i="5" s="1"/>
  <c r="AQ157" i="5"/>
  <c r="BS157" i="5"/>
  <c r="AC157" i="5"/>
  <c r="W158" i="5" s="1"/>
  <c r="BE157" i="5"/>
  <c r="V157" i="5"/>
  <c r="I173" i="5" s="1"/>
  <c r="R173" i="5" s="1"/>
  <c r="BM150" i="4"/>
  <c r="BN150" i="4"/>
  <c r="BO150" i="4" s="1"/>
  <c r="BC90" i="4"/>
  <c r="E109" i="4" s="1"/>
  <c r="AZ90" i="4"/>
  <c r="D109" i="4" s="1"/>
  <c r="AY91" i="4"/>
  <c r="AZ91" i="4" s="1"/>
  <c r="D110" i="4" s="1"/>
  <c r="AQ153" i="4"/>
  <c r="AU94" i="4"/>
  <c r="AV94" i="4" s="1"/>
  <c r="AR95" i="4" s="1"/>
  <c r="AT95" i="4" s="1"/>
  <c r="AL105" i="4"/>
  <c r="AN105" i="4" s="1"/>
  <c r="AF117" i="4"/>
  <c r="AG129" i="4" s="1"/>
  <c r="BJ152" i="4"/>
  <c r="BR152" i="4" s="1"/>
  <c r="C172" i="4"/>
  <c r="S154" i="4"/>
  <c r="BL152" i="4"/>
  <c r="BG153" i="4"/>
  <c r="H172" i="4" l="1"/>
  <c r="BI153" i="4"/>
  <c r="Z153" i="4"/>
  <c r="BH154" i="4"/>
  <c r="AB154" i="4"/>
  <c r="BK154" i="4"/>
  <c r="BF155" i="4" s="1"/>
  <c r="T154" i="4"/>
  <c r="Z154" i="4" s="1"/>
  <c r="U154" i="4"/>
  <c r="I173" i="4" s="1"/>
  <c r="BE154" i="4"/>
  <c r="BI158" i="5"/>
  <c r="BW158" i="5"/>
  <c r="BX156" i="5"/>
  <c r="G171" i="5"/>
  <c r="P171" i="5" s="1"/>
  <c r="BJ156" i="5"/>
  <c r="F171" i="5"/>
  <c r="O171" i="5" s="1"/>
  <c r="AV155" i="5"/>
  <c r="AW155" i="5"/>
  <c r="E171" i="5" s="1"/>
  <c r="N171" i="5" s="1"/>
  <c r="AG158" i="5"/>
  <c r="AU158" i="5"/>
  <c r="AH155" i="5"/>
  <c r="AI155" i="5"/>
  <c r="D171" i="5" s="1"/>
  <c r="M171" i="5" s="1"/>
  <c r="AK93" i="4"/>
  <c r="BA93" i="4" s="1"/>
  <c r="BB93" i="4" s="1"/>
  <c r="AE106" i="4"/>
  <c r="AO106" i="4" s="1"/>
  <c r="AH94" i="4"/>
  <c r="AJ94" i="4" s="1"/>
  <c r="AW94" i="4" s="1"/>
  <c r="AX94" i="4" s="1"/>
  <c r="W112" i="4"/>
  <c r="W113" i="4" s="1"/>
  <c r="W114" i="4" s="1"/>
  <c r="L173" i="5"/>
  <c r="V125" i="4"/>
  <c r="AC124" i="4"/>
  <c r="BT149" i="4"/>
  <c r="G168" i="4" s="1"/>
  <c r="BQ149" i="4"/>
  <c r="F168" i="4" s="1"/>
  <c r="BP150" i="4"/>
  <c r="BC157" i="5"/>
  <c r="BD157" i="5" s="1"/>
  <c r="AB157" i="5"/>
  <c r="AE157" i="5" s="1"/>
  <c r="AM158" i="5"/>
  <c r="AL158" i="5"/>
  <c r="AT157" i="5" s="1"/>
  <c r="AK158" i="5"/>
  <c r="AN158" i="5"/>
  <c r="BE158" i="5"/>
  <c r="AC158" i="5"/>
  <c r="W159" i="5" s="1"/>
  <c r="U158" i="5"/>
  <c r="AO158" i="5" s="1"/>
  <c r="C174" i="5"/>
  <c r="H174" i="5" s="1"/>
  <c r="Q174" i="5" s="1"/>
  <c r="T159" i="5"/>
  <c r="BS158" i="5"/>
  <c r="AQ158" i="5"/>
  <c r="V158" i="5"/>
  <c r="I174" i="5" s="1"/>
  <c r="R174" i="5" s="1"/>
  <c r="BA158" i="5"/>
  <c r="BB158" i="5"/>
  <c r="AY158" i="5"/>
  <c r="AZ158" i="5"/>
  <c r="BH157" i="5" s="1"/>
  <c r="AO157" i="5"/>
  <c r="AP157" i="5" s="1"/>
  <c r="BT156" i="5"/>
  <c r="BU156" i="5" s="1"/>
  <c r="BY156" i="5" s="1"/>
  <c r="AR156" i="5"/>
  <c r="AS156" i="5" s="1"/>
  <c r="BQ157" i="5"/>
  <c r="BR157" i="5" s="1"/>
  <c r="Y158" i="5"/>
  <c r="Z158" i="5" s="1"/>
  <c r="X158" i="5"/>
  <c r="AF157" i="5" s="1"/>
  <c r="AD158" i="5"/>
  <c r="BF156" i="5"/>
  <c r="BG156" i="5" s="1"/>
  <c r="BK156" i="5" s="1"/>
  <c r="BO158" i="5"/>
  <c r="BN158" i="5"/>
  <c r="BV157" i="5" s="1"/>
  <c r="BM158" i="5"/>
  <c r="BP158" i="5"/>
  <c r="BS152" i="4"/>
  <c r="BM151" i="4"/>
  <c r="BN151" i="4"/>
  <c r="BO151" i="4" s="1"/>
  <c r="BC91" i="4"/>
  <c r="E110" i="4" s="1"/>
  <c r="AY92" i="4"/>
  <c r="AZ92" i="4" s="1"/>
  <c r="D111" i="4" s="1"/>
  <c r="AQ154" i="4"/>
  <c r="AU95" i="4"/>
  <c r="AV95" i="4" s="1"/>
  <c r="AR96" i="4" s="1"/>
  <c r="AT96" i="4" s="1"/>
  <c r="AH95" i="4"/>
  <c r="AJ95" i="4" s="1"/>
  <c r="AW95" i="4" s="1"/>
  <c r="AX95" i="4" s="1"/>
  <c r="AD96" i="4"/>
  <c r="AE107" i="4"/>
  <c r="AO107" i="4" s="1"/>
  <c r="BJ153" i="4"/>
  <c r="BR153" i="4" s="1"/>
  <c r="C173" i="4"/>
  <c r="S155" i="4"/>
  <c r="BG154" i="4"/>
  <c r="BL153" i="4"/>
  <c r="H173" i="4" l="1"/>
  <c r="BE155" i="4"/>
  <c r="BK155" i="4"/>
  <c r="BF156" i="4" s="1"/>
  <c r="AB155" i="4"/>
  <c r="T155" i="4"/>
  <c r="Z155" i="4" s="1"/>
  <c r="U155" i="4"/>
  <c r="I174" i="4" s="1"/>
  <c r="BI154" i="4"/>
  <c r="BJ154" i="4" s="1"/>
  <c r="BR154" i="4" s="1"/>
  <c r="AM154" i="4"/>
  <c r="BH155" i="4"/>
  <c r="BI159" i="5"/>
  <c r="BW159" i="5"/>
  <c r="G172" i="5"/>
  <c r="P172" i="5" s="1"/>
  <c r="BX157" i="5"/>
  <c r="BJ157" i="5"/>
  <c r="F172" i="5"/>
  <c r="O172" i="5" s="1"/>
  <c r="AG159" i="5"/>
  <c r="AU159" i="5"/>
  <c r="AV156" i="5"/>
  <c r="AW156" i="5"/>
  <c r="E172" i="5" s="1"/>
  <c r="N172" i="5" s="1"/>
  <c r="AH156" i="5"/>
  <c r="AI156" i="5"/>
  <c r="D172" i="5" s="1"/>
  <c r="M172" i="5" s="1"/>
  <c r="AK94" i="4"/>
  <c r="BA94" i="4" s="1"/>
  <c r="BB94" i="4" s="1"/>
  <c r="AF118" i="4"/>
  <c r="AG130" i="4" s="1"/>
  <c r="AL106" i="4"/>
  <c r="AN106" i="4" s="1"/>
  <c r="AP111" i="4"/>
  <c r="AP112" i="4"/>
  <c r="L174" i="5"/>
  <c r="W115" i="4"/>
  <c r="AP113" i="4"/>
  <c r="V126" i="4"/>
  <c r="AC125" i="4"/>
  <c r="BQ150" i="4"/>
  <c r="F169" i="4" s="1"/>
  <c r="BT150" i="4"/>
  <c r="G169" i="4" s="1"/>
  <c r="BP151" i="4"/>
  <c r="AK95" i="4"/>
  <c r="BA95" i="4" s="1"/>
  <c r="BB95" i="4" s="1"/>
  <c r="BT157" i="5"/>
  <c r="BU157" i="5" s="1"/>
  <c r="AR157" i="5"/>
  <c r="AS157" i="5" s="1"/>
  <c r="Y159" i="5"/>
  <c r="Z159" i="5" s="1"/>
  <c r="X159" i="5"/>
  <c r="AF158" i="5" s="1"/>
  <c r="AD159" i="5"/>
  <c r="AN159" i="5"/>
  <c r="AM159" i="5"/>
  <c r="AL159" i="5"/>
  <c r="AT158" i="5" s="1"/>
  <c r="AK159" i="5"/>
  <c r="BB159" i="5"/>
  <c r="AY159" i="5"/>
  <c r="AZ159" i="5"/>
  <c r="BH158" i="5" s="1"/>
  <c r="BA159" i="5"/>
  <c r="BP159" i="5"/>
  <c r="BO159" i="5"/>
  <c r="BN159" i="5"/>
  <c r="BV158" i="5" s="1"/>
  <c r="BM159" i="5"/>
  <c r="AP158" i="5"/>
  <c r="BF157" i="5"/>
  <c r="BG157" i="5" s="1"/>
  <c r="BQ158" i="5"/>
  <c r="BR158" i="5" s="1"/>
  <c r="AA158" i="5"/>
  <c r="AB158" i="5" s="1"/>
  <c r="AE158" i="5" s="1"/>
  <c r="BC158" i="5"/>
  <c r="BD158" i="5" s="1"/>
  <c r="BE159" i="5"/>
  <c r="AC159" i="5"/>
  <c r="W160" i="5" s="1"/>
  <c r="U159" i="5"/>
  <c r="AO159" i="5" s="1"/>
  <c r="AQ159" i="5"/>
  <c r="C175" i="5"/>
  <c r="H175" i="5" s="1"/>
  <c r="Q175" i="5" s="1"/>
  <c r="T160" i="5"/>
  <c r="BS159" i="5"/>
  <c r="V159" i="5"/>
  <c r="I175" i="5" s="1"/>
  <c r="R175" i="5" s="1"/>
  <c r="BN152" i="4"/>
  <c r="BO152" i="4" s="1"/>
  <c r="BM152" i="4"/>
  <c r="BS153" i="4"/>
  <c r="BC92" i="4"/>
  <c r="E111" i="4" s="1"/>
  <c r="AY93" i="4"/>
  <c r="AZ93" i="4" s="1"/>
  <c r="D112" i="4" s="1"/>
  <c r="AQ155" i="4"/>
  <c r="AU96" i="4"/>
  <c r="AV96" i="4" s="1"/>
  <c r="AR97" i="4" s="1"/>
  <c r="AT97" i="4" s="1"/>
  <c r="AL107" i="4"/>
  <c r="AN107" i="4" s="1"/>
  <c r="AF119" i="4"/>
  <c r="AG131" i="4" s="1"/>
  <c r="AD97" i="4"/>
  <c r="AE108" i="4"/>
  <c r="AO108" i="4" s="1"/>
  <c r="AH96" i="4"/>
  <c r="AJ96" i="4" s="1"/>
  <c r="AW96" i="4" s="1"/>
  <c r="AX96" i="4" s="1"/>
  <c r="C174" i="4"/>
  <c r="H174" i="4" s="1"/>
  <c r="S156" i="4"/>
  <c r="BL154" i="4"/>
  <c r="BG155" i="4"/>
  <c r="BI155" i="4" l="1"/>
  <c r="BJ155" i="4" s="1"/>
  <c r="BR155" i="4" s="1"/>
  <c r="AM155" i="4"/>
  <c r="BH156" i="4"/>
  <c r="BE156" i="4"/>
  <c r="BK156" i="4"/>
  <c r="BF157" i="4" s="1"/>
  <c r="AB156" i="4"/>
  <c r="T156" i="4"/>
  <c r="U156" i="4"/>
  <c r="I175" i="4" s="1"/>
  <c r="BI160" i="5"/>
  <c r="BW160" i="5"/>
  <c r="BY157" i="5"/>
  <c r="G173" i="5" s="1"/>
  <c r="P173" i="5" s="1"/>
  <c r="BX158" i="5"/>
  <c r="BJ158" i="5"/>
  <c r="BK157" i="5"/>
  <c r="F173" i="5" s="1"/>
  <c r="O173" i="5" s="1"/>
  <c r="AV157" i="5"/>
  <c r="AW157" i="5"/>
  <c r="E173" i="5" s="1"/>
  <c r="N173" i="5" s="1"/>
  <c r="AG160" i="5"/>
  <c r="AU160" i="5"/>
  <c r="AH157" i="5"/>
  <c r="AI157" i="5"/>
  <c r="D173" i="5" s="1"/>
  <c r="M173" i="5" s="1"/>
  <c r="L175" i="5"/>
  <c r="W116" i="4"/>
  <c r="AP114" i="4"/>
  <c r="V127" i="4"/>
  <c r="AC126" i="4"/>
  <c r="BQ151" i="4"/>
  <c r="F170" i="4" s="1"/>
  <c r="BT151" i="4"/>
  <c r="G170" i="4" s="1"/>
  <c r="BP152" i="4"/>
  <c r="AK96" i="4"/>
  <c r="BA96" i="4" s="1"/>
  <c r="BB96" i="4" s="1"/>
  <c r="BC159" i="5"/>
  <c r="BD159" i="5" s="1"/>
  <c r="AA159" i="5"/>
  <c r="AB159" i="5" s="1"/>
  <c r="AE159" i="5" s="1"/>
  <c r="BF158" i="5"/>
  <c r="BG158" i="5" s="1"/>
  <c r="BP160" i="5"/>
  <c r="BO160" i="5"/>
  <c r="BM160" i="5"/>
  <c r="BN160" i="5"/>
  <c r="BV159" i="5" s="1"/>
  <c r="BQ159" i="5"/>
  <c r="BR159" i="5" s="1"/>
  <c r="AR158" i="5"/>
  <c r="AS158" i="5" s="1"/>
  <c r="AP159" i="5"/>
  <c r="C176" i="5"/>
  <c r="H176" i="5" s="1"/>
  <c r="Q176" i="5" s="1"/>
  <c r="BE160" i="5"/>
  <c r="AC160" i="5"/>
  <c r="W161" i="5" s="1"/>
  <c r="U160" i="5"/>
  <c r="BQ160" i="5" s="1"/>
  <c r="T161" i="5"/>
  <c r="AQ160" i="5"/>
  <c r="BS160" i="5"/>
  <c r="V160" i="5"/>
  <c r="I176" i="5" s="1"/>
  <c r="R176" i="5" s="1"/>
  <c r="AD160" i="5"/>
  <c r="Y160" i="5"/>
  <c r="Z160" i="5" s="1"/>
  <c r="X160" i="5"/>
  <c r="AF159" i="5" s="1"/>
  <c r="AY160" i="5"/>
  <c r="AZ160" i="5"/>
  <c r="BH159" i="5" s="1"/>
  <c r="BA160" i="5"/>
  <c r="BB160" i="5"/>
  <c r="BT158" i="5"/>
  <c r="BU158" i="5" s="1"/>
  <c r="AN160" i="5"/>
  <c r="AM160" i="5"/>
  <c r="AK160" i="5"/>
  <c r="AL160" i="5"/>
  <c r="AT159" i="5" s="1"/>
  <c r="BS154" i="4"/>
  <c r="BN153" i="4"/>
  <c r="BO153" i="4" s="1"/>
  <c r="BM153" i="4"/>
  <c r="BC93" i="4"/>
  <c r="E112" i="4" s="1"/>
  <c r="AY94" i="4"/>
  <c r="AZ94" i="4" s="1"/>
  <c r="D113" i="4" s="1"/>
  <c r="AQ156" i="4"/>
  <c r="AU97" i="4"/>
  <c r="AV97" i="4" s="1"/>
  <c r="AR98" i="4" s="1"/>
  <c r="AT98" i="4" s="1"/>
  <c r="AF120" i="4"/>
  <c r="AG132" i="4" s="1"/>
  <c r="AL108" i="4"/>
  <c r="AN108" i="4" s="1"/>
  <c r="AE109" i="4"/>
  <c r="AO109" i="4" s="1"/>
  <c r="AD98" i="4"/>
  <c r="AH97" i="4"/>
  <c r="AJ97" i="4" s="1"/>
  <c r="AW97" i="4" s="1"/>
  <c r="AX97" i="4" s="1"/>
  <c r="S157" i="4"/>
  <c r="C175" i="4"/>
  <c r="H175" i="4" s="1"/>
  <c r="BL155" i="4"/>
  <c r="BG156" i="4"/>
  <c r="BI156" i="4" l="1"/>
  <c r="AM156" i="4"/>
  <c r="BK157" i="4"/>
  <c r="BF158" i="4" s="1"/>
  <c r="AB157" i="4"/>
  <c r="T157" i="4"/>
  <c r="AM157" i="4" s="1"/>
  <c r="U157" i="4"/>
  <c r="I176" i="4" s="1"/>
  <c r="BE157" i="4"/>
  <c r="BH157" i="4"/>
  <c r="Z156" i="4"/>
  <c r="BI161" i="5"/>
  <c r="BW161" i="5"/>
  <c r="BX159" i="5"/>
  <c r="BY158" i="5"/>
  <c r="G174" i="5" s="1"/>
  <c r="P174" i="5" s="1"/>
  <c r="BK158" i="5"/>
  <c r="F174" i="5" s="1"/>
  <c r="O174" i="5" s="1"/>
  <c r="BJ159" i="5"/>
  <c r="AG161" i="5"/>
  <c r="AU161" i="5"/>
  <c r="AW158" i="5"/>
  <c r="E174" i="5" s="1"/>
  <c r="N174" i="5" s="1"/>
  <c r="AV158" i="5"/>
  <c r="AH158" i="5"/>
  <c r="AI158" i="5"/>
  <c r="D174" i="5" s="1"/>
  <c r="M174" i="5" s="1"/>
  <c r="L176" i="5"/>
  <c r="W117" i="4"/>
  <c r="AP115" i="4"/>
  <c r="V128" i="4"/>
  <c r="AC127" i="4"/>
  <c r="BQ152" i="4"/>
  <c r="F171" i="4" s="1"/>
  <c r="BT152" i="4"/>
  <c r="G171" i="4" s="1"/>
  <c r="AK97" i="4"/>
  <c r="BA97" i="4" s="1"/>
  <c r="BB97" i="4" s="1"/>
  <c r="BP153" i="4"/>
  <c r="BS155" i="4"/>
  <c r="AO160" i="5"/>
  <c r="AP160" i="5" s="1"/>
  <c r="AA160" i="5"/>
  <c r="AB160" i="5" s="1"/>
  <c r="AE160" i="5" s="1"/>
  <c r="BC160" i="5"/>
  <c r="BD160" i="5" s="1"/>
  <c r="BF160" i="5" s="1"/>
  <c r="BG160" i="5" s="1"/>
  <c r="BP161" i="5"/>
  <c r="BN161" i="5"/>
  <c r="BV160" i="5" s="1"/>
  <c r="BO161" i="5"/>
  <c r="BM161" i="5"/>
  <c r="X161" i="5"/>
  <c r="AF160" i="5" s="1"/>
  <c r="AD161" i="5"/>
  <c r="Y161" i="5"/>
  <c r="Z161" i="5" s="1"/>
  <c r="AN161" i="5"/>
  <c r="AL161" i="5"/>
  <c r="AT160" i="5" s="1"/>
  <c r="AM161" i="5"/>
  <c r="AK161" i="5"/>
  <c r="AZ161" i="5"/>
  <c r="BH160" i="5" s="1"/>
  <c r="AY161" i="5"/>
  <c r="BA161" i="5"/>
  <c r="BB161" i="5"/>
  <c r="BT159" i="5"/>
  <c r="BU159" i="5" s="1"/>
  <c r="BF159" i="5"/>
  <c r="BG159" i="5" s="1"/>
  <c r="BR160" i="5"/>
  <c r="BS161" i="5"/>
  <c r="AC161" i="5"/>
  <c r="W162" i="5" s="1"/>
  <c r="AQ161" i="5"/>
  <c r="C177" i="5"/>
  <c r="H177" i="5" s="1"/>
  <c r="Q177" i="5" s="1"/>
  <c r="BE161" i="5"/>
  <c r="U161" i="5"/>
  <c r="AA161" i="5" s="1"/>
  <c r="T162" i="5"/>
  <c r="V161" i="5"/>
  <c r="I177" i="5" s="1"/>
  <c r="R177" i="5" s="1"/>
  <c r="AR159" i="5"/>
  <c r="AS159" i="5" s="1"/>
  <c r="BM154" i="4"/>
  <c r="BN154" i="4"/>
  <c r="BO154" i="4" s="1"/>
  <c r="BC94" i="4"/>
  <c r="E113" i="4" s="1"/>
  <c r="AY95" i="4"/>
  <c r="AZ95" i="4" s="1"/>
  <c r="D114" i="4" s="1"/>
  <c r="AQ157" i="4"/>
  <c r="AU98" i="4"/>
  <c r="AV98" i="4" s="1"/>
  <c r="AE110" i="4"/>
  <c r="AO110" i="4" s="1"/>
  <c r="AH98" i="4"/>
  <c r="AJ98" i="4" s="1"/>
  <c r="AW98" i="4" s="1"/>
  <c r="AX98" i="4" s="1"/>
  <c r="AD99" i="4"/>
  <c r="AL109" i="4"/>
  <c r="AN109" i="4" s="1"/>
  <c r="AF121" i="4"/>
  <c r="AG133" i="4" s="1"/>
  <c r="BJ156" i="4"/>
  <c r="BR156" i="4" s="1"/>
  <c r="C176" i="4"/>
  <c r="H176" i="4" s="1"/>
  <c r="S158" i="4"/>
  <c r="BL156" i="4"/>
  <c r="BG157" i="4"/>
  <c r="BI157" i="4" l="1"/>
  <c r="BJ157" i="4" s="1"/>
  <c r="BR157" i="4" s="1"/>
  <c r="Z157" i="4"/>
  <c r="BK158" i="4"/>
  <c r="BF159" i="4" s="1"/>
  <c r="AB158" i="4"/>
  <c r="T158" i="4"/>
  <c r="Z158" i="4" s="1"/>
  <c r="U158" i="4"/>
  <c r="I177" i="4" s="1"/>
  <c r="BH158" i="4"/>
  <c r="BE158" i="4"/>
  <c r="BI162" i="5"/>
  <c r="BW162" i="5"/>
  <c r="BX160" i="5"/>
  <c r="BY159" i="5"/>
  <c r="G175" i="5" s="1"/>
  <c r="P175" i="5" s="1"/>
  <c r="BK159" i="5"/>
  <c r="F175" i="5" s="1"/>
  <c r="O175" i="5" s="1"/>
  <c r="BK160" i="5"/>
  <c r="F176" i="5" s="1"/>
  <c r="O176" i="5" s="1"/>
  <c r="BJ160" i="5"/>
  <c r="AG162" i="5"/>
  <c r="AU162" i="5"/>
  <c r="AV159" i="5"/>
  <c r="AW159" i="5"/>
  <c r="E175" i="5" s="1"/>
  <c r="N175" i="5" s="1"/>
  <c r="AH159" i="5"/>
  <c r="AI159" i="5"/>
  <c r="D175" i="5" s="1"/>
  <c r="M175" i="5" s="1"/>
  <c r="W118" i="4"/>
  <c r="AP116" i="4"/>
  <c r="L177" i="5"/>
  <c r="V129" i="4"/>
  <c r="AC128" i="4"/>
  <c r="BQ153" i="4"/>
  <c r="F172" i="4" s="1"/>
  <c r="BT153" i="4"/>
  <c r="G172" i="4" s="1"/>
  <c r="BP154" i="4"/>
  <c r="AK98" i="4"/>
  <c r="BA98" i="4" s="1"/>
  <c r="BB98" i="4" s="1"/>
  <c r="BS156" i="4"/>
  <c r="AR160" i="5"/>
  <c r="AS160" i="5" s="1"/>
  <c r="BC161" i="5"/>
  <c r="BD161" i="5" s="1"/>
  <c r="Y162" i="5"/>
  <c r="Z162" i="5" s="1"/>
  <c r="X162" i="5"/>
  <c r="AF161" i="5" s="1"/>
  <c r="AB161" i="5"/>
  <c r="AE161" i="5" s="1"/>
  <c r="BP162" i="5"/>
  <c r="BO162" i="5"/>
  <c r="BN162" i="5"/>
  <c r="BV161" i="5" s="1"/>
  <c r="BM162" i="5"/>
  <c r="BB162" i="5"/>
  <c r="BA162" i="5"/>
  <c r="AZ162" i="5"/>
  <c r="BH161" i="5" s="1"/>
  <c r="AY162" i="5"/>
  <c r="AO161" i="5"/>
  <c r="AP161" i="5" s="1"/>
  <c r="AN162" i="5"/>
  <c r="AK162" i="5"/>
  <c r="AM162" i="5"/>
  <c r="AL162" i="5"/>
  <c r="AT161" i="5" s="1"/>
  <c r="BQ161" i="5"/>
  <c r="BR161" i="5" s="1"/>
  <c r="BT162" i="5"/>
  <c r="BS162" i="5"/>
  <c r="BV162" i="5" s="1"/>
  <c r="AQ162" i="5"/>
  <c r="AT162" i="5" s="1"/>
  <c r="C178" i="5"/>
  <c r="BF162" i="5"/>
  <c r="AC162" i="5"/>
  <c r="U162" i="5"/>
  <c r="BC162" i="5" s="1"/>
  <c r="AD162" i="5"/>
  <c r="BE162" i="5"/>
  <c r="BH162" i="5" s="1"/>
  <c r="V162" i="5"/>
  <c r="I178" i="5" s="1"/>
  <c r="R178" i="5" s="1"/>
  <c r="G21" i="5"/>
  <c r="P21" i="5" s="1"/>
  <c r="G23" i="5"/>
  <c r="P23" i="5" s="1"/>
  <c r="G19" i="5"/>
  <c r="P19" i="5" s="1"/>
  <c r="F24" i="5"/>
  <c r="O24" i="5" s="1"/>
  <c r="F25" i="5"/>
  <c r="O25" i="5" s="1"/>
  <c r="G20" i="5"/>
  <c r="P20" i="5" s="1"/>
  <c r="D20" i="5"/>
  <c r="M20" i="5" s="1"/>
  <c r="E24" i="5"/>
  <c r="N24" i="5" s="1"/>
  <c r="G27" i="5"/>
  <c r="P27" i="5" s="1"/>
  <c r="E26" i="5"/>
  <c r="N26" i="5" s="1"/>
  <c r="I29" i="5"/>
  <c r="R29" i="5" s="1"/>
  <c r="D22" i="5"/>
  <c r="M22" i="5" s="1"/>
  <c r="E28" i="5"/>
  <c r="N28" i="5" s="1"/>
  <c r="G25" i="5"/>
  <c r="P25" i="5" s="1"/>
  <c r="D26" i="5"/>
  <c r="M26" i="5" s="1"/>
  <c r="I25" i="5"/>
  <c r="R25" i="5" s="1"/>
  <c r="I22" i="5"/>
  <c r="R22" i="5" s="1"/>
  <c r="I23" i="5"/>
  <c r="R23" i="5" s="1"/>
  <c r="I28" i="5"/>
  <c r="R28" i="5" s="1"/>
  <c r="G24" i="5"/>
  <c r="P24" i="5" s="1"/>
  <c r="F22" i="5"/>
  <c r="O22" i="5" s="1"/>
  <c r="D28" i="5"/>
  <c r="M28" i="5" s="1"/>
  <c r="I27" i="5"/>
  <c r="R27" i="5" s="1"/>
  <c r="D23" i="5"/>
  <c r="M23" i="5" s="1"/>
  <c r="G28" i="5"/>
  <c r="P28" i="5" s="1"/>
  <c r="F28" i="5"/>
  <c r="O28" i="5" s="1"/>
  <c r="G29" i="5"/>
  <c r="P29" i="5" s="1"/>
  <c r="D29" i="5"/>
  <c r="M29" i="5" s="1"/>
  <c r="E27" i="5"/>
  <c r="N27" i="5" s="1"/>
  <c r="E20" i="5"/>
  <c r="N20" i="5" s="1"/>
  <c r="F21" i="5"/>
  <c r="O21" i="5" s="1"/>
  <c r="E29" i="5"/>
  <c r="N29" i="5" s="1"/>
  <c r="I26" i="5"/>
  <c r="R26" i="5" s="1"/>
  <c r="E22" i="5"/>
  <c r="N22" i="5" s="1"/>
  <c r="I19" i="5"/>
  <c r="R19" i="5" s="1"/>
  <c r="F20" i="5"/>
  <c r="O20" i="5" s="1"/>
  <c r="F23" i="5"/>
  <c r="O23" i="5" s="1"/>
  <c r="E25" i="5"/>
  <c r="N25" i="5" s="1"/>
  <c r="D25" i="5"/>
  <c r="M25" i="5" s="1"/>
  <c r="I21" i="5"/>
  <c r="R21" i="5" s="1"/>
  <c r="F27" i="5"/>
  <c r="O27" i="5" s="1"/>
  <c r="G26" i="5"/>
  <c r="P26" i="5" s="1"/>
  <c r="F26" i="5"/>
  <c r="O26" i="5" s="1"/>
  <c r="F29" i="5"/>
  <c r="O29" i="5" s="1"/>
  <c r="I20" i="5"/>
  <c r="R20" i="5" s="1"/>
  <c r="I24" i="5"/>
  <c r="R24" i="5" s="1"/>
  <c r="G22" i="5"/>
  <c r="P22" i="5" s="1"/>
  <c r="D24" i="5"/>
  <c r="M24" i="5" s="1"/>
  <c r="D21" i="5"/>
  <c r="M21" i="5" s="1"/>
  <c r="E21" i="5"/>
  <c r="N21" i="5" s="1"/>
  <c r="D27" i="5"/>
  <c r="M27" i="5" s="1"/>
  <c r="E23" i="5"/>
  <c r="N23" i="5" s="1"/>
  <c r="BT160" i="5"/>
  <c r="BU160" i="5" s="1"/>
  <c r="BY160" i="5" s="1"/>
  <c r="BC95" i="4"/>
  <c r="E114" i="4" s="1"/>
  <c r="BN155" i="4"/>
  <c r="BO155" i="4" s="1"/>
  <c r="BM155" i="4"/>
  <c r="AY96" i="4"/>
  <c r="AZ96" i="4" s="1"/>
  <c r="D115" i="4" s="1"/>
  <c r="AQ158" i="4"/>
  <c r="AE111" i="4"/>
  <c r="AO111" i="4" s="1"/>
  <c r="AH99" i="4"/>
  <c r="AJ99" i="4" s="1"/>
  <c r="AK99" i="4" s="1"/>
  <c r="AF122" i="4"/>
  <c r="AG134" i="4" s="1"/>
  <c r="AL110" i="4"/>
  <c r="AN110" i="4" s="1"/>
  <c r="BL157" i="4"/>
  <c r="BG158" i="4"/>
  <c r="C177" i="4"/>
  <c r="H177" i="4" s="1"/>
  <c r="S159" i="4"/>
  <c r="H31" i="5" l="1"/>
  <c r="Q31" i="5" s="1"/>
  <c r="H178" i="5"/>
  <c r="Q178" i="5" s="1"/>
  <c r="BE159" i="4"/>
  <c r="BH159" i="4"/>
  <c r="BI158" i="4"/>
  <c r="BJ158" i="4" s="1"/>
  <c r="BR158" i="4" s="1"/>
  <c r="AM158" i="4"/>
  <c r="BK159" i="4"/>
  <c r="BL159" i="4" s="1"/>
  <c r="AC159" i="4"/>
  <c r="AB159" i="4"/>
  <c r="T159" i="4"/>
  <c r="Z159" i="4" s="1"/>
  <c r="U159" i="4"/>
  <c r="BX161" i="5"/>
  <c r="G176" i="5"/>
  <c r="P176" i="5" s="1"/>
  <c r="BJ161" i="5"/>
  <c r="AW160" i="5"/>
  <c r="E176" i="5" s="1"/>
  <c r="N176" i="5" s="1"/>
  <c r="AV160" i="5"/>
  <c r="AH160" i="5"/>
  <c r="AI160" i="5"/>
  <c r="D176" i="5" s="1"/>
  <c r="M176" i="5" s="1"/>
  <c r="L178" i="5"/>
  <c r="W119" i="4"/>
  <c r="AP117" i="4"/>
  <c r="V130" i="4"/>
  <c r="AC129" i="4"/>
  <c r="BT154" i="4"/>
  <c r="G173" i="4" s="1"/>
  <c r="BQ154" i="4"/>
  <c r="F173" i="4" s="1"/>
  <c r="BP155" i="4"/>
  <c r="I31" i="5"/>
  <c r="R31" i="5" s="1"/>
  <c r="I30" i="5"/>
  <c r="R30" i="5" s="1"/>
  <c r="AR161" i="5"/>
  <c r="AS161" i="5" s="1"/>
  <c r="BF161" i="5"/>
  <c r="BG161" i="5" s="1"/>
  <c r="BK161" i="5" s="1"/>
  <c r="BD162" i="5"/>
  <c r="BG162" i="5" s="1"/>
  <c r="AO162" i="5"/>
  <c r="AP162" i="5" s="1"/>
  <c r="AA162" i="5"/>
  <c r="AB162" i="5" s="1"/>
  <c r="AE162" i="5" s="1"/>
  <c r="BQ162" i="5"/>
  <c r="BR162" i="5" s="1"/>
  <c r="BU162" i="5" s="1"/>
  <c r="BT161" i="5"/>
  <c r="BU161" i="5" s="1"/>
  <c r="G31" i="4"/>
  <c r="O31" i="4" s="1"/>
  <c r="F28" i="4"/>
  <c r="N28" i="4" s="1"/>
  <c r="F22" i="4"/>
  <c r="N22" i="4" s="1"/>
  <c r="F25" i="4"/>
  <c r="N25" i="4" s="1"/>
  <c r="G24" i="4"/>
  <c r="O24" i="4" s="1"/>
  <c r="F31" i="4"/>
  <c r="N31" i="4" s="1"/>
  <c r="E20" i="4"/>
  <c r="M20" i="4" s="1"/>
  <c r="D22" i="4"/>
  <c r="L22" i="4" s="1"/>
  <c r="G28" i="4"/>
  <c r="O28" i="4" s="1"/>
  <c r="F19" i="4"/>
  <c r="N19" i="4" s="1"/>
  <c r="E31" i="4"/>
  <c r="M31" i="4" s="1"/>
  <c r="D23" i="4"/>
  <c r="L23" i="4" s="1"/>
  <c r="E23" i="4"/>
  <c r="M23" i="4" s="1"/>
  <c r="F27" i="4"/>
  <c r="N27" i="4" s="1"/>
  <c r="G20" i="4"/>
  <c r="O20" i="4" s="1"/>
  <c r="D19" i="4"/>
  <c r="L19" i="4" s="1"/>
  <c r="D21" i="4"/>
  <c r="L21" i="4" s="1"/>
  <c r="G23" i="4"/>
  <c r="O23" i="4" s="1"/>
  <c r="G27" i="4"/>
  <c r="O27" i="4" s="1"/>
  <c r="E21" i="4"/>
  <c r="M21" i="4" s="1"/>
  <c r="D20" i="4"/>
  <c r="L20" i="4" s="1"/>
  <c r="G22" i="4"/>
  <c r="O22" i="4" s="1"/>
  <c r="G25" i="4"/>
  <c r="O25" i="4" s="1"/>
  <c r="D31" i="4"/>
  <c r="L31" i="4" s="1"/>
  <c r="F21" i="4"/>
  <c r="N21" i="4" s="1"/>
  <c r="G29" i="4"/>
  <c r="O29" i="4" s="1"/>
  <c r="E22" i="4"/>
  <c r="M22" i="4" s="1"/>
  <c r="F24" i="4"/>
  <c r="N24" i="4" s="1"/>
  <c r="D24" i="4"/>
  <c r="L24" i="4" s="1"/>
  <c r="G21" i="4"/>
  <c r="O21" i="4" s="1"/>
  <c r="I31" i="4"/>
  <c r="Q31" i="4" s="1"/>
  <c r="E19" i="4"/>
  <c r="M19" i="4" s="1"/>
  <c r="F23" i="4"/>
  <c r="N23" i="4" s="1"/>
  <c r="E24" i="4"/>
  <c r="M24" i="4" s="1"/>
  <c r="G19" i="4"/>
  <c r="O19" i="4" s="1"/>
  <c r="F29" i="4"/>
  <c r="N29" i="4" s="1"/>
  <c r="F26" i="4"/>
  <c r="N26" i="4" s="1"/>
  <c r="G26" i="4"/>
  <c r="O26" i="4" s="1"/>
  <c r="F20" i="4"/>
  <c r="N20" i="4" s="1"/>
  <c r="BS157" i="4"/>
  <c r="BN156" i="4"/>
  <c r="BO156" i="4" s="1"/>
  <c r="BM156" i="4"/>
  <c r="BC96" i="4"/>
  <c r="E115" i="4" s="1"/>
  <c r="AY97" i="4"/>
  <c r="AZ97" i="4" s="1"/>
  <c r="D116" i="4" s="1"/>
  <c r="AQ99" i="4"/>
  <c r="AR99" i="4" s="1"/>
  <c r="AW99" i="4"/>
  <c r="AX99" i="4" s="1"/>
  <c r="BA99" i="4"/>
  <c r="AL111" i="4"/>
  <c r="AN111" i="4" s="1"/>
  <c r="AF123" i="4"/>
  <c r="AG135" i="4" s="1"/>
  <c r="I178" i="4"/>
  <c r="C178" i="4"/>
  <c r="I25" i="4"/>
  <c r="Q25" i="4" s="1"/>
  <c r="I22" i="4"/>
  <c r="Q22" i="4" s="1"/>
  <c r="I19" i="4"/>
  <c r="Q19" i="4" s="1"/>
  <c r="I24" i="4"/>
  <c r="Q24" i="4" s="1"/>
  <c r="I20" i="4"/>
  <c r="Q20" i="4" s="1"/>
  <c r="I27" i="4"/>
  <c r="Q27" i="4" s="1"/>
  <c r="I26" i="4"/>
  <c r="Q26" i="4" s="1"/>
  <c r="I23" i="4"/>
  <c r="Q23" i="4" s="1"/>
  <c r="I28" i="4"/>
  <c r="Q28" i="4" s="1"/>
  <c r="I21" i="4"/>
  <c r="Q21" i="4" s="1"/>
  <c r="I29" i="4"/>
  <c r="Q29" i="4" s="1"/>
  <c r="BL158" i="4"/>
  <c r="BG159" i="4"/>
  <c r="H178" i="4" l="1"/>
  <c r="BI159" i="4"/>
  <c r="BJ159" i="4" s="1"/>
  <c r="BR159" i="4" s="1"/>
  <c r="AM159" i="4"/>
  <c r="BY161" i="5"/>
  <c r="G177" i="5" s="1"/>
  <c r="P177" i="5" s="1"/>
  <c r="BX162" i="5"/>
  <c r="BY162" i="5"/>
  <c r="F177" i="5"/>
  <c r="O177" i="5" s="1"/>
  <c r="BJ162" i="5"/>
  <c r="BK162" i="5"/>
  <c r="AV161" i="5"/>
  <c r="AW161" i="5"/>
  <c r="E177" i="5" s="1"/>
  <c r="N177" i="5" s="1"/>
  <c r="AH161" i="5"/>
  <c r="AI161" i="5"/>
  <c r="D177" i="5" s="1"/>
  <c r="M177" i="5" s="1"/>
  <c r="W120" i="4"/>
  <c r="AP118" i="4"/>
  <c r="V131" i="4"/>
  <c r="AC130" i="4"/>
  <c r="AS99" i="4"/>
  <c r="AT99" i="4" s="1"/>
  <c r="AU99" i="4" s="1"/>
  <c r="AV99" i="4" s="1"/>
  <c r="AR100" i="4" s="1"/>
  <c r="AT100" i="4" s="1"/>
  <c r="BQ155" i="4"/>
  <c r="F174" i="4" s="1"/>
  <c r="BT155" i="4"/>
  <c r="G174" i="4" s="1"/>
  <c r="BP156" i="4"/>
  <c r="BB99" i="4"/>
  <c r="F31" i="5"/>
  <c r="O31" i="5" s="1"/>
  <c r="G31" i="5"/>
  <c r="P31" i="5" s="1"/>
  <c r="AR162" i="5"/>
  <c r="AS162" i="5" s="1"/>
  <c r="BS158" i="4"/>
  <c r="BN157" i="4"/>
  <c r="BO157" i="4" s="1"/>
  <c r="BM157" i="4"/>
  <c r="BC97" i="4"/>
  <c r="E116" i="4" s="1"/>
  <c r="AY98" i="4"/>
  <c r="I30" i="4"/>
  <c r="Q30" i="4" s="1"/>
  <c r="AV162" i="5" l="1"/>
  <c r="AW162" i="5"/>
  <c r="E30" i="5" s="1"/>
  <c r="N30" i="5" s="1"/>
  <c r="AH162" i="5"/>
  <c r="AI162" i="5"/>
  <c r="W121" i="4"/>
  <c r="AP119" i="4"/>
  <c r="V132" i="4"/>
  <c r="AC131" i="4"/>
  <c r="BT156" i="4"/>
  <c r="G175" i="4" s="1"/>
  <c r="BQ156" i="4"/>
  <c r="F175" i="4" s="1"/>
  <c r="BP157" i="4"/>
  <c r="BS159" i="4"/>
  <c r="E19" i="5"/>
  <c r="N19" i="5" s="1"/>
  <c r="D31" i="5"/>
  <c r="M31" i="5" s="1"/>
  <c r="G178" i="5"/>
  <c r="P178" i="5" s="1"/>
  <c r="G30" i="5"/>
  <c r="P30" i="5" s="1"/>
  <c r="F178" i="5"/>
  <c r="O178" i="5" s="1"/>
  <c r="F19" i="5"/>
  <c r="O19" i="5" s="1"/>
  <c r="F30" i="5"/>
  <c r="O30" i="5" s="1"/>
  <c r="BM158" i="4"/>
  <c r="BN158" i="4"/>
  <c r="BO158" i="4" s="1"/>
  <c r="BC98" i="4"/>
  <c r="E117" i="4" s="1"/>
  <c r="AZ98" i="4"/>
  <c r="D117" i="4" s="1"/>
  <c r="AY99" i="4"/>
  <c r="AU100" i="4"/>
  <c r="AV100" i="4" s="1"/>
  <c r="AR101" i="4" s="1"/>
  <c r="AT101" i="4" s="1"/>
  <c r="AD100" i="4"/>
  <c r="E31" i="5" l="1"/>
  <c r="N31" i="5" s="1"/>
  <c r="E178" i="5"/>
  <c r="N178" i="5" s="1"/>
  <c r="W122" i="4"/>
  <c r="AP120" i="4"/>
  <c r="V133" i="4"/>
  <c r="AC132" i="4"/>
  <c r="BT157" i="4"/>
  <c r="G176" i="4" s="1"/>
  <c r="BQ157" i="4"/>
  <c r="F176" i="4" s="1"/>
  <c r="BP158" i="4"/>
  <c r="AD101" i="4"/>
  <c r="AD102" i="4" s="1"/>
  <c r="D178" i="5"/>
  <c r="M178" i="5" s="1"/>
  <c r="D19" i="5"/>
  <c r="M19" i="5" s="1"/>
  <c r="D30" i="5"/>
  <c r="M30" i="5" s="1"/>
  <c r="BN159" i="4"/>
  <c r="BO159" i="4" s="1"/>
  <c r="BM159" i="4"/>
  <c r="BC99" i="4"/>
  <c r="E118" i="4" s="1"/>
  <c r="AZ99" i="4"/>
  <c r="D118" i="4" s="1"/>
  <c r="AU101" i="4"/>
  <c r="AV101" i="4" s="1"/>
  <c r="AR102" i="4" s="1"/>
  <c r="AT102" i="4" s="1"/>
  <c r="AE112" i="4"/>
  <c r="AO112" i="4" s="1"/>
  <c r="AH100" i="4"/>
  <c r="AJ100" i="4" s="1"/>
  <c r="AK100" i="4" s="1"/>
  <c r="W123" i="4" l="1"/>
  <c r="AP121" i="4"/>
  <c r="AH101" i="4"/>
  <c r="AJ101" i="4" s="1"/>
  <c r="AW101" i="4" s="1"/>
  <c r="AX101" i="4" s="1"/>
  <c r="V134" i="4"/>
  <c r="AC133" i="4"/>
  <c r="AE113" i="4"/>
  <c r="AO113" i="4" s="1"/>
  <c r="BT158" i="4"/>
  <c r="G177" i="4" s="1"/>
  <c r="BQ158" i="4"/>
  <c r="F177" i="4" s="1"/>
  <c r="BP159" i="4"/>
  <c r="E25" i="4"/>
  <c r="M25" i="4" s="1"/>
  <c r="D25" i="4"/>
  <c r="L25" i="4" s="1"/>
  <c r="AL112" i="4"/>
  <c r="AN112" i="4" s="1"/>
  <c r="AF124" i="4"/>
  <c r="AG136" i="4" s="1"/>
  <c r="BA100" i="4"/>
  <c r="AW100" i="4"/>
  <c r="AX100" i="4" s="1"/>
  <c r="AU102" i="4"/>
  <c r="AV102" i="4" s="1"/>
  <c r="AR103" i="4" s="1"/>
  <c r="AT103" i="4" s="1"/>
  <c r="AD103" i="4"/>
  <c r="AE114" i="4"/>
  <c r="AO114" i="4" s="1"/>
  <c r="AH102" i="4"/>
  <c r="AJ102" i="4" s="1"/>
  <c r="AW102" i="4" s="1"/>
  <c r="AX102" i="4" s="1"/>
  <c r="AF125" i="4" l="1"/>
  <c r="AG137" i="4" s="1"/>
  <c r="W124" i="4"/>
  <c r="W125" i="4" s="1"/>
  <c r="AP122" i="4"/>
  <c r="AL113" i="4"/>
  <c r="AN113" i="4" s="1"/>
  <c r="AK101" i="4"/>
  <c r="BA101" i="4" s="1"/>
  <c r="BB101" i="4" s="1"/>
  <c r="V135" i="4"/>
  <c r="AC134" i="4"/>
  <c r="BT159" i="4"/>
  <c r="BQ159" i="4"/>
  <c r="F178" i="4" s="1"/>
  <c r="AK102" i="4"/>
  <c r="BA102" i="4" s="1"/>
  <c r="BB102" i="4" s="1"/>
  <c r="BB100" i="4"/>
  <c r="AU103" i="4"/>
  <c r="AV103" i="4" s="1"/>
  <c r="AR104" i="4" s="1"/>
  <c r="AT104" i="4" s="1"/>
  <c r="AF126" i="4"/>
  <c r="AG138" i="4" s="1"/>
  <c r="AL114" i="4"/>
  <c r="AN114" i="4" s="1"/>
  <c r="AH103" i="4"/>
  <c r="AJ103" i="4" s="1"/>
  <c r="AW103" i="4" s="1"/>
  <c r="AX103" i="4" s="1"/>
  <c r="AD104" i="4"/>
  <c r="AE115" i="4"/>
  <c r="AO115" i="4" s="1"/>
  <c r="W126" i="4" l="1"/>
  <c r="AP124" i="4"/>
  <c r="F30" i="4"/>
  <c r="N30" i="4" s="1"/>
  <c r="V136" i="4"/>
  <c r="AC135" i="4"/>
  <c r="G178" i="4"/>
  <c r="G30" i="4"/>
  <c r="O30" i="4" s="1"/>
  <c r="AK103" i="4"/>
  <c r="BA103" i="4" s="1"/>
  <c r="BB103" i="4" s="1"/>
  <c r="AY100" i="4"/>
  <c r="AZ100" i="4" s="1"/>
  <c r="D119" i="4" s="1"/>
  <c r="AU104" i="4"/>
  <c r="AV104" i="4" s="1"/>
  <c r="AR105" i="4" s="1"/>
  <c r="AT105" i="4" s="1"/>
  <c r="AH104" i="4"/>
  <c r="AJ104" i="4" s="1"/>
  <c r="AW104" i="4" s="1"/>
  <c r="AX104" i="4" s="1"/>
  <c r="AD105" i="4"/>
  <c r="AE116" i="4"/>
  <c r="AO116" i="4" s="1"/>
  <c r="AL115" i="4"/>
  <c r="AN115" i="4" s="1"/>
  <c r="AF127" i="4"/>
  <c r="AG139" i="4" s="1"/>
  <c r="W127" i="4" l="1"/>
  <c r="AP125" i="4"/>
  <c r="V137" i="4"/>
  <c r="AC136" i="4"/>
  <c r="AK104" i="4"/>
  <c r="BA104" i="4" s="1"/>
  <c r="BB104" i="4" s="1"/>
  <c r="BC100" i="4"/>
  <c r="E119" i="4" s="1"/>
  <c r="AY101" i="4"/>
  <c r="BC101" i="4" s="1"/>
  <c r="E120" i="4" s="1"/>
  <c r="AU105" i="4"/>
  <c r="AV105" i="4" s="1"/>
  <c r="AR106" i="4" s="1"/>
  <c r="AT106" i="4" s="1"/>
  <c r="AF128" i="4"/>
  <c r="AG140" i="4" s="1"/>
  <c r="AL116" i="4"/>
  <c r="AN116" i="4" s="1"/>
  <c r="AD106" i="4"/>
  <c r="AE117" i="4"/>
  <c r="AO117" i="4" s="1"/>
  <c r="AH105" i="4"/>
  <c r="AJ105" i="4" s="1"/>
  <c r="AW105" i="4" s="1"/>
  <c r="AX105" i="4" s="1"/>
  <c r="W128" i="4" l="1"/>
  <c r="AP126" i="4"/>
  <c r="V138" i="4"/>
  <c r="AC137" i="4"/>
  <c r="AK105" i="4"/>
  <c r="BA105" i="4" s="1"/>
  <c r="BB105" i="4" s="1"/>
  <c r="AY102" i="4"/>
  <c r="BC102" i="4" s="1"/>
  <c r="E121" i="4" s="1"/>
  <c r="AZ101" i="4"/>
  <c r="D120" i="4" s="1"/>
  <c r="AU106" i="4"/>
  <c r="AV106" i="4" s="1"/>
  <c r="AR107" i="4" s="1"/>
  <c r="AT107" i="4" s="1"/>
  <c r="AH106" i="4"/>
  <c r="AJ106" i="4" s="1"/>
  <c r="AW106" i="4" s="1"/>
  <c r="AX106" i="4" s="1"/>
  <c r="AD107" i="4"/>
  <c r="AE118" i="4"/>
  <c r="AO118" i="4" s="1"/>
  <c r="AL117" i="4"/>
  <c r="AN117" i="4" s="1"/>
  <c r="AF129" i="4"/>
  <c r="AG141" i="4" s="1"/>
  <c r="W129" i="4" l="1"/>
  <c r="AP127" i="4"/>
  <c r="V139" i="4"/>
  <c r="AC138" i="4"/>
  <c r="AK106" i="4"/>
  <c r="BA106" i="4" s="1"/>
  <c r="BB106" i="4" s="1"/>
  <c r="AZ102" i="4"/>
  <c r="D121" i="4" s="1"/>
  <c r="AY103" i="4"/>
  <c r="BC103" i="4" s="1"/>
  <c r="E122" i="4" s="1"/>
  <c r="AU107" i="4"/>
  <c r="AV107" i="4" s="1"/>
  <c r="AR108" i="4" s="1"/>
  <c r="AT108" i="4" s="1"/>
  <c r="AF130" i="4"/>
  <c r="AG142" i="4" s="1"/>
  <c r="AL118" i="4"/>
  <c r="AN118" i="4" s="1"/>
  <c r="AH107" i="4"/>
  <c r="AJ107" i="4" s="1"/>
  <c r="AW107" i="4" s="1"/>
  <c r="AX107" i="4" s="1"/>
  <c r="AE119" i="4"/>
  <c r="AO119" i="4" s="1"/>
  <c r="AD108" i="4"/>
  <c r="W130" i="4" l="1"/>
  <c r="AP128" i="4"/>
  <c r="V140" i="4"/>
  <c r="AC139" i="4"/>
  <c r="AK107" i="4"/>
  <c r="BA107" i="4" s="1"/>
  <c r="BB107" i="4" s="1"/>
  <c r="AY104" i="4"/>
  <c r="BC104" i="4" s="1"/>
  <c r="E123" i="4" s="1"/>
  <c r="AZ103" i="4"/>
  <c r="D122" i="4" s="1"/>
  <c r="AU108" i="4"/>
  <c r="AV108" i="4" s="1"/>
  <c r="AR109" i="4" s="1"/>
  <c r="AT109" i="4" s="1"/>
  <c r="AL119" i="4"/>
  <c r="AN119" i="4" s="1"/>
  <c r="AF131" i="4"/>
  <c r="AG143" i="4" s="1"/>
  <c r="AE120" i="4"/>
  <c r="AO120" i="4" s="1"/>
  <c r="AD109" i="4"/>
  <c r="AH108" i="4"/>
  <c r="AJ108" i="4" s="1"/>
  <c r="AW108" i="4" s="1"/>
  <c r="AX108" i="4" s="1"/>
  <c r="W131" i="4" l="1"/>
  <c r="AP129" i="4"/>
  <c r="V141" i="4"/>
  <c r="AC140" i="4"/>
  <c r="AK108" i="4"/>
  <c r="BA108" i="4" s="1"/>
  <c r="BB108" i="4" s="1"/>
  <c r="AZ104" i="4"/>
  <c r="D123" i="4" s="1"/>
  <c r="AY105" i="4"/>
  <c r="BC105" i="4" s="1"/>
  <c r="E124" i="4" s="1"/>
  <c r="AU109" i="4"/>
  <c r="AV109" i="4" s="1"/>
  <c r="AR110" i="4" s="1"/>
  <c r="AT110" i="4" s="1"/>
  <c r="AL120" i="4"/>
  <c r="AN120" i="4" s="1"/>
  <c r="AF132" i="4"/>
  <c r="AG144" i="4" s="1"/>
  <c r="AD110" i="4"/>
  <c r="AE121" i="4"/>
  <c r="AO121" i="4" s="1"/>
  <c r="AH109" i="4"/>
  <c r="AJ109" i="4" s="1"/>
  <c r="AW109" i="4" s="1"/>
  <c r="AX109" i="4" s="1"/>
  <c r="W132" i="4" l="1"/>
  <c r="AP130" i="4"/>
  <c r="V142" i="4"/>
  <c r="AC141" i="4"/>
  <c r="AK109" i="4"/>
  <c r="BA109" i="4" s="1"/>
  <c r="BB109" i="4" s="1"/>
  <c r="AY106" i="4"/>
  <c r="BC106" i="4" s="1"/>
  <c r="E125" i="4" s="1"/>
  <c r="AZ105" i="4"/>
  <c r="D124" i="4" s="1"/>
  <c r="AU110" i="4"/>
  <c r="AV110" i="4" s="1"/>
  <c r="AE122" i="4"/>
  <c r="AO122" i="4" s="1"/>
  <c r="AD111" i="4"/>
  <c r="AH110" i="4"/>
  <c r="AJ110" i="4" s="1"/>
  <c r="AW110" i="4" s="1"/>
  <c r="AX110" i="4" s="1"/>
  <c r="AF133" i="4"/>
  <c r="AG145" i="4" s="1"/>
  <c r="AL121" i="4"/>
  <c r="AN121" i="4" s="1"/>
  <c r="W133" i="4" l="1"/>
  <c r="AP131" i="4"/>
  <c r="V143" i="4"/>
  <c r="AC142" i="4"/>
  <c r="AK110" i="4"/>
  <c r="BA110" i="4" s="1"/>
  <c r="BB110" i="4" s="1"/>
  <c r="AZ106" i="4"/>
  <c r="D125" i="4" s="1"/>
  <c r="AY107" i="4"/>
  <c r="AY108" i="4" s="1"/>
  <c r="AH111" i="4"/>
  <c r="AJ111" i="4" s="1"/>
  <c r="AW111" i="4" s="1"/>
  <c r="AX111" i="4" s="1"/>
  <c r="AE123" i="4"/>
  <c r="AO123" i="4" s="1"/>
  <c r="AF134" i="4"/>
  <c r="AG146" i="4" s="1"/>
  <c r="AL122" i="4"/>
  <c r="AN122" i="4" s="1"/>
  <c r="W134" i="4" l="1"/>
  <c r="AP132" i="4"/>
  <c r="BC107" i="4"/>
  <c r="E126" i="4" s="1"/>
  <c r="AZ107" i="4"/>
  <c r="D126" i="4" s="1"/>
  <c r="V144" i="4"/>
  <c r="AC143" i="4"/>
  <c r="AK111" i="4"/>
  <c r="BA111" i="4" s="1"/>
  <c r="BB111" i="4" s="1"/>
  <c r="BC108" i="4"/>
  <c r="E127" i="4" s="1"/>
  <c r="AZ108" i="4"/>
  <c r="D127" i="4" s="1"/>
  <c r="AY109" i="4"/>
  <c r="AQ111" i="4"/>
  <c r="AL123" i="4"/>
  <c r="AN123" i="4" s="1"/>
  <c r="AF135" i="4"/>
  <c r="AG147" i="4" s="1"/>
  <c r="W135" i="4" l="1"/>
  <c r="AP133" i="4"/>
  <c r="V145" i="4"/>
  <c r="AC144" i="4"/>
  <c r="BC109" i="4"/>
  <c r="E128" i="4" s="1"/>
  <c r="AZ109" i="4"/>
  <c r="D128" i="4" s="1"/>
  <c r="AY110" i="4"/>
  <c r="W136" i="4" l="1"/>
  <c r="W137" i="4" s="1"/>
  <c r="AP134" i="4"/>
  <c r="V146" i="4"/>
  <c r="AC145" i="4"/>
  <c r="BC110" i="4"/>
  <c r="E129" i="4" s="1"/>
  <c r="AZ110" i="4"/>
  <c r="D129" i="4" s="1"/>
  <c r="AY111" i="4"/>
  <c r="W138" i="4" l="1"/>
  <c r="AP136" i="4"/>
  <c r="V147" i="4"/>
  <c r="AC146" i="4"/>
  <c r="BC111" i="4"/>
  <c r="E130" i="4" s="1"/>
  <c r="AZ111" i="4"/>
  <c r="D130" i="4" s="1"/>
  <c r="X112" i="4"/>
  <c r="W139" i="4" l="1"/>
  <c r="AP137" i="4"/>
  <c r="V148" i="4"/>
  <c r="AC147" i="4"/>
  <c r="D26" i="4"/>
  <c r="L26" i="4" s="1"/>
  <c r="E26" i="4"/>
  <c r="M26" i="4" s="1"/>
  <c r="AR111" i="4"/>
  <c r="Y112" i="4"/>
  <c r="AA112" i="4" s="1"/>
  <c r="AC112" i="4" s="1"/>
  <c r="X113" i="4"/>
  <c r="AS112" i="4"/>
  <c r="W140" i="4" l="1"/>
  <c r="AP138" i="4"/>
  <c r="V149" i="4"/>
  <c r="AC148" i="4"/>
  <c r="AS111" i="4"/>
  <c r="AT111" i="4" s="1"/>
  <c r="AS113" i="4"/>
  <c r="Y113" i="4"/>
  <c r="AA113" i="4" s="1"/>
  <c r="AC113" i="4" s="1"/>
  <c r="X114" i="4"/>
  <c r="W141" i="4" l="1"/>
  <c r="AP139" i="4"/>
  <c r="V150" i="4"/>
  <c r="AC149" i="4"/>
  <c r="AU111" i="4"/>
  <c r="AV111" i="4" s="1"/>
  <c r="AR112" i="4" s="1"/>
  <c r="AT112" i="4" s="1"/>
  <c r="Y114" i="4"/>
  <c r="AA114" i="4" s="1"/>
  <c r="AC114" i="4" s="1"/>
  <c r="X115" i="4"/>
  <c r="AS114" i="4"/>
  <c r="W142" i="4" l="1"/>
  <c r="AP140" i="4"/>
  <c r="V151" i="4"/>
  <c r="AC150" i="4"/>
  <c r="AU112" i="4"/>
  <c r="AV112" i="4" s="1"/>
  <c r="AR113" i="4" s="1"/>
  <c r="AT113" i="4" s="1"/>
  <c r="AD112" i="4"/>
  <c r="Y115" i="4"/>
  <c r="AA115" i="4" s="1"/>
  <c r="AC115" i="4" s="1"/>
  <c r="X116" i="4"/>
  <c r="AS115" i="4"/>
  <c r="W143" i="4" l="1"/>
  <c r="AP141" i="4"/>
  <c r="V152" i="4"/>
  <c r="AC151" i="4"/>
  <c r="AU113" i="4"/>
  <c r="AV113" i="4" s="1"/>
  <c r="AR114" i="4" s="1"/>
  <c r="AT114" i="4" s="1"/>
  <c r="AD113" i="4"/>
  <c r="AH112" i="4"/>
  <c r="AJ112" i="4" s="1"/>
  <c r="AW112" i="4" s="1"/>
  <c r="AX112" i="4" s="1"/>
  <c r="AE124" i="4"/>
  <c r="AO124" i="4" s="1"/>
  <c r="AS116" i="4"/>
  <c r="Y116" i="4"/>
  <c r="AA116" i="4" s="1"/>
  <c r="AC116" i="4" s="1"/>
  <c r="X117" i="4"/>
  <c r="W144" i="4" l="1"/>
  <c r="AP142" i="4"/>
  <c r="V153" i="4"/>
  <c r="AC152" i="4"/>
  <c r="AK112" i="4"/>
  <c r="BA112" i="4" s="1"/>
  <c r="BB112" i="4" s="1"/>
  <c r="AL124" i="4"/>
  <c r="AN124" i="4" s="1"/>
  <c r="AF136" i="4"/>
  <c r="AG148" i="4" s="1"/>
  <c r="AD114" i="4"/>
  <c r="AH113" i="4"/>
  <c r="AJ113" i="4" s="1"/>
  <c r="AW113" i="4" s="1"/>
  <c r="AX113" i="4" s="1"/>
  <c r="AE125" i="4"/>
  <c r="AO125" i="4" s="1"/>
  <c r="AU114" i="4"/>
  <c r="AV114" i="4" s="1"/>
  <c r="AR115" i="4" s="1"/>
  <c r="AT115" i="4" s="1"/>
  <c r="Y117" i="4"/>
  <c r="AA117" i="4" s="1"/>
  <c r="AC117" i="4" s="1"/>
  <c r="X118" i="4"/>
  <c r="AS117" i="4"/>
  <c r="W145" i="4" l="1"/>
  <c r="AP143" i="4"/>
  <c r="V154" i="4"/>
  <c r="AC153" i="4"/>
  <c r="AK113" i="4"/>
  <c r="BA113" i="4" s="1"/>
  <c r="BB113" i="4" s="1"/>
  <c r="AU115" i="4"/>
  <c r="AV115" i="4" s="1"/>
  <c r="AR116" i="4" s="1"/>
  <c r="AT116" i="4" s="1"/>
  <c r="AH114" i="4"/>
  <c r="AJ114" i="4" s="1"/>
  <c r="AW114" i="4" s="1"/>
  <c r="AX114" i="4" s="1"/>
  <c r="AE126" i="4"/>
  <c r="AO126" i="4" s="1"/>
  <c r="AD115" i="4"/>
  <c r="AL125" i="4"/>
  <c r="AN125" i="4" s="1"/>
  <c r="AF137" i="4"/>
  <c r="AG149" i="4" s="1"/>
  <c r="Y118" i="4"/>
  <c r="AA118" i="4" s="1"/>
  <c r="AC118" i="4" s="1"/>
  <c r="X119" i="4"/>
  <c r="AS118" i="4"/>
  <c r="W146" i="4" l="1"/>
  <c r="AP144" i="4"/>
  <c r="V155" i="4"/>
  <c r="AC154" i="4"/>
  <c r="AK114" i="4"/>
  <c r="BA114" i="4" s="1"/>
  <c r="BB114" i="4" s="1"/>
  <c r="AY112" i="4"/>
  <c r="BC112" i="4" s="1"/>
  <c r="E131" i="4" s="1"/>
  <c r="AU116" i="4"/>
  <c r="AV116" i="4" s="1"/>
  <c r="AR117" i="4" s="1"/>
  <c r="AT117" i="4" s="1"/>
  <c r="AH115" i="4"/>
  <c r="AJ115" i="4" s="1"/>
  <c r="AW115" i="4" s="1"/>
  <c r="AX115" i="4" s="1"/>
  <c r="AE127" i="4"/>
  <c r="AO127" i="4" s="1"/>
  <c r="AD116" i="4"/>
  <c r="AF138" i="4"/>
  <c r="AG150" i="4" s="1"/>
  <c r="AL126" i="4"/>
  <c r="AN126" i="4" s="1"/>
  <c r="Y119" i="4"/>
  <c r="AA119" i="4" s="1"/>
  <c r="AC119" i="4" s="1"/>
  <c r="X120" i="4"/>
  <c r="AS119" i="4"/>
  <c r="W147" i="4" l="1"/>
  <c r="AP145" i="4"/>
  <c r="V156" i="4"/>
  <c r="AC155" i="4"/>
  <c r="AK115" i="4"/>
  <c r="BA115" i="4" s="1"/>
  <c r="BB115" i="4" s="1"/>
  <c r="AY113" i="4"/>
  <c r="AY114" i="4" s="1"/>
  <c r="AZ114" i="4" s="1"/>
  <c r="D133" i="4" s="1"/>
  <c r="AZ112" i="4"/>
  <c r="D131" i="4" s="1"/>
  <c r="AU117" i="4"/>
  <c r="AV117" i="4" s="1"/>
  <c r="AR118" i="4" s="1"/>
  <c r="AT118" i="4" s="1"/>
  <c r="AH116" i="4"/>
  <c r="AJ116" i="4" s="1"/>
  <c r="AW116" i="4" s="1"/>
  <c r="AX116" i="4" s="1"/>
  <c r="AD117" i="4"/>
  <c r="AE128" i="4"/>
  <c r="AO128" i="4" s="1"/>
  <c r="AF139" i="4"/>
  <c r="AG151" i="4" s="1"/>
  <c r="AL127" i="4"/>
  <c r="AN127" i="4" s="1"/>
  <c r="AS120" i="4"/>
  <c r="Y120" i="4"/>
  <c r="AA120" i="4" s="1"/>
  <c r="AC120" i="4" s="1"/>
  <c r="X121" i="4"/>
  <c r="W148" i="4" l="1"/>
  <c r="W149" i="4" s="1"/>
  <c r="AP146" i="4"/>
  <c r="V157" i="4"/>
  <c r="AC156" i="4"/>
  <c r="AK116" i="4"/>
  <c r="BA116" i="4" s="1"/>
  <c r="BB116" i="4" s="1"/>
  <c r="BC114" i="4"/>
  <c r="E133" i="4" s="1"/>
  <c r="BC113" i="4"/>
  <c r="E132" i="4" s="1"/>
  <c r="AZ113" i="4"/>
  <c r="D132" i="4" s="1"/>
  <c r="AY115" i="4"/>
  <c r="AU118" i="4"/>
  <c r="AV118" i="4" s="1"/>
  <c r="AR119" i="4" s="1"/>
  <c r="AT119" i="4" s="1"/>
  <c r="AH117" i="4"/>
  <c r="AJ117" i="4" s="1"/>
  <c r="AW117" i="4" s="1"/>
  <c r="AX117" i="4" s="1"/>
  <c r="AE129" i="4"/>
  <c r="AO129" i="4" s="1"/>
  <c r="AD118" i="4"/>
  <c r="AL128" i="4"/>
  <c r="AN128" i="4" s="1"/>
  <c r="AF140" i="4"/>
  <c r="AG152" i="4" s="1"/>
  <c r="AS121" i="4"/>
  <c r="Y121" i="4"/>
  <c r="AA121" i="4" s="1"/>
  <c r="AC121" i="4" s="1"/>
  <c r="X122" i="4"/>
  <c r="W150" i="4" l="1"/>
  <c r="AP148" i="4"/>
  <c r="V158" i="4"/>
  <c r="AC157" i="4"/>
  <c r="AK117" i="4"/>
  <c r="BA117" i="4" s="1"/>
  <c r="BB117" i="4" s="1"/>
  <c r="BC115" i="4"/>
  <c r="E134" i="4" s="1"/>
  <c r="AZ115" i="4"/>
  <c r="D134" i="4" s="1"/>
  <c r="AH118" i="4"/>
  <c r="AJ118" i="4" s="1"/>
  <c r="AW118" i="4" s="1"/>
  <c r="AX118" i="4" s="1"/>
  <c r="AE130" i="4"/>
  <c r="AO130" i="4" s="1"/>
  <c r="AD119" i="4"/>
  <c r="AF141" i="4"/>
  <c r="AG153" i="4" s="1"/>
  <c r="AL129" i="4"/>
  <c r="AN129" i="4" s="1"/>
  <c r="AU119" i="4"/>
  <c r="AV119" i="4" s="1"/>
  <c r="AR120" i="4" s="1"/>
  <c r="AT120" i="4" s="1"/>
  <c r="AS122" i="4"/>
  <c r="Y122" i="4"/>
  <c r="AA122" i="4" s="1"/>
  <c r="AC122" i="4" s="1"/>
  <c r="X123" i="4"/>
  <c r="W151" i="4" l="1"/>
  <c r="AP149" i="4"/>
  <c r="V159" i="4"/>
  <c r="AC158" i="4"/>
  <c r="AK118" i="4"/>
  <c r="BA118" i="4" s="1"/>
  <c r="BB118" i="4" s="1"/>
  <c r="AY116" i="4"/>
  <c r="AY117" i="4" s="1"/>
  <c r="AU120" i="4"/>
  <c r="AV120" i="4" s="1"/>
  <c r="AR121" i="4" s="1"/>
  <c r="AT121" i="4" s="1"/>
  <c r="AE131" i="4"/>
  <c r="AO131" i="4" s="1"/>
  <c r="AD120" i="4"/>
  <c r="AH119" i="4"/>
  <c r="AJ119" i="4" s="1"/>
  <c r="AW119" i="4" s="1"/>
  <c r="AX119" i="4" s="1"/>
  <c r="AL130" i="4"/>
  <c r="AN130" i="4" s="1"/>
  <c r="AF142" i="4"/>
  <c r="AG154" i="4" s="1"/>
  <c r="Y123" i="4"/>
  <c r="AA123" i="4" s="1"/>
  <c r="X124" i="4"/>
  <c r="AC123" i="4" l="1"/>
  <c r="AP123" i="4"/>
  <c r="W152" i="4"/>
  <c r="AP150" i="4"/>
  <c r="AK119" i="4"/>
  <c r="BA119" i="4" s="1"/>
  <c r="BB119" i="4" s="1"/>
  <c r="BC117" i="4"/>
  <c r="E136" i="4" s="1"/>
  <c r="AZ117" i="4"/>
  <c r="D136" i="4" s="1"/>
  <c r="BC116" i="4"/>
  <c r="E135" i="4" s="1"/>
  <c r="AZ116" i="4"/>
  <c r="D135" i="4" s="1"/>
  <c r="AU121" i="4"/>
  <c r="AV121" i="4" s="1"/>
  <c r="AR122" i="4" s="1"/>
  <c r="AT122" i="4" s="1"/>
  <c r="AH120" i="4"/>
  <c r="AJ120" i="4" s="1"/>
  <c r="AW120" i="4" s="1"/>
  <c r="AX120" i="4" s="1"/>
  <c r="AE132" i="4"/>
  <c r="AO132" i="4" s="1"/>
  <c r="AD121" i="4"/>
  <c r="AL131" i="4"/>
  <c r="AN131" i="4" s="1"/>
  <c r="AF143" i="4"/>
  <c r="AG155" i="4" s="1"/>
  <c r="AS124" i="4"/>
  <c r="Y124" i="4"/>
  <c r="AA124" i="4" s="1"/>
  <c r="X125" i="4"/>
  <c r="W153" i="4" l="1"/>
  <c r="AP151" i="4"/>
  <c r="AK120" i="4"/>
  <c r="BA120" i="4" s="1"/>
  <c r="BB120" i="4" s="1"/>
  <c r="AY118" i="4"/>
  <c r="AL132" i="4"/>
  <c r="AN132" i="4" s="1"/>
  <c r="AF144" i="4"/>
  <c r="AG156" i="4" s="1"/>
  <c r="AU122" i="4"/>
  <c r="AV122" i="4" s="1"/>
  <c r="AD122" i="4"/>
  <c r="AH121" i="4"/>
  <c r="AJ121" i="4" s="1"/>
  <c r="AW121" i="4" s="1"/>
  <c r="AX121" i="4" s="1"/>
  <c r="AE133" i="4"/>
  <c r="AO133" i="4" s="1"/>
  <c r="AS125" i="4"/>
  <c r="Y125" i="4"/>
  <c r="AA125" i="4" s="1"/>
  <c r="X126" i="4"/>
  <c r="W154" i="4" l="1"/>
  <c r="AP152" i="4"/>
  <c r="AK121" i="4"/>
  <c r="BA121" i="4" s="1"/>
  <c r="BB121" i="4" s="1"/>
  <c r="AY119" i="4"/>
  <c r="AY120" i="4" s="1"/>
  <c r="AZ118" i="4"/>
  <c r="D137" i="4" s="1"/>
  <c r="BC118" i="4"/>
  <c r="E137" i="4" s="1"/>
  <c r="AS126" i="4"/>
  <c r="AE134" i="4"/>
  <c r="AO134" i="4" s="1"/>
  <c r="AH122" i="4"/>
  <c r="AJ122" i="4" s="1"/>
  <c r="AW122" i="4" s="1"/>
  <c r="AX122" i="4" s="1"/>
  <c r="AD123" i="4"/>
  <c r="AL133" i="4"/>
  <c r="AN133" i="4" s="1"/>
  <c r="AF145" i="4"/>
  <c r="AG157" i="4" s="1"/>
  <c r="Y126" i="4"/>
  <c r="AA126" i="4" s="1"/>
  <c r="X127" i="4"/>
  <c r="W155" i="4" l="1"/>
  <c r="AP153" i="4"/>
  <c r="AK122" i="4"/>
  <c r="BA122" i="4" s="1"/>
  <c r="BB122" i="4" s="1"/>
  <c r="AS127" i="4"/>
  <c r="BC120" i="4"/>
  <c r="E139" i="4" s="1"/>
  <c r="AZ120" i="4"/>
  <c r="D139" i="4" s="1"/>
  <c r="BC119" i="4"/>
  <c r="E138" i="4" s="1"/>
  <c r="AZ119" i="4"/>
  <c r="D138" i="4" s="1"/>
  <c r="AY121" i="4"/>
  <c r="AE135" i="4"/>
  <c r="AO135" i="4" s="1"/>
  <c r="AH123" i="4"/>
  <c r="AJ123" i="4" s="1"/>
  <c r="AK123" i="4" s="1"/>
  <c r="AF146" i="4"/>
  <c r="AG158" i="4" s="1"/>
  <c r="AL134" i="4"/>
  <c r="AN134" i="4" s="1"/>
  <c r="Y127" i="4"/>
  <c r="AA127" i="4" s="1"/>
  <c r="X128" i="4"/>
  <c r="W156" i="4" l="1"/>
  <c r="AP154" i="4"/>
  <c r="AS128" i="4"/>
  <c r="BC121" i="4"/>
  <c r="E140" i="4" s="1"/>
  <c r="AZ121" i="4"/>
  <c r="D140" i="4" s="1"/>
  <c r="BA123" i="4"/>
  <c r="AW123" i="4"/>
  <c r="AX123" i="4" s="1"/>
  <c r="AQ123" i="4"/>
  <c r="AR123" i="4" s="1"/>
  <c r="AF147" i="4"/>
  <c r="AG159" i="4" s="1"/>
  <c r="AL135" i="4"/>
  <c r="AN135" i="4" s="1"/>
  <c r="Y128" i="4"/>
  <c r="AA128" i="4" s="1"/>
  <c r="X129" i="4"/>
  <c r="W157" i="4" l="1"/>
  <c r="AP155" i="4"/>
  <c r="AS123" i="4"/>
  <c r="AT123" i="4" s="1"/>
  <c r="BB123" i="4"/>
  <c r="AS129" i="4"/>
  <c r="AY122" i="4"/>
  <c r="Y129" i="4"/>
  <c r="AA129" i="4" s="1"/>
  <c r="X130" i="4"/>
  <c r="W158" i="4" l="1"/>
  <c r="AP156" i="4"/>
  <c r="AS130" i="4"/>
  <c r="BC122" i="4"/>
  <c r="E141" i="4" s="1"/>
  <c r="AZ122" i="4"/>
  <c r="D141" i="4" s="1"/>
  <c r="AY123" i="4"/>
  <c r="Y130" i="4"/>
  <c r="AA130" i="4" s="1"/>
  <c r="X131" i="4"/>
  <c r="W159" i="4" l="1"/>
  <c r="AP158" i="4" s="1"/>
  <c r="AP157" i="4"/>
  <c r="AS131" i="4"/>
  <c r="BC123" i="4"/>
  <c r="E142" i="4" s="1"/>
  <c r="AZ123" i="4"/>
  <c r="D142" i="4" s="1"/>
  <c r="AU123" i="4"/>
  <c r="AD124" i="4" s="1"/>
  <c r="Y131" i="4"/>
  <c r="AA131" i="4" s="1"/>
  <c r="X132" i="4"/>
  <c r="AS132" i="4" l="1"/>
  <c r="D27" i="4"/>
  <c r="L27" i="4" s="1"/>
  <c r="E27" i="4"/>
  <c r="M27" i="4" s="1"/>
  <c r="AD125" i="4"/>
  <c r="AE136" i="4"/>
  <c r="AO136" i="4" s="1"/>
  <c r="AH124" i="4"/>
  <c r="AJ124" i="4" s="1"/>
  <c r="AK124" i="4" s="1"/>
  <c r="AV123" i="4"/>
  <c r="AR124" i="4" s="1"/>
  <c r="AT124" i="4" s="1"/>
  <c r="Y132" i="4"/>
  <c r="AA132" i="4" s="1"/>
  <c r="X133" i="4"/>
  <c r="AS133" i="4" l="1"/>
  <c r="AW124" i="4"/>
  <c r="AX124" i="4" s="1"/>
  <c r="BA124" i="4"/>
  <c r="AU124" i="4"/>
  <c r="AV124" i="4" s="1"/>
  <c r="AR125" i="4" s="1"/>
  <c r="AT125" i="4" s="1"/>
  <c r="AL136" i="4"/>
  <c r="AN136" i="4" s="1"/>
  <c r="AF148" i="4"/>
  <c r="AE137" i="4"/>
  <c r="AO137" i="4" s="1"/>
  <c r="AH125" i="4"/>
  <c r="AJ125" i="4" s="1"/>
  <c r="AK125" i="4" s="1"/>
  <c r="AD126" i="4"/>
  <c r="AS134" i="4"/>
  <c r="Y133" i="4"/>
  <c r="AA133" i="4" s="1"/>
  <c r="X134" i="4"/>
  <c r="BB124" i="4" l="1"/>
  <c r="AY124" i="4"/>
  <c r="AZ124" i="4" s="1"/>
  <c r="D143" i="4" s="1"/>
  <c r="AW125" i="4"/>
  <c r="AX125" i="4" s="1"/>
  <c r="AU125" i="4"/>
  <c r="AV125" i="4" s="1"/>
  <c r="AR126" i="4" s="1"/>
  <c r="AT126" i="4" s="1"/>
  <c r="AF149" i="4"/>
  <c r="AL137" i="4"/>
  <c r="AN137" i="4" s="1"/>
  <c r="BA125" i="4"/>
  <c r="AE138" i="4"/>
  <c r="AO138" i="4" s="1"/>
  <c r="AH126" i="4"/>
  <c r="AJ126" i="4" s="1"/>
  <c r="AK126" i="4" s="1"/>
  <c r="AD127" i="4"/>
  <c r="Y134" i="4"/>
  <c r="AA134" i="4" s="1"/>
  <c r="X135" i="4"/>
  <c r="BB125" i="4" l="1"/>
  <c r="BC124" i="4"/>
  <c r="E143" i="4" s="1"/>
  <c r="AY125" i="4"/>
  <c r="AZ125" i="4" s="1"/>
  <c r="D144" i="4" s="1"/>
  <c r="AW126" i="4"/>
  <c r="AX126" i="4" s="1"/>
  <c r="BA126" i="4"/>
  <c r="AU126" i="4"/>
  <c r="AV126" i="4" s="1"/>
  <c r="AR127" i="4" s="1"/>
  <c r="AT127" i="4" s="1"/>
  <c r="AL138" i="4"/>
  <c r="AN138" i="4" s="1"/>
  <c r="AF150" i="4"/>
  <c r="AS136" i="4"/>
  <c r="AE139" i="4"/>
  <c r="AO139" i="4" s="1"/>
  <c r="AD128" i="4"/>
  <c r="AH127" i="4"/>
  <c r="AJ127" i="4" s="1"/>
  <c r="AK127" i="4" s="1"/>
  <c r="Y135" i="4"/>
  <c r="AA135" i="4" s="1"/>
  <c r="AP135" i="4" s="1"/>
  <c r="X136" i="4"/>
  <c r="BB126" i="4" l="1"/>
  <c r="AY126" i="4"/>
  <c r="BC125" i="4"/>
  <c r="E144" i="4" s="1"/>
  <c r="AW127" i="4"/>
  <c r="AX127" i="4" s="1"/>
  <c r="AU127" i="4"/>
  <c r="AV127" i="4" s="1"/>
  <c r="AR128" i="4" s="1"/>
  <c r="AT128" i="4" s="1"/>
  <c r="AL139" i="4"/>
  <c r="AN139" i="4" s="1"/>
  <c r="AF151" i="4"/>
  <c r="AS137" i="4"/>
  <c r="BA127" i="4"/>
  <c r="AD129" i="4"/>
  <c r="AE140" i="4"/>
  <c r="AO140" i="4" s="1"/>
  <c r="AH128" i="4"/>
  <c r="AJ128" i="4" s="1"/>
  <c r="AK128" i="4" s="1"/>
  <c r="Y136" i="4"/>
  <c r="AA136" i="4" s="1"/>
  <c r="X137" i="4"/>
  <c r="AZ126" i="4" l="1"/>
  <c r="D145" i="4" s="1"/>
  <c r="BC126" i="4"/>
  <c r="E145" i="4" s="1"/>
  <c r="BB127" i="4"/>
  <c r="AY127" i="4"/>
  <c r="AW128" i="4"/>
  <c r="AX128" i="4" s="1"/>
  <c r="AU128" i="4"/>
  <c r="AV128" i="4" s="1"/>
  <c r="AR129" i="4" s="1"/>
  <c r="AT129" i="4" s="1"/>
  <c r="BA128" i="4"/>
  <c r="AL140" i="4"/>
  <c r="AN140" i="4" s="1"/>
  <c r="AF152" i="4"/>
  <c r="AS138" i="4"/>
  <c r="AE141" i="4"/>
  <c r="AO141" i="4" s="1"/>
  <c r="AH129" i="4"/>
  <c r="AJ129" i="4" s="1"/>
  <c r="AK129" i="4" s="1"/>
  <c r="AD130" i="4"/>
  <c r="Y137" i="4"/>
  <c r="AA137" i="4" s="1"/>
  <c r="X138" i="4"/>
  <c r="BB128" i="4" l="1"/>
  <c r="BC127" i="4"/>
  <c r="E146" i="4" s="1"/>
  <c r="AW129" i="4"/>
  <c r="AX129" i="4" s="1"/>
  <c r="AZ127" i="4"/>
  <c r="D146" i="4" s="1"/>
  <c r="AY128" i="4"/>
  <c r="AZ128" i="4" s="1"/>
  <c r="D147" i="4" s="1"/>
  <c r="BA129" i="4"/>
  <c r="AU129" i="4"/>
  <c r="AV129" i="4" s="1"/>
  <c r="AR130" i="4" s="1"/>
  <c r="AT130" i="4" s="1"/>
  <c r="AD131" i="4"/>
  <c r="AE142" i="4"/>
  <c r="AO142" i="4" s="1"/>
  <c r="AH130" i="4"/>
  <c r="AJ130" i="4" s="1"/>
  <c r="AK130" i="4" s="1"/>
  <c r="AS139" i="4"/>
  <c r="AF153" i="4"/>
  <c r="AL141" i="4"/>
  <c r="AN141" i="4" s="1"/>
  <c r="Y138" i="4"/>
  <c r="AA138" i="4" s="1"/>
  <c r="X139" i="4"/>
  <c r="BB129" i="4" l="1"/>
  <c r="AY129" i="4"/>
  <c r="AZ129" i="4" s="1"/>
  <c r="D148" i="4" s="1"/>
  <c r="BC128" i="4"/>
  <c r="E147" i="4" s="1"/>
  <c r="AW130" i="4"/>
  <c r="AX130" i="4" s="1"/>
  <c r="BA130" i="4"/>
  <c r="AE143" i="4"/>
  <c r="AO143" i="4" s="1"/>
  <c r="AD132" i="4"/>
  <c r="AH131" i="4"/>
  <c r="AJ131" i="4" s="1"/>
  <c r="AK131" i="4" s="1"/>
  <c r="AS140" i="4"/>
  <c r="AU130" i="4"/>
  <c r="AV130" i="4" s="1"/>
  <c r="AR131" i="4" s="1"/>
  <c r="AT131" i="4" s="1"/>
  <c r="AL142" i="4"/>
  <c r="AN142" i="4" s="1"/>
  <c r="AF154" i="4"/>
  <c r="Y139" i="4"/>
  <c r="AA139" i="4" s="1"/>
  <c r="X140" i="4"/>
  <c r="BB130" i="4" l="1"/>
  <c r="AY130" i="4"/>
  <c r="AZ130" i="4" s="1"/>
  <c r="D149" i="4" s="1"/>
  <c r="BC129" i="4"/>
  <c r="E148" i="4" s="1"/>
  <c r="AW131" i="4"/>
  <c r="AX131" i="4" s="1"/>
  <c r="AU131" i="4"/>
  <c r="AV131" i="4" s="1"/>
  <c r="AR132" i="4" s="1"/>
  <c r="AT132" i="4" s="1"/>
  <c r="BA131" i="4"/>
  <c r="AS141" i="4"/>
  <c r="AH132" i="4"/>
  <c r="AJ132" i="4" s="1"/>
  <c r="AK132" i="4" s="1"/>
  <c r="AE144" i="4"/>
  <c r="AO144" i="4" s="1"/>
  <c r="AD133" i="4"/>
  <c r="AF155" i="4"/>
  <c r="AL143" i="4"/>
  <c r="AN143" i="4" s="1"/>
  <c r="Y140" i="4"/>
  <c r="AA140" i="4" s="1"/>
  <c r="X141" i="4"/>
  <c r="BB131" i="4" l="1"/>
  <c r="AW132" i="4"/>
  <c r="AX132" i="4" s="1"/>
  <c r="BC130" i="4"/>
  <c r="E149" i="4" s="1"/>
  <c r="AY131" i="4"/>
  <c r="AZ131" i="4" s="1"/>
  <c r="D150" i="4" s="1"/>
  <c r="BA132" i="4"/>
  <c r="AS142" i="4"/>
  <c r="AU132" i="4"/>
  <c r="AV132" i="4" s="1"/>
  <c r="AR133" i="4" s="1"/>
  <c r="AT133" i="4" s="1"/>
  <c r="AL144" i="4"/>
  <c r="AN144" i="4" s="1"/>
  <c r="AF156" i="4"/>
  <c r="AD134" i="4"/>
  <c r="AE145" i="4"/>
  <c r="AO145" i="4" s="1"/>
  <c r="AH133" i="4"/>
  <c r="AJ133" i="4" s="1"/>
  <c r="AK133" i="4" s="1"/>
  <c r="Y141" i="4"/>
  <c r="AA141" i="4" s="1"/>
  <c r="X142" i="4"/>
  <c r="BB132" i="4" l="1"/>
  <c r="AW133" i="4"/>
  <c r="AX133" i="4" s="1"/>
  <c r="BC131" i="4"/>
  <c r="E150" i="4" s="1"/>
  <c r="AS143" i="4"/>
  <c r="AY132" i="4"/>
  <c r="AZ132" i="4" s="1"/>
  <c r="D151" i="4" s="1"/>
  <c r="BA133" i="4"/>
  <c r="AU133" i="4"/>
  <c r="AV133" i="4" s="1"/>
  <c r="AR134" i="4" s="1"/>
  <c r="AT134" i="4" s="1"/>
  <c r="AD135" i="4"/>
  <c r="AE146" i="4"/>
  <c r="AO146" i="4" s="1"/>
  <c r="AH134" i="4"/>
  <c r="AJ134" i="4" s="1"/>
  <c r="AK134" i="4" s="1"/>
  <c r="AF157" i="4"/>
  <c r="AL145" i="4"/>
  <c r="AN145" i="4" s="1"/>
  <c r="Y142" i="4"/>
  <c r="AA142" i="4" s="1"/>
  <c r="X143" i="4"/>
  <c r="BB133" i="4" l="1"/>
  <c r="BC132" i="4"/>
  <c r="E151" i="4" s="1"/>
  <c r="AS144" i="4"/>
  <c r="AW134" i="4"/>
  <c r="AX134" i="4" s="1"/>
  <c r="AY133" i="4"/>
  <c r="AZ133" i="4" s="1"/>
  <c r="D152" i="4" s="1"/>
  <c r="AU134" i="4"/>
  <c r="AV134" i="4" s="1"/>
  <c r="AF158" i="4"/>
  <c r="AL146" i="4"/>
  <c r="AN146" i="4" s="1"/>
  <c r="AE147" i="4"/>
  <c r="AO147" i="4" s="1"/>
  <c r="AH135" i="4"/>
  <c r="AJ135" i="4" s="1"/>
  <c r="AK135" i="4" s="1"/>
  <c r="BA134" i="4"/>
  <c r="Y143" i="4"/>
  <c r="AA143" i="4" s="1"/>
  <c r="X144" i="4"/>
  <c r="BB134" i="4" l="1"/>
  <c r="AS145" i="4"/>
  <c r="BC133" i="4"/>
  <c r="E152" i="4" s="1"/>
  <c r="AW135" i="4"/>
  <c r="AX135" i="4" s="1"/>
  <c r="AQ135" i="4"/>
  <c r="AR135" i="4" s="1"/>
  <c r="BA135" i="4"/>
  <c r="AF159" i="4"/>
  <c r="AL147" i="4"/>
  <c r="AN147" i="4" s="1"/>
  <c r="Y144" i="4"/>
  <c r="AA144" i="4" s="1"/>
  <c r="X145" i="4"/>
  <c r="AS135" i="4" l="1"/>
  <c r="AT135" i="4" s="1"/>
  <c r="BB135" i="4"/>
  <c r="AS146" i="4"/>
  <c r="AY134" i="4"/>
  <c r="Y145" i="4"/>
  <c r="AA145" i="4" s="1"/>
  <c r="X146" i="4"/>
  <c r="AS148" i="4" l="1"/>
  <c r="BC134" i="4"/>
  <c r="E153" i="4" s="1"/>
  <c r="AZ134" i="4"/>
  <c r="D153" i="4" s="1"/>
  <c r="AY135" i="4"/>
  <c r="Y146" i="4"/>
  <c r="AA146" i="4" s="1"/>
  <c r="X147" i="4"/>
  <c r="BC135" i="4" l="1"/>
  <c r="E154" i="4" s="1"/>
  <c r="AZ135" i="4"/>
  <c r="D154" i="4" s="1"/>
  <c r="AU135" i="4"/>
  <c r="AD136" i="4" s="1"/>
  <c r="AS149" i="4"/>
  <c r="Y147" i="4"/>
  <c r="AA147" i="4" s="1"/>
  <c r="AP147" i="4" s="1"/>
  <c r="X148" i="4"/>
  <c r="D28" i="4" l="1"/>
  <c r="L28" i="4" s="1"/>
  <c r="E28" i="4"/>
  <c r="M28" i="4" s="1"/>
  <c r="AS150" i="4"/>
  <c r="AE148" i="4"/>
  <c r="AO148" i="4" s="1"/>
  <c r="AH136" i="4"/>
  <c r="AJ136" i="4" s="1"/>
  <c r="AK136" i="4" s="1"/>
  <c r="AD137" i="4"/>
  <c r="AV135" i="4"/>
  <c r="AR136" i="4" s="1"/>
  <c r="AT136" i="4" s="1"/>
  <c r="Y148" i="4"/>
  <c r="AA148" i="4" s="1"/>
  <c r="X149" i="4"/>
  <c r="AW136" i="4" l="1"/>
  <c r="AX136" i="4" s="1"/>
  <c r="AS151" i="4"/>
  <c r="AU136" i="4"/>
  <c r="AV136" i="4" s="1"/>
  <c r="AR137" i="4" s="1"/>
  <c r="AT137" i="4" s="1"/>
  <c r="BA136" i="4"/>
  <c r="AD138" i="4"/>
  <c r="AE149" i="4"/>
  <c r="AO149" i="4" s="1"/>
  <c r="AH137" i="4"/>
  <c r="AJ137" i="4" s="1"/>
  <c r="AK137" i="4" s="1"/>
  <c r="AL148" i="4"/>
  <c r="AN148" i="4" s="1"/>
  <c r="Y149" i="4"/>
  <c r="AA149" i="4" s="1"/>
  <c r="X150" i="4"/>
  <c r="BB136" i="4" l="1"/>
  <c r="AY136" i="4"/>
  <c r="AW137" i="4"/>
  <c r="AX137" i="4" s="1"/>
  <c r="AS152" i="4"/>
  <c r="BA137" i="4"/>
  <c r="AU137" i="4"/>
  <c r="AV137" i="4" s="1"/>
  <c r="AR138" i="4" s="1"/>
  <c r="AT138" i="4" s="1"/>
  <c r="AH138" i="4"/>
  <c r="AJ138" i="4" s="1"/>
  <c r="AK138" i="4" s="1"/>
  <c r="AE150" i="4"/>
  <c r="AO150" i="4" s="1"/>
  <c r="AD139" i="4"/>
  <c r="AL149" i="4"/>
  <c r="AN149" i="4" s="1"/>
  <c r="Y150" i="4"/>
  <c r="AA150" i="4" s="1"/>
  <c r="X151" i="4"/>
  <c r="BB137" i="4" l="1"/>
  <c r="BC136" i="4"/>
  <c r="E155" i="4" s="1"/>
  <c r="AS153" i="4"/>
  <c r="AY137" i="4"/>
  <c r="AZ137" i="4" s="1"/>
  <c r="D156" i="4" s="1"/>
  <c r="AZ136" i="4"/>
  <c r="D155" i="4" s="1"/>
  <c r="AW138" i="4"/>
  <c r="AX138" i="4" s="1"/>
  <c r="AE151" i="4"/>
  <c r="AO151" i="4" s="1"/>
  <c r="AD140" i="4"/>
  <c r="AH139" i="4"/>
  <c r="AJ139" i="4" s="1"/>
  <c r="AK139" i="4" s="1"/>
  <c r="BA138" i="4"/>
  <c r="AL150" i="4"/>
  <c r="AN150" i="4" s="1"/>
  <c r="AU138" i="4"/>
  <c r="AV138" i="4" s="1"/>
  <c r="AR139" i="4" s="1"/>
  <c r="AT139" i="4" s="1"/>
  <c r="Y151" i="4"/>
  <c r="AA151" i="4" s="1"/>
  <c r="X152" i="4"/>
  <c r="BB138" i="4" l="1"/>
  <c r="AY138" i="4"/>
  <c r="AS154" i="4"/>
  <c r="BC137" i="4"/>
  <c r="E156" i="4" s="1"/>
  <c r="AW139" i="4"/>
  <c r="AX139" i="4" s="1"/>
  <c r="BA139" i="4"/>
  <c r="AU139" i="4"/>
  <c r="AV139" i="4" s="1"/>
  <c r="AR140" i="4" s="1"/>
  <c r="AT140" i="4" s="1"/>
  <c r="AD141" i="4"/>
  <c r="AH140" i="4"/>
  <c r="AJ140" i="4" s="1"/>
  <c r="AK140" i="4" s="1"/>
  <c r="AE152" i="4"/>
  <c r="AO152" i="4" s="1"/>
  <c r="AL151" i="4"/>
  <c r="AN151" i="4" s="1"/>
  <c r="Y152" i="4"/>
  <c r="AA152" i="4" s="1"/>
  <c r="X153" i="4"/>
  <c r="BB139" i="4" l="1"/>
  <c r="AS155" i="4"/>
  <c r="AZ138" i="4"/>
  <c r="D157" i="4" s="1"/>
  <c r="BC138" i="4"/>
  <c r="E157" i="4" s="1"/>
  <c r="AY139" i="4"/>
  <c r="AZ139" i="4" s="1"/>
  <c r="D158" i="4" s="1"/>
  <c r="AW140" i="4"/>
  <c r="AX140" i="4" s="1"/>
  <c r="AU140" i="4"/>
  <c r="AV140" i="4" s="1"/>
  <c r="AR141" i="4" s="1"/>
  <c r="AT141" i="4" s="1"/>
  <c r="BA140" i="4"/>
  <c r="AL152" i="4"/>
  <c r="AN152" i="4" s="1"/>
  <c r="AH141" i="4"/>
  <c r="AJ141" i="4" s="1"/>
  <c r="AK141" i="4" s="1"/>
  <c r="AE153" i="4"/>
  <c r="AO153" i="4" s="1"/>
  <c r="AD142" i="4"/>
  <c r="AS156" i="4"/>
  <c r="Y153" i="4"/>
  <c r="AA153" i="4" s="1"/>
  <c r="X154" i="4"/>
  <c r="BB140" i="4" l="1"/>
  <c r="BC139" i="4"/>
  <c r="E158" i="4" s="1"/>
  <c r="AW141" i="4"/>
  <c r="AX141" i="4" s="1"/>
  <c r="AY140" i="4"/>
  <c r="AZ140" i="4" s="1"/>
  <c r="D159" i="4" s="1"/>
  <c r="AU141" i="4"/>
  <c r="AV141" i="4" s="1"/>
  <c r="AR142" i="4" s="1"/>
  <c r="AT142" i="4" s="1"/>
  <c r="AL153" i="4"/>
  <c r="AN153" i="4" s="1"/>
  <c r="BA141" i="4"/>
  <c r="AD143" i="4"/>
  <c r="AE154" i="4"/>
  <c r="AO154" i="4" s="1"/>
  <c r="AH142" i="4"/>
  <c r="AJ142" i="4" s="1"/>
  <c r="AK142" i="4" s="1"/>
  <c r="AS157" i="4"/>
  <c r="Y154" i="4"/>
  <c r="AA154" i="4" s="1"/>
  <c r="X155" i="4"/>
  <c r="BB141" i="4" l="1"/>
  <c r="BC140" i="4"/>
  <c r="E159" i="4" s="1"/>
  <c r="AY141" i="4"/>
  <c r="AZ141" i="4" s="1"/>
  <c r="D160" i="4" s="1"/>
  <c r="AW142" i="4"/>
  <c r="AX142" i="4" s="1"/>
  <c r="BA142" i="4"/>
  <c r="AU142" i="4"/>
  <c r="AV142" i="4" s="1"/>
  <c r="AR143" i="4" s="1"/>
  <c r="AT143" i="4" s="1"/>
  <c r="AL154" i="4"/>
  <c r="AN154" i="4" s="1"/>
  <c r="AE155" i="4"/>
  <c r="AO155" i="4" s="1"/>
  <c r="AH143" i="4"/>
  <c r="AJ143" i="4" s="1"/>
  <c r="AK143" i="4" s="1"/>
  <c r="AD144" i="4"/>
  <c r="Y155" i="4"/>
  <c r="AA155" i="4" s="1"/>
  <c r="X156" i="4"/>
  <c r="AS158" i="4"/>
  <c r="BB142" i="4" l="1"/>
  <c r="BC141" i="4"/>
  <c r="E160" i="4" s="1"/>
  <c r="AW143" i="4"/>
  <c r="AX143" i="4" s="1"/>
  <c r="AY142" i="4"/>
  <c r="AZ142" i="4" s="1"/>
  <c r="D161" i="4" s="1"/>
  <c r="AU143" i="4"/>
  <c r="AV143" i="4" s="1"/>
  <c r="AR144" i="4" s="1"/>
  <c r="AT144" i="4" s="1"/>
  <c r="AH144" i="4"/>
  <c r="AJ144" i="4" s="1"/>
  <c r="AK144" i="4" s="1"/>
  <c r="AE156" i="4"/>
  <c r="AO156" i="4" s="1"/>
  <c r="AD145" i="4"/>
  <c r="BA143" i="4"/>
  <c r="AL155" i="4"/>
  <c r="AN155" i="4" s="1"/>
  <c r="Y156" i="4"/>
  <c r="AA156" i="4" s="1"/>
  <c r="X157" i="4"/>
  <c r="BB143" i="4" l="1"/>
  <c r="BC142" i="4"/>
  <c r="E161" i="4" s="1"/>
  <c r="AW144" i="4"/>
  <c r="AX144" i="4" s="1"/>
  <c r="AY143" i="4"/>
  <c r="AZ143" i="4" s="1"/>
  <c r="D162" i="4" s="1"/>
  <c r="BA144" i="4"/>
  <c r="AU144" i="4"/>
  <c r="AV144" i="4" s="1"/>
  <c r="AR145" i="4" s="1"/>
  <c r="AT145" i="4" s="1"/>
  <c r="AE157" i="4"/>
  <c r="AO157" i="4" s="1"/>
  <c r="AH145" i="4"/>
  <c r="AJ145" i="4" s="1"/>
  <c r="AK145" i="4" s="1"/>
  <c r="AD146" i="4"/>
  <c r="AL156" i="4"/>
  <c r="AN156" i="4" s="1"/>
  <c r="Y157" i="4"/>
  <c r="AA157" i="4" s="1"/>
  <c r="X158" i="4"/>
  <c r="BB144" i="4" l="1"/>
  <c r="AY144" i="4"/>
  <c r="AZ144" i="4" s="1"/>
  <c r="D163" i="4" s="1"/>
  <c r="BC143" i="4"/>
  <c r="E162" i="4" s="1"/>
  <c r="AW145" i="4"/>
  <c r="AX145" i="4" s="1"/>
  <c r="AU145" i="4"/>
  <c r="AV145" i="4" s="1"/>
  <c r="AR146" i="4" s="1"/>
  <c r="AT146" i="4" s="1"/>
  <c r="AH146" i="4"/>
  <c r="AJ146" i="4" s="1"/>
  <c r="AK146" i="4" s="1"/>
  <c r="AE158" i="4"/>
  <c r="AO158" i="4" s="1"/>
  <c r="AD147" i="4"/>
  <c r="AL157" i="4"/>
  <c r="AN157" i="4" s="1"/>
  <c r="BA145" i="4"/>
  <c r="Y158" i="4"/>
  <c r="AA158" i="4" s="1"/>
  <c r="X159" i="4"/>
  <c r="Y159" i="4" s="1"/>
  <c r="AA159" i="4" s="1"/>
  <c r="BB145" i="4" l="1"/>
  <c r="AY145" i="4"/>
  <c r="AZ145" i="4" s="1"/>
  <c r="D164" i="4" s="1"/>
  <c r="BC144" i="4"/>
  <c r="E163" i="4" s="1"/>
  <c r="AW146" i="4"/>
  <c r="AX146" i="4" s="1"/>
  <c r="BA146" i="4"/>
  <c r="AU146" i="4"/>
  <c r="AV146" i="4" s="1"/>
  <c r="AL158" i="4"/>
  <c r="AN158" i="4" s="1"/>
  <c r="AH147" i="4"/>
  <c r="AJ147" i="4" s="1"/>
  <c r="AK147" i="4" s="1"/>
  <c r="AE159" i="4"/>
  <c r="AO159" i="4" s="1"/>
  <c r="BB146" i="4" l="1"/>
  <c r="AY146" i="4"/>
  <c r="BC145" i="4"/>
  <c r="E164" i="4" s="1"/>
  <c r="BA147" i="4"/>
  <c r="AW147" i="4"/>
  <c r="AX147" i="4" s="1"/>
  <c r="AQ147" i="4"/>
  <c r="AR147" i="4" s="1"/>
  <c r="AL159" i="4"/>
  <c r="AN159" i="4" s="1"/>
  <c r="AS147" i="4" l="1"/>
  <c r="AT147" i="4" s="1"/>
  <c r="BB147" i="4"/>
  <c r="BC146" i="4"/>
  <c r="E165" i="4" s="1"/>
  <c r="AZ146" i="4"/>
  <c r="D165" i="4" s="1"/>
  <c r="AY147" i="4" l="1"/>
  <c r="BC147" i="4" l="1"/>
  <c r="E166" i="4" s="1"/>
  <c r="AZ147" i="4"/>
  <c r="D166" i="4" s="1"/>
  <c r="AU147" i="4"/>
  <c r="AD148" i="4" s="1"/>
  <c r="E29" i="4" l="1"/>
  <c r="M29" i="4" s="1"/>
  <c r="D29" i="4"/>
  <c r="L29" i="4" s="1"/>
  <c r="AD149" i="4"/>
  <c r="AH148" i="4"/>
  <c r="AJ148" i="4" s="1"/>
  <c r="AK148" i="4" s="1"/>
  <c r="AV147" i="4"/>
  <c r="AR148" i="4" s="1"/>
  <c r="AT148" i="4" s="1"/>
  <c r="AW148" i="4" l="1"/>
  <c r="AX148" i="4" s="1"/>
  <c r="BA148" i="4"/>
  <c r="AU148" i="4"/>
  <c r="AV148" i="4" s="1"/>
  <c r="AR149" i="4" s="1"/>
  <c r="AT149" i="4" s="1"/>
  <c r="AD150" i="4"/>
  <c r="AH149" i="4"/>
  <c r="AJ149" i="4" s="1"/>
  <c r="AK149" i="4" s="1"/>
  <c r="BB148" i="4" l="1"/>
  <c r="AY148" i="4"/>
  <c r="AZ148" i="4" s="1"/>
  <c r="D167" i="4" s="1"/>
  <c r="AW149" i="4"/>
  <c r="AX149" i="4" s="1"/>
  <c r="AU149" i="4"/>
  <c r="AV149" i="4" s="1"/>
  <c r="AR150" i="4" s="1"/>
  <c r="AT150" i="4" s="1"/>
  <c r="BA149" i="4"/>
  <c r="AD151" i="4"/>
  <c r="AH150" i="4"/>
  <c r="AJ150" i="4" s="1"/>
  <c r="AK150" i="4" s="1"/>
  <c r="BB149" i="4" l="1"/>
  <c r="AY149" i="4"/>
  <c r="BC148" i="4"/>
  <c r="E167" i="4" s="1"/>
  <c r="AW150" i="4"/>
  <c r="AX150" i="4" s="1"/>
  <c r="AU150" i="4"/>
  <c r="AV150" i="4" s="1"/>
  <c r="AR151" i="4" s="1"/>
  <c r="AT151" i="4" s="1"/>
  <c r="AH151" i="4"/>
  <c r="AJ151" i="4" s="1"/>
  <c r="AK151" i="4" s="1"/>
  <c r="AD152" i="4"/>
  <c r="BA150" i="4"/>
  <c r="BB150" i="4" l="1"/>
  <c r="AW151" i="4"/>
  <c r="AX151" i="4" s="1"/>
  <c r="BC149" i="4"/>
  <c r="E168" i="4" s="1"/>
  <c r="AZ149" i="4"/>
  <c r="D168" i="4" s="1"/>
  <c r="AY150" i="4"/>
  <c r="AZ150" i="4" s="1"/>
  <c r="D169" i="4" s="1"/>
  <c r="BA151" i="4"/>
  <c r="AU151" i="4"/>
  <c r="AV151" i="4" s="1"/>
  <c r="AR152" i="4" s="1"/>
  <c r="AT152" i="4" s="1"/>
  <c r="AH152" i="4"/>
  <c r="AJ152" i="4" s="1"/>
  <c r="AK152" i="4" s="1"/>
  <c r="AD153" i="4"/>
  <c r="BB151" i="4" l="1"/>
  <c r="BC150" i="4"/>
  <c r="E169" i="4" s="1"/>
  <c r="AW152" i="4"/>
  <c r="AX152" i="4" s="1"/>
  <c r="AY151" i="4"/>
  <c r="AZ151" i="4" s="1"/>
  <c r="D170" i="4" s="1"/>
  <c r="AU152" i="4"/>
  <c r="AV152" i="4" s="1"/>
  <c r="AR153" i="4" s="1"/>
  <c r="AT153" i="4" s="1"/>
  <c r="BA152" i="4"/>
  <c r="AD154" i="4"/>
  <c r="AH153" i="4"/>
  <c r="AJ153" i="4" s="1"/>
  <c r="AK153" i="4" s="1"/>
  <c r="BB152" i="4" l="1"/>
  <c r="BC151" i="4"/>
  <c r="E170" i="4" s="1"/>
  <c r="AY152" i="4"/>
  <c r="AZ152" i="4" s="1"/>
  <c r="D171" i="4" s="1"/>
  <c r="AW153" i="4"/>
  <c r="AX153" i="4" s="1"/>
  <c r="AU153" i="4"/>
  <c r="AV153" i="4" s="1"/>
  <c r="AR154" i="4" s="1"/>
  <c r="AT154" i="4" s="1"/>
  <c r="BA153" i="4"/>
  <c r="AH154" i="4"/>
  <c r="AJ154" i="4" s="1"/>
  <c r="AK154" i="4" s="1"/>
  <c r="AD155" i="4"/>
  <c r="BB153" i="4" l="1"/>
  <c r="BC152" i="4"/>
  <c r="E171" i="4" s="1"/>
  <c r="AW154" i="4"/>
  <c r="AX154" i="4" s="1"/>
  <c r="AY153" i="4"/>
  <c r="AZ153" i="4" s="1"/>
  <c r="D172" i="4" s="1"/>
  <c r="BA154" i="4"/>
  <c r="AU154" i="4"/>
  <c r="AV154" i="4" s="1"/>
  <c r="AR155" i="4" s="1"/>
  <c r="AT155" i="4" s="1"/>
  <c r="AH155" i="4"/>
  <c r="AJ155" i="4" s="1"/>
  <c r="AK155" i="4" s="1"/>
  <c r="AD156" i="4"/>
  <c r="BB154" i="4" l="1"/>
  <c r="AY154" i="4"/>
  <c r="AZ154" i="4" s="1"/>
  <c r="D173" i="4" s="1"/>
  <c r="BC153" i="4"/>
  <c r="E172" i="4" s="1"/>
  <c r="AW155" i="4"/>
  <c r="AX155" i="4" s="1"/>
  <c r="AU155" i="4"/>
  <c r="AV155" i="4" s="1"/>
  <c r="AR156" i="4" s="1"/>
  <c r="AT156" i="4" s="1"/>
  <c r="BA155" i="4"/>
  <c r="AH156" i="4"/>
  <c r="AJ156" i="4" s="1"/>
  <c r="AK156" i="4" s="1"/>
  <c r="AD157" i="4"/>
  <c r="BB155" i="4" l="1"/>
  <c r="AY155" i="4"/>
  <c r="AW156" i="4"/>
  <c r="AX156" i="4" s="1"/>
  <c r="BC154" i="4"/>
  <c r="E173" i="4" s="1"/>
  <c r="AU156" i="4"/>
  <c r="AV156" i="4" s="1"/>
  <c r="AR157" i="4" s="1"/>
  <c r="AT157" i="4" s="1"/>
  <c r="BA156" i="4"/>
  <c r="AH157" i="4"/>
  <c r="AJ157" i="4" s="1"/>
  <c r="AK157" i="4" s="1"/>
  <c r="AD158" i="4"/>
  <c r="BC155" i="4" l="1"/>
  <c r="E174" i="4" s="1"/>
  <c r="BB156" i="4"/>
  <c r="AZ155" i="4"/>
  <c r="D174" i="4" s="1"/>
  <c r="AY156" i="4"/>
  <c r="AZ156" i="4" s="1"/>
  <c r="D175" i="4" s="1"/>
  <c r="AW157" i="4"/>
  <c r="AX157" i="4" s="1"/>
  <c r="AU157" i="4"/>
  <c r="AV157" i="4" s="1"/>
  <c r="AR158" i="4" s="1"/>
  <c r="AT158" i="4" s="1"/>
  <c r="BA157" i="4"/>
  <c r="AD159" i="4"/>
  <c r="AH158" i="4"/>
  <c r="AJ158" i="4" s="1"/>
  <c r="AK158" i="4" s="1"/>
  <c r="BB157" i="4" l="1"/>
  <c r="BC156" i="4"/>
  <c r="E175" i="4" s="1"/>
  <c r="AW158" i="4"/>
  <c r="AX158" i="4" s="1"/>
  <c r="AY157" i="4"/>
  <c r="AZ157" i="4" s="1"/>
  <c r="D176" i="4" s="1"/>
  <c r="AU158" i="4"/>
  <c r="AV158" i="4" s="1"/>
  <c r="BA158" i="4"/>
  <c r="AH159" i="4"/>
  <c r="AJ159" i="4" s="1"/>
  <c r="AK159" i="4" s="1"/>
  <c r="BB158" i="4" l="1"/>
  <c r="AY158" i="4"/>
  <c r="AZ158" i="4" s="1"/>
  <c r="D177" i="4" s="1"/>
  <c r="BC157" i="4"/>
  <c r="E176" i="4" s="1"/>
  <c r="BA159" i="4"/>
  <c r="AW159" i="4"/>
  <c r="AX159" i="4" s="1"/>
  <c r="BB159" i="4" l="1"/>
  <c r="BC158" i="4"/>
  <c r="E177" i="4" s="1"/>
  <c r="AY159" i="4" l="1"/>
  <c r="AU159" i="4"/>
  <c r="AV159" i="4" s="1"/>
  <c r="BC159" i="4" l="1"/>
  <c r="E178" i="4" s="1"/>
  <c r="AZ159" i="4"/>
  <c r="D178" i="4" s="1"/>
  <c r="D30" i="4" l="1"/>
  <c r="L30" i="4" s="1"/>
  <c r="E30" i="4"/>
  <c r="M30" i="4" s="1"/>
</calcChain>
</file>

<file path=xl/sharedStrings.xml><?xml version="1.0" encoding="utf-8"?>
<sst xmlns="http://schemas.openxmlformats.org/spreadsheetml/2006/main" count="213" uniqueCount="102">
  <si>
    <t>COI</t>
  </si>
  <si>
    <t>EDO</t>
  </si>
  <si>
    <t>ROS</t>
  </si>
  <si>
    <t>ROD</t>
  </si>
  <si>
    <t>Cena zamiany</t>
  </si>
  <si>
    <t>tak</t>
  </si>
  <si>
    <t>-</t>
  </si>
  <si>
    <t>tylko 1 rok</t>
  </si>
  <si>
    <t>inflacja</t>
  </si>
  <si>
    <t>rok</t>
  </si>
  <si>
    <t>zapadalność</t>
  </si>
  <si>
    <t>na konto
z końcem 
miesiąca</t>
  </si>
  <si>
    <t>saldo konta
z końcem
miesiąca</t>
  </si>
  <si>
    <t>belka</t>
  </si>
  <si>
    <t>cały okres</t>
  </si>
  <si>
    <t>inflacja dla 
obligacji
indeksowanych</t>
  </si>
  <si>
    <t>miesiąc</t>
  </si>
  <si>
    <t>wartość nominalna</t>
  </si>
  <si>
    <t>podstawa 
kapitalizacji</t>
  </si>
  <si>
    <t>kara za
wcześniejszy
wykup</t>
  </si>
  <si>
    <t>oprocento-
wanie</t>
  </si>
  <si>
    <t>wartość
brutto
koniec  
miesiąca</t>
  </si>
  <si>
    <t>wykup z 
końcem 
miesiąca</t>
  </si>
  <si>
    <t>wynik końcowy
wykup z 
końcem 
miesiąca</t>
  </si>
  <si>
    <t>skumulowana</t>
  </si>
  <si>
    <t>FV wpłaty
skumulowana inflacja</t>
  </si>
  <si>
    <t>wartość zakupu (1 obligacja = 100 zł)</t>
  </si>
  <si>
    <t>podatek "Belki"</t>
  </si>
  <si>
    <t>na konto z 
końcem miesiąca
jeśli nie wypłacę!</t>
  </si>
  <si>
    <t>cena zakupu</t>
  </si>
  <si>
    <t>x</t>
  </si>
  <si>
    <t>liczba obligacji</t>
  </si>
  <si>
    <t>LATA KALENDARZOWE</t>
  </si>
  <si>
    <t>WSKAŹNIK DO WYLICZENIA OPŁATY</t>
  </si>
  <si>
    <t>koszty IKE Obligacje</t>
  </si>
  <si>
    <t>wartość
obligacji 
1 rok</t>
  </si>
  <si>
    <t>dodatkowe
obligacje 
1 rok</t>
  </si>
  <si>
    <t>dodatkowe
obligacje 
2 rok</t>
  </si>
  <si>
    <t>dodatkowe
obligacje 
3 rok</t>
  </si>
  <si>
    <t>dodatkowe
obligacje 
4 rok</t>
  </si>
  <si>
    <t>wartość
obligacji 
2-4 rok</t>
  </si>
  <si>
    <t>wartość brutto
koniec miesiąca
1 rok</t>
  </si>
  <si>
    <t>wartość brutto
koniec miesiąca
2-4 rok</t>
  </si>
  <si>
    <t>na subkonto konto z 
końcem miesiąca
jeśli nie wypłacę!</t>
  </si>
  <si>
    <t>kara za
wcześniejszy
wykup 1 rok</t>
  </si>
  <si>
    <t>kara za
wcześniejszy
wykup 2-4 rok</t>
  </si>
  <si>
    <t>zostało</t>
  </si>
  <si>
    <t>kup obligacje 
w cenie zamiany</t>
  </si>
  <si>
    <t>na subkonto konto z 
końcem miesiąca
jeśli nie wypłacę!
Główne</t>
  </si>
  <si>
    <t>saldo brutto
TOTAL</t>
  </si>
  <si>
    <t>kara za wykup</t>
  </si>
  <si>
    <t>opłata</t>
  </si>
  <si>
    <t>suma
opłat</t>
  </si>
  <si>
    <t>saldo
pośrednie</t>
  </si>
  <si>
    <t>wynik końcowy
wykup z preferencją za
IKE</t>
  </si>
  <si>
    <t>saldo subkonta
z końcem
miesiąca</t>
  </si>
  <si>
    <t>na sub konto
z końcem 
miesiąca</t>
  </si>
  <si>
    <t>COI wiek 
emerytalny</t>
  </si>
  <si>
    <t>EDO wiek 
emerytalny</t>
  </si>
  <si>
    <t>skumulowana
inflacja</t>
  </si>
  <si>
    <t>← Tu wpisz wysokoć rocznej inflacji w każdym z 12 lat.</t>
  </si>
  <si>
    <t>← Nic nie wpisuj, policzy się samo jako iloczyn liczby obligacji i wartości jednej obligacji (100 zł).</t>
  </si>
  <si>
    <t>W jaki sposób chcesz ustalić poziom INFLACJI?</t>
  </si>
  <si>
    <t>COI (4-latki)</t>
  </si>
  <si>
    <t>EDO (10-latki)</t>
  </si>
  <si>
    <t>ROS (6-latki)</t>
  </si>
  <si>
    <t xml:space="preserve">ROD (12-latki) </t>
  </si>
  <si>
    <t>COI, obligacje 4 letnie</t>
  </si>
  <si>
    <t>EDO - obligacje 10 letnie</t>
  </si>
  <si>
    <t>ROS - obligacje 6 letnie</t>
  </si>
  <si>
    <t>ROD - obligacje 12 letnie</t>
  </si>
  <si>
    <t>← tu wybierz z listy, czy zakładasz ten sam poziom inflacji w każdym z 12 lat (wybierz wówczas: "inflacja taka sama w każdym roku"), czy też zakładasz różne poziomy inflacji w każdym roku (wybierz wówczas "chcę sam ustawić każdy rok").</t>
  </si>
  <si>
    <t>← Tu wpisz wysokość rocznej inflacji w procentach (np. 3%), jeśli zakładasz inflację taką samą w każdym roku.</t>
  </si>
  <si>
    <t>Wartości nominalne obligacji "opakowanych" w IKE, na koniec roku</t>
  </si>
  <si>
    <t>tu wpisz miesiąc, który Cię interesuje →</t>
  </si>
  <si>
    <t>Wartości nominalne obligacji na koniec każdego roku oszczędzania</t>
  </si>
  <si>
    <t>oprocentowanie
konta</t>
  </si>
  <si>
    <t>start</t>
  </si>
  <si>
    <t>konto
oszczędn.</t>
  </si>
  <si>
    <t>Nominalna skumulowana stopa zwrotu na koniec każdego roku
(dla porównania wykres skumulowanej inflacji)</t>
  </si>
  <si>
    <t>Kwota wpłacona powiększona o INFLACJĘ</t>
  </si>
  <si>
    <t>Konto
oszczędnościowe</t>
  </si>
  <si>
    <t>INFLACJA</t>
  </si>
  <si>
    <t xml:space="preserve">← Tu wpisz liczbę obligacji, które zamierzasz kupić. </t>
  </si>
  <si>
    <t>Zapadalność
m-c</t>
  </si>
  <si>
    <t>Wypłata
odsetek
co ile mc</t>
  </si>
  <si>
    <t>Kapitalizacja odsetek co  ile miesięcy</t>
  </si>
  <si>
    <t>Ochrona
wartości 
nominalnej?</t>
  </si>
  <si>
    <t>TU WPISZ WŁASNE ZAŁOŻENIA w POLA ZAZNACZONE ŻÓŁTYM KOLOREM:</t>
  </si>
  <si>
    <t>Tu wpisz oprocentowanie
konta oszczędnościowego
w każdym z 12 lat. →</t>
  </si>
  <si>
    <t>Kolejne lata
INFLACJA +</t>
  </si>
  <si>
    <t>Pierwsze 12 miesięcy
%</t>
  </si>
  <si>
    <t>liczba obligacj i (wartość nominalna jednej obligacji równa się 100 zł)</t>
  </si>
  <si>
    <t>Koszt
wcześniejszego
wykupu (za szt.)</t>
  </si>
  <si>
    <t>inflacja taka sama w kazdym roku</t>
  </si>
  <si>
    <t>KONTO OSZCZĘDNOŚCIOWE</t>
  </si>
  <si>
    <t>← Nic nie wpisuj.</t>
  </si>
  <si>
    <t>COI,  gdy nie spełniam warunków</t>
  </si>
  <si>
    <t>COI, gdy spełniam warunki IKE</t>
  </si>
  <si>
    <t>EDO, gdy nie spełniam warunków</t>
  </si>
  <si>
    <t>EDO, gdy spełniam warunki IKE</t>
  </si>
  <si>
    <t>kup  nowe obligacje 
po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</si>
</sst>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&quot;zł&quot;"/>
    <numFmt numFmtId="165" formatCode="#,##0\ &quot;zł&quot;"/>
    <numFmt numFmtId="166" formatCode="0.0%"/>
    <numFmt numFmtId="167" formatCode="0&quot; szt&quot;"/>
    <numFmt numFmtId="168" formatCode="0&quot; rok&quot;"/>
    <numFmt numFmtId="169" formatCode="&quot;koniec &quot;General&quot; roku&quot;"/>
    <numFmt numFmtId="170" formatCode="0&quot; miesiąc&quot;"/>
    <numFmt numFmtId="171" formatCode="&quot;koniec &quot;General&quot; mies.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  "/>
      <charset val="238"/>
    </font>
    <font>
      <b/>
      <sz val="11"/>
      <color theme="1"/>
      <name val="Calibri  "/>
      <charset val="238"/>
    </font>
    <font>
      <b/>
      <sz val="16"/>
      <color theme="1"/>
      <name val="Calibri  "/>
      <charset val="238"/>
    </font>
    <font>
      <sz val="16"/>
      <color theme="1"/>
      <name val="Calibri  "/>
      <charset val="238"/>
    </font>
    <font>
      <b/>
      <sz val="14"/>
      <color theme="1"/>
      <name val="Calibri  "/>
      <charset val="238"/>
    </font>
    <font>
      <b/>
      <sz val="22"/>
      <color theme="1"/>
      <name val="Calibri  "/>
      <charset val="238"/>
    </font>
    <font>
      <b/>
      <sz val="11"/>
      <color theme="0"/>
      <name val="Calibri  "/>
      <charset val="238"/>
    </font>
    <font>
      <b/>
      <sz val="12"/>
      <color theme="1"/>
      <name val="Calibri  "/>
      <charset val="238"/>
    </font>
    <font>
      <sz val="11"/>
      <color theme="0"/>
      <name val="Calibri"/>
      <family val="2"/>
      <charset val="238"/>
      <scheme val="minor"/>
    </font>
    <font>
      <b/>
      <i/>
      <sz val="12"/>
      <color theme="1"/>
      <name val="Calibri  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60D7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36834"/>
        <bgColor indexed="64"/>
      </patternFill>
    </fill>
    <fill>
      <patternFill patternType="solid">
        <fgColor rgb="FF509197"/>
        <bgColor indexed="64"/>
      </patternFill>
    </fill>
    <fill>
      <patternFill patternType="solid">
        <fgColor rgb="FF646FB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1" xfId="0" applyBorder="1"/>
    <xf numFmtId="10" fontId="0" fillId="0" borderId="1" xfId="0" applyNumberFormat="1" applyBorder="1"/>
    <xf numFmtId="164" fontId="0" fillId="0" borderId="1" xfId="0" applyNumberFormat="1" applyBorder="1"/>
    <xf numFmtId="0" fontId="0" fillId="3" borderId="1" xfId="0" applyFill="1" applyBorder="1"/>
    <xf numFmtId="9" fontId="0" fillId="0" borderId="1" xfId="1" applyFont="1" applyBorder="1"/>
    <xf numFmtId="3" fontId="0" fillId="0" borderId="1" xfId="0" applyNumberFormat="1" applyBorder="1"/>
    <xf numFmtId="0" fontId="0" fillId="2" borderId="3" xfId="0" applyFill="1" applyBorder="1" applyAlignment="1">
      <alignment wrapText="1"/>
    </xf>
    <xf numFmtId="9" fontId="0" fillId="2" borderId="3" xfId="1" applyFont="1" applyFill="1" applyBorder="1"/>
    <xf numFmtId="10" fontId="0" fillId="0" borderId="1" xfId="1" applyNumberFormat="1" applyFont="1" applyBorder="1"/>
    <xf numFmtId="0" fontId="0" fillId="5" borderId="1" xfId="0" applyFill="1" applyBorder="1"/>
    <xf numFmtId="10" fontId="0" fillId="6" borderId="1" xfId="0" applyNumberFormat="1" applyFill="1" applyBorder="1"/>
    <xf numFmtId="164" fontId="0" fillId="3" borderId="1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0" xfId="0" applyFill="1"/>
    <xf numFmtId="164" fontId="0" fillId="6" borderId="1" xfId="0" applyNumberFormat="1" applyFill="1" applyBorder="1"/>
    <xf numFmtId="164" fontId="0" fillId="6" borderId="0" xfId="0" applyNumberFormat="1" applyFill="1"/>
    <xf numFmtId="0" fontId="3" fillId="6" borderId="1" xfId="2" applyFill="1" applyBorder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5" fillId="14" borderId="0" xfId="0" applyFont="1" applyFill="1"/>
    <xf numFmtId="0" fontId="5" fillId="6" borderId="0" xfId="0" applyFont="1" applyFill="1"/>
    <xf numFmtId="0" fontId="6" fillId="6" borderId="1" xfId="0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vertical="center"/>
    </xf>
    <xf numFmtId="9" fontId="5" fillId="7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left" vertical="center"/>
    </xf>
    <xf numFmtId="0" fontId="6" fillId="14" borderId="0" xfId="0" applyFont="1" applyFill="1" applyBorder="1" applyAlignment="1">
      <alignment horizontal="left" vertical="center"/>
    </xf>
    <xf numFmtId="0" fontId="10" fillId="6" borderId="0" xfId="0" applyFont="1" applyFill="1"/>
    <xf numFmtId="0" fontId="5" fillId="4" borderId="1" xfId="0" applyFont="1" applyFill="1" applyBorder="1" applyAlignment="1">
      <alignment wrapText="1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/>
    </xf>
    <xf numFmtId="0" fontId="5" fillId="6" borderId="1" xfId="0" applyFont="1" applyFill="1" applyBorder="1"/>
    <xf numFmtId="10" fontId="6" fillId="4" borderId="1" xfId="0" applyNumberFormat="1" applyFont="1" applyFill="1" applyBorder="1"/>
    <xf numFmtId="169" fontId="5" fillId="6" borderId="6" xfId="0" applyNumberFormat="1" applyFont="1" applyFill="1" applyBorder="1" applyAlignment="1">
      <alignment horizontal="left"/>
    </xf>
    <xf numFmtId="164" fontId="5" fillId="6" borderId="1" xfId="0" applyNumberFormat="1" applyFont="1" applyFill="1" applyBorder="1"/>
    <xf numFmtId="164" fontId="5" fillId="6" borderId="4" xfId="0" applyNumberFormat="1" applyFont="1" applyFill="1" applyBorder="1"/>
    <xf numFmtId="164" fontId="5" fillId="6" borderId="7" xfId="0" applyNumberFormat="1" applyFont="1" applyFill="1" applyBorder="1"/>
    <xf numFmtId="166" fontId="5" fillId="6" borderId="1" xfId="1" applyNumberFormat="1" applyFont="1" applyFill="1" applyBorder="1"/>
    <xf numFmtId="166" fontId="5" fillId="6" borderId="4" xfId="1" applyNumberFormat="1" applyFont="1" applyFill="1" applyBorder="1"/>
    <xf numFmtId="166" fontId="5" fillId="6" borderId="7" xfId="1" applyNumberFormat="1" applyFont="1" applyFill="1" applyBorder="1"/>
    <xf numFmtId="0" fontId="5" fillId="6" borderId="3" xfId="0" applyFont="1" applyFill="1" applyBorder="1" applyAlignment="1">
      <alignment wrapText="1"/>
    </xf>
    <xf numFmtId="9" fontId="5" fillId="6" borderId="1" xfId="1" applyFont="1" applyFill="1" applyBorder="1"/>
    <xf numFmtId="3" fontId="5" fillId="6" borderId="1" xfId="0" applyNumberFormat="1" applyFont="1" applyFill="1" applyBorder="1"/>
    <xf numFmtId="168" fontId="5" fillId="6" borderId="1" xfId="0" applyNumberFormat="1" applyFont="1" applyFill="1" applyBorder="1" applyAlignment="1">
      <alignment horizontal="left"/>
    </xf>
    <xf numFmtId="9" fontId="5" fillId="6" borderId="3" xfId="1" applyFont="1" applyFill="1" applyBorder="1"/>
    <xf numFmtId="10" fontId="5" fillId="6" borderId="1" xfId="1" applyNumberFormat="1" applyFont="1" applyFill="1" applyBorder="1"/>
    <xf numFmtId="169" fontId="5" fillId="6" borderId="8" xfId="0" applyNumberFormat="1" applyFont="1" applyFill="1" applyBorder="1" applyAlignment="1">
      <alignment horizontal="left"/>
    </xf>
    <xf numFmtId="166" fontId="5" fillId="6" borderId="9" xfId="1" applyNumberFormat="1" applyFont="1" applyFill="1" applyBorder="1"/>
    <xf numFmtId="166" fontId="5" fillId="6" borderId="10" xfId="1" applyNumberFormat="1" applyFont="1" applyFill="1" applyBorder="1"/>
    <xf numFmtId="166" fontId="5" fillId="6" borderId="11" xfId="1" applyNumberFormat="1" applyFont="1" applyFill="1" applyBorder="1"/>
    <xf numFmtId="0" fontId="5" fillId="6" borderId="4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170" fontId="5" fillId="6" borderId="1" xfId="0" applyNumberFormat="1" applyFont="1" applyFill="1" applyBorder="1"/>
    <xf numFmtId="164" fontId="5" fillId="6" borderId="0" xfId="0" applyNumberFormat="1" applyFont="1" applyFill="1"/>
    <xf numFmtId="0" fontId="5" fillId="14" borderId="0" xfId="0" applyFont="1" applyFill="1" applyBorder="1" applyAlignment="1">
      <alignment vertical="top" wrapText="1"/>
    </xf>
    <xf numFmtId="0" fontId="5" fillId="14" borderId="0" xfId="0" applyFont="1" applyFill="1" applyBorder="1" applyAlignment="1">
      <alignment horizontal="right" vertical="top" wrapText="1"/>
    </xf>
    <xf numFmtId="0" fontId="5" fillId="14" borderId="0" xfId="0" applyFont="1" applyFill="1" applyBorder="1" applyAlignment="1">
      <alignment vertical="center"/>
    </xf>
    <xf numFmtId="0" fontId="5" fillId="14" borderId="0" xfId="0" applyFont="1" applyFill="1" applyAlignment="1"/>
    <xf numFmtId="0" fontId="5" fillId="14" borderId="0" xfId="0" applyFont="1" applyFill="1" applyAlignment="1">
      <alignment horizontal="center" vertical="center" wrapText="1"/>
    </xf>
    <xf numFmtId="0" fontId="5" fillId="14" borderId="0" xfId="0" applyFont="1" applyFill="1" applyBorder="1"/>
    <xf numFmtId="0" fontId="5" fillId="14" borderId="0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wrapText="1"/>
    </xf>
    <xf numFmtId="0" fontId="7" fillId="14" borderId="0" xfId="0" applyFont="1" applyFill="1" applyBorder="1" applyAlignment="1"/>
    <xf numFmtId="0" fontId="8" fillId="14" borderId="0" xfId="0" applyFont="1" applyFill="1" applyBorder="1" applyAlignment="1">
      <alignment horizontal="center"/>
    </xf>
    <xf numFmtId="0" fontId="5" fillId="14" borderId="1" xfId="0" applyFont="1" applyFill="1" applyBorder="1"/>
    <xf numFmtId="10" fontId="5" fillId="14" borderId="1" xfId="1" applyNumberFormat="1" applyFont="1" applyFill="1" applyBorder="1"/>
    <xf numFmtId="164" fontId="5" fillId="14" borderId="1" xfId="0" applyNumberFormat="1" applyFont="1" applyFill="1" applyBorder="1"/>
    <xf numFmtId="3" fontId="5" fillId="14" borderId="1" xfId="0" applyNumberFormat="1" applyFont="1" applyFill="1" applyBorder="1"/>
    <xf numFmtId="0" fontId="9" fillId="14" borderId="0" xfId="0" applyFont="1" applyFill="1" applyBorder="1" applyAlignment="1">
      <alignment horizontal="center"/>
    </xf>
    <xf numFmtId="0" fontId="11" fillId="14" borderId="0" xfId="0" applyFont="1" applyFill="1" applyBorder="1" applyAlignment="1">
      <alignment horizontal="center" vertical="center" wrapText="1"/>
    </xf>
    <xf numFmtId="166" fontId="5" fillId="14" borderId="0" xfId="1" applyNumberFormat="1" applyFont="1" applyFill="1" applyBorder="1"/>
    <xf numFmtId="0" fontId="5" fillId="6" borderId="16" xfId="0" applyFont="1" applyFill="1" applyBorder="1"/>
    <xf numFmtId="0" fontId="11" fillId="10" borderId="17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13" borderId="17" xfId="0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 wrapText="1"/>
    </xf>
    <xf numFmtId="164" fontId="5" fillId="6" borderId="9" xfId="0" applyNumberFormat="1" applyFont="1" applyFill="1" applyBorder="1"/>
    <xf numFmtId="164" fontId="5" fillId="6" borderId="10" xfId="0" applyNumberFormat="1" applyFont="1" applyFill="1" applyBorder="1"/>
    <xf numFmtId="164" fontId="5" fillId="6" borderId="11" xfId="0" applyNumberFormat="1" applyFont="1" applyFill="1" applyBorder="1"/>
    <xf numFmtId="171" fontId="12" fillId="4" borderId="19" xfId="0" applyNumberFormat="1" applyFont="1" applyFill="1" applyBorder="1" applyAlignment="1">
      <alignment horizontal="left"/>
    </xf>
    <xf numFmtId="0" fontId="5" fillId="15" borderId="0" xfId="0" applyFont="1" applyFill="1"/>
    <xf numFmtId="166" fontId="5" fillId="6" borderId="20" xfId="1" applyNumberFormat="1" applyFont="1" applyFill="1" applyBorder="1"/>
    <xf numFmtId="166" fontId="5" fillId="6" borderId="21" xfId="1" applyNumberFormat="1" applyFont="1" applyFill="1" applyBorder="1"/>
    <xf numFmtId="0" fontId="0" fillId="7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171" fontId="12" fillId="4" borderId="22" xfId="0" applyNumberFormat="1" applyFont="1" applyFill="1" applyBorder="1" applyAlignment="1">
      <alignment horizontal="left"/>
    </xf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0" fillId="14" borderId="0" xfId="0" applyFill="1"/>
    <xf numFmtId="0" fontId="0" fillId="14" borderId="0" xfId="0" applyFill="1" applyBorder="1"/>
    <xf numFmtId="0" fontId="11" fillId="16" borderId="17" xfId="0" applyFont="1" applyFill="1" applyBorder="1" applyAlignment="1">
      <alignment horizontal="center" vertical="center" wrapText="1"/>
    </xf>
    <xf numFmtId="0" fontId="3" fillId="14" borderId="0" xfId="2" applyFill="1"/>
    <xf numFmtId="0" fontId="13" fillId="8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171" fontId="12" fillId="17" borderId="19" xfId="0" applyNumberFormat="1" applyFont="1" applyFill="1" applyBorder="1" applyAlignment="1">
      <alignment horizontal="left"/>
    </xf>
    <xf numFmtId="0" fontId="8" fillId="14" borderId="0" xfId="0" applyFont="1" applyFill="1" applyBorder="1" applyAlignment="1">
      <alignment horizontal="center"/>
    </xf>
    <xf numFmtId="0" fontId="5" fillId="6" borderId="23" xfId="0" applyFont="1" applyFill="1" applyBorder="1"/>
    <xf numFmtId="0" fontId="11" fillId="10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 wrapText="1"/>
    </xf>
    <xf numFmtId="164" fontId="5" fillId="6" borderId="26" xfId="0" applyNumberFormat="1" applyFont="1" applyFill="1" applyBorder="1"/>
    <xf numFmtId="164" fontId="5" fillId="6" borderId="28" xfId="0" applyNumberFormat="1" applyFont="1" applyFill="1" applyBorder="1"/>
    <xf numFmtId="166" fontId="5" fillId="6" borderId="26" xfId="1" applyNumberFormat="1" applyFont="1" applyFill="1" applyBorder="1"/>
    <xf numFmtId="166" fontId="5" fillId="6" borderId="27" xfId="1" applyNumberFormat="1" applyFont="1" applyFill="1" applyBorder="1"/>
    <xf numFmtId="0" fontId="5" fillId="6" borderId="1" xfId="0" applyFont="1" applyFill="1" applyBorder="1" applyAlignment="1">
      <alignment horizontal="center" wrapText="1"/>
    </xf>
    <xf numFmtId="0" fontId="11" fillId="19" borderId="25" xfId="0" applyFont="1" applyFill="1" applyBorder="1" applyAlignment="1">
      <alignment horizontal="center" vertical="center" wrapText="1"/>
    </xf>
    <xf numFmtId="0" fontId="6" fillId="14" borderId="0" xfId="0" applyFont="1" applyFill="1"/>
    <xf numFmtId="0" fontId="9" fillId="14" borderId="0" xfId="0" applyFont="1" applyFill="1" applyAlignment="1">
      <alignment vertical="center"/>
    </xf>
    <xf numFmtId="0" fontId="6" fillId="14" borderId="0" xfId="0" applyFont="1" applyFill="1" applyBorder="1" applyAlignment="1">
      <alignment vertical="top" wrapText="1"/>
    </xf>
    <xf numFmtId="0" fontId="2" fillId="14" borderId="0" xfId="0" applyFont="1" applyFill="1"/>
    <xf numFmtId="164" fontId="9" fillId="6" borderId="20" xfId="0" applyNumberFormat="1" applyFont="1" applyFill="1" applyBorder="1"/>
    <xf numFmtId="164" fontId="9" fillId="6" borderId="28" xfId="0" applyNumberFormat="1" applyFont="1" applyFill="1" applyBorder="1"/>
    <xf numFmtId="164" fontId="9" fillId="6" borderId="21" xfId="0" applyNumberFormat="1" applyFont="1" applyFill="1" applyBorder="1"/>
    <xf numFmtId="169" fontId="5" fillId="6" borderId="32" xfId="0" applyNumberFormat="1" applyFont="1" applyFill="1" applyBorder="1" applyAlignment="1">
      <alignment horizontal="left"/>
    </xf>
    <xf numFmtId="164" fontId="5" fillId="6" borderId="2" xfId="0" applyNumberFormat="1" applyFont="1" applyFill="1" applyBorder="1"/>
    <xf numFmtId="164" fontId="5" fillId="6" borderId="12" xfId="0" applyNumberFormat="1" applyFont="1" applyFill="1" applyBorder="1"/>
    <xf numFmtId="164" fontId="5" fillId="6" borderId="5" xfId="0" applyNumberFormat="1" applyFont="1" applyFill="1" applyBorder="1"/>
    <xf numFmtId="164" fontId="5" fillId="6" borderId="33" xfId="0" applyNumberFormat="1" applyFont="1" applyFill="1" applyBorder="1"/>
    <xf numFmtId="169" fontId="5" fillId="6" borderId="23" xfId="0" applyNumberFormat="1" applyFont="1" applyFill="1" applyBorder="1" applyAlignment="1">
      <alignment horizontal="left"/>
    </xf>
    <xf numFmtId="164" fontId="5" fillId="6" borderId="24" xfId="0" applyNumberFormat="1" applyFont="1" applyFill="1" applyBorder="1"/>
    <xf numFmtId="166" fontId="5" fillId="6" borderId="2" xfId="1" applyNumberFormat="1" applyFont="1" applyFill="1" applyBorder="1"/>
    <xf numFmtId="166" fontId="5" fillId="6" borderId="12" xfId="1" applyNumberFormat="1" applyFont="1" applyFill="1" applyBorder="1"/>
    <xf numFmtId="166" fontId="5" fillId="6" borderId="5" xfId="1" applyNumberFormat="1" applyFont="1" applyFill="1" applyBorder="1"/>
    <xf numFmtId="166" fontId="5" fillId="6" borderId="33" xfId="1" applyNumberFormat="1" applyFont="1" applyFill="1" applyBorder="1"/>
    <xf numFmtId="166" fontId="5" fillId="6" borderId="24" xfId="1" applyNumberFormat="1" applyFont="1" applyFill="1" applyBorder="1"/>
    <xf numFmtId="169" fontId="14" fillId="6" borderId="19" xfId="0" applyNumberFormat="1" applyFont="1" applyFill="1" applyBorder="1" applyAlignment="1">
      <alignment horizontal="left"/>
    </xf>
    <xf numFmtId="164" fontId="14" fillId="6" borderId="20" xfId="0" applyNumberFormat="1" applyFont="1" applyFill="1" applyBorder="1"/>
    <xf numFmtId="164" fontId="14" fillId="6" borderId="28" xfId="0" applyNumberFormat="1" applyFont="1" applyFill="1" applyBorder="1"/>
    <xf numFmtId="164" fontId="14" fillId="6" borderId="21" xfId="0" applyNumberFormat="1" applyFont="1" applyFill="1" applyBorder="1"/>
    <xf numFmtId="166" fontId="14" fillId="6" borderId="20" xfId="1" applyNumberFormat="1" applyFont="1" applyFill="1" applyBorder="1"/>
    <xf numFmtId="166" fontId="14" fillId="6" borderId="28" xfId="1" applyNumberFormat="1" applyFont="1" applyFill="1" applyBorder="1"/>
    <xf numFmtId="166" fontId="14" fillId="6" borderId="21" xfId="1" applyNumberFormat="1" applyFont="1" applyFill="1" applyBorder="1"/>
    <xf numFmtId="0" fontId="11" fillId="18" borderId="17" xfId="0" applyFont="1" applyFill="1" applyBorder="1" applyAlignment="1">
      <alignment horizontal="center" vertical="center" wrapText="1"/>
    </xf>
    <xf numFmtId="0" fontId="11" fillId="20" borderId="1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top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right" vertical="top" wrapText="1"/>
    </xf>
    <xf numFmtId="0" fontId="6" fillId="14" borderId="0" xfId="0" applyFont="1" applyFill="1" applyBorder="1" applyAlignment="1">
      <alignment horizontal="right" vertical="top" wrapText="1"/>
    </xf>
    <xf numFmtId="0" fontId="6" fillId="14" borderId="0" xfId="0" applyFont="1" applyFill="1" applyAlignment="1">
      <alignment horizontal="center" wrapText="1"/>
    </xf>
    <xf numFmtId="0" fontId="9" fillId="6" borderId="29" xfId="0" applyFont="1" applyFill="1" applyBorder="1" applyAlignment="1">
      <alignment horizontal="center" wrapText="1"/>
    </xf>
    <xf numFmtId="0" fontId="9" fillId="6" borderId="30" xfId="0" applyFont="1" applyFill="1" applyBorder="1" applyAlignment="1">
      <alignment horizontal="center" wrapText="1"/>
    </xf>
    <xf numFmtId="0" fontId="9" fillId="6" borderId="31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168" fontId="6" fillId="6" borderId="2" xfId="0" applyNumberFormat="1" applyFont="1" applyFill="1" applyBorder="1" applyAlignment="1">
      <alignment horizontal="center" vertical="center" textRotation="90"/>
    </xf>
    <xf numFmtId="168" fontId="6" fillId="6" borderId="12" xfId="0" applyNumberFormat="1" applyFont="1" applyFill="1" applyBorder="1" applyAlignment="1">
      <alignment horizontal="center" vertical="center" textRotation="90"/>
    </xf>
    <xf numFmtId="168" fontId="6" fillId="6" borderId="4" xfId="0" applyNumberFormat="1" applyFont="1" applyFill="1" applyBorder="1" applyAlignment="1">
      <alignment horizontal="center" vertical="center" textRotation="90"/>
    </xf>
    <xf numFmtId="0" fontId="9" fillId="6" borderId="13" xfId="0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CCFF"/>
      <color rgb="FF860D71"/>
      <color rgb="FFFF99FF"/>
      <color rgb="FFCCCC00"/>
      <color rgb="FF00FFFF"/>
      <color rgb="FF008000"/>
      <color rgb="FF509197"/>
      <color rgb="FF646FB4"/>
      <color rgb="FF1368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Nominalna skumulowana stopa zwrotu na koniec każdego roku</a:t>
            </a:r>
            <a:br>
              <a:rPr lang="pl-PL" sz="1600" b="1"/>
            </a:br>
            <a:r>
              <a:rPr lang="pl-PL" sz="1600" b="1"/>
              <a:t>(dla porównania wykres skumulowanej inflacji)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OBLIGACJE!$M$17</c:f>
              <c:strCache>
                <c:ptCount val="1"/>
                <c:pt idx="0">
                  <c:v>COI (4-latki)</c:v>
                </c:pt>
              </c:strCache>
            </c:strRef>
          </c:tx>
          <c:spPr>
            <a:ln w="31750" cap="rnd">
              <a:solidFill>
                <a:srgbClr val="13683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136834"/>
                </a:solidFill>
              </a:ln>
              <a:effectLst/>
            </c:spPr>
          </c:marker>
          <c:xVal>
            <c:numRef>
              <c:f>OBLIGACJE!$L$18:$L$30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OBLIGACJE!$M$18:$M$30</c:f>
              <c:numCache>
                <c:formatCode>0.0%</c:formatCode>
                <c:ptCount val="13"/>
                <c:pt idx="0">
                  <c:v>0</c:v>
                </c:pt>
                <c:pt idx="1">
                  <c:v>4.8599999999998644E-3</c:v>
                </c:pt>
                <c:pt idx="2">
                  <c:v>5.1563654373140366E-2</c:v>
                </c:pt>
                <c:pt idx="3">
                  <c:v>9.8837928820045162E-2</c:v>
                </c:pt>
                <c:pt idx="4">
                  <c:v>0.15235979511354403</c:v>
                </c:pt>
                <c:pt idx="5">
                  <c:v>0.15983970124408287</c:v>
                </c:pt>
                <c:pt idx="6">
                  <c:v>0.20981393588305908</c:v>
                </c:pt>
                <c:pt idx="7">
                  <c:v>0.26039875018306535</c:v>
                </c:pt>
                <c:pt idx="8">
                  <c:v>0.31749840413873964</c:v>
                </c:pt>
                <c:pt idx="9">
                  <c:v>0.32674212864294594</c:v>
                </c:pt>
                <c:pt idx="10">
                  <c:v>0.38013261409472543</c:v>
                </c:pt>
                <c:pt idx="11">
                  <c:v>0.43417541858140107</c:v>
                </c:pt>
                <c:pt idx="12">
                  <c:v>0.49500211206465616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6-4C7F-8F86-C57347C90C36}"/>
            </c:ext>
          </c:extLst>
        </c:ser>
        <c:ser>
          <c:idx val="1"/>
          <c:order val="1"/>
          <c:tx>
            <c:strRef>
              <c:f>OBLIGACJE!$N$17</c:f>
              <c:strCache>
                <c:ptCount val="1"/>
                <c:pt idx="0">
                  <c:v>EDO (10-latki)</c:v>
                </c:pt>
              </c:strCache>
            </c:strRef>
          </c:tx>
          <c:spPr>
            <a:ln w="31750" cap="rnd">
              <a:solidFill>
                <a:srgbClr val="860D7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860D71"/>
                </a:solidFill>
              </a:ln>
              <a:effectLst/>
            </c:spPr>
          </c:marker>
          <c:xVal>
            <c:numRef>
              <c:f>OBLIGACJE!$L$18:$L$30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OBLIGACJE!$N$18:$N$30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4.6996199999999932E-2</c:v>
                </c:pt>
                <c:pt idx="3">
                  <c:v>9.9387971999999936E-2</c:v>
                </c:pt>
                <c:pt idx="4">
                  <c:v>0.15492325031999998</c:v>
                </c:pt>
                <c:pt idx="5">
                  <c:v>0.2137906453392</c:v>
                </c:pt>
                <c:pt idx="6">
                  <c:v>0.27619008405955214</c:v>
                </c:pt>
                <c:pt idx="7">
                  <c:v>0.34233348910312533</c:v>
                </c:pt>
                <c:pt idx="8">
                  <c:v>0.41244549844931289</c:v>
                </c:pt>
                <c:pt idx="9">
                  <c:v>0.48676422835627164</c:v>
                </c:pt>
                <c:pt idx="10">
                  <c:v>0.58174208205764799</c:v>
                </c:pt>
                <c:pt idx="11">
                  <c:v>0.58336267088809901</c:v>
                </c:pt>
                <c:pt idx="12">
                  <c:v>0.65765775162838258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36-4C7F-8F86-C57347C90C36}"/>
            </c:ext>
          </c:extLst>
        </c:ser>
        <c:ser>
          <c:idx val="4"/>
          <c:order val="2"/>
          <c:tx>
            <c:strRef>
              <c:f>OBLIGACJE!$Q$17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31750" cap="rnd">
              <a:solidFill>
                <a:srgbClr val="CCCC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CCCC00"/>
                </a:solidFill>
              </a:ln>
              <a:effectLst/>
            </c:spPr>
          </c:marker>
          <c:xVal>
            <c:numRef>
              <c:f>OBLIGACJE!$L$18:$L$30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OBLIGACJE!$Q$18:$Q$30</c:f>
              <c:numCache>
                <c:formatCode>0.0%</c:formatCode>
                <c:ptCount val="13"/>
                <c:pt idx="0">
                  <c:v>0</c:v>
                </c:pt>
                <c:pt idx="1">
                  <c:v>1.221788918711697E-2</c:v>
                </c:pt>
                <c:pt idx="2">
                  <c:v>2.4585055190422755E-2</c:v>
                </c:pt>
                <c:pt idx="3">
                  <c:v>3.7103321857515414E-2</c:v>
                </c:pt>
                <c:pt idx="4">
                  <c:v>4.977453531956133E-2</c:v>
                </c:pt>
                <c:pt idx="5">
                  <c:v>6.2600564263553204E-2</c:v>
                </c:pt>
                <c:pt idx="6">
                  <c:v>7.5583300207893167E-2</c:v>
                </c:pt>
                <c:pt idx="7">
                  <c:v>8.872465778134675E-2</c:v>
                </c:pt>
                <c:pt idx="8">
                  <c:v>0.10202657500540124</c:v>
                </c:pt>
                <c:pt idx="9">
                  <c:v>0.1154910135800753</c:v>
                </c:pt>
                <c:pt idx="10">
                  <c:v>0.12911995917322128</c:v>
                </c:pt>
                <c:pt idx="11">
                  <c:v>0.14291542171336169</c:v>
                </c:pt>
                <c:pt idx="12">
                  <c:v>0.15687943568610252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36-4C7F-8F86-C57347C90C36}"/>
            </c:ext>
          </c:extLst>
        </c:ser>
        <c:ser>
          <c:idx val="5"/>
          <c:order val="3"/>
          <c:tx>
            <c:strRef>
              <c:f>OBLIGACJE!$R$17</c:f>
              <c:strCache>
                <c:ptCount val="1"/>
                <c:pt idx="0">
                  <c:v>INFLACJA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OBLIGACJE!$L$18:$L$30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OBLIGACJE!$R$18:$R$30</c:f>
              <c:numCache>
                <c:formatCode>0.0%</c:formatCode>
                <c:ptCount val="13"/>
                <c:pt idx="0">
                  <c:v>0</c:v>
                </c:pt>
                <c:pt idx="1">
                  <c:v>5.0000000000000044E-2</c:v>
                </c:pt>
                <c:pt idx="2">
                  <c:v>0.10250000000000004</c:v>
                </c:pt>
                <c:pt idx="3">
                  <c:v>0.15762500000000013</c:v>
                </c:pt>
                <c:pt idx="4">
                  <c:v>0.21550625000000023</c:v>
                </c:pt>
                <c:pt idx="5">
                  <c:v>0.27628156250000035</c:v>
                </c:pt>
                <c:pt idx="6">
                  <c:v>0.34009564062500042</c:v>
                </c:pt>
                <c:pt idx="7">
                  <c:v>0.40710042265625046</c:v>
                </c:pt>
                <c:pt idx="8">
                  <c:v>0.47745544378906302</c:v>
                </c:pt>
                <c:pt idx="9">
                  <c:v>0.55132821597851622</c:v>
                </c:pt>
                <c:pt idx="10">
                  <c:v>0.62889462677744201</c:v>
                </c:pt>
                <c:pt idx="11">
                  <c:v>0.71033935811631421</c:v>
                </c:pt>
                <c:pt idx="12">
                  <c:v>0.79585632602213008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36-4C7F-8F86-C57347C90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25839"/>
        <c:axId val="143248303"/>
      </c:scatterChart>
      <c:valAx>
        <c:axId val="14322583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48303"/>
        <c:crosses val="autoZero"/>
        <c:crossBetween val="midCat"/>
      </c:valAx>
      <c:valAx>
        <c:axId val="143248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258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187259612265644E-2"/>
          <c:y val="0.85621657295031395"/>
          <c:w val="0.92987375169463415"/>
          <c:h val="0.12496276621231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Nominalna skumulowana stopa zwrotu na koniec każdego roku</a:t>
            </a:r>
            <a:br>
              <a:rPr lang="pl-PL" sz="1600" b="1"/>
            </a:br>
            <a:r>
              <a:rPr lang="pl-PL" sz="1600" b="1"/>
              <a:t>(dla porównania wykres skumulowanej inflacji)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6201335000916821E-2"/>
          <c:y val="0.15470432131124942"/>
          <c:w val="0.88997982163170886"/>
          <c:h val="0.68793885624833351"/>
        </c:manualLayout>
      </c:layout>
      <c:scatterChart>
        <c:scatterStyle val="lineMarker"/>
        <c:varyColors val="0"/>
        <c:ser>
          <c:idx val="0"/>
          <c:order val="0"/>
          <c:tx>
            <c:strRef>
              <c:f>OBLIGACJE!$O$17</c:f>
              <c:strCache>
                <c:ptCount val="1"/>
                <c:pt idx="0">
                  <c:v>ROS (6-latki)</c:v>
                </c:pt>
              </c:strCache>
            </c:strRef>
          </c:tx>
          <c:spPr>
            <a:ln w="317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4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F8-4C93-B890-9A91B80B5750}"/>
              </c:ext>
            </c:extLst>
          </c:dPt>
          <c:xVal>
            <c:numRef>
              <c:f>OBLIGACJE!$L$18:$L$30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OBLIGACJE!$O$18:$O$30</c:f>
              <c:numCache>
                <c:formatCode>0.0%</c:formatCode>
                <c:ptCount val="13"/>
                <c:pt idx="0">
                  <c:v>0</c:v>
                </c:pt>
                <c:pt idx="1">
                  <c:v>6.4799999999998192E-3</c:v>
                </c:pt>
                <c:pt idx="2">
                  <c:v>5.7864374999999857E-2</c:v>
                </c:pt>
                <c:pt idx="3">
                  <c:v>0.11246027343749998</c:v>
                </c:pt>
                <c:pt idx="4">
                  <c:v>0.17046841552734371</c:v>
                </c:pt>
                <c:pt idx="5">
                  <c:v>0.23210206649780263</c:v>
                </c:pt>
                <c:pt idx="6">
                  <c:v>0.30325782065391516</c:v>
                </c:pt>
                <c:pt idx="7">
                  <c:v>0.31172162434565598</c:v>
                </c:pt>
                <c:pt idx="8">
                  <c:v>0.37856160185449217</c:v>
                </c:pt>
                <c:pt idx="9">
                  <c:v>0.44957705209094123</c:v>
                </c:pt>
                <c:pt idx="10">
                  <c:v>0.52502891734866508</c:v>
                </c:pt>
                <c:pt idx="11">
                  <c:v>0.60519444851226312</c:v>
                </c:pt>
                <c:pt idx="12">
                  <c:v>0.69773922434051339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F8-4C93-B890-9A91B80B5750}"/>
            </c:ext>
          </c:extLst>
        </c:ser>
        <c:ser>
          <c:idx val="1"/>
          <c:order val="1"/>
          <c:tx>
            <c:strRef>
              <c:f>OBLIGACJE!$P$17</c:f>
              <c:strCache>
                <c:ptCount val="1"/>
                <c:pt idx="0">
                  <c:v>ROD (12-latki) </c:v>
                </c:pt>
              </c:strCache>
            </c:strRef>
          </c:tx>
          <c:spPr>
            <a:ln w="31750" cap="rnd">
              <a:solidFill>
                <a:srgbClr val="646FB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646FB4"/>
                </a:solidFill>
              </a:ln>
              <a:effectLst/>
            </c:spPr>
          </c:marker>
          <c:xVal>
            <c:numRef>
              <c:f>OBLIGACJE!$L$18:$L$30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OBLIGACJE!$P$18:$P$30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5.3703000000000056E-2</c:v>
                </c:pt>
                <c:pt idx="3">
                  <c:v>0.1108966950000001</c:v>
                </c:pt>
                <c:pt idx="4">
                  <c:v>0.17180798017499987</c:v>
                </c:pt>
                <c:pt idx="5">
                  <c:v>0.23667849888637482</c:v>
                </c:pt>
                <c:pt idx="6">
                  <c:v>0.30576560131398911</c:v>
                </c:pt>
                <c:pt idx="7">
                  <c:v>0.37934336539939828</c:v>
                </c:pt>
                <c:pt idx="8">
                  <c:v>0.45770368415035922</c:v>
                </c:pt>
                <c:pt idx="9">
                  <c:v>0.54115742362013264</c:v>
                </c:pt>
                <c:pt idx="10">
                  <c:v>0.63003565615544121</c:v>
                </c:pt>
                <c:pt idx="11">
                  <c:v>0.72469097380554492</c:v>
                </c:pt>
                <c:pt idx="12">
                  <c:v>0.84169888710290541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F8-4C93-B890-9A91B80B5750}"/>
            </c:ext>
          </c:extLst>
        </c:ser>
        <c:ser>
          <c:idx val="4"/>
          <c:order val="2"/>
          <c:tx>
            <c:strRef>
              <c:f>OBLIGACJE!$Q$17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31750" cap="rnd">
              <a:solidFill>
                <a:srgbClr val="CCCC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CCCC00"/>
                </a:solidFill>
              </a:ln>
              <a:effectLst/>
            </c:spPr>
          </c:marker>
          <c:xVal>
            <c:numRef>
              <c:f>OBLIGACJE!$L$18:$L$30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OBLIGACJE!$Q$18:$Q$30</c:f>
              <c:numCache>
                <c:formatCode>0.0%</c:formatCode>
                <c:ptCount val="13"/>
                <c:pt idx="0">
                  <c:v>0</c:v>
                </c:pt>
                <c:pt idx="1">
                  <c:v>1.221788918711697E-2</c:v>
                </c:pt>
                <c:pt idx="2">
                  <c:v>2.4585055190422755E-2</c:v>
                </c:pt>
                <c:pt idx="3">
                  <c:v>3.7103321857515414E-2</c:v>
                </c:pt>
                <c:pt idx="4">
                  <c:v>4.977453531956133E-2</c:v>
                </c:pt>
                <c:pt idx="5">
                  <c:v>6.2600564263553204E-2</c:v>
                </c:pt>
                <c:pt idx="6">
                  <c:v>7.5583300207893167E-2</c:v>
                </c:pt>
                <c:pt idx="7">
                  <c:v>8.872465778134675E-2</c:v>
                </c:pt>
                <c:pt idx="8">
                  <c:v>0.10202657500540124</c:v>
                </c:pt>
                <c:pt idx="9">
                  <c:v>0.1154910135800753</c:v>
                </c:pt>
                <c:pt idx="10">
                  <c:v>0.12911995917322128</c:v>
                </c:pt>
                <c:pt idx="11">
                  <c:v>0.14291542171336169</c:v>
                </c:pt>
                <c:pt idx="12">
                  <c:v>0.15687943568610252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F8-4C93-B890-9A91B80B5750}"/>
            </c:ext>
          </c:extLst>
        </c:ser>
        <c:ser>
          <c:idx val="5"/>
          <c:order val="3"/>
          <c:tx>
            <c:strRef>
              <c:f>OBLIGACJE!$R$17</c:f>
              <c:strCache>
                <c:ptCount val="1"/>
                <c:pt idx="0">
                  <c:v>INFLACJA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OBLIGACJE!$L$18:$L$30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OBLIGACJE!$R$18:$R$30</c:f>
              <c:numCache>
                <c:formatCode>0.0%</c:formatCode>
                <c:ptCount val="13"/>
                <c:pt idx="0">
                  <c:v>0</c:v>
                </c:pt>
                <c:pt idx="1">
                  <c:v>5.0000000000000044E-2</c:v>
                </c:pt>
                <c:pt idx="2">
                  <c:v>0.10250000000000004</c:v>
                </c:pt>
                <c:pt idx="3">
                  <c:v>0.15762500000000013</c:v>
                </c:pt>
                <c:pt idx="4">
                  <c:v>0.21550625000000023</c:v>
                </c:pt>
                <c:pt idx="5">
                  <c:v>0.27628156250000035</c:v>
                </c:pt>
                <c:pt idx="6">
                  <c:v>0.34009564062500042</c:v>
                </c:pt>
                <c:pt idx="7">
                  <c:v>0.40710042265625046</c:v>
                </c:pt>
                <c:pt idx="8">
                  <c:v>0.47745544378906302</c:v>
                </c:pt>
                <c:pt idx="9">
                  <c:v>0.55132821597851622</c:v>
                </c:pt>
                <c:pt idx="10">
                  <c:v>0.62889462677744201</c:v>
                </c:pt>
                <c:pt idx="11">
                  <c:v>0.71033935811631421</c:v>
                </c:pt>
                <c:pt idx="12">
                  <c:v>0.79585632602213008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F8-4C93-B890-9A91B80B5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25839"/>
        <c:axId val="143248303"/>
      </c:scatterChart>
      <c:valAx>
        <c:axId val="143225839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48303"/>
        <c:crosses val="autoZero"/>
        <c:crossBetween val="midCat"/>
      </c:valAx>
      <c:valAx>
        <c:axId val="143248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258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245649039337211E-2"/>
          <c:y val="0.91795022955208772"/>
          <c:w val="0.92197966577502499"/>
          <c:h val="6.3168090899361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Wartości nominalne obligacji na koniec każdego roku oszczędzania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OBLIGACJE!$D$17</c:f>
              <c:strCache>
                <c:ptCount val="1"/>
                <c:pt idx="0">
                  <c:v>COI (4-latki)</c:v>
                </c:pt>
              </c:strCache>
            </c:strRef>
          </c:tx>
          <c:spPr>
            <a:solidFill>
              <a:srgbClr val="136834"/>
            </a:solidFill>
            <a:ln>
              <a:solidFill>
                <a:srgbClr val="509197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36834"/>
              </a:solidFill>
              <a:ln>
                <a:solidFill>
                  <a:srgbClr val="5091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09-465B-9C1B-48094DA13D00}"/>
              </c:ext>
            </c:extLst>
          </c:dPt>
          <c:cat>
            <c:numRef>
              <c:f>OBLIGACJE!$C$18:$C$28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OBLIGACJE!$D$18:$D$28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10048.599999999999</c:v>
                </c:pt>
                <c:pt idx="2">
                  <c:v>10515.636543731403</c:v>
                </c:pt>
                <c:pt idx="3">
                  <c:v>10988.379288200453</c:v>
                </c:pt>
                <c:pt idx="4">
                  <c:v>11523.59795113544</c:v>
                </c:pt>
                <c:pt idx="5">
                  <c:v>11598.39701244083</c:v>
                </c:pt>
                <c:pt idx="6">
                  <c:v>12098.139358830591</c:v>
                </c:pt>
                <c:pt idx="7">
                  <c:v>12603.987501830654</c:v>
                </c:pt>
                <c:pt idx="8">
                  <c:v>13174.984041387397</c:v>
                </c:pt>
                <c:pt idx="9">
                  <c:v>13267.42128642946</c:v>
                </c:pt>
                <c:pt idx="10">
                  <c:v>13801.326140947254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9-465B-9C1B-48094DA13D00}"/>
            </c:ext>
          </c:extLst>
        </c:ser>
        <c:ser>
          <c:idx val="3"/>
          <c:order val="1"/>
          <c:tx>
            <c:strRef>
              <c:f>OBLIGACJE!$E$17</c:f>
              <c:strCache>
                <c:ptCount val="1"/>
                <c:pt idx="0">
                  <c:v>EDO (10-latki)</c:v>
                </c:pt>
              </c:strCache>
            </c:strRef>
          </c:tx>
          <c:spPr>
            <a:solidFill>
              <a:srgbClr val="860D71"/>
            </a:solidFill>
            <a:ln>
              <a:noFill/>
            </a:ln>
            <a:effectLst/>
          </c:spPr>
          <c:invertIfNegative val="0"/>
          <c:cat>
            <c:numRef>
              <c:f>OBLIGACJE!$C$18:$C$28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OBLIGACJE!$E$18:$E$28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10000</c:v>
                </c:pt>
                <c:pt idx="2">
                  <c:v>10469.962</c:v>
                </c:pt>
                <c:pt idx="3">
                  <c:v>10993.879719999999</c:v>
                </c:pt>
                <c:pt idx="4">
                  <c:v>11549.232503199999</c:v>
                </c:pt>
                <c:pt idx="5">
                  <c:v>12137.906453391999</c:v>
                </c:pt>
                <c:pt idx="6">
                  <c:v>12761.900840595521</c:v>
                </c:pt>
                <c:pt idx="7">
                  <c:v>13423.334891031252</c:v>
                </c:pt>
                <c:pt idx="8">
                  <c:v>14124.454984493128</c:v>
                </c:pt>
                <c:pt idx="9">
                  <c:v>14867.642283562716</c:v>
                </c:pt>
                <c:pt idx="10">
                  <c:v>15817.420820576481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09-465B-9C1B-48094DA13D00}"/>
            </c:ext>
          </c:extLst>
        </c:ser>
        <c:ser>
          <c:idx val="4"/>
          <c:order val="2"/>
          <c:tx>
            <c:strRef>
              <c:f>OBLIGACJE!$H$17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solidFill>
              <a:srgbClr val="CCCC00"/>
            </a:solidFill>
            <a:ln>
              <a:solidFill>
                <a:srgbClr val="CCCC00"/>
              </a:solidFill>
            </a:ln>
            <a:effectLst/>
          </c:spPr>
          <c:invertIfNegative val="0"/>
          <c:cat>
            <c:numRef>
              <c:f>OBLIGACJE!$C$18:$C$28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OBLIGACJE!$H$18:$H$28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10122.17889187117</c:v>
                </c:pt>
                <c:pt idx="2">
                  <c:v>10245.850551904226</c:v>
                </c:pt>
                <c:pt idx="3">
                  <c:v>10371.033218575154</c:v>
                </c:pt>
                <c:pt idx="4">
                  <c:v>10497.745353195614</c:v>
                </c:pt>
                <c:pt idx="5">
                  <c:v>10626.005642635531</c:v>
                </c:pt>
                <c:pt idx="6">
                  <c:v>10755.833002078933</c:v>
                </c:pt>
                <c:pt idx="7">
                  <c:v>10887.246577813468</c:v>
                </c:pt>
                <c:pt idx="8">
                  <c:v>11020.265750054012</c:v>
                </c:pt>
                <c:pt idx="9">
                  <c:v>11154.910135800752</c:v>
                </c:pt>
                <c:pt idx="10">
                  <c:v>11291.199591732213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09-465B-9C1B-48094DA13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4612543"/>
        <c:axId val="2134611295"/>
      </c:barChart>
      <c:lineChart>
        <c:grouping val="standard"/>
        <c:varyColors val="0"/>
        <c:ser>
          <c:idx val="5"/>
          <c:order val="3"/>
          <c:tx>
            <c:strRef>
              <c:f>OBLIGACJE!$I$17</c:f>
              <c:strCache>
                <c:ptCount val="1"/>
                <c:pt idx="0">
                  <c:v>Kwota wpłacona powiększona o INFLACJĘ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OBLIGACJE!$C$18:$C$28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OBLIGACJE!$I$18:$I$28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10500</c:v>
                </c:pt>
                <c:pt idx="2">
                  <c:v>11025</c:v>
                </c:pt>
                <c:pt idx="3">
                  <c:v>11576.250000000002</c:v>
                </c:pt>
                <c:pt idx="4">
                  <c:v>12155.062500000002</c:v>
                </c:pt>
                <c:pt idx="5">
                  <c:v>12762.815625000003</c:v>
                </c:pt>
                <c:pt idx="6">
                  <c:v>13400.956406250005</c:v>
                </c:pt>
                <c:pt idx="7">
                  <c:v>14071.004226562505</c:v>
                </c:pt>
                <c:pt idx="8">
                  <c:v>14774.554437890631</c:v>
                </c:pt>
                <c:pt idx="9">
                  <c:v>15513.282159785162</c:v>
                </c:pt>
                <c:pt idx="10">
                  <c:v>16288.94626777442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09-465B-9C1B-48094DA13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612543"/>
        <c:axId val="2134611295"/>
      </c:lineChart>
      <c:catAx>
        <c:axId val="21346125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1295"/>
        <c:crosses val="autoZero"/>
        <c:auto val="1"/>
        <c:lblAlgn val="ctr"/>
        <c:lblOffset val="100"/>
        <c:noMultiLvlLbl val="0"/>
      </c:catAx>
      <c:valAx>
        <c:axId val="213461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Wartości nominalne obligacji na koniec każdego roku oszczędzania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OBLIGACJE!$F$17</c:f>
              <c:strCache>
                <c:ptCount val="1"/>
                <c:pt idx="0">
                  <c:v>ROS (6-latki)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OBLIGACJE!$C$18:$C$30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OBLIGACJE!$F$18:$F$30</c:f>
              <c:numCache>
                <c:formatCode>#\ ##0.00\ "zł"</c:formatCode>
                <c:ptCount val="13"/>
                <c:pt idx="0">
                  <c:v>10000</c:v>
                </c:pt>
                <c:pt idx="1">
                  <c:v>10064.799999999999</c:v>
                </c:pt>
                <c:pt idx="2">
                  <c:v>10578.643749999999</c:v>
                </c:pt>
                <c:pt idx="3">
                  <c:v>11124.602734374999</c:v>
                </c:pt>
                <c:pt idx="4">
                  <c:v>11704.684155273437</c:v>
                </c:pt>
                <c:pt idx="5">
                  <c:v>12321.020664978027</c:v>
                </c:pt>
                <c:pt idx="6">
                  <c:v>13032.578206539152</c:v>
                </c:pt>
                <c:pt idx="7">
                  <c:v>13117.21624345656</c:v>
                </c:pt>
                <c:pt idx="8">
                  <c:v>13785.616018544921</c:v>
                </c:pt>
                <c:pt idx="9">
                  <c:v>14495.770520909413</c:v>
                </c:pt>
                <c:pt idx="10">
                  <c:v>15250.289173486652</c:v>
                </c:pt>
                <c:pt idx="11">
                  <c:v>16051.944485122631</c:v>
                </c:pt>
                <c:pt idx="12">
                  <c:v>16977.392243405135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8B-4E78-9D2F-D67E06B30CEE}"/>
            </c:ext>
          </c:extLst>
        </c:ser>
        <c:ser>
          <c:idx val="3"/>
          <c:order val="1"/>
          <c:tx>
            <c:strRef>
              <c:f>OBLIGACJE!$G$17</c:f>
              <c:strCache>
                <c:ptCount val="1"/>
                <c:pt idx="0">
                  <c:v>ROD (12-latki) </c:v>
                </c:pt>
              </c:strCache>
            </c:strRef>
          </c:tx>
          <c:spPr>
            <a:solidFill>
              <a:srgbClr val="646FB4"/>
            </a:solidFill>
            <a:ln>
              <a:noFill/>
            </a:ln>
            <a:effectLst/>
          </c:spPr>
          <c:invertIfNegative val="0"/>
          <c:cat>
            <c:numRef>
              <c:f>OBLIGACJE!$C$18:$C$30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OBLIGACJE!$G$18:$G$30</c:f>
              <c:numCache>
                <c:formatCode>#\ ##0.00\ "zł"</c:formatCode>
                <c:ptCount val="13"/>
                <c:pt idx="0">
                  <c:v>10000</c:v>
                </c:pt>
                <c:pt idx="1">
                  <c:v>10000</c:v>
                </c:pt>
                <c:pt idx="2">
                  <c:v>10537.03</c:v>
                </c:pt>
                <c:pt idx="3">
                  <c:v>11108.96695</c:v>
                </c:pt>
                <c:pt idx="4">
                  <c:v>11718.079801749998</c:v>
                </c:pt>
                <c:pt idx="5">
                  <c:v>12366.784988863748</c:v>
                </c:pt>
                <c:pt idx="6">
                  <c:v>13057.656013139891</c:v>
                </c:pt>
                <c:pt idx="7">
                  <c:v>13793.433653993983</c:v>
                </c:pt>
                <c:pt idx="8">
                  <c:v>14577.036841503592</c:v>
                </c:pt>
                <c:pt idx="9">
                  <c:v>15411.574236201326</c:v>
                </c:pt>
                <c:pt idx="10">
                  <c:v>16300.356561554412</c:v>
                </c:pt>
                <c:pt idx="11">
                  <c:v>17246.909738055449</c:v>
                </c:pt>
                <c:pt idx="12">
                  <c:v>18416.988871029054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8B-4E78-9D2F-D67E06B30CEE}"/>
            </c:ext>
          </c:extLst>
        </c:ser>
        <c:ser>
          <c:idx val="4"/>
          <c:order val="2"/>
          <c:tx>
            <c:strRef>
              <c:f>OBLIGACJE!$H$17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solidFill>
              <a:srgbClr val="CCCC00"/>
            </a:solidFill>
            <a:ln>
              <a:solidFill>
                <a:srgbClr val="CCCC00"/>
              </a:solidFill>
            </a:ln>
            <a:effectLst/>
          </c:spPr>
          <c:invertIfNegative val="0"/>
          <c:cat>
            <c:numRef>
              <c:f>OBLIGACJE!$C$18:$C$30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OBLIGACJE!$H$18:$H$30</c:f>
              <c:numCache>
                <c:formatCode>#\ ##0.00\ "zł"</c:formatCode>
                <c:ptCount val="13"/>
                <c:pt idx="0">
                  <c:v>10000</c:v>
                </c:pt>
                <c:pt idx="1">
                  <c:v>10122.17889187117</c:v>
                </c:pt>
                <c:pt idx="2">
                  <c:v>10245.850551904226</c:v>
                </c:pt>
                <c:pt idx="3">
                  <c:v>10371.033218575154</c:v>
                </c:pt>
                <c:pt idx="4">
                  <c:v>10497.745353195614</c:v>
                </c:pt>
                <c:pt idx="5">
                  <c:v>10626.005642635531</c:v>
                </c:pt>
                <c:pt idx="6">
                  <c:v>10755.833002078933</c:v>
                </c:pt>
                <c:pt idx="7">
                  <c:v>10887.246577813468</c:v>
                </c:pt>
                <c:pt idx="8">
                  <c:v>11020.265750054012</c:v>
                </c:pt>
                <c:pt idx="9">
                  <c:v>11154.910135800752</c:v>
                </c:pt>
                <c:pt idx="10">
                  <c:v>11291.199591732213</c:v>
                </c:pt>
                <c:pt idx="11">
                  <c:v>11429.154217133617</c:v>
                </c:pt>
                <c:pt idx="12">
                  <c:v>11568.794356861026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8B-4E78-9D2F-D67E06B3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4612543"/>
        <c:axId val="2134611295"/>
      </c:barChart>
      <c:lineChart>
        <c:grouping val="standard"/>
        <c:varyColors val="0"/>
        <c:ser>
          <c:idx val="5"/>
          <c:order val="3"/>
          <c:tx>
            <c:strRef>
              <c:f>OBLIGACJE!$I$17</c:f>
              <c:strCache>
                <c:ptCount val="1"/>
                <c:pt idx="0">
                  <c:v>Kwota wpłacona powiększona o INFLACJĘ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OBLIGACJE!$C$18:$C$30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OBLIGACJE!$I$18:$I$30</c:f>
              <c:numCache>
                <c:formatCode>#\ ##0.00\ "zł"</c:formatCode>
                <c:ptCount val="13"/>
                <c:pt idx="0">
                  <c:v>10000</c:v>
                </c:pt>
                <c:pt idx="1">
                  <c:v>10500</c:v>
                </c:pt>
                <c:pt idx="2">
                  <c:v>11025</c:v>
                </c:pt>
                <c:pt idx="3">
                  <c:v>11576.250000000002</c:v>
                </c:pt>
                <c:pt idx="4">
                  <c:v>12155.062500000002</c:v>
                </c:pt>
                <c:pt idx="5">
                  <c:v>12762.815625000003</c:v>
                </c:pt>
                <c:pt idx="6">
                  <c:v>13400.956406250005</c:v>
                </c:pt>
                <c:pt idx="7">
                  <c:v>14071.004226562505</c:v>
                </c:pt>
                <c:pt idx="8">
                  <c:v>14774.554437890631</c:v>
                </c:pt>
                <c:pt idx="9">
                  <c:v>15513.282159785162</c:v>
                </c:pt>
                <c:pt idx="10">
                  <c:v>16288.94626777442</c:v>
                </c:pt>
                <c:pt idx="11">
                  <c:v>17103.393581163142</c:v>
                </c:pt>
                <c:pt idx="12">
                  <c:v>17958.563260221301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8B-4E78-9D2F-D67E06B3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612543"/>
        <c:axId val="2134611295"/>
      </c:lineChart>
      <c:catAx>
        <c:axId val="21346125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1295"/>
        <c:crosses val="autoZero"/>
        <c:auto val="1"/>
        <c:lblAlgn val="ctr"/>
        <c:lblOffset val="100"/>
        <c:noMultiLvlLbl val="0"/>
      </c:catAx>
      <c:valAx>
        <c:axId val="213461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Wartości nominalne obligacji "opakowanych" w IKE, na koniec roku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8468203130400099E-2"/>
          <c:y val="7.3502868811716374E-2"/>
          <c:w val="0.91737309822934177"/>
          <c:h val="0.65705744706918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'IKE OBLIGACJE'!$D$17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solidFill>
              <a:srgbClr val="136834"/>
            </a:solidFill>
            <a:ln>
              <a:noFill/>
            </a:ln>
            <a:effectLst/>
          </c:spPr>
          <c:invertIfNegative val="0"/>
          <c:cat>
            <c:numRef>
              <c:f>'IKE OBLIGACJE'!$C$18:$C$28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OBLIGACJE'!$D$18:$D$28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10129.999999999998</c:v>
                </c:pt>
                <c:pt idx="2">
                  <c:v>10689.169919999998</c:v>
                </c:pt>
                <c:pt idx="3">
                  <c:v>11260.777645</c:v>
                </c:pt>
                <c:pt idx="4">
                  <c:v>11865.844405000003</c:v>
                </c:pt>
                <c:pt idx="5">
                  <c:v>12068.668645000003</c:v>
                </c:pt>
                <c:pt idx="6">
                  <c:v>12735.787405000003</c:v>
                </c:pt>
                <c:pt idx="7">
                  <c:v>13399.691310000004</c:v>
                </c:pt>
                <c:pt idx="8">
                  <c:v>14107.522810000008</c:v>
                </c:pt>
                <c:pt idx="9">
                  <c:v>14409.038260000007</c:v>
                </c:pt>
                <c:pt idx="10">
                  <c:v>15201.046360000008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8-41D6-9428-02084902B5DB}"/>
            </c:ext>
          </c:extLst>
        </c:ser>
        <c:ser>
          <c:idx val="1"/>
          <c:order val="1"/>
          <c:tx>
            <c:strRef>
              <c:f>'IKE OBLIGACJE'!$E$17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'IKE OBLIGACJE'!$C$18:$C$28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OBLIGACJE'!$E$18:$E$28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10048.599999999999</c:v>
                </c:pt>
                <c:pt idx="2">
                  <c:v>10497.705919999999</c:v>
                </c:pt>
                <c:pt idx="3">
                  <c:v>10954.087145</c:v>
                </c:pt>
                <c:pt idx="4">
                  <c:v>11494.886405000003</c:v>
                </c:pt>
                <c:pt idx="5">
                  <c:v>11595.507645000003</c:v>
                </c:pt>
                <c:pt idx="6">
                  <c:v>12131.817405000002</c:v>
                </c:pt>
                <c:pt idx="7">
                  <c:v>12662.789810000002</c:v>
                </c:pt>
                <c:pt idx="8">
                  <c:v>13289.564810000007</c:v>
                </c:pt>
                <c:pt idx="9">
                  <c:v>13466.959760000005</c:v>
                </c:pt>
                <c:pt idx="10">
                  <c:v>14103.870360000006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8-41D6-9428-02084902B5DB}"/>
            </c:ext>
          </c:extLst>
        </c:ser>
        <c:ser>
          <c:idx val="2"/>
          <c:order val="2"/>
          <c:tx>
            <c:strRef>
              <c:f>'IKE OBLIGACJE'!$F$17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solidFill>
              <a:srgbClr val="860D71"/>
            </a:solidFill>
            <a:ln>
              <a:noFill/>
            </a:ln>
            <a:effectLst/>
          </c:spPr>
          <c:invertIfNegative val="0"/>
          <c:cat>
            <c:numRef>
              <c:f>'IKE OBLIGACJE'!$C$18:$C$28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OBLIGACJE'!$F$18:$F$28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10169.999999999998</c:v>
                </c:pt>
                <c:pt idx="2">
                  <c:v>10762.951679999998</c:v>
                </c:pt>
                <c:pt idx="3">
                  <c:v>11392.623161999998</c:v>
                </c:pt>
                <c:pt idx="4">
                  <c:v>12061.286196191999</c:v>
                </c:pt>
                <c:pt idx="5">
                  <c:v>12771.352951503839</c:v>
                </c:pt>
                <c:pt idx="6">
                  <c:v>13525.38468754681</c:v>
                </c:pt>
                <c:pt idx="7">
                  <c:v>14326.100961689524</c:v>
                </c:pt>
                <c:pt idx="8">
                  <c:v>15176.389404254192</c:v>
                </c:pt>
                <c:pt idx="9">
                  <c:v>16077.695153372742</c:v>
                </c:pt>
                <c:pt idx="10">
                  <c:v>17033.079247438407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8-41D6-9428-02084902B5DB}"/>
            </c:ext>
          </c:extLst>
        </c:ser>
        <c:ser>
          <c:idx val="3"/>
          <c:order val="3"/>
          <c:tx>
            <c:strRef>
              <c:f>'IKE OBLIGACJE'!$G$17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cat>
            <c:numRef>
              <c:f>'IKE OBLIGACJE'!$C$18:$C$28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OBLIGACJE'!$G$18:$G$28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10000</c:v>
                </c:pt>
                <c:pt idx="2">
                  <c:v>10452.713679999999</c:v>
                </c:pt>
                <c:pt idx="3">
                  <c:v>10959.490881999998</c:v>
                </c:pt>
                <c:pt idx="4">
                  <c:v>11497.885979391998</c:v>
                </c:pt>
                <c:pt idx="5">
                  <c:v>12069.868721695839</c:v>
                </c:pt>
                <c:pt idx="6">
                  <c:v>12677.53140395033</c:v>
                </c:pt>
                <c:pt idx="7">
                  <c:v>13323.096481077255</c:v>
                </c:pt>
                <c:pt idx="8">
                  <c:v>14008.924654805187</c:v>
                </c:pt>
                <c:pt idx="9">
                  <c:v>14735.902518956796</c:v>
                </c:pt>
                <c:pt idx="10">
                  <c:v>15668.499054957505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38-41D6-9428-02084902B5DB}"/>
            </c:ext>
          </c:extLst>
        </c:ser>
        <c:ser>
          <c:idx val="4"/>
          <c:order val="4"/>
          <c:tx>
            <c:strRef>
              <c:f>'IKE OBLIGACJE'!$H$17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solidFill>
              <a:srgbClr val="CCCC00"/>
            </a:solidFill>
            <a:ln>
              <a:solidFill>
                <a:srgbClr val="CCCC00"/>
              </a:solidFill>
            </a:ln>
            <a:effectLst/>
          </c:spPr>
          <c:invertIfNegative val="0"/>
          <c:cat>
            <c:numRef>
              <c:f>'IKE OBLIGACJE'!$C$18:$C$28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OBLIGACJE'!$H$18:$H$28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10122.17889187117</c:v>
                </c:pt>
                <c:pt idx="2">
                  <c:v>10245.850551904226</c:v>
                </c:pt>
                <c:pt idx="3">
                  <c:v>10371.033218575154</c:v>
                </c:pt>
                <c:pt idx="4">
                  <c:v>10497.745353195614</c:v>
                </c:pt>
                <c:pt idx="5">
                  <c:v>10626.005642635531</c:v>
                </c:pt>
                <c:pt idx="6">
                  <c:v>10755.833002078933</c:v>
                </c:pt>
                <c:pt idx="7">
                  <c:v>10887.246577813468</c:v>
                </c:pt>
                <c:pt idx="8">
                  <c:v>11020.265750054012</c:v>
                </c:pt>
                <c:pt idx="9">
                  <c:v>11154.910135800752</c:v>
                </c:pt>
                <c:pt idx="10">
                  <c:v>11291.199591732213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8-41D6-9428-02084902B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10735"/>
        <c:axId val="237111151"/>
      </c:barChart>
      <c:lineChart>
        <c:grouping val="standard"/>
        <c:varyColors val="0"/>
        <c:ser>
          <c:idx val="5"/>
          <c:order val="5"/>
          <c:tx>
            <c:strRef>
              <c:f>'IKE OBLIGACJE'!$I$17</c:f>
              <c:strCache>
                <c:ptCount val="1"/>
                <c:pt idx="0">
                  <c:v>Kwota wpłacona powiększona o INFLACJĘ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'IKE OBLIGACJE'!$C$18:$C$28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OBLIGACJE'!$I$18:$I$28</c:f>
              <c:numCache>
                <c:formatCode>#\ ##0.00\ "zł"</c:formatCode>
                <c:ptCount val="11"/>
                <c:pt idx="0">
                  <c:v>10000</c:v>
                </c:pt>
                <c:pt idx="1">
                  <c:v>10500</c:v>
                </c:pt>
                <c:pt idx="2">
                  <c:v>11025</c:v>
                </c:pt>
                <c:pt idx="3">
                  <c:v>11576.250000000002</c:v>
                </c:pt>
                <c:pt idx="4">
                  <c:v>12155.062500000002</c:v>
                </c:pt>
                <c:pt idx="5">
                  <c:v>12762.815625000003</c:v>
                </c:pt>
                <c:pt idx="6">
                  <c:v>13400.956406250005</c:v>
                </c:pt>
                <c:pt idx="7">
                  <c:v>14071.004226562505</c:v>
                </c:pt>
                <c:pt idx="8">
                  <c:v>14774.554437890631</c:v>
                </c:pt>
                <c:pt idx="9">
                  <c:v>15513.282159785162</c:v>
                </c:pt>
                <c:pt idx="10">
                  <c:v>16288.94626777442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38-41D6-9428-02084902B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1151"/>
        <c:crosses val="autoZero"/>
        <c:auto val="1"/>
        <c:lblAlgn val="ctr"/>
        <c:lblOffset val="100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830549645050486"/>
          <c:w val="0.99396800924643092"/>
          <c:h val="0.19773550385928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Nominalna skumulowana stopa zwrotu na koniec każdego roku</a:t>
            </a:r>
          </a:p>
          <a:p>
            <a:pPr>
              <a:defRPr sz="1600" b="1"/>
            </a:pPr>
            <a:r>
              <a:rPr lang="pl-PL" sz="1600" b="1"/>
              <a:t>(dla porównania wykres skumulowanej inflacji)</a:t>
            </a:r>
          </a:p>
        </c:rich>
      </c:tx>
      <c:layout>
        <c:manualLayout>
          <c:xMode val="edge"/>
          <c:yMode val="edge"/>
          <c:x val="0.21056815000162246"/>
          <c:y val="7.65027404697238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0988745417833235E-2"/>
          <c:y val="0.10362296196624091"/>
          <c:w val="0.92915889054125445"/>
          <c:h val="0.68741567568259498"/>
        </c:manualLayout>
      </c:layout>
      <c:lineChart>
        <c:grouping val="standard"/>
        <c:varyColors val="0"/>
        <c:ser>
          <c:idx val="0"/>
          <c:order val="0"/>
          <c:tx>
            <c:strRef>
              <c:f>'IKE OBLIGACJE'!$L$17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ln w="38100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'IKE OBLIGACJE'!$K$18:$K$28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OBLIGACJE'!$L$18:$L$28</c:f>
              <c:numCache>
                <c:formatCode>0.0%</c:formatCode>
                <c:ptCount val="11"/>
                <c:pt idx="0">
                  <c:v>0</c:v>
                </c:pt>
                <c:pt idx="1">
                  <c:v>1.2999999999999901E-2</c:v>
                </c:pt>
                <c:pt idx="2">
                  <c:v>6.8916991999999899E-2</c:v>
                </c:pt>
                <c:pt idx="3">
                  <c:v>0.12607776449999997</c:v>
                </c:pt>
                <c:pt idx="4">
                  <c:v>0.18658444050000034</c:v>
                </c:pt>
                <c:pt idx="5">
                  <c:v>0.20686686450000025</c:v>
                </c:pt>
                <c:pt idx="6">
                  <c:v>0.27357874050000031</c:v>
                </c:pt>
                <c:pt idx="7">
                  <c:v>0.33996913100000037</c:v>
                </c:pt>
                <c:pt idx="8">
                  <c:v>0.41075228100000083</c:v>
                </c:pt>
                <c:pt idx="9">
                  <c:v>0.44090382600000066</c:v>
                </c:pt>
                <c:pt idx="10">
                  <c:v>0.52010463600000079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F-443F-BCAA-CEA5797D2AC5}"/>
            </c:ext>
          </c:extLst>
        </c:ser>
        <c:ser>
          <c:idx val="1"/>
          <c:order val="1"/>
          <c:tx>
            <c:strRef>
              <c:f>'IKE OBLIGACJE'!$M$17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ln w="44450" cap="rnd">
              <a:solidFill>
                <a:srgbClr val="CC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FF"/>
              </a:solidFill>
              <a:ln w="9525">
                <a:solidFill>
                  <a:srgbClr val="CCCCFF"/>
                </a:solidFill>
              </a:ln>
              <a:effectLst/>
            </c:spPr>
          </c:marker>
          <c:cat>
            <c:numRef>
              <c:f>'IKE OBLIGACJE'!$K$18:$K$28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OBLIGACJE'!$M$18:$M$28</c:f>
              <c:numCache>
                <c:formatCode>0.0%</c:formatCode>
                <c:ptCount val="11"/>
                <c:pt idx="0">
                  <c:v>0</c:v>
                </c:pt>
                <c:pt idx="1">
                  <c:v>4.8599999999998644E-3</c:v>
                </c:pt>
                <c:pt idx="2">
                  <c:v>4.977059199999978E-2</c:v>
                </c:pt>
                <c:pt idx="3">
                  <c:v>9.5408714499999991E-2</c:v>
                </c:pt>
                <c:pt idx="4">
                  <c:v>0.14948864050000021</c:v>
                </c:pt>
                <c:pt idx="5">
                  <c:v>0.15955076450000027</c:v>
                </c:pt>
                <c:pt idx="6">
                  <c:v>0.21318174050000005</c:v>
                </c:pt>
                <c:pt idx="7">
                  <c:v>0.26627898100000014</c:v>
                </c:pt>
                <c:pt idx="8">
                  <c:v>0.32895648100000074</c:v>
                </c:pt>
                <c:pt idx="9">
                  <c:v>0.34669597600000057</c:v>
                </c:pt>
                <c:pt idx="10">
                  <c:v>0.41038703600000059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F-443F-BCAA-CEA5797D2AC5}"/>
            </c:ext>
          </c:extLst>
        </c:ser>
        <c:ser>
          <c:idx val="2"/>
          <c:order val="2"/>
          <c:tx>
            <c:strRef>
              <c:f>'IKE OBLIGACJE'!$N$17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ln w="38100" cap="rnd">
              <a:solidFill>
                <a:srgbClr val="860D71">
                  <a:alpha val="98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60D71"/>
              </a:solidFill>
              <a:ln w="9525">
                <a:solidFill>
                  <a:srgbClr val="860D71"/>
                </a:solidFill>
              </a:ln>
              <a:effectLst/>
            </c:spPr>
          </c:marker>
          <c:cat>
            <c:numRef>
              <c:f>'IKE OBLIGACJE'!$K$18:$K$28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OBLIGACJE'!$N$18:$N$28</c:f>
              <c:numCache>
                <c:formatCode>0.0%</c:formatCode>
                <c:ptCount val="11"/>
                <c:pt idx="0">
                  <c:v>0</c:v>
                </c:pt>
                <c:pt idx="1">
                  <c:v>1.6999999999999904E-2</c:v>
                </c:pt>
                <c:pt idx="2">
                  <c:v>7.6295167999999913E-2</c:v>
                </c:pt>
                <c:pt idx="3">
                  <c:v>0.13926231619999974</c:v>
                </c:pt>
                <c:pt idx="4">
                  <c:v>0.20612861961919982</c:v>
                </c:pt>
                <c:pt idx="5">
                  <c:v>0.27713529515038382</c:v>
                </c:pt>
                <c:pt idx="6">
                  <c:v>0.35253846875468109</c:v>
                </c:pt>
                <c:pt idx="7">
                  <c:v>0.43261009616895252</c:v>
                </c:pt>
                <c:pt idx="8">
                  <c:v>0.51763894042541914</c:v>
                </c:pt>
                <c:pt idx="9">
                  <c:v>0.60776951533727419</c:v>
                </c:pt>
                <c:pt idx="10">
                  <c:v>0.70330792474384074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F-443F-BCAA-CEA5797D2AC5}"/>
            </c:ext>
          </c:extLst>
        </c:ser>
        <c:ser>
          <c:idx val="3"/>
          <c:order val="3"/>
          <c:tx>
            <c:strRef>
              <c:f>'IKE OBLIGACJE'!$O$17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ln w="38100" cap="rnd">
              <a:solidFill>
                <a:srgbClr val="FF99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FF"/>
              </a:solidFill>
              <a:ln w="9525">
                <a:solidFill>
                  <a:srgbClr val="FF99FF"/>
                </a:solidFill>
              </a:ln>
              <a:effectLst/>
            </c:spPr>
          </c:marker>
          <c:cat>
            <c:numRef>
              <c:f>'IKE OBLIGACJE'!$K$18:$K$28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OBLIGACJE'!$O$18:$O$28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4.5271367999999867E-2</c:v>
                </c:pt>
                <c:pt idx="3">
                  <c:v>9.594908819999981E-2</c:v>
                </c:pt>
                <c:pt idx="4">
                  <c:v>0.14978859793919974</c:v>
                </c:pt>
                <c:pt idx="5">
                  <c:v>0.20698687216958378</c:v>
                </c:pt>
                <c:pt idx="6">
                  <c:v>0.26775314039503306</c:v>
                </c:pt>
                <c:pt idx="7">
                  <c:v>0.33230964810772545</c:v>
                </c:pt>
                <c:pt idx="8">
                  <c:v>0.4008924654805186</c:v>
                </c:pt>
                <c:pt idx="9">
                  <c:v>0.4735902518956796</c:v>
                </c:pt>
                <c:pt idx="10">
                  <c:v>0.56684990549575054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F-443F-BCAA-CEA5797D2AC5}"/>
            </c:ext>
          </c:extLst>
        </c:ser>
        <c:ser>
          <c:idx val="4"/>
          <c:order val="4"/>
          <c:tx>
            <c:strRef>
              <c:f>'IKE OBLIGACJE'!$P$17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38100" cap="rnd">
              <a:solidFill>
                <a:srgbClr val="CCCC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00"/>
              </a:solidFill>
              <a:ln w="9525">
                <a:noFill/>
              </a:ln>
              <a:effectLst/>
            </c:spPr>
          </c:marker>
          <c:cat>
            <c:numRef>
              <c:f>'IKE OBLIGACJE'!$K$18:$K$28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OBLIGACJE'!$P$18:$P$28</c:f>
              <c:numCache>
                <c:formatCode>0.0%</c:formatCode>
                <c:ptCount val="11"/>
                <c:pt idx="0">
                  <c:v>0</c:v>
                </c:pt>
                <c:pt idx="1">
                  <c:v>1.221788918711697E-2</c:v>
                </c:pt>
                <c:pt idx="2">
                  <c:v>2.4585055190422755E-2</c:v>
                </c:pt>
                <c:pt idx="3">
                  <c:v>3.7103321857515414E-2</c:v>
                </c:pt>
                <c:pt idx="4">
                  <c:v>4.977453531956133E-2</c:v>
                </c:pt>
                <c:pt idx="5">
                  <c:v>6.2600564263553204E-2</c:v>
                </c:pt>
                <c:pt idx="6">
                  <c:v>7.5583300207893167E-2</c:v>
                </c:pt>
                <c:pt idx="7">
                  <c:v>8.872465778134675E-2</c:v>
                </c:pt>
                <c:pt idx="8">
                  <c:v>0.10202657500540124</c:v>
                </c:pt>
                <c:pt idx="9">
                  <c:v>0.1154910135800753</c:v>
                </c:pt>
                <c:pt idx="10">
                  <c:v>0.12911995917322128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F-443F-BCAA-CEA5797D2AC5}"/>
            </c:ext>
          </c:extLst>
        </c:ser>
        <c:ser>
          <c:idx val="5"/>
          <c:order val="5"/>
          <c:tx>
            <c:strRef>
              <c:f>'IKE OBLIGACJE'!$Q$17</c:f>
              <c:strCache>
                <c:ptCount val="1"/>
                <c:pt idx="0">
                  <c:v>INFLACJA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'IKE OBLIGACJE'!$K$18:$K$28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'IKE OBLIGACJE'!$Q$18:$Q$28</c:f>
              <c:numCache>
                <c:formatCode>0.0%</c:formatCode>
                <c:ptCount val="11"/>
                <c:pt idx="0">
                  <c:v>0</c:v>
                </c:pt>
                <c:pt idx="1">
                  <c:v>5.0000000000000044E-2</c:v>
                </c:pt>
                <c:pt idx="2">
                  <c:v>0.10250000000000004</c:v>
                </c:pt>
                <c:pt idx="3">
                  <c:v>0.15762500000000013</c:v>
                </c:pt>
                <c:pt idx="4">
                  <c:v>0.21550625000000023</c:v>
                </c:pt>
                <c:pt idx="5">
                  <c:v>0.27628156250000035</c:v>
                </c:pt>
                <c:pt idx="6">
                  <c:v>0.34009564062500042</c:v>
                </c:pt>
                <c:pt idx="7">
                  <c:v>0.40710042265625046</c:v>
                </c:pt>
                <c:pt idx="8">
                  <c:v>0.47745544378906302</c:v>
                </c:pt>
                <c:pt idx="9">
                  <c:v>0.55132821597851622</c:v>
                </c:pt>
                <c:pt idx="10">
                  <c:v>0.62889462677744201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F-443F-BCAA-CEA5797D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1151"/>
        <c:crosses val="autoZero"/>
        <c:auto val="1"/>
        <c:lblAlgn val="ctr"/>
        <c:lblOffset val="100"/>
        <c:tickMarkSkip val="1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0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400256317033442E-2"/>
          <c:y val="0.84064885769210207"/>
          <c:w val="0.92101800678897561"/>
          <c:h val="0.13407782949075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3.png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473078</xdr:colOff>
      <xdr:row>1</xdr:row>
      <xdr:rowOff>27780</xdr:rowOff>
    </xdr:from>
    <xdr:to>
      <xdr:col>6</xdr:col>
      <xdr:colOff>1063626</xdr:colOff>
      <xdr:row>1</xdr:row>
      <xdr:rowOff>419426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A5117A6-2C63-42F4-A1BC-E6FB18BE9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953" y="761205"/>
          <a:ext cx="590548" cy="391646"/>
        </a:xfrm>
        <a:prstGeom prst="rect">
          <a:avLst/>
        </a:prstGeom>
      </xdr:spPr>
    </xdr:pic>
    <xdr:clientData/>
  </xdr:twoCellAnchor>
  <xdr:twoCellAnchor editAs="oneCell">
    <xdr:from>
      <xdr:col>6</xdr:col>
      <xdr:colOff>530226</xdr:colOff>
      <xdr:row>2</xdr:row>
      <xdr:rowOff>123067</xdr:rowOff>
    </xdr:from>
    <xdr:to>
      <xdr:col>6</xdr:col>
      <xdr:colOff>1000125</xdr:colOff>
      <xdr:row>3</xdr:row>
      <xdr:rowOff>57150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810EB21-128C-43FC-82F1-8128C4222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9201" y="1085092"/>
          <a:ext cx="469899" cy="343658"/>
        </a:xfrm>
        <a:prstGeom prst="rect">
          <a:avLst/>
        </a:prstGeom>
      </xdr:spPr>
    </xdr:pic>
    <xdr:clientData/>
  </xdr:twoCellAnchor>
  <xdr:twoCellAnchor editAs="oneCell">
    <xdr:from>
      <xdr:col>6</xdr:col>
      <xdr:colOff>511175</xdr:colOff>
      <xdr:row>3</xdr:row>
      <xdr:rowOff>180975</xdr:rowOff>
    </xdr:from>
    <xdr:to>
      <xdr:col>6</xdr:col>
      <xdr:colOff>978135</xdr:colOff>
      <xdr:row>3</xdr:row>
      <xdr:rowOff>545115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D7E7A96-BB6E-4729-A9AA-4E28DEA22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0150" y="1495425"/>
          <a:ext cx="466960" cy="364140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542926</xdr:colOff>
      <xdr:row>4</xdr:row>
      <xdr:rowOff>73025</xdr:rowOff>
    </xdr:from>
    <xdr:to>
      <xdr:col>6</xdr:col>
      <xdr:colOff>1040560</xdr:colOff>
      <xdr:row>5</xdr:row>
      <xdr:rowOff>78313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71E77CA-2065-4ACB-AD72-E95122306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81901" y="1901825"/>
          <a:ext cx="497634" cy="338663"/>
        </a:xfrm>
        <a:prstGeom prst="rect">
          <a:avLst/>
        </a:prstGeom>
      </xdr:spPr>
    </xdr:pic>
    <xdr:clientData/>
  </xdr:twoCellAnchor>
  <xdr:twoCellAnchor>
    <xdr:from>
      <xdr:col>2</xdr:col>
      <xdr:colOff>104775</xdr:colOff>
      <xdr:row>9</xdr:row>
      <xdr:rowOff>47624</xdr:rowOff>
    </xdr:from>
    <xdr:to>
      <xdr:col>2</xdr:col>
      <xdr:colOff>304800</xdr:colOff>
      <xdr:row>20</xdr:row>
      <xdr:rowOff>161924</xdr:rowOff>
    </xdr:to>
    <xdr:sp macro="" textlink="">
      <xdr:nvSpPr>
        <xdr:cNvPr id="6" name="Nawias klamrowy zamykający 5">
          <a:extLst>
            <a:ext uri="{FF2B5EF4-FFF2-40B4-BE49-F238E27FC236}">
              <a16:creationId xmlns:a16="http://schemas.microsoft.com/office/drawing/2014/main" id="{30983F1F-92CF-4402-A0D0-E9E5BEE5F074}"/>
            </a:ext>
          </a:extLst>
        </xdr:cNvPr>
        <xdr:cNvSpPr/>
      </xdr:nvSpPr>
      <xdr:spPr>
        <a:xfrm>
          <a:off x="1266825" y="6562724"/>
          <a:ext cx="200025" cy="2162175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257174</xdr:colOff>
      <xdr:row>9</xdr:row>
      <xdr:rowOff>28574</xdr:rowOff>
    </xdr:from>
    <xdr:to>
      <xdr:col>5</xdr:col>
      <xdr:colOff>438149</xdr:colOff>
      <xdr:row>20</xdr:row>
      <xdr:rowOff>104773</xdr:rowOff>
    </xdr:to>
    <xdr:sp macro="" textlink="">
      <xdr:nvSpPr>
        <xdr:cNvPr id="7" name="Nawias klamrowy zamykający 6">
          <a:extLst>
            <a:ext uri="{FF2B5EF4-FFF2-40B4-BE49-F238E27FC236}">
              <a16:creationId xmlns:a16="http://schemas.microsoft.com/office/drawing/2014/main" id="{F488E672-AE9A-4155-B0C7-113A554BD614}"/>
            </a:ext>
          </a:extLst>
        </xdr:cNvPr>
        <xdr:cNvSpPr/>
      </xdr:nvSpPr>
      <xdr:spPr>
        <a:xfrm rot="10800000">
          <a:off x="6019799" y="4105274"/>
          <a:ext cx="180975" cy="3809999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29572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747F160-BA22-403F-BFEE-F92301E93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3114675" cy="762997"/>
        </a:xfrm>
        <a:prstGeom prst="rect">
          <a:avLst/>
        </a:prstGeom>
        <a:solidFill>
          <a:schemeClr val="bg1">
            <a:lumMod val="95000"/>
            <a:alpha val="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190499</xdr:colOff>
      <xdr:row>10</xdr:row>
      <xdr:rowOff>461338</xdr:rowOff>
    </xdr:from>
    <xdr:to>
      <xdr:col>21</xdr:col>
      <xdr:colOff>671286</xdr:colOff>
      <xdr:row>14</xdr:row>
      <xdr:rowOff>82831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FFED969-CC86-49CC-B879-6DD3B903C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43356" y="5541338"/>
          <a:ext cx="2149930" cy="1341436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11</xdr:row>
      <xdr:rowOff>180975</xdr:rowOff>
    </xdr:from>
    <xdr:to>
      <xdr:col>38</xdr:col>
      <xdr:colOff>172357</xdr:colOff>
      <xdr:row>14</xdr:row>
      <xdr:rowOff>82383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4AFF52D-1BED-4CBE-A5F9-1F82C8661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823196" y="5805261"/>
          <a:ext cx="1639661" cy="1153265"/>
        </a:xfrm>
        <a:prstGeom prst="rect">
          <a:avLst/>
        </a:prstGeom>
      </xdr:spPr>
    </xdr:pic>
    <xdr:clientData/>
  </xdr:twoCellAnchor>
  <xdr:twoCellAnchor editAs="oneCell">
    <xdr:from>
      <xdr:col>51</xdr:col>
      <xdr:colOff>1</xdr:colOff>
      <xdr:row>11</xdr:row>
      <xdr:rowOff>0</xdr:rowOff>
    </xdr:from>
    <xdr:to>
      <xdr:col>52</xdr:col>
      <xdr:colOff>498930</xdr:colOff>
      <xdr:row>13</xdr:row>
      <xdr:rowOff>193544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0F58AB7-F4CB-4C69-9B03-7BDD78045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241858" y="5624286"/>
          <a:ext cx="1369786" cy="1028115"/>
        </a:xfrm>
        <a:prstGeom prst="rect">
          <a:avLst/>
        </a:prstGeom>
      </xdr:spPr>
    </xdr:pic>
    <xdr:clientData/>
  </xdr:twoCellAnchor>
  <xdr:twoCellAnchor editAs="oneCell">
    <xdr:from>
      <xdr:col>63</xdr:col>
      <xdr:colOff>214312</xdr:colOff>
      <xdr:row>11</xdr:row>
      <xdr:rowOff>199231</xdr:rowOff>
    </xdr:from>
    <xdr:to>
      <xdr:col>66</xdr:col>
      <xdr:colOff>127000</xdr:colOff>
      <xdr:row>14</xdr:row>
      <xdr:rowOff>51776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20F8E6E3-ECFC-4767-8AE9-0E6273379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407526" y="5823517"/>
          <a:ext cx="1672545" cy="1104402"/>
        </a:xfrm>
        <a:prstGeom prst="rect">
          <a:avLst/>
        </a:prstGeom>
      </xdr:spPr>
    </xdr:pic>
    <xdr:clientData/>
  </xdr:twoCellAnchor>
  <xdr:twoCellAnchor>
    <xdr:from>
      <xdr:col>1</xdr:col>
      <xdr:colOff>162213</xdr:colOff>
      <xdr:row>7</xdr:row>
      <xdr:rowOff>255361</xdr:rowOff>
    </xdr:from>
    <xdr:to>
      <xdr:col>8</xdr:col>
      <xdr:colOff>1382278</xdr:colOff>
      <xdr:row>13</xdr:row>
      <xdr:rowOff>489858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394AE200-617A-482A-8E9B-922DD89FF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</xdr:row>
      <xdr:rowOff>244930</xdr:rowOff>
    </xdr:from>
    <xdr:to>
      <xdr:col>17</xdr:col>
      <xdr:colOff>1399598</xdr:colOff>
      <xdr:row>13</xdr:row>
      <xdr:rowOff>503466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C7A1919F-45E0-4DA1-ACC8-3C15B2219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68035</xdr:colOff>
      <xdr:row>0</xdr:row>
      <xdr:rowOff>149680</xdr:rowOff>
    </xdr:from>
    <xdr:to>
      <xdr:col>9</xdr:col>
      <xdr:colOff>17853</xdr:colOff>
      <xdr:row>6</xdr:row>
      <xdr:rowOff>514806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970C1FB6-44BB-4F86-9333-5EB8364EB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0</xdr:row>
      <xdr:rowOff>125639</xdr:rowOff>
    </xdr:from>
    <xdr:to>
      <xdr:col>18</xdr:col>
      <xdr:colOff>10432</xdr:colOff>
      <xdr:row>6</xdr:row>
      <xdr:rowOff>445530</xdr:rowOff>
    </xdr:to>
    <xdr:graphicFrame macro="">
      <xdr:nvGraphicFramePr>
        <xdr:cNvPr id="23" name="Wykres 22">
          <a:extLst>
            <a:ext uri="{FF2B5EF4-FFF2-40B4-BE49-F238E27FC236}">
              <a16:creationId xmlns:a16="http://schemas.microsoft.com/office/drawing/2014/main" id="{F80B77C5-3863-4831-80F4-D72232A31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0.01425</cdr:y>
    </cdr:from>
    <cdr:to>
      <cdr:x>0.17666</cdr:x>
      <cdr:y>0.12494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E486814-8C09-482D-BBFC-25C303300C9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696013" cy="39460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0.01333</cdr:y>
    </cdr:from>
    <cdr:to>
      <cdr:x>0.17662</cdr:x>
      <cdr:y>0.11686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E486814-8C09-482D-BBFC-25C303300C9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696013" cy="39460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0.00414</cdr:x>
      <cdr:y>0.01251</cdr:y>
    </cdr:from>
    <cdr:to>
      <cdr:x>0.17617</cdr:x>
      <cdr:y>0.13343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EB215F5-FF1D-414D-9F7B-AEF98D7B3FC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0821" y="40822"/>
          <a:ext cx="1696013" cy="394606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0.00689</cdr:x>
      <cdr:y>0.00999</cdr:y>
    </cdr:from>
    <cdr:to>
      <cdr:x>0.16534</cdr:x>
      <cdr:y>0.12202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E486814-8C09-482D-BBFC-25C303300C9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036" y="32140"/>
          <a:ext cx="1564821" cy="36054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375273</xdr:colOff>
      <xdr:row>8</xdr:row>
      <xdr:rowOff>162076</xdr:rowOff>
    </xdr:from>
    <xdr:to>
      <xdr:col>21</xdr:col>
      <xdr:colOff>571502</xdr:colOff>
      <xdr:row>11</xdr:row>
      <xdr:rowOff>331393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6249DE14-1986-482F-8473-BAA9988C7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06773" y="3887409"/>
          <a:ext cx="2270562" cy="1418151"/>
        </a:xfrm>
        <a:prstGeom prst="rect">
          <a:avLst/>
        </a:prstGeom>
      </xdr:spPr>
    </xdr:pic>
    <xdr:clientData/>
  </xdr:twoCellAnchor>
  <xdr:twoCellAnchor editAs="oneCell">
    <xdr:from>
      <xdr:col>56</xdr:col>
      <xdr:colOff>518888</xdr:colOff>
      <xdr:row>9</xdr:row>
      <xdr:rowOff>-1</xdr:rowOff>
    </xdr:from>
    <xdr:to>
      <xdr:col>59</xdr:col>
      <xdr:colOff>13337</xdr:colOff>
      <xdr:row>11</xdr:row>
      <xdr:rowOff>402696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9A25153-3C42-400E-8A5D-83D581BB4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73055" y="4148666"/>
          <a:ext cx="1738115" cy="1228197"/>
        </a:xfrm>
        <a:prstGeom prst="rect">
          <a:avLst/>
        </a:prstGeom>
      </xdr:spPr>
    </xdr:pic>
    <xdr:clientData/>
  </xdr:twoCellAnchor>
  <xdr:twoCellAnchor>
    <xdr:from>
      <xdr:col>2</xdr:col>
      <xdr:colOff>30389</xdr:colOff>
      <xdr:row>0</xdr:row>
      <xdr:rowOff>13607</xdr:rowOff>
    </xdr:from>
    <xdr:to>
      <xdr:col>9</xdr:col>
      <xdr:colOff>28762</xdr:colOff>
      <xdr:row>13</xdr:row>
      <xdr:rowOff>526677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8A96BFE6-30BE-4EF0-8626-D4C321C2E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0</xdr:row>
      <xdr:rowOff>54429</xdr:rowOff>
    </xdr:from>
    <xdr:to>
      <xdr:col>16</xdr:col>
      <xdr:colOff>1387929</xdr:colOff>
      <xdr:row>13</xdr:row>
      <xdr:rowOff>541110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65231155-3F61-4CB0-8377-CE35CB7DB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0.08809</cdr:x>
      <cdr:y>0.09952</cdr:y>
    </cdr:from>
    <cdr:to>
      <cdr:x>0.2577</cdr:x>
      <cdr:y>0.15874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63FADE9-A7FC-4ECA-A71C-B585E5D15D8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80835" y="663122"/>
          <a:ext cx="1696043" cy="394616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0.09943</cdr:x>
      <cdr:y>0.11626</cdr:y>
    </cdr:from>
    <cdr:to>
      <cdr:x>0.26981</cdr:x>
      <cdr:y>0.17568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5CC5221-49E8-46F7-BD34-09927451ADF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89693" y="771978"/>
          <a:ext cx="1696043" cy="39461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bligacjeskarbowe.pl/ofer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obligacjeskarbowe.pl/oferta/" TargetMode="External"/><Relationship Id="rId1" Type="http://schemas.openxmlformats.org/officeDocument/2006/relationships/hyperlink" Target="https://www.obligacjeskarbowe.pl/ofert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bligacjeskarbowe.pl/ike/" TargetMode="External"/><Relationship Id="rId4" Type="http://schemas.openxmlformats.org/officeDocument/2006/relationships/hyperlink" Target="https://www.obligacjeskarbowe.pl/ofer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E54FE-0667-491F-8A49-4717D0E36133}">
  <dimension ref="A1:P322"/>
  <sheetViews>
    <sheetView tabSelected="1" workbookViewId="0">
      <selection activeCell="B4" sqref="B4"/>
    </sheetView>
  </sheetViews>
  <sheetFormatPr defaultColWidth="8.7265625" defaultRowHeight="14.5"/>
  <cols>
    <col min="1" max="1" width="38.54296875" style="24" customWidth="1"/>
    <col min="2" max="2" width="11.453125" style="24" customWidth="1"/>
    <col min="3" max="3" width="7.7265625" style="24" customWidth="1"/>
    <col min="4" max="4" width="12.90625" style="24" customWidth="1"/>
    <col min="5" max="5" width="16.26953125" style="24" customWidth="1"/>
    <col min="6" max="6" width="7.7265625" style="24" customWidth="1"/>
    <col min="7" max="7" width="15.7265625" style="16" customWidth="1"/>
    <col min="8" max="8" width="8.7265625" style="16"/>
    <col min="9" max="13" width="13" style="16" customWidth="1"/>
    <col min="14" max="14" width="11.1796875" style="16" customWidth="1"/>
    <col min="15" max="15" width="14.08984375" style="16" customWidth="1"/>
    <col min="16" max="16" width="13.7265625" style="16" customWidth="1"/>
    <col min="17" max="16384" width="8.7265625" style="16"/>
  </cols>
  <sheetData>
    <row r="1" spans="1:16" ht="58">
      <c r="A1" s="127"/>
      <c r="G1" s="106"/>
      <c r="H1" s="98"/>
      <c r="I1" s="99" t="s">
        <v>84</v>
      </c>
      <c r="J1" s="99" t="s">
        <v>91</v>
      </c>
      <c r="K1" s="99" t="s">
        <v>90</v>
      </c>
      <c r="L1" s="99" t="s">
        <v>85</v>
      </c>
      <c r="M1" s="99" t="s">
        <v>86</v>
      </c>
      <c r="N1" s="99" t="s">
        <v>4</v>
      </c>
      <c r="O1" s="99" t="s">
        <v>93</v>
      </c>
      <c r="P1" s="99" t="s">
        <v>87</v>
      </c>
    </row>
    <row r="2" spans="1:16" ht="41.5" customHeight="1">
      <c r="A2" s="127" t="s">
        <v>88</v>
      </c>
      <c r="G2" s="106"/>
      <c r="H2" s="19" t="s">
        <v>0</v>
      </c>
      <c r="I2" s="15">
        <v>48</v>
      </c>
      <c r="J2" s="11">
        <v>1.2999999999999999E-2</v>
      </c>
      <c r="K2" s="11">
        <v>7.4999999999999997E-3</v>
      </c>
      <c r="L2" s="15">
        <v>12</v>
      </c>
      <c r="M2" s="15" t="s">
        <v>6</v>
      </c>
      <c r="N2" s="17">
        <v>99.9</v>
      </c>
      <c r="O2" s="17">
        <v>0.7</v>
      </c>
      <c r="P2" s="15" t="s">
        <v>7</v>
      </c>
    </row>
    <row r="3" spans="1:16" ht="32.5" customHeight="1">
      <c r="A3" s="28" t="s">
        <v>92</v>
      </c>
      <c r="B3" s="27">
        <v>100</v>
      </c>
      <c r="C3" s="157" t="s">
        <v>83</v>
      </c>
      <c r="D3" s="158"/>
      <c r="E3" s="158"/>
      <c r="F3" s="68"/>
      <c r="G3" s="106"/>
      <c r="H3" s="19" t="s">
        <v>1</v>
      </c>
      <c r="I3" s="15">
        <v>120</v>
      </c>
      <c r="J3" s="11">
        <v>1.7000000000000001E-2</v>
      </c>
      <c r="K3" s="11">
        <v>0.01</v>
      </c>
      <c r="L3" s="11" t="s">
        <v>6</v>
      </c>
      <c r="M3" s="15">
        <v>12</v>
      </c>
      <c r="N3" s="17">
        <v>99.9</v>
      </c>
      <c r="O3" s="17">
        <v>2</v>
      </c>
      <c r="P3" s="15" t="s">
        <v>5</v>
      </c>
    </row>
    <row r="4" spans="1:16" ht="46" customHeight="1">
      <c r="A4" s="28" t="s">
        <v>26</v>
      </c>
      <c r="B4" s="29">
        <f>B3*100</f>
        <v>10000</v>
      </c>
      <c r="C4" s="155" t="s">
        <v>61</v>
      </c>
      <c r="D4" s="156"/>
      <c r="E4" s="156"/>
      <c r="F4" s="69"/>
      <c r="G4" s="106"/>
      <c r="H4" s="19" t="s">
        <v>2</v>
      </c>
      <c r="I4" s="15">
        <v>72</v>
      </c>
      <c r="J4" s="11">
        <v>1.4999999999999999E-2</v>
      </c>
      <c r="K4" s="11">
        <v>1.2500000000000001E-2</v>
      </c>
      <c r="L4" s="11" t="s">
        <v>6</v>
      </c>
      <c r="M4" s="15">
        <v>12</v>
      </c>
      <c r="N4" s="15" t="s">
        <v>6</v>
      </c>
      <c r="O4" s="17">
        <v>0.7</v>
      </c>
      <c r="P4" s="15" t="s">
        <v>5</v>
      </c>
    </row>
    <row r="5" spans="1:16" ht="26" customHeight="1">
      <c r="A5" s="26" t="s">
        <v>27</v>
      </c>
      <c r="B5" s="30">
        <v>0.19</v>
      </c>
      <c r="C5" s="155" t="s">
        <v>96</v>
      </c>
      <c r="D5" s="156"/>
      <c r="E5" s="156"/>
      <c r="F5" s="70"/>
      <c r="G5" s="106"/>
      <c r="H5" s="19" t="s">
        <v>3</v>
      </c>
      <c r="I5" s="15">
        <v>144</v>
      </c>
      <c r="J5" s="11">
        <v>0.02</v>
      </c>
      <c r="K5" s="11">
        <v>1.4999999999999999E-2</v>
      </c>
      <c r="L5" s="11" t="s">
        <v>6</v>
      </c>
      <c r="M5" s="15">
        <v>12</v>
      </c>
      <c r="N5" s="15" t="s">
        <v>6</v>
      </c>
      <c r="O5" s="17">
        <v>2</v>
      </c>
      <c r="P5" s="15" t="s">
        <v>5</v>
      </c>
    </row>
    <row r="6" spans="1:16" ht="35.15" customHeight="1"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20.5" customHeight="1">
      <c r="A7" s="31" t="s">
        <v>62</v>
      </c>
      <c r="B7" s="32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30" customHeight="1">
      <c r="A8" s="34" t="s">
        <v>94</v>
      </c>
      <c r="B8" s="159" t="s">
        <v>71</v>
      </c>
      <c r="C8" s="160"/>
      <c r="D8" s="160"/>
      <c r="E8" s="160"/>
      <c r="F8" s="71"/>
      <c r="G8" s="106"/>
      <c r="H8" s="106"/>
      <c r="I8" s="106"/>
      <c r="J8" s="106"/>
      <c r="K8" s="106"/>
      <c r="L8" s="106"/>
      <c r="M8" s="106"/>
      <c r="N8" s="109" t="s">
        <v>34</v>
      </c>
      <c r="O8" s="106"/>
      <c r="P8" s="106"/>
    </row>
    <row r="9" spans="1:16" ht="57" customHeight="1">
      <c r="A9" s="45" t="s">
        <v>14</v>
      </c>
      <c r="B9" s="46">
        <v>0.05</v>
      </c>
      <c r="C9" s="159" t="s">
        <v>72</v>
      </c>
      <c r="D9" s="160"/>
      <c r="E9" s="160"/>
      <c r="F9" s="69"/>
      <c r="G9" s="129" t="s">
        <v>95</v>
      </c>
      <c r="H9" s="106"/>
      <c r="I9" s="106"/>
      <c r="J9" s="106"/>
      <c r="K9" s="106"/>
      <c r="L9" s="106"/>
      <c r="M9" s="106"/>
      <c r="N9" s="99" t="s">
        <v>32</v>
      </c>
      <c r="O9" s="99" t="s">
        <v>33</v>
      </c>
      <c r="P9" s="106"/>
    </row>
    <row r="10" spans="1:16">
      <c r="A10" s="57">
        <v>1</v>
      </c>
      <c r="B10" s="46">
        <v>6.5000000000000002E-2</v>
      </c>
      <c r="C10" s="126"/>
      <c r="D10" s="126"/>
      <c r="E10" s="126"/>
      <c r="G10" s="46">
        <v>1.4999999999999999E-2</v>
      </c>
      <c r="H10" s="57">
        <v>1</v>
      </c>
      <c r="I10" s="106"/>
      <c r="J10" s="106"/>
      <c r="K10" s="106"/>
      <c r="L10" s="106"/>
      <c r="M10" s="106"/>
      <c r="N10" s="1">
        <v>1</v>
      </c>
      <c r="O10" s="2">
        <v>0</v>
      </c>
      <c r="P10" s="106"/>
    </row>
    <row r="11" spans="1:16" ht="29" customHeight="1">
      <c r="A11" s="57">
        <v>2</v>
      </c>
      <c r="B11" s="46">
        <v>5.5E-2</v>
      </c>
      <c r="C11" s="126"/>
      <c r="D11" s="154" t="s">
        <v>60</v>
      </c>
      <c r="E11" s="154"/>
      <c r="G11" s="46">
        <v>1.4999999999999999E-2</v>
      </c>
      <c r="H11" s="57">
        <v>2</v>
      </c>
      <c r="I11" s="106"/>
      <c r="J11" s="106"/>
      <c r="K11" s="106"/>
      <c r="L11" s="106"/>
      <c r="M11" s="106"/>
      <c r="N11" s="1">
        <v>2</v>
      </c>
      <c r="O11" s="2">
        <v>1.6000000000000001E-3</v>
      </c>
      <c r="P11" s="106"/>
    </row>
    <row r="12" spans="1:16" ht="14.5" customHeight="1">
      <c r="A12" s="57">
        <v>3</v>
      </c>
      <c r="B12" s="46">
        <v>4.4999999999999998E-2</v>
      </c>
      <c r="C12" s="126"/>
      <c r="E12" s="128"/>
      <c r="G12" s="46">
        <v>1.4999999999999999E-2</v>
      </c>
      <c r="H12" s="57">
        <v>3</v>
      </c>
      <c r="I12" s="106"/>
      <c r="J12" s="106"/>
      <c r="K12" s="106"/>
      <c r="L12" s="106"/>
      <c r="M12" s="106"/>
      <c r="N12" s="1">
        <v>3</v>
      </c>
      <c r="O12" s="2">
        <v>1.5E-3</v>
      </c>
      <c r="P12" s="106"/>
    </row>
    <row r="13" spans="1:16">
      <c r="A13" s="57">
        <v>4</v>
      </c>
      <c r="B13" s="46">
        <v>3.5000000000000003E-2</v>
      </c>
      <c r="C13" s="126"/>
      <c r="D13" s="154" t="s">
        <v>89</v>
      </c>
      <c r="E13" s="154"/>
      <c r="G13" s="46">
        <v>1.4999999999999999E-2</v>
      </c>
      <c r="H13" s="57">
        <v>4</v>
      </c>
      <c r="I13" s="106"/>
      <c r="J13" s="106"/>
      <c r="K13" s="106"/>
      <c r="L13" s="106"/>
      <c r="M13" s="106"/>
      <c r="N13" s="1">
        <v>4</v>
      </c>
      <c r="O13" s="2">
        <v>1.4E-3</v>
      </c>
      <c r="P13" s="106"/>
    </row>
    <row r="14" spans="1:16">
      <c r="A14" s="57">
        <v>5</v>
      </c>
      <c r="B14" s="46">
        <v>2.5000000000000001E-2</v>
      </c>
      <c r="C14" s="126"/>
      <c r="D14" s="154"/>
      <c r="E14" s="154"/>
      <c r="F14" s="71"/>
      <c r="G14" s="46">
        <v>1.4999999999999999E-2</v>
      </c>
      <c r="H14" s="57">
        <v>5</v>
      </c>
      <c r="I14" s="106"/>
      <c r="J14" s="106"/>
      <c r="K14" s="106"/>
      <c r="L14" s="106"/>
      <c r="M14" s="106"/>
      <c r="N14" s="1">
        <v>5</v>
      </c>
      <c r="O14" s="2">
        <v>1.2999999999999999E-3</v>
      </c>
      <c r="P14" s="106"/>
    </row>
    <row r="15" spans="1:16">
      <c r="A15" s="57">
        <v>6</v>
      </c>
      <c r="B15" s="46">
        <v>2.5000000000000001E-2</v>
      </c>
      <c r="C15" s="126"/>
      <c r="D15" s="154"/>
      <c r="E15" s="154"/>
      <c r="F15" s="71"/>
      <c r="G15" s="46">
        <v>1.4999999999999999E-2</v>
      </c>
      <c r="H15" s="57">
        <v>6</v>
      </c>
      <c r="I15" s="106"/>
      <c r="J15" s="106"/>
      <c r="K15" s="106"/>
      <c r="L15" s="106"/>
      <c r="M15" s="106"/>
      <c r="N15" s="1">
        <v>6</v>
      </c>
      <c r="O15" s="2">
        <v>1.1999999999999999E-3</v>
      </c>
      <c r="P15" s="106"/>
    </row>
    <row r="16" spans="1:16">
      <c r="A16" s="57">
        <v>7</v>
      </c>
      <c r="B16" s="46">
        <v>2.5000000000000001E-2</v>
      </c>
      <c r="C16" s="126"/>
      <c r="D16" s="154"/>
      <c r="E16" s="154"/>
      <c r="F16" s="72"/>
      <c r="G16" s="46">
        <v>1.4999999999999999E-2</v>
      </c>
      <c r="H16" s="57">
        <v>7</v>
      </c>
      <c r="I16" s="106"/>
      <c r="J16" s="106"/>
      <c r="K16" s="106"/>
      <c r="L16" s="106"/>
      <c r="M16" s="106"/>
      <c r="N16" s="1">
        <v>7</v>
      </c>
      <c r="O16" s="2">
        <v>1.1000000000000001E-3</v>
      </c>
      <c r="P16" s="106"/>
    </row>
    <row r="17" spans="1:16" ht="18" customHeight="1">
      <c r="A17" s="57">
        <v>8</v>
      </c>
      <c r="B17" s="46">
        <v>2.5000000000000001E-2</v>
      </c>
      <c r="C17" s="126"/>
      <c r="D17" s="154"/>
      <c r="E17" s="154"/>
      <c r="F17" s="72"/>
      <c r="G17" s="46">
        <v>1.4999999999999999E-2</v>
      </c>
      <c r="H17" s="57">
        <v>8</v>
      </c>
      <c r="I17" s="106"/>
      <c r="J17" s="106"/>
      <c r="K17" s="106"/>
      <c r="L17" s="106"/>
      <c r="M17" s="106"/>
      <c r="N17" s="1">
        <v>8</v>
      </c>
      <c r="O17" s="2">
        <v>1E-3</v>
      </c>
      <c r="P17" s="106"/>
    </row>
    <row r="18" spans="1:16">
      <c r="A18" s="57">
        <v>9</v>
      </c>
      <c r="B18" s="46">
        <v>2.5000000000000001E-2</v>
      </c>
      <c r="C18" s="126"/>
      <c r="D18" s="154"/>
      <c r="E18" s="154"/>
      <c r="G18" s="46">
        <v>1.4999999999999999E-2</v>
      </c>
      <c r="H18" s="57">
        <v>9</v>
      </c>
      <c r="I18" s="106"/>
      <c r="J18" s="106"/>
      <c r="K18" s="106"/>
      <c r="L18" s="106"/>
      <c r="M18" s="106"/>
      <c r="N18" s="1">
        <v>9</v>
      </c>
      <c r="O18" s="2">
        <v>1E-3</v>
      </c>
      <c r="P18" s="106"/>
    </row>
    <row r="19" spans="1:16">
      <c r="A19" s="57">
        <v>10</v>
      </c>
      <c r="B19" s="46">
        <v>2.5000000000000001E-2</v>
      </c>
      <c r="C19" s="126"/>
      <c r="D19" s="154"/>
      <c r="E19" s="154"/>
      <c r="G19" s="46">
        <v>1.4999999999999999E-2</v>
      </c>
      <c r="H19" s="57">
        <v>10</v>
      </c>
      <c r="I19" s="106"/>
      <c r="J19" s="106"/>
      <c r="K19" s="106"/>
      <c r="L19" s="106"/>
      <c r="M19" s="106"/>
      <c r="N19" s="1">
        <v>10</v>
      </c>
      <c r="O19" s="2">
        <v>1E-3</v>
      </c>
      <c r="P19" s="106"/>
    </row>
    <row r="20" spans="1:16" ht="15" customHeight="1">
      <c r="A20" s="57">
        <v>11</v>
      </c>
      <c r="B20" s="46">
        <v>2.5000000000000001E-2</v>
      </c>
      <c r="D20" s="154"/>
      <c r="E20" s="154"/>
      <c r="G20" s="46">
        <v>1.4999999999999999E-2</v>
      </c>
      <c r="H20" s="57">
        <v>11</v>
      </c>
      <c r="I20" s="106"/>
      <c r="J20" s="106"/>
      <c r="K20" s="106"/>
      <c r="L20" s="106"/>
      <c r="M20" s="106"/>
      <c r="N20" s="1">
        <v>11</v>
      </c>
      <c r="O20" s="2">
        <v>1E-3</v>
      </c>
      <c r="P20" s="106"/>
    </row>
    <row r="21" spans="1:16">
      <c r="A21" s="57">
        <v>12</v>
      </c>
      <c r="B21" s="46">
        <v>2.5000000000000001E-2</v>
      </c>
      <c r="G21" s="46">
        <v>1.4999999999999999E-2</v>
      </c>
      <c r="H21" s="57">
        <v>12</v>
      </c>
      <c r="I21" s="106"/>
      <c r="J21" s="106"/>
      <c r="K21" s="106"/>
      <c r="L21" s="106"/>
      <c r="M21" s="106"/>
      <c r="N21" s="1">
        <v>12</v>
      </c>
      <c r="O21" s="2">
        <v>1E-3</v>
      </c>
      <c r="P21" s="106"/>
    </row>
    <row r="22" spans="1:16"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>
      <c r="A28" s="15" t="s">
        <v>9</v>
      </c>
      <c r="B28" s="15" t="s">
        <v>8</v>
      </c>
      <c r="C28" s="15" t="s">
        <v>24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16">
      <c r="A29" s="15">
        <v>1</v>
      </c>
      <c r="B29" s="11">
        <f>IF(trigger_inflacja="inflacja taka sama w kazdym roku",'WPISZ ZAŁOŻENIA'!$B$9,'WPISZ ZAŁOŻENIA'!B10)</f>
        <v>0.05</v>
      </c>
      <c r="C29" s="11">
        <f>B29</f>
        <v>0.05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1:16">
      <c r="A30" s="15">
        <v>2</v>
      </c>
      <c r="B30" s="11">
        <f>IF(trigger_inflacja="inflacja taka sama w kazdym roku",'WPISZ ZAŁOŻENIA'!$B$9,'WPISZ ZAŁOŻENIA'!B11)</f>
        <v>0.05</v>
      </c>
      <c r="C30" s="11">
        <f t="shared" ref="C30:C40" si="0">(1+C29)*(1+B30)-1</f>
        <v>0.10250000000000004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>
      <c r="A31" s="15">
        <v>3</v>
      </c>
      <c r="B31" s="11">
        <f>IF(trigger_inflacja="inflacja taka sama w kazdym roku",'WPISZ ZAŁOŻENIA'!$B$9,'WPISZ ZAŁOŻENIA'!B12)</f>
        <v>0.05</v>
      </c>
      <c r="C31" s="11">
        <f t="shared" si="0"/>
        <v>0.15762500000000013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>
      <c r="A32" s="15">
        <v>4</v>
      </c>
      <c r="B32" s="11">
        <f>IF(trigger_inflacja="inflacja taka sama w kazdym roku",'WPISZ ZAŁOŻENIA'!$B$9,'WPISZ ZAŁOŻENIA'!B13)</f>
        <v>0.05</v>
      </c>
      <c r="C32" s="11">
        <f t="shared" si="0"/>
        <v>0.21550625000000023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6">
      <c r="A33" s="15">
        <v>5</v>
      </c>
      <c r="B33" s="11">
        <f>IF(trigger_inflacja="inflacja taka sama w kazdym roku",'WPISZ ZAŁOŻENIA'!$B$9,'WPISZ ZAŁOŻENIA'!B14)</f>
        <v>0.05</v>
      </c>
      <c r="C33" s="11">
        <f t="shared" si="0"/>
        <v>0.27628156250000035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1:16">
      <c r="A34" s="15">
        <v>6</v>
      </c>
      <c r="B34" s="11">
        <f>IF(trigger_inflacja="inflacja taka sama w kazdym roku",'WPISZ ZAŁOŻENIA'!$B$9,'WPISZ ZAŁOŻENIA'!B15)</f>
        <v>0.05</v>
      </c>
      <c r="C34" s="11">
        <f t="shared" si="0"/>
        <v>0.34009564062500042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1:16">
      <c r="A35" s="15">
        <v>7</v>
      </c>
      <c r="B35" s="11">
        <f>IF(trigger_inflacja="inflacja taka sama w kazdym roku",'WPISZ ZAŁOŻENIA'!$B$9,'WPISZ ZAŁOŻENIA'!B16)</f>
        <v>0.05</v>
      </c>
      <c r="C35" s="11">
        <f t="shared" si="0"/>
        <v>0.40710042265625046</v>
      </c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>
      <c r="A36" s="15">
        <v>8</v>
      </c>
      <c r="B36" s="11">
        <f>IF(trigger_inflacja="inflacja taka sama w kazdym roku",'WPISZ ZAŁOŻENIA'!$B$9,'WPISZ ZAŁOŻENIA'!B17)</f>
        <v>0.05</v>
      </c>
      <c r="C36" s="11">
        <f t="shared" si="0"/>
        <v>0.47745544378906302</v>
      </c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>
      <c r="A37" s="15">
        <v>9</v>
      </c>
      <c r="B37" s="11">
        <f>IF(trigger_inflacja="inflacja taka sama w kazdym roku",'WPISZ ZAŁOŻENIA'!$B$9,'WPISZ ZAŁOŻENIA'!B18)</f>
        <v>0.05</v>
      </c>
      <c r="C37" s="11">
        <f t="shared" si="0"/>
        <v>0.55132821597851622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>
      <c r="A38" s="15">
        <v>10</v>
      </c>
      <c r="B38" s="11">
        <f>IF(trigger_inflacja="inflacja taka sama w kazdym roku",'WPISZ ZAŁOŻENIA'!$B$9,'WPISZ ZAŁOŻENIA'!B19)</f>
        <v>0.05</v>
      </c>
      <c r="C38" s="11">
        <f t="shared" si="0"/>
        <v>0.62889462677744201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>
      <c r="A39" s="15">
        <v>11</v>
      </c>
      <c r="B39" s="11">
        <f>IF(trigger_inflacja="inflacja taka sama w kazdym roku",'WPISZ ZAŁOŻENIA'!$B$9,'WPISZ ZAŁOŻENIA'!B20)</f>
        <v>0.05</v>
      </c>
      <c r="C39" s="11">
        <f t="shared" si="0"/>
        <v>0.71033935811631421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>
      <c r="A40" s="15">
        <v>12</v>
      </c>
      <c r="B40" s="11">
        <f>IF(trigger_inflacja="inflacja taka sama w kazdym roku",'WPISZ ZAŁOŻENIA'!$B$9,'WPISZ ZAŁOŻENIA'!B21)</f>
        <v>0.05</v>
      </c>
      <c r="C40" s="11">
        <f t="shared" si="0"/>
        <v>0.79585632602213008</v>
      </c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1:16"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6"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6"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6"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6"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:16"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7:16"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7:16"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7:16"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7:16"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7:16"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7:16"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7:16"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7:16"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7:16"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7:16"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7:16"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7:16"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7:16"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7:16"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7:16"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7:16"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7:16"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7:16"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7:16"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7:16"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7:16"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7:16"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7:16"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7:16"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7:16"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7:16"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7:16"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7:16"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7:16"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7:16"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7:16"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7:16"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7:16"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7:16"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7:16"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7:16"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7:16"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7:16"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7:16"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7:16"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7:16"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7:16"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7:16"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7:16"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7:16"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7:16"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7:16"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7:16"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7:16"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7:16"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7:16"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7:16"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7:16"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7:16"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7:16"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7:16"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7:16"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7:16"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7:16"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7:16"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7:16"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7:16"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7:16"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7:16"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7:16"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7:16"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7:16"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7:16"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7:16"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7:16"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7:16"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7:16"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7:16"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7:16"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spans="7:16"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7:16"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7:16"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spans="7:16"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7:16"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7:16"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7:16"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7:16"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7:16"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7:16"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7:16"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7:16"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7:16"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7:16"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7:16"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7:16"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spans="7:16"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7:16"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spans="7:16"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7:16"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7:16"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7:16"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7:16"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7:16"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7:16"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7:16"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7:16"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7:16"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7:16"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7:16"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7:16"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7:16"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7:16"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7:16"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7:16"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spans="7:16"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7:16"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spans="7:16"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spans="7:16"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7:16"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spans="7:16"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7:16"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7:16"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7:16"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spans="7:16"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spans="7:16"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7:16"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7:16"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7:16"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7:16"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7:16"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7:16"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7:16"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7:16"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7:16"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7:16"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7:16"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7:16"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spans="7:16"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spans="7:16"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spans="7:16"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spans="7:16"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spans="7:16"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spans="7:16"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7:16"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7:16"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7:16"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spans="7:16"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spans="7:16"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7:16"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7:16"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7:16"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7:16"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spans="7:16"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spans="7:16"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spans="7:16"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7:16"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7:16"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  <row r="201" spans="7:16"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</row>
    <row r="202" spans="7:16"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3" spans="7:16"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</row>
    <row r="204" spans="7:16"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</row>
    <row r="205" spans="7:16"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06" spans="7:16"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</row>
    <row r="207" spans="7:16"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</row>
    <row r="208" spans="7:16"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</row>
    <row r="209" spans="7:16"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</row>
    <row r="210" spans="7:16"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</row>
    <row r="211" spans="7:16"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  <row r="212" spans="7:16"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</row>
    <row r="213" spans="7:16"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</row>
    <row r="214" spans="7:16"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</row>
    <row r="215" spans="7:16"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</row>
    <row r="216" spans="7:16"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</row>
    <row r="217" spans="7:16"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</row>
    <row r="218" spans="7:16"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</row>
    <row r="219" spans="7:16"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</row>
    <row r="220" spans="7:16"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</row>
    <row r="221" spans="7:16"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</row>
    <row r="222" spans="7:16"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</row>
    <row r="223" spans="7:16"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</row>
    <row r="224" spans="7:16"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</row>
    <row r="225" spans="7:16"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</row>
    <row r="226" spans="7:16"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</row>
    <row r="227" spans="7:16"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</row>
    <row r="228" spans="7:16"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</row>
    <row r="229" spans="7:16"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</row>
    <row r="230" spans="7:16"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</row>
    <row r="231" spans="7:16"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</row>
    <row r="232" spans="7:16"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</row>
    <row r="233" spans="7:16"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</row>
    <row r="234" spans="7:16"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</row>
    <row r="235" spans="7:16"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</row>
    <row r="236" spans="7:16"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</row>
    <row r="237" spans="7:16"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</row>
    <row r="238" spans="7:16"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</row>
    <row r="239" spans="7:16"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</row>
    <row r="240" spans="7:16"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</row>
    <row r="241" spans="7:16"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</row>
    <row r="242" spans="7:16"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</row>
    <row r="243" spans="7:16"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</row>
    <row r="244" spans="7:16"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</row>
    <row r="245" spans="7:16"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</row>
    <row r="246" spans="7:16"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</row>
    <row r="247" spans="7:16"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</row>
    <row r="248" spans="7:16"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</row>
    <row r="249" spans="7:16"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</row>
    <row r="250" spans="7:16"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</row>
    <row r="251" spans="7:16"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</row>
    <row r="252" spans="7:16"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</row>
    <row r="253" spans="7:16"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</row>
    <row r="254" spans="7:16"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</row>
    <row r="255" spans="7:16"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</row>
    <row r="256" spans="7:16"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</row>
    <row r="257" spans="7:16"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</row>
    <row r="258" spans="7:16"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</row>
    <row r="259" spans="7:16"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</row>
    <row r="260" spans="7:16"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</row>
    <row r="261" spans="7:16"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</row>
    <row r="262" spans="7:16"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</row>
    <row r="263" spans="7:16"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</row>
    <row r="264" spans="7:16"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</row>
    <row r="265" spans="7:16"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</row>
    <row r="266" spans="7:16"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</row>
    <row r="267" spans="7:16"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</row>
    <row r="268" spans="7:16"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</row>
    <row r="269" spans="7:16"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</row>
    <row r="270" spans="7:16"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</row>
    <row r="271" spans="7:16"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</row>
    <row r="272" spans="7:16"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</row>
    <row r="273" spans="7:16"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</row>
    <row r="274" spans="7:16"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</row>
    <row r="275" spans="7:16"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</row>
    <row r="276" spans="7:16"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</row>
    <row r="277" spans="7:16"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</row>
    <row r="278" spans="7:16"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</row>
    <row r="279" spans="7:16"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</row>
    <row r="280" spans="7:16"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</row>
    <row r="281" spans="7:16"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</row>
    <row r="282" spans="7:16"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</row>
    <row r="283" spans="7:16"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</row>
    <row r="284" spans="7:16"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</row>
    <row r="285" spans="7:16"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</row>
    <row r="286" spans="7:16"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7:16"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</row>
    <row r="288" spans="7:16"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</row>
    <row r="289" spans="7:16"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</row>
    <row r="290" spans="7:16"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</row>
    <row r="291" spans="7:16"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</row>
    <row r="292" spans="7:16"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7:16"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</row>
    <row r="294" spans="7:16"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</row>
    <row r="295" spans="7:16"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</row>
    <row r="296" spans="7:16"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</row>
    <row r="297" spans="7:16"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</row>
    <row r="298" spans="7:16"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</row>
    <row r="299" spans="7:16"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</row>
    <row r="300" spans="7:16"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</row>
    <row r="301" spans="7:16"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</row>
    <row r="302" spans="7:16"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</row>
    <row r="303" spans="7:16"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</row>
    <row r="304" spans="7:16"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</row>
    <row r="305" spans="7:16"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</row>
    <row r="306" spans="7:16"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</row>
    <row r="307" spans="7:16"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</row>
    <row r="308" spans="7:16"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</row>
    <row r="309" spans="7:16"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</row>
    <row r="310" spans="7:16"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</row>
    <row r="311" spans="7:16"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</row>
    <row r="312" spans="7:16"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</row>
    <row r="313" spans="7:16"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</row>
    <row r="314" spans="7:16"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</row>
    <row r="315" spans="7:16"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</row>
    <row r="316" spans="7:16"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</row>
    <row r="317" spans="7:16"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</row>
    <row r="318" spans="7:16"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</row>
    <row r="319" spans="7:16"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</row>
    <row r="320" spans="7:16"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</row>
    <row r="321" spans="7:16"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</row>
    <row r="322" spans="7:16"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</row>
  </sheetData>
  <mergeCells count="7">
    <mergeCell ref="D13:E20"/>
    <mergeCell ref="C5:E5"/>
    <mergeCell ref="C3:E3"/>
    <mergeCell ref="C4:E4"/>
    <mergeCell ref="B8:E8"/>
    <mergeCell ref="C9:E9"/>
    <mergeCell ref="D11:E11"/>
  </mergeCells>
  <conditionalFormatting sqref="B9">
    <cfRule type="expression" dxfId="1" priority="3">
      <formula>trigger_inflacja&lt;&gt;"inflacja taka sama w kazdym roku"</formula>
    </cfRule>
  </conditionalFormatting>
  <conditionalFormatting sqref="B10:B21">
    <cfRule type="expression" dxfId="0" priority="2">
      <formula>trigger_inflacja="inflacja taka sama w kazdym roku"</formula>
    </cfRule>
  </conditionalFormatting>
  <dataValidations count="2">
    <dataValidation type="custom" showInputMessage="1" showErrorMessage="1" sqref="B4" xr:uid="{7DC0B0B7-4F43-453F-A95F-34DFC08C1678}">
      <formula1>B3*100</formula1>
    </dataValidation>
    <dataValidation type="list" allowBlank="1" showInputMessage="1" showErrorMessage="1" sqref="A8" xr:uid="{C0DFAADC-4358-4027-8AC1-04DC5EAE056D}">
      <formula1>"inflacja taka sama w kazdym roku,chcę sam ustawić każdy rok"</formula1>
    </dataValidation>
  </dataValidations>
  <hyperlinks>
    <hyperlink ref="H2" r:id="rId1" xr:uid="{C1E4B9A4-50C0-4597-9235-D8BF8AA1796E}"/>
    <hyperlink ref="H3" r:id="rId2" xr:uid="{677C6D53-D1B9-4581-84B8-336A9296D853}"/>
    <hyperlink ref="H4" r:id="rId3" xr:uid="{BD919B1C-7343-49C6-92BF-85896754DC52}"/>
    <hyperlink ref="H5" r:id="rId4" xr:uid="{D9B81DAB-6665-4789-B0A2-C1C376045C23}"/>
    <hyperlink ref="N8" r:id="rId5" xr:uid="{6CEC6DFD-C70B-4D08-B033-710DCAB676DC}"/>
  </hyperlinks>
  <pageMargins left="0.7" right="0.7" top="0.75" bottom="0.75" header="0.3" footer="0.3"/>
  <pageSetup paperSize="9" orientation="portrait" verticalDpi="3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244B-5AE9-4853-B561-1FE5AE6EF191}">
  <dimension ref="A1:CD179"/>
  <sheetViews>
    <sheetView zoomScale="70" zoomScaleNormal="70" workbookViewId="0"/>
  </sheetViews>
  <sheetFormatPr defaultColWidth="8.7265625" defaultRowHeight="14.5"/>
  <cols>
    <col min="1" max="1" width="12.54296875" style="106" customWidth="1"/>
    <col min="2" max="2" width="2.54296875" style="24" customWidth="1"/>
    <col min="3" max="9" width="20.26953125" style="24" customWidth="1"/>
    <col min="10" max="10" width="2.36328125" style="24" customWidth="1"/>
    <col min="11" max="11" width="4.36328125" style="24" customWidth="1"/>
    <col min="12" max="18" width="20.26953125" style="24" customWidth="1"/>
    <col min="19" max="19" width="8.7265625" style="24"/>
    <col min="20" max="20" width="8.26953125" style="24" bestFit="1" customWidth="1"/>
    <col min="21" max="21" width="15.54296875" style="24" bestFit="1" customWidth="1"/>
    <col min="22" max="22" width="14.453125" style="24" bestFit="1" customWidth="1"/>
    <col min="23" max="23" width="9.1796875" style="24" bestFit="1" customWidth="1"/>
    <col min="24" max="25" width="12.453125" style="24" bestFit="1" customWidth="1"/>
    <col min="26" max="26" width="12.54296875" style="24" bestFit="1" customWidth="1"/>
    <col min="27" max="27" width="10.81640625" style="24" bestFit="1" customWidth="1"/>
    <col min="28" max="28" width="12.453125" style="24" bestFit="1" customWidth="1"/>
    <col min="29" max="29" width="12.7265625" style="24" bestFit="1" customWidth="1"/>
    <col min="30" max="30" width="12.81640625" style="24" bestFit="1" customWidth="1"/>
    <col min="31" max="31" width="12.453125" style="24" bestFit="1" customWidth="1"/>
    <col min="32" max="33" width="18" style="24" customWidth="1"/>
    <col min="34" max="34" width="11.1796875" style="24" bestFit="1" customWidth="1"/>
    <col min="35" max="35" width="14.81640625" style="24" bestFit="1" customWidth="1"/>
    <col min="36" max="36" width="3.81640625" style="24" customWidth="1"/>
    <col min="37" max="37" width="9.1796875" style="24" bestFit="1" customWidth="1"/>
    <col min="38" max="39" width="12.453125" style="24" bestFit="1" customWidth="1"/>
    <col min="40" max="40" width="12.54296875" style="24" bestFit="1" customWidth="1"/>
    <col min="41" max="41" width="10.81640625" style="24" bestFit="1" customWidth="1"/>
    <col min="42" max="42" width="12.453125" style="24" bestFit="1" customWidth="1"/>
    <col min="43" max="43" width="12.7265625" style="24" bestFit="1" customWidth="1"/>
    <col min="44" max="44" width="12.81640625" style="24" bestFit="1" customWidth="1"/>
    <col min="45" max="45" width="12.453125" style="24" bestFit="1" customWidth="1"/>
    <col min="46" max="46" width="9.54296875" style="24" bestFit="1" customWidth="1"/>
    <col min="47" max="47" width="9.54296875" style="24" customWidth="1"/>
    <col min="48" max="48" width="9.54296875" style="24" bestFit="1" customWidth="1"/>
    <col min="49" max="49" width="14.81640625" style="24" bestFit="1" customWidth="1"/>
    <col min="50" max="50" width="3.1796875" style="24" customWidth="1"/>
    <col min="51" max="51" width="9.1796875" style="24" bestFit="1" customWidth="1"/>
    <col min="52" max="53" width="12.453125" style="24" bestFit="1" customWidth="1"/>
    <col min="54" max="54" width="12.54296875" style="24" bestFit="1" customWidth="1"/>
    <col min="55" max="55" width="10.81640625" style="24" bestFit="1" customWidth="1"/>
    <col min="56" max="56" width="12.453125" style="24" bestFit="1" customWidth="1"/>
    <col min="57" max="57" width="12.7265625" style="24" bestFit="1" customWidth="1"/>
    <col min="58" max="58" width="12.81640625" style="24" bestFit="1" customWidth="1"/>
    <col min="59" max="59" width="12.453125" style="24" bestFit="1" customWidth="1"/>
    <col min="60" max="60" width="9.54296875" style="24" bestFit="1" customWidth="1"/>
    <col min="61" max="61" width="9.54296875" style="24" customWidth="1"/>
    <col min="62" max="62" width="9.54296875" style="24" bestFit="1" customWidth="1"/>
    <col min="63" max="63" width="14.81640625" style="24" bestFit="1" customWidth="1"/>
    <col min="64" max="64" width="3.54296875" style="24" customWidth="1"/>
    <col min="65" max="65" width="9.1796875" style="24" bestFit="1" customWidth="1"/>
    <col min="66" max="66" width="12.453125" style="24" bestFit="1" customWidth="1"/>
    <col min="67" max="67" width="12.54296875" style="24" bestFit="1" customWidth="1"/>
    <col min="68" max="68" width="12.453125" style="24" bestFit="1" customWidth="1"/>
    <col min="69" max="69" width="12.26953125" style="24" bestFit="1" customWidth="1"/>
    <col min="70" max="70" width="12.81640625" style="24" bestFit="1" customWidth="1"/>
    <col min="71" max="71" width="12.7265625" style="24" bestFit="1" customWidth="1"/>
    <col min="72" max="72" width="12.26953125" style="24" bestFit="1" customWidth="1"/>
    <col min="73" max="73" width="12.7265625" style="24" customWidth="1"/>
    <col min="74" max="74" width="9.54296875" style="24" bestFit="1" customWidth="1"/>
    <col min="75" max="75" width="9.54296875" style="24" customWidth="1"/>
    <col min="76" max="76" width="14.81640625" style="24" bestFit="1" customWidth="1"/>
    <col min="77" max="77" width="13.1796875" style="24" customWidth="1"/>
    <col min="78" max="78" width="9.81640625" style="24" bestFit="1" customWidth="1"/>
    <col min="79" max="82" width="11.1796875" style="24" bestFit="1" customWidth="1"/>
    <col min="83" max="16384" width="8.7265625" style="24"/>
  </cols>
  <sheetData>
    <row r="1" spans="1:65" s="25" customFormat="1" ht="14">
      <c r="A1" s="24"/>
      <c r="B1" s="24"/>
      <c r="C1" s="73"/>
      <c r="D1" s="73"/>
      <c r="E1" s="73"/>
      <c r="F1" s="73"/>
      <c r="G1" s="73"/>
      <c r="H1" s="73"/>
      <c r="I1" s="73"/>
      <c r="J1" s="24"/>
      <c r="K1" s="24"/>
      <c r="L1" s="24"/>
      <c r="M1" s="24"/>
      <c r="N1" s="24"/>
      <c r="O1" s="24"/>
      <c r="P1" s="24"/>
      <c r="Q1" s="24"/>
      <c r="R1" s="24"/>
      <c r="S1" s="24"/>
      <c r="AJ1" s="24"/>
      <c r="BL1" s="24"/>
    </row>
    <row r="2" spans="1:65" s="25" customFormat="1" ht="32.5" customHeight="1">
      <c r="A2" s="24"/>
      <c r="B2" s="24"/>
      <c r="C2" s="73"/>
      <c r="D2" s="73"/>
      <c r="E2" s="73"/>
      <c r="F2" s="73"/>
      <c r="G2" s="73"/>
      <c r="H2" s="73"/>
      <c r="I2" s="73"/>
      <c r="J2" s="24"/>
      <c r="K2" s="73"/>
      <c r="L2" s="73"/>
      <c r="M2" s="73"/>
      <c r="N2" s="73"/>
      <c r="O2" s="73"/>
      <c r="P2" s="73"/>
      <c r="Q2" s="73"/>
      <c r="R2" s="73"/>
      <c r="S2" s="24"/>
      <c r="AJ2" s="24"/>
      <c r="BL2" s="24"/>
    </row>
    <row r="3" spans="1:65" s="25" customFormat="1" ht="32.5" customHeight="1">
      <c r="A3" s="24"/>
      <c r="B3" s="24"/>
      <c r="C3" s="73"/>
      <c r="D3" s="73"/>
      <c r="E3" s="73"/>
      <c r="F3" s="73"/>
      <c r="G3" s="73"/>
      <c r="H3" s="73"/>
      <c r="I3" s="73"/>
      <c r="J3" s="24"/>
      <c r="K3" s="73"/>
      <c r="L3" s="73"/>
      <c r="M3" s="73"/>
      <c r="N3" s="73"/>
      <c r="O3" s="73"/>
      <c r="P3" s="73"/>
      <c r="Q3" s="73"/>
      <c r="R3" s="73"/>
      <c r="S3" s="24"/>
      <c r="AJ3" s="24"/>
      <c r="BL3" s="24"/>
    </row>
    <row r="4" spans="1:65" s="25" customFormat="1" ht="32.5" customHeight="1">
      <c r="A4" s="24"/>
      <c r="B4" s="24"/>
      <c r="C4" s="73"/>
      <c r="D4" s="73"/>
      <c r="E4" s="73"/>
      <c r="F4" s="73"/>
      <c r="G4" s="73"/>
      <c r="H4" s="73"/>
      <c r="I4" s="74"/>
      <c r="J4" s="24"/>
      <c r="K4" s="73"/>
      <c r="L4" s="73"/>
      <c r="M4" s="73"/>
      <c r="N4" s="73"/>
      <c r="O4" s="73"/>
      <c r="P4" s="73"/>
      <c r="Q4" s="73"/>
      <c r="R4" s="73"/>
      <c r="S4" s="24"/>
      <c r="AJ4" s="24"/>
      <c r="BL4" s="24"/>
    </row>
    <row r="5" spans="1:65" s="25" customFormat="1" ht="32.5" customHeight="1">
      <c r="A5" s="24"/>
      <c r="B5" s="24"/>
      <c r="C5" s="73"/>
      <c r="D5" s="73"/>
      <c r="E5" s="73"/>
      <c r="F5" s="73"/>
      <c r="G5" s="73"/>
      <c r="H5" s="73"/>
      <c r="I5" s="73"/>
      <c r="J5" s="24"/>
      <c r="K5" s="73"/>
      <c r="L5" s="73"/>
      <c r="M5" s="73"/>
      <c r="N5" s="73"/>
      <c r="O5" s="73"/>
      <c r="P5" s="73"/>
      <c r="Q5" s="73"/>
      <c r="R5" s="73"/>
      <c r="S5" s="24"/>
      <c r="AJ5" s="24"/>
      <c r="BL5" s="24"/>
    </row>
    <row r="6" spans="1:65" s="25" customFormat="1" ht="32.5" customHeight="1">
      <c r="A6" s="24"/>
      <c r="B6" s="24"/>
      <c r="C6" s="73"/>
      <c r="D6" s="73"/>
      <c r="E6" s="73"/>
      <c r="F6" s="73"/>
      <c r="G6" s="73"/>
      <c r="H6" s="73"/>
      <c r="I6" s="73"/>
      <c r="J6" s="24"/>
      <c r="K6" s="73"/>
      <c r="L6" s="73"/>
      <c r="M6" s="73"/>
      <c r="N6" s="73"/>
      <c r="O6" s="73"/>
      <c r="P6" s="73"/>
      <c r="Q6" s="73"/>
      <c r="R6" s="73"/>
      <c r="S6" s="24"/>
      <c r="AJ6" s="24"/>
      <c r="BL6" s="24"/>
    </row>
    <row r="7" spans="1:65" s="25" customFormat="1" ht="32.5" customHeight="1">
      <c r="A7" s="24"/>
      <c r="B7" s="24"/>
      <c r="C7" s="75"/>
      <c r="D7" s="76"/>
      <c r="E7" s="76"/>
      <c r="F7" s="76"/>
      <c r="G7" s="76"/>
      <c r="H7" s="76"/>
      <c r="I7" s="76"/>
      <c r="J7" s="24"/>
      <c r="K7" s="113"/>
      <c r="L7" s="113"/>
      <c r="M7" s="113"/>
      <c r="N7" s="113"/>
      <c r="O7" s="113"/>
      <c r="P7" s="113"/>
      <c r="Q7" s="113"/>
      <c r="R7" s="113"/>
      <c r="S7" s="24"/>
      <c r="AJ7" s="24"/>
      <c r="BL7" s="24"/>
    </row>
    <row r="8" spans="1:65" s="25" customFormat="1" ht="32.5" customHeight="1">
      <c r="A8" s="24"/>
      <c r="B8" s="24"/>
      <c r="C8" s="73"/>
      <c r="D8" s="73"/>
      <c r="E8" s="73"/>
      <c r="F8" s="73"/>
      <c r="G8" s="73"/>
      <c r="H8" s="73"/>
      <c r="I8" s="73"/>
      <c r="J8" s="24"/>
      <c r="K8" s="24"/>
      <c r="L8" s="24"/>
      <c r="M8" s="24"/>
      <c r="N8" s="24"/>
      <c r="O8" s="24"/>
      <c r="P8" s="24"/>
      <c r="Q8" s="24"/>
      <c r="R8" s="24"/>
      <c r="S8" s="24"/>
      <c r="AJ8" s="24"/>
      <c r="BL8" s="24"/>
    </row>
    <row r="9" spans="1:65" s="25" customFormat="1" ht="32.5" customHeight="1">
      <c r="A9" s="24"/>
      <c r="B9" s="24"/>
      <c r="C9" s="73"/>
      <c r="D9" s="73"/>
      <c r="E9" s="73"/>
      <c r="F9" s="73"/>
      <c r="G9" s="73"/>
      <c r="H9" s="73"/>
      <c r="I9" s="73"/>
      <c r="J9" s="24"/>
      <c r="K9" s="73"/>
      <c r="L9" s="73"/>
      <c r="M9" s="73"/>
      <c r="N9" s="73"/>
      <c r="O9" s="73"/>
      <c r="P9" s="73"/>
      <c r="Q9" s="73"/>
      <c r="R9" s="73"/>
      <c r="S9" s="24"/>
      <c r="AJ9" s="24"/>
      <c r="BL9" s="24"/>
    </row>
    <row r="10" spans="1:65" s="25" customFormat="1" ht="32.5" customHeight="1">
      <c r="A10" s="24"/>
      <c r="B10" s="24"/>
      <c r="C10" s="73"/>
      <c r="D10" s="73"/>
      <c r="E10" s="73"/>
      <c r="F10" s="73"/>
      <c r="G10" s="73"/>
      <c r="H10" s="73"/>
      <c r="I10" s="73"/>
      <c r="J10" s="24"/>
      <c r="K10" s="73"/>
      <c r="L10" s="73"/>
      <c r="M10" s="73"/>
      <c r="N10" s="73"/>
      <c r="O10" s="73"/>
      <c r="P10" s="73"/>
      <c r="Q10" s="73"/>
      <c r="R10" s="73"/>
      <c r="S10" s="24"/>
      <c r="AJ10" s="24"/>
      <c r="BL10" s="24"/>
    </row>
    <row r="11" spans="1:65" s="25" customFormat="1" ht="32.5" customHeight="1">
      <c r="A11" s="24"/>
      <c r="B11" s="24"/>
      <c r="C11" s="73"/>
      <c r="D11" s="73"/>
      <c r="E11" s="73"/>
      <c r="F11" s="73"/>
      <c r="G11" s="73"/>
      <c r="H11" s="73"/>
      <c r="I11" s="74"/>
      <c r="J11" s="24"/>
      <c r="K11" s="73"/>
      <c r="L11" s="73"/>
      <c r="M11" s="73"/>
      <c r="N11" s="73"/>
      <c r="O11" s="73"/>
      <c r="P11" s="73"/>
      <c r="Q11" s="73"/>
      <c r="R11" s="73"/>
      <c r="S11" s="24"/>
      <c r="AJ11" s="24"/>
      <c r="BL11" s="24"/>
    </row>
    <row r="12" spans="1:65" s="25" customFormat="1" ht="32.5" customHeight="1">
      <c r="A12" s="24"/>
      <c r="B12" s="24"/>
      <c r="C12" s="73"/>
      <c r="D12" s="73"/>
      <c r="E12" s="73"/>
      <c r="F12" s="73"/>
      <c r="G12" s="73"/>
      <c r="H12" s="73"/>
      <c r="I12" s="73"/>
      <c r="J12" s="24"/>
      <c r="K12" s="73"/>
      <c r="L12" s="73"/>
      <c r="M12" s="73"/>
      <c r="N12" s="73"/>
      <c r="O12" s="73"/>
      <c r="P12" s="73"/>
      <c r="Q12" s="73"/>
      <c r="R12" s="73"/>
      <c r="S12" s="24"/>
      <c r="AJ12" s="24"/>
      <c r="BL12" s="24"/>
    </row>
    <row r="13" spans="1:65" s="25" customFormat="1" ht="32.5" customHeight="1">
      <c r="A13" s="24"/>
      <c r="B13" s="24"/>
      <c r="C13" s="73"/>
      <c r="D13" s="73"/>
      <c r="E13" s="73"/>
      <c r="F13" s="73"/>
      <c r="G13" s="73"/>
      <c r="H13" s="73"/>
      <c r="I13" s="73"/>
      <c r="J13" s="24"/>
      <c r="K13" s="73"/>
      <c r="L13" s="73"/>
      <c r="M13" s="73"/>
      <c r="N13" s="73"/>
      <c r="O13" s="73"/>
      <c r="P13" s="73"/>
      <c r="Q13" s="73"/>
      <c r="R13" s="73"/>
      <c r="S13" s="24"/>
      <c r="AJ13" s="24"/>
      <c r="BL13" s="24"/>
    </row>
    <row r="14" spans="1:65" s="25" customFormat="1" ht="32.5" customHeight="1">
      <c r="A14" s="24"/>
      <c r="B14" s="24"/>
      <c r="C14" s="75"/>
      <c r="D14" s="76"/>
      <c r="E14" s="76"/>
      <c r="F14" s="76"/>
      <c r="G14" s="76"/>
      <c r="H14" s="76"/>
      <c r="I14" s="76"/>
      <c r="J14" s="24"/>
      <c r="K14" s="77"/>
      <c r="L14" s="77"/>
      <c r="M14" s="77"/>
      <c r="N14" s="77"/>
      <c r="O14" s="77"/>
      <c r="P14" s="77"/>
      <c r="Q14" s="113"/>
      <c r="R14" s="77"/>
      <c r="S14" s="24"/>
      <c r="AJ14" s="24"/>
      <c r="BL14" s="24"/>
    </row>
    <row r="15" spans="1:65" ht="32.5" customHeight="1" thickBot="1"/>
    <row r="16" spans="1:65" s="25" customFormat="1" ht="32.5" customHeight="1" thickBot="1">
      <c r="A16" s="24"/>
      <c r="B16" s="24"/>
      <c r="C16" s="165" t="s">
        <v>75</v>
      </c>
      <c r="D16" s="166"/>
      <c r="E16" s="166"/>
      <c r="F16" s="166"/>
      <c r="G16" s="166"/>
      <c r="H16" s="166"/>
      <c r="I16" s="167"/>
      <c r="J16" s="24"/>
      <c r="K16" s="82"/>
      <c r="L16" s="162" t="s">
        <v>79</v>
      </c>
      <c r="M16" s="163"/>
      <c r="N16" s="163"/>
      <c r="O16" s="163"/>
      <c r="P16" s="163"/>
      <c r="Q16" s="163"/>
      <c r="R16" s="164"/>
      <c r="S16" s="24"/>
      <c r="T16" s="33" t="s">
        <v>67</v>
      </c>
      <c r="AJ16" s="24"/>
      <c r="AK16" s="33" t="s">
        <v>68</v>
      </c>
      <c r="AY16" s="33" t="s">
        <v>69</v>
      </c>
      <c r="BL16" s="24"/>
      <c r="BM16" s="33" t="s">
        <v>70</v>
      </c>
    </row>
    <row r="17" spans="1:77" s="25" customFormat="1" ht="32.5" customHeight="1">
      <c r="A17" s="24"/>
      <c r="B17" s="24"/>
      <c r="C17" s="85"/>
      <c r="D17" s="86" t="s">
        <v>63</v>
      </c>
      <c r="E17" s="87" t="s">
        <v>64</v>
      </c>
      <c r="F17" s="88" t="s">
        <v>65</v>
      </c>
      <c r="G17" s="89" t="s">
        <v>66</v>
      </c>
      <c r="H17" s="125" t="s">
        <v>81</v>
      </c>
      <c r="I17" s="90" t="s">
        <v>80</v>
      </c>
      <c r="J17" s="24"/>
      <c r="K17" s="83"/>
      <c r="L17" s="114" t="s">
        <v>9</v>
      </c>
      <c r="M17" s="115" t="s">
        <v>63</v>
      </c>
      <c r="N17" s="116" t="s">
        <v>64</v>
      </c>
      <c r="O17" s="117" t="s">
        <v>65</v>
      </c>
      <c r="P17" s="118" t="s">
        <v>66</v>
      </c>
      <c r="Q17" s="125" t="s">
        <v>81</v>
      </c>
      <c r="R17" s="119" t="s">
        <v>82</v>
      </c>
      <c r="S17" s="24"/>
      <c r="T17" s="35" t="s">
        <v>16</v>
      </c>
      <c r="U17" s="36" t="s">
        <v>15</v>
      </c>
      <c r="V17" s="37" t="s">
        <v>25</v>
      </c>
      <c r="W17" s="37" t="s">
        <v>31</v>
      </c>
      <c r="X17" s="37" t="s">
        <v>29</v>
      </c>
      <c r="Y17" s="37" t="s">
        <v>17</v>
      </c>
      <c r="Z17" s="37" t="s">
        <v>18</v>
      </c>
      <c r="AA17" s="37" t="s">
        <v>20</v>
      </c>
      <c r="AB17" s="37" t="s">
        <v>21</v>
      </c>
      <c r="AC17" s="38" t="s">
        <v>10</v>
      </c>
      <c r="AD17" s="37" t="s">
        <v>19</v>
      </c>
      <c r="AE17" s="37" t="s">
        <v>22</v>
      </c>
      <c r="AF17" s="37" t="s">
        <v>28</v>
      </c>
      <c r="AG17" s="37" t="s">
        <v>76</v>
      </c>
      <c r="AH17" s="37" t="s">
        <v>12</v>
      </c>
      <c r="AI17" s="37" t="s">
        <v>23</v>
      </c>
      <c r="AJ17" s="24"/>
      <c r="AK17" s="39" t="s">
        <v>31</v>
      </c>
      <c r="AL17" s="39" t="s">
        <v>29</v>
      </c>
      <c r="AM17" s="39" t="s">
        <v>17</v>
      </c>
      <c r="AN17" s="39" t="s">
        <v>18</v>
      </c>
      <c r="AO17" s="39" t="s">
        <v>20</v>
      </c>
      <c r="AP17" s="39" t="s">
        <v>21</v>
      </c>
      <c r="AQ17" s="40" t="s">
        <v>10</v>
      </c>
      <c r="AR17" s="39" t="s">
        <v>19</v>
      </c>
      <c r="AS17" s="39" t="s">
        <v>22</v>
      </c>
      <c r="AT17" s="39" t="s">
        <v>11</v>
      </c>
      <c r="AU17" s="39" t="s">
        <v>76</v>
      </c>
      <c r="AV17" s="39" t="s">
        <v>12</v>
      </c>
      <c r="AW17" s="39" t="s">
        <v>23</v>
      </c>
      <c r="AY17" s="41" t="s">
        <v>31</v>
      </c>
      <c r="AZ17" s="41" t="s">
        <v>29</v>
      </c>
      <c r="BA17" s="41" t="s">
        <v>17</v>
      </c>
      <c r="BB17" s="41" t="s">
        <v>18</v>
      </c>
      <c r="BC17" s="41" t="s">
        <v>20</v>
      </c>
      <c r="BD17" s="41" t="s">
        <v>21</v>
      </c>
      <c r="BE17" s="42" t="s">
        <v>10</v>
      </c>
      <c r="BF17" s="41" t="s">
        <v>19</v>
      </c>
      <c r="BG17" s="41" t="s">
        <v>22</v>
      </c>
      <c r="BH17" s="41" t="s">
        <v>11</v>
      </c>
      <c r="BI17" s="41" t="s">
        <v>76</v>
      </c>
      <c r="BJ17" s="41" t="s">
        <v>12</v>
      </c>
      <c r="BK17" s="41" t="s">
        <v>23</v>
      </c>
      <c r="BL17" s="24"/>
      <c r="BM17" s="43" t="s">
        <v>31</v>
      </c>
      <c r="BN17" s="43" t="s">
        <v>29</v>
      </c>
      <c r="BO17" s="43" t="s">
        <v>17</v>
      </c>
      <c r="BP17" s="43" t="s">
        <v>18</v>
      </c>
      <c r="BQ17" s="43" t="s">
        <v>20</v>
      </c>
      <c r="BR17" s="43" t="s">
        <v>21</v>
      </c>
      <c r="BS17" s="44" t="s">
        <v>10</v>
      </c>
      <c r="BT17" s="43" t="s">
        <v>19</v>
      </c>
      <c r="BU17" s="43" t="s">
        <v>22</v>
      </c>
      <c r="BV17" s="43" t="s">
        <v>11</v>
      </c>
      <c r="BW17" s="43" t="s">
        <v>76</v>
      </c>
      <c r="BX17" s="43" t="s">
        <v>12</v>
      </c>
      <c r="BY17" s="43" t="s">
        <v>23</v>
      </c>
    </row>
    <row r="18" spans="1:77" s="25" customFormat="1" ht="21" customHeight="1">
      <c r="A18" s="24"/>
      <c r="B18" s="24"/>
      <c r="C18" s="114">
        <v>0</v>
      </c>
      <c r="D18" s="48">
        <f t="shared" ref="D18:I18" si="0">zakup_domyslny_wartosc</f>
        <v>10000</v>
      </c>
      <c r="E18" s="48">
        <f t="shared" si="0"/>
        <v>10000</v>
      </c>
      <c r="F18" s="48">
        <f t="shared" si="0"/>
        <v>10000</v>
      </c>
      <c r="G18" s="48">
        <f t="shared" si="0"/>
        <v>10000</v>
      </c>
      <c r="H18" s="48">
        <f t="shared" si="0"/>
        <v>10000</v>
      </c>
      <c r="I18" s="50">
        <f t="shared" si="0"/>
        <v>10000</v>
      </c>
      <c r="J18" s="24"/>
      <c r="K18" s="83"/>
      <c r="L18" s="114">
        <v>0</v>
      </c>
      <c r="M18" s="51">
        <f t="shared" ref="M18:M31" si="1">D18/zakup_domyslny_wartosc-1</f>
        <v>0</v>
      </c>
      <c r="N18" s="51">
        <f t="shared" ref="N18:N31" si="2">E18/zakup_domyslny_wartosc-1</f>
        <v>0</v>
      </c>
      <c r="O18" s="51">
        <f t="shared" ref="O18:O31" si="3">F18/zakup_domyslny_wartosc-1</f>
        <v>0</v>
      </c>
      <c r="P18" s="51">
        <f t="shared" ref="P18:P31" si="4">G18/zakup_domyslny_wartosc-1</f>
        <v>0</v>
      </c>
      <c r="Q18" s="51">
        <f t="shared" ref="Q18:Q31" si="5">H18/zakup_domyslny_wartosc-1</f>
        <v>0</v>
      </c>
      <c r="R18" s="53">
        <f t="shared" ref="R18:R31" si="6">I18/zakup_domyslny_wartosc-1</f>
        <v>0</v>
      </c>
      <c r="S18" s="24"/>
      <c r="T18" s="45"/>
      <c r="U18" s="54"/>
      <c r="V18" s="55"/>
      <c r="W18" s="56"/>
      <c r="X18" s="56"/>
      <c r="Y18" s="48"/>
      <c r="Z18" s="48"/>
      <c r="AA18" s="48"/>
      <c r="AB18" s="48"/>
      <c r="AC18" s="45"/>
      <c r="AD18" s="45"/>
      <c r="AE18" s="45"/>
      <c r="AF18" s="48"/>
      <c r="AG18" s="48"/>
      <c r="AH18" s="48"/>
      <c r="AI18" s="48"/>
      <c r="AJ18" s="24"/>
      <c r="AK18" s="56"/>
      <c r="AL18" s="56"/>
      <c r="AM18" s="48"/>
      <c r="AN18" s="48"/>
      <c r="AO18" s="48"/>
      <c r="AP18" s="48"/>
      <c r="AQ18" s="45"/>
      <c r="AR18" s="45"/>
      <c r="AS18" s="45"/>
      <c r="AT18" s="48"/>
      <c r="AU18" s="48"/>
      <c r="AV18" s="48"/>
      <c r="AW18" s="48"/>
      <c r="AY18" s="56"/>
      <c r="AZ18" s="56"/>
      <c r="BA18" s="48"/>
      <c r="BB18" s="48"/>
      <c r="BC18" s="48"/>
      <c r="BD18" s="48"/>
      <c r="BE18" s="45"/>
      <c r="BF18" s="45"/>
      <c r="BG18" s="45"/>
      <c r="BH18" s="48"/>
      <c r="BI18" s="48"/>
      <c r="BJ18" s="48"/>
      <c r="BK18" s="48"/>
      <c r="BL18" s="24"/>
      <c r="BM18" s="56"/>
      <c r="BN18" s="56"/>
      <c r="BO18" s="48"/>
      <c r="BP18" s="48"/>
      <c r="BQ18" s="48"/>
      <c r="BR18" s="48"/>
      <c r="BS18" s="45"/>
      <c r="BT18" s="45"/>
      <c r="BU18" s="45"/>
      <c r="BV18" s="48"/>
      <c r="BW18" s="48"/>
      <c r="BX18" s="48"/>
      <c r="BY18" s="48"/>
    </row>
    <row r="19" spans="1:77" s="25" customFormat="1" ht="21" customHeight="1">
      <c r="A19" s="24"/>
      <c r="B19" s="24"/>
      <c r="C19" s="47">
        <v>1</v>
      </c>
      <c r="D19" s="48">
        <f t="shared" ref="D19:D30" si="7">INDEX(wyniki_COI_I,MATCH(C19*12,wyniki_mc,0))</f>
        <v>10048.599999999999</v>
      </c>
      <c r="E19" s="48">
        <f t="shared" ref="E19:E30" si="8">INDEX(wyniki_EDO_I,MATCH(C19*12,wyniki_mc,0))</f>
        <v>10000</v>
      </c>
      <c r="F19" s="48">
        <f t="shared" ref="F19:F30" si="9">INDEX(wyniki_ROS_I,MATCH(C19*12,wyniki_mc,0))</f>
        <v>10064.799999999999</v>
      </c>
      <c r="G19" s="49">
        <f t="shared" ref="G19:G30" si="10">INDEX(wyniki_ROD_I,MATCH(C19*12,wyniki_mc,0))</f>
        <v>10000</v>
      </c>
      <c r="H19" s="120">
        <f t="shared" ref="H19:H30" si="11">FV(INDEX(scenariusz_I_konto,MATCH(C19,scenariusz_I_rok,0))/12*(1-podatek_Belki),12,0,-H18,1)</f>
        <v>10122.17889187117</v>
      </c>
      <c r="I19" s="50">
        <f t="shared" ref="I19:I30" si="12">INDEX(wyniki_skumulowana_inflacja,MATCH(C19*12,wyniki_mc,0))</f>
        <v>10500</v>
      </c>
      <c r="J19" s="24"/>
      <c r="K19" s="84"/>
      <c r="L19" s="47">
        <v>1</v>
      </c>
      <c r="M19" s="51">
        <f t="shared" si="1"/>
        <v>4.8599999999998644E-3</v>
      </c>
      <c r="N19" s="51">
        <f t="shared" si="2"/>
        <v>0</v>
      </c>
      <c r="O19" s="51">
        <f t="shared" si="3"/>
        <v>6.4799999999998192E-3</v>
      </c>
      <c r="P19" s="52">
        <f t="shared" si="4"/>
        <v>0</v>
      </c>
      <c r="Q19" s="51">
        <f t="shared" si="5"/>
        <v>1.221788918711697E-2</v>
      </c>
      <c r="R19" s="53">
        <f t="shared" si="6"/>
        <v>5.0000000000000044E-2</v>
      </c>
      <c r="S19" s="24"/>
      <c r="T19" s="45">
        <v>1</v>
      </c>
      <c r="U19" s="58"/>
      <c r="V19" s="48">
        <f t="shared" ref="V19:V50" si="13">zakup_domyslny_wartosc*IFERROR((INDEX(scenariusz_I_inflacja_skumulowana,MATCH(ROUNDDOWN(T19/12,0),scenariusz_I_rok,0))+1),1)
*(1+MOD(T19,12)*INDEX(scenariusz_I_inflacja,MATCH(ROUNDUP(T19/12,0),scenariusz_I_rok,0))/12)</f>
        <v>10041.666666666666</v>
      </c>
      <c r="W19" s="56">
        <f>zakup_domyslny_ilosc</f>
        <v>100</v>
      </c>
      <c r="X19" s="48">
        <f>zakup_domyslny_wartosc</f>
        <v>10000</v>
      </c>
      <c r="Y19" s="48">
        <f>zakup_domyslny_wartosc</f>
        <v>10000</v>
      </c>
      <c r="Z19" s="48">
        <f>Y19</f>
        <v>10000</v>
      </c>
      <c r="AA19" s="59">
        <f t="shared" ref="AA19:AA50" si="14">IF(AND(MOD($T19,zapadalnosc_COI)&lt;=12,MOD($T19,zapadalnosc_COI)&lt;&gt;0),proc_I_okres_COI,(marza_COI+$U19))</f>
        <v>1.2999999999999999E-2</v>
      </c>
      <c r="AB19" s="48">
        <f t="shared" ref="AB19:AB50" si="15">Z19*(1+AA19*IF(MOD($T19,12)&lt;&gt;0,MOD($T19,12),12)/12)</f>
        <v>10010.833333333334</v>
      </c>
      <c r="AC19" s="48" t="str">
        <f t="shared" ref="AC19:AC50" si="16">IF(MOD($T19,zapadalnosc_COI)=0,"tak","nie")</f>
        <v>nie</v>
      </c>
      <c r="AD19" s="48">
        <f t="shared" ref="AD19:AD50" si="17">IF(MOD($T19,zapadalnosc_COI)=0,0,
IF(AND(MOD($T19,zapadalnosc_COI)&lt;zapadalnosc_COI,MOD($T19,zapadalnosc_COI)&lt;=12),
MIN(AB19-Y19,W19*koszt_wczesniejszy_wykup_COI),W19*koszt_wczesniejszy_wykup_COI))</f>
        <v>10.83333333333394</v>
      </c>
      <c r="AE19" s="48">
        <f t="shared" ref="AE19:AE50" si="18">AB19-AD19
-(AB19-Y19-AD19)*podatek_Belki</f>
        <v>10000</v>
      </c>
      <c r="AF19" s="48">
        <f t="shared" ref="AF19:AF50" si="19">IF(MOD(T19,wyplata_odsetek_COI)=0, (AB19-Y19)*(1-podatek_Belki),0)
-IF(AND(AC19="tak",X20&lt;&gt;""),X20-Y19,0)</f>
        <v>0</v>
      </c>
      <c r="AG19" s="59">
        <f t="shared" ref="AG19:AG50" si="20">INDEX(scenariusz_I_konto,MATCH(ROUNDUP($T19/12,0),scenariusz_I_rok,0))</f>
        <v>1.4999999999999999E-2</v>
      </c>
      <c r="AH19" s="48">
        <f t="shared" ref="AH19:AH50" si="21">AH18*(1+AG19/12*(1-podatek_Belki))+AF19</f>
        <v>0</v>
      </c>
      <c r="AI19" s="48">
        <f t="shared" ref="AI19:AI50" si="22">AH18*(1+AG19/12*(1-podatek_Belki))+AE19</f>
        <v>10000</v>
      </c>
      <c r="AJ19" s="24"/>
      <c r="AK19" s="56">
        <f>zakup_domyslny_ilosc</f>
        <v>100</v>
      </c>
      <c r="AL19" s="48">
        <f>zakup_domyslny_wartosc</f>
        <v>10000</v>
      </c>
      <c r="AM19" s="48">
        <f>zakup_domyslny_wartosc</f>
        <v>10000</v>
      </c>
      <c r="AN19" s="48">
        <f>zakup_domyslny_wartosc</f>
        <v>10000</v>
      </c>
      <c r="AO19" s="59">
        <f t="shared" ref="AO19:AO50" si="23">IF(AND(MOD($T19,zapadalnosc_EDO)&lt;=12,MOD($T19,zapadalnosc_EDO)&lt;&gt;0),proc_I_okres_EDO,(marza_EDO+$U19))</f>
        <v>1.7000000000000001E-2</v>
      </c>
      <c r="AP19" s="48">
        <f t="shared" ref="AP19:AP50" si="24">AN19*(1+AO19*IF(MOD($T19,12)&lt;&gt;0,MOD($T19,12),12)/12)</f>
        <v>10014.166666666666</v>
      </c>
      <c r="AQ19" s="48" t="str">
        <f t="shared" ref="AQ19:AQ50" si="25">IF(MOD($T19,zapadalnosc_EDO)=0,"tak","nie")</f>
        <v>nie</v>
      </c>
      <c r="AR19" s="48">
        <f t="shared" ref="AR19:AR50" si="26">IF(AND(MOD($T19,zapadalnosc_EDO)&lt;zapadalnosc_EDO,MOD($T19,zapadalnosc_EDO)&lt;&gt;0),MIN(AP19-AM19,AK19*koszt_wczesniejszy_wykup_EDO),0)</f>
        <v>14.16666666666606</v>
      </c>
      <c r="AS19" s="48">
        <f t="shared" ref="AS19:AS50" si="27">AP19-AR19
-(AP19-AM19-AR19)*podatek_Belki</f>
        <v>10000</v>
      </c>
      <c r="AT19" s="48">
        <f t="shared" ref="AT19:AT82" si="28">IF(AND(AQ19="tak",AL20&lt;&gt;""),
 AS19-AL20,
0)</f>
        <v>0</v>
      </c>
      <c r="AU19" s="59">
        <f t="shared" ref="AU19:AU50" si="29">INDEX(scenariusz_I_konto,MATCH(ROUNDUP($T19/12,0),scenariusz_I_rok,0))</f>
        <v>1.4999999999999999E-2</v>
      </c>
      <c r="AV19" s="48">
        <f t="shared" ref="AV19:AV50" si="30">AV18*(1+AU19/12*(1-podatek_Belki))+AT19</f>
        <v>0</v>
      </c>
      <c r="AW19" s="48">
        <f t="shared" ref="AW19:AW50" si="31">AV18*(1+AU19/12*(1-podatek_Belki))+AS19</f>
        <v>10000</v>
      </c>
      <c r="AY19" s="56">
        <f>zakup_domyslny_ilosc</f>
        <v>100</v>
      </c>
      <c r="AZ19" s="48">
        <f>zakup_domyslny_wartosc</f>
        <v>10000</v>
      </c>
      <c r="BA19" s="48">
        <f>zakup_domyslny_wartosc</f>
        <v>10000</v>
      </c>
      <c r="BB19" s="48">
        <f>zakup_domyslny_wartosc</f>
        <v>10000</v>
      </c>
      <c r="BC19" s="59">
        <f t="shared" ref="BC19:BC50" si="32">IF(AND(MOD($T19,zapadalnosc_ROS)&lt;=12,MOD($T19,zapadalnosc_ROS)&lt;&gt;0),proc_I_okres_ROS,(marza_ROS+$U19))</f>
        <v>1.4999999999999999E-2</v>
      </c>
      <c r="BD19" s="48">
        <f t="shared" ref="BD19:BD50" si="33">BB19*(1+BC19*IF(MOD($T19,12)&lt;&gt;0,MOD($T19,12),12)/12)</f>
        <v>10012.5</v>
      </c>
      <c r="BE19" s="48" t="str">
        <f t="shared" ref="BE19:BE50" si="34">IF(MOD($T19,zapadalnosc_ROS)=0,"tak","nie")</f>
        <v>nie</v>
      </c>
      <c r="BF19" s="48">
        <f t="shared" ref="BF19:BF50" si="35">IF(AND(MOD($T19,zapadalnosc_ROS)&lt;zapadalnosc_ROS,MOD($T19,zapadalnosc_ROS)&lt;&gt;0),MIN(BD19-BA19,AY19*koszt_wczesniejszy_wykup_ROS),0)</f>
        <v>12.5</v>
      </c>
      <c r="BG19" s="48">
        <f t="shared" ref="BG19:BG50" si="36">BD19-BF19
-(BD19-BA19-BF19)*podatek_Belki</f>
        <v>10000</v>
      </c>
      <c r="BH19" s="48">
        <f t="shared" ref="BH19:BH82" si="37">IF(AND(BE19="tak",AZ20&lt;&gt;""),
 BG19-AZ20,
0)</f>
        <v>0</v>
      </c>
      <c r="BI19" s="59">
        <f t="shared" ref="BI19:BI50" si="38">INDEX(scenariusz_I_konto,MATCH(ROUNDUP($T19/12,0),scenariusz_I_rok,0))</f>
        <v>1.4999999999999999E-2</v>
      </c>
      <c r="BJ19" s="48">
        <f t="shared" ref="BJ19:BJ50" si="39">BJ18*(1+BI19/12*(1-podatek_Belki))+BH19</f>
        <v>0</v>
      </c>
      <c r="BK19" s="48">
        <f t="shared" ref="BK19:BK50" si="40">BJ18*(1+BI19/12*(1-podatek_Belki))+BG19</f>
        <v>10000</v>
      </c>
      <c r="BL19" s="24"/>
      <c r="BM19" s="56">
        <f>zakup_domyslny_ilosc</f>
        <v>100</v>
      </c>
      <c r="BN19" s="48">
        <f>zakup_domyslny_wartosc</f>
        <v>10000</v>
      </c>
      <c r="BO19" s="48">
        <f>zakup_domyslny_wartosc</f>
        <v>10000</v>
      </c>
      <c r="BP19" s="48">
        <f>zakup_domyslny_wartosc</f>
        <v>10000</v>
      </c>
      <c r="BQ19" s="59">
        <f t="shared" ref="BQ19:BQ50" si="41">IF(AND(MOD($T19,zapadalnosc_ROD)&lt;=12,MOD($T19,zapadalnosc_ROD)&lt;&gt;0),proc_I_okres_ROD,(marza_ROD+$U19))</f>
        <v>0.02</v>
      </c>
      <c r="BR19" s="48">
        <f t="shared" ref="BR19:BR50" si="42">BP19*(1+BQ19*IF(MOD($T19,12)&lt;&gt;0,MOD($T19,12),12)/12)</f>
        <v>10016.666666666668</v>
      </c>
      <c r="BS19" s="48" t="str">
        <f t="shared" ref="BS19:BS50" si="43">IF(MOD($T19,zapadalnosc_ROD)=0,"tak","nie")</f>
        <v>nie</v>
      </c>
      <c r="BT19" s="48">
        <f t="shared" ref="BT19:BT50" si="44">IF(AND(MOD($T19,zapadalnosc_ROD)&lt;zapadalnosc_ROD,MOD($T19,zapadalnosc_ROD)&lt;&gt;0),MIN(BR19-BO19,BM19*koszt_wczesniejszy_wykup_ROD),0)</f>
        <v>16.666666666667879</v>
      </c>
      <c r="BU19" s="48">
        <f t="shared" ref="BU19:BU82" si="45">BR19-BT19
-(BR19-BO19-BT19)*podatek_Belki</f>
        <v>10000</v>
      </c>
      <c r="BV19" s="48">
        <f t="shared" ref="BV19:BV82" si="46">IF(AND(BS19="tak",BN20&lt;&gt;""),
 BU19-BN20,
0)</f>
        <v>0</v>
      </c>
      <c r="BW19" s="59">
        <f t="shared" ref="BW19:BW50" si="47">INDEX(scenariusz_I_konto,MATCH(ROUNDUP($T19/12,0),scenariusz_I_rok,0))</f>
        <v>1.4999999999999999E-2</v>
      </c>
      <c r="BX19" s="48">
        <f t="shared" ref="BX19:BX50" si="48">BX18*(1+BW19/12*(1-podatek_Belki))+BV19</f>
        <v>0</v>
      </c>
      <c r="BY19" s="48">
        <f t="shared" ref="BY19:BY50" si="49">BX18*(1+BW19/12*(1-podatek_Belki))+BU19</f>
        <v>10000</v>
      </c>
    </row>
    <row r="20" spans="1:77" s="25" customFormat="1" ht="21" customHeight="1">
      <c r="A20" s="24"/>
      <c r="B20" s="24"/>
      <c r="C20" s="47">
        <v>2</v>
      </c>
      <c r="D20" s="48">
        <f t="shared" si="7"/>
        <v>10515.636543731403</v>
      </c>
      <c r="E20" s="48">
        <f t="shared" si="8"/>
        <v>10469.962</v>
      </c>
      <c r="F20" s="48">
        <f t="shared" si="9"/>
        <v>10578.643749999999</v>
      </c>
      <c r="G20" s="49">
        <f t="shared" si="10"/>
        <v>10537.03</v>
      </c>
      <c r="H20" s="120">
        <f t="shared" si="11"/>
        <v>10245.850551904226</v>
      </c>
      <c r="I20" s="50">
        <f t="shared" si="12"/>
        <v>11025</v>
      </c>
      <c r="J20" s="24"/>
      <c r="K20" s="84"/>
      <c r="L20" s="47">
        <v>2</v>
      </c>
      <c r="M20" s="51">
        <f t="shared" si="1"/>
        <v>5.1563654373140366E-2</v>
      </c>
      <c r="N20" s="51">
        <f t="shared" si="2"/>
        <v>4.6996199999999932E-2</v>
      </c>
      <c r="O20" s="51">
        <f t="shared" si="3"/>
        <v>5.7864374999999857E-2</v>
      </c>
      <c r="P20" s="52">
        <f t="shared" si="4"/>
        <v>5.3703000000000056E-2</v>
      </c>
      <c r="Q20" s="122">
        <f t="shared" si="5"/>
        <v>2.4585055190422755E-2</v>
      </c>
      <c r="R20" s="53">
        <f t="shared" si="6"/>
        <v>0.10250000000000004</v>
      </c>
      <c r="S20" s="24"/>
      <c r="T20" s="45">
        <f t="shared" ref="T20:T83" si="50">T19+1</f>
        <v>2</v>
      </c>
      <c r="U20" s="58"/>
      <c r="V20" s="48">
        <f t="shared" si="13"/>
        <v>10083.333333333334</v>
      </c>
      <c r="W20" s="56">
        <f t="shared" ref="W20:W51" si="51">IF(AC19="tak",
ROUNDDOWN(AE19/zamiana_COI,0),
W19)</f>
        <v>100</v>
      </c>
      <c r="X20" s="48">
        <f t="shared" ref="X20:X51" si="52">IF(AC19="tak",
W20*zamiana_COI,
X19)</f>
        <v>10000</v>
      </c>
      <c r="Y20" s="48">
        <f>IF(AC19="tak",
W20*100,
Y19)</f>
        <v>10000</v>
      </c>
      <c r="Z20" s="48">
        <f t="shared" ref="Z20:Z83" si="53">Y20</f>
        <v>10000</v>
      </c>
      <c r="AA20" s="59">
        <f t="shared" si="14"/>
        <v>1.2999999999999999E-2</v>
      </c>
      <c r="AB20" s="48">
        <f t="shared" si="15"/>
        <v>10021.666666666666</v>
      </c>
      <c r="AC20" s="48" t="str">
        <f t="shared" si="16"/>
        <v>nie</v>
      </c>
      <c r="AD20" s="48">
        <f t="shared" si="17"/>
        <v>21.66666666666606</v>
      </c>
      <c r="AE20" s="48">
        <f t="shared" si="18"/>
        <v>10000</v>
      </c>
      <c r="AF20" s="48">
        <f t="shared" si="19"/>
        <v>0</v>
      </c>
      <c r="AG20" s="59">
        <f t="shared" si="20"/>
        <v>1.4999999999999999E-2</v>
      </c>
      <c r="AH20" s="48">
        <f t="shared" si="21"/>
        <v>0</v>
      </c>
      <c r="AI20" s="48">
        <f t="shared" si="22"/>
        <v>10000</v>
      </c>
      <c r="AJ20" s="24"/>
      <c r="AK20" s="56">
        <f t="shared" ref="AK20:AK51" si="54">IF(AQ19="tak",
ROUNDDOWN(AS19/zamiana_EDO,0),
AK19)</f>
        <v>100</v>
      </c>
      <c r="AL20" s="48">
        <f t="shared" ref="AL20:AL51" si="55">IF(AQ19="tak",
AK20*zamiana_EDO,
AL19)</f>
        <v>10000</v>
      </c>
      <c r="AM20" s="48">
        <f t="shared" ref="AM20:AM83" si="56">IF(AQ19="tak",
AK20*100,
AM19)</f>
        <v>10000</v>
      </c>
      <c r="AN20" s="48">
        <f t="shared" ref="AN20:AN51" si="57">IF(AQ19="tak",
 AM20,
IF(MOD($T20,kapitalizacja_odsetek_mc_EDO)&lt;&gt;1,AN19,AP19))</f>
        <v>10000</v>
      </c>
      <c r="AO20" s="59">
        <f t="shared" si="23"/>
        <v>1.7000000000000001E-2</v>
      </c>
      <c r="AP20" s="48">
        <f t="shared" si="24"/>
        <v>10028.333333333332</v>
      </c>
      <c r="AQ20" s="48" t="str">
        <f t="shared" si="25"/>
        <v>nie</v>
      </c>
      <c r="AR20" s="48">
        <f t="shared" si="26"/>
        <v>28.333333333332121</v>
      </c>
      <c r="AS20" s="48">
        <f t="shared" si="27"/>
        <v>10000</v>
      </c>
      <c r="AT20" s="48">
        <f t="shared" si="28"/>
        <v>0</v>
      </c>
      <c r="AU20" s="59">
        <f t="shared" si="29"/>
        <v>1.4999999999999999E-2</v>
      </c>
      <c r="AV20" s="48">
        <f t="shared" si="30"/>
        <v>0</v>
      </c>
      <c r="AW20" s="48">
        <f t="shared" si="31"/>
        <v>10000</v>
      </c>
      <c r="AY20" s="56">
        <f>IF(BE19="tak",
ROUNDDOWN(BG19/100,0),
AY19)</f>
        <v>100</v>
      </c>
      <c r="AZ20" s="48">
        <f>IF(BE19="tak",
AY20*100,
AZ19)</f>
        <v>10000</v>
      </c>
      <c r="BA20" s="48">
        <f t="shared" ref="BA20:BA83" si="58">IF(BE19="tak",
AY20*100,
BA19)</f>
        <v>10000</v>
      </c>
      <c r="BB20" s="48">
        <f t="shared" ref="BB20:BB51" si="59">IF(BE19="tak",
 BA20,
IF(MOD($T20,kapitalizacja_odsetek_mc_ROS)&lt;&gt;1,BB19,BD19))</f>
        <v>10000</v>
      </c>
      <c r="BC20" s="59">
        <f t="shared" si="32"/>
        <v>1.4999999999999999E-2</v>
      </c>
      <c r="BD20" s="48">
        <f>BB20*(1+BC20*IF(MOD($T20,12)&lt;&gt;0,MOD($T20,12),12)/12)</f>
        <v>10025</v>
      </c>
      <c r="BE20" s="48" t="str">
        <f t="shared" si="34"/>
        <v>nie</v>
      </c>
      <c r="BF20" s="48">
        <f t="shared" si="35"/>
        <v>25</v>
      </c>
      <c r="BG20" s="48">
        <f t="shared" si="36"/>
        <v>10000</v>
      </c>
      <c r="BH20" s="48">
        <f t="shared" si="37"/>
        <v>0</v>
      </c>
      <c r="BI20" s="59">
        <f t="shared" si="38"/>
        <v>1.4999999999999999E-2</v>
      </c>
      <c r="BJ20" s="48">
        <f t="shared" si="39"/>
        <v>0</v>
      </c>
      <c r="BK20" s="48">
        <f>BJ19*(1+BI20/12*(1-podatek_Belki))+BG20</f>
        <v>10000</v>
      </c>
      <c r="BL20" s="24"/>
      <c r="BM20" s="56">
        <f>IF(BS19="tak",
ROUNDDOWN(BU19/100,0),
BM19)</f>
        <v>100</v>
      </c>
      <c r="BN20" s="48">
        <f>IF(BS19="tak",
BM20*100,
BN19)</f>
        <v>10000</v>
      </c>
      <c r="BO20" s="48">
        <f t="shared" ref="BO20:BO83" si="60">IF(BS19="tak",
BM20*100,
BO19)</f>
        <v>10000</v>
      </c>
      <c r="BP20" s="48">
        <f t="shared" ref="BP20:BP51" si="61">IF(BS19="tak",
 BO20,
IF(MOD($T20,kapitalizacja_odsetek_mc_ROD)&lt;&gt;1,BP19,BR19))</f>
        <v>10000</v>
      </c>
      <c r="BQ20" s="59">
        <f t="shared" si="41"/>
        <v>0.02</v>
      </c>
      <c r="BR20" s="48">
        <f t="shared" si="42"/>
        <v>10033.333333333334</v>
      </c>
      <c r="BS20" s="48" t="str">
        <f t="shared" si="43"/>
        <v>nie</v>
      </c>
      <c r="BT20" s="48">
        <f t="shared" si="44"/>
        <v>33.33333333333394</v>
      </c>
      <c r="BU20" s="48">
        <f t="shared" si="45"/>
        <v>10000</v>
      </c>
      <c r="BV20" s="48">
        <f t="shared" si="46"/>
        <v>0</v>
      </c>
      <c r="BW20" s="59">
        <f t="shared" si="47"/>
        <v>1.4999999999999999E-2</v>
      </c>
      <c r="BX20" s="48">
        <f t="shared" si="48"/>
        <v>0</v>
      </c>
      <c r="BY20" s="48">
        <f t="shared" si="49"/>
        <v>10000</v>
      </c>
    </row>
    <row r="21" spans="1:77" s="25" customFormat="1" ht="21" customHeight="1">
      <c r="A21" s="24"/>
      <c r="B21" s="24"/>
      <c r="C21" s="47">
        <v>3</v>
      </c>
      <c r="D21" s="48">
        <f t="shared" si="7"/>
        <v>10988.379288200453</v>
      </c>
      <c r="E21" s="48">
        <f t="shared" si="8"/>
        <v>10993.879719999999</v>
      </c>
      <c r="F21" s="48">
        <f t="shared" si="9"/>
        <v>11124.602734374999</v>
      </c>
      <c r="G21" s="49">
        <f t="shared" si="10"/>
        <v>11108.96695</v>
      </c>
      <c r="H21" s="120">
        <f t="shared" si="11"/>
        <v>10371.033218575154</v>
      </c>
      <c r="I21" s="50">
        <f t="shared" si="12"/>
        <v>11576.250000000002</v>
      </c>
      <c r="J21" s="24"/>
      <c r="K21" s="84"/>
      <c r="L21" s="47">
        <v>3</v>
      </c>
      <c r="M21" s="51">
        <f t="shared" si="1"/>
        <v>9.8837928820045162E-2</v>
      </c>
      <c r="N21" s="51">
        <f t="shared" si="2"/>
        <v>9.9387971999999936E-2</v>
      </c>
      <c r="O21" s="51">
        <f t="shared" si="3"/>
        <v>0.11246027343749998</v>
      </c>
      <c r="P21" s="52">
        <f t="shared" si="4"/>
        <v>0.1108966950000001</v>
      </c>
      <c r="Q21" s="122">
        <f t="shared" si="5"/>
        <v>3.7103321857515414E-2</v>
      </c>
      <c r="R21" s="53">
        <f t="shared" si="6"/>
        <v>0.15762500000000013</v>
      </c>
      <c r="S21" s="24"/>
      <c r="T21" s="45">
        <f t="shared" si="50"/>
        <v>3</v>
      </c>
      <c r="U21" s="58"/>
      <c r="V21" s="48">
        <f t="shared" si="13"/>
        <v>10125</v>
      </c>
      <c r="W21" s="56">
        <f t="shared" si="51"/>
        <v>100</v>
      </c>
      <c r="X21" s="48">
        <f t="shared" si="52"/>
        <v>10000</v>
      </c>
      <c r="Y21" s="48">
        <f t="shared" ref="Y21:Y84" si="62">IF(AC20="tak",
W21*100,
Y20)</f>
        <v>10000</v>
      </c>
      <c r="Z21" s="48">
        <f t="shared" si="53"/>
        <v>10000</v>
      </c>
      <c r="AA21" s="59">
        <f t="shared" si="14"/>
        <v>1.2999999999999999E-2</v>
      </c>
      <c r="AB21" s="48">
        <f t="shared" si="15"/>
        <v>10032.5</v>
      </c>
      <c r="AC21" s="48" t="str">
        <f t="shared" si="16"/>
        <v>nie</v>
      </c>
      <c r="AD21" s="48">
        <f t="shared" si="17"/>
        <v>32.5</v>
      </c>
      <c r="AE21" s="48">
        <f t="shared" si="18"/>
        <v>10000</v>
      </c>
      <c r="AF21" s="48">
        <f t="shared" si="19"/>
        <v>0</v>
      </c>
      <c r="AG21" s="59">
        <f t="shared" si="20"/>
        <v>1.4999999999999999E-2</v>
      </c>
      <c r="AH21" s="48">
        <f t="shared" si="21"/>
        <v>0</v>
      </c>
      <c r="AI21" s="48">
        <f t="shared" si="22"/>
        <v>10000</v>
      </c>
      <c r="AJ21" s="24"/>
      <c r="AK21" s="56">
        <f t="shared" si="54"/>
        <v>100</v>
      </c>
      <c r="AL21" s="48">
        <f t="shared" si="55"/>
        <v>10000</v>
      </c>
      <c r="AM21" s="48">
        <f t="shared" si="56"/>
        <v>10000</v>
      </c>
      <c r="AN21" s="48">
        <f t="shared" si="57"/>
        <v>10000</v>
      </c>
      <c r="AO21" s="59">
        <f t="shared" si="23"/>
        <v>1.7000000000000001E-2</v>
      </c>
      <c r="AP21" s="48">
        <f t="shared" si="24"/>
        <v>10042.5</v>
      </c>
      <c r="AQ21" s="48" t="str">
        <f t="shared" si="25"/>
        <v>nie</v>
      </c>
      <c r="AR21" s="48">
        <f t="shared" si="26"/>
        <v>42.5</v>
      </c>
      <c r="AS21" s="48">
        <f t="shared" si="27"/>
        <v>10000</v>
      </c>
      <c r="AT21" s="48">
        <f t="shared" si="28"/>
        <v>0</v>
      </c>
      <c r="AU21" s="59">
        <f t="shared" si="29"/>
        <v>1.4999999999999999E-2</v>
      </c>
      <c r="AV21" s="48">
        <f t="shared" si="30"/>
        <v>0</v>
      </c>
      <c r="AW21" s="48">
        <f t="shared" si="31"/>
        <v>10000</v>
      </c>
      <c r="AY21" s="56">
        <f t="shared" ref="AY21:AY84" si="63">IF(BE20="tak",
ROUNDDOWN(BG20/100,0),
AY20)</f>
        <v>100</v>
      </c>
      <c r="AZ21" s="48">
        <f t="shared" ref="AZ21:AZ84" si="64">IF(BE20="tak",
AY21*100,
AZ20)</f>
        <v>10000</v>
      </c>
      <c r="BA21" s="48">
        <f t="shared" si="58"/>
        <v>10000</v>
      </c>
      <c r="BB21" s="48">
        <f>IF(BE20="tak",
 BA21,
IF(MOD($T21,kapitalizacja_odsetek_mc_ROS)&lt;&gt;1,BB20,BD20))</f>
        <v>10000</v>
      </c>
      <c r="BC21" s="59">
        <f t="shared" si="32"/>
        <v>1.4999999999999999E-2</v>
      </c>
      <c r="BD21" s="48">
        <f t="shared" si="33"/>
        <v>10037.5</v>
      </c>
      <c r="BE21" s="48" t="str">
        <f t="shared" si="34"/>
        <v>nie</v>
      </c>
      <c r="BF21" s="48">
        <f t="shared" si="35"/>
        <v>37.5</v>
      </c>
      <c r="BG21" s="48">
        <f t="shared" si="36"/>
        <v>10000</v>
      </c>
      <c r="BH21" s="48">
        <f t="shared" si="37"/>
        <v>0</v>
      </c>
      <c r="BI21" s="59">
        <f t="shared" si="38"/>
        <v>1.4999999999999999E-2</v>
      </c>
      <c r="BJ21" s="48">
        <f t="shared" si="39"/>
        <v>0</v>
      </c>
      <c r="BK21" s="48">
        <f t="shared" si="40"/>
        <v>10000</v>
      </c>
      <c r="BL21" s="24"/>
      <c r="BM21" s="56">
        <f t="shared" ref="BM21:BM84" si="65">IF(BS20="tak",
ROUNDDOWN(BU20/100,0),
BM20)</f>
        <v>100</v>
      </c>
      <c r="BN21" s="48">
        <f t="shared" ref="BN21:BN84" si="66">IF(BS20="tak",
BM21*100,
BN20)</f>
        <v>10000</v>
      </c>
      <c r="BO21" s="48">
        <f t="shared" si="60"/>
        <v>10000</v>
      </c>
      <c r="BP21" s="48">
        <f t="shared" si="61"/>
        <v>10000</v>
      </c>
      <c r="BQ21" s="59">
        <f t="shared" si="41"/>
        <v>0.02</v>
      </c>
      <c r="BR21" s="48">
        <f t="shared" si="42"/>
        <v>10049.999999999998</v>
      </c>
      <c r="BS21" s="48" t="str">
        <f t="shared" si="43"/>
        <v>nie</v>
      </c>
      <c r="BT21" s="48">
        <f t="shared" si="44"/>
        <v>49.999999999998181</v>
      </c>
      <c r="BU21" s="48">
        <f t="shared" si="45"/>
        <v>10000</v>
      </c>
      <c r="BV21" s="48">
        <f t="shared" si="46"/>
        <v>0</v>
      </c>
      <c r="BW21" s="59">
        <f t="shared" si="47"/>
        <v>1.4999999999999999E-2</v>
      </c>
      <c r="BX21" s="48">
        <f t="shared" si="48"/>
        <v>0</v>
      </c>
      <c r="BY21" s="48">
        <f t="shared" si="49"/>
        <v>10000</v>
      </c>
    </row>
    <row r="22" spans="1:77" s="25" customFormat="1" ht="21" customHeight="1">
      <c r="A22" s="24"/>
      <c r="B22" s="24"/>
      <c r="C22" s="47">
        <v>4</v>
      </c>
      <c r="D22" s="48">
        <f t="shared" si="7"/>
        <v>11523.59795113544</v>
      </c>
      <c r="E22" s="48">
        <f t="shared" si="8"/>
        <v>11549.232503199999</v>
      </c>
      <c r="F22" s="48">
        <f t="shared" si="9"/>
        <v>11704.684155273437</v>
      </c>
      <c r="G22" s="49">
        <f t="shared" si="10"/>
        <v>11718.079801749998</v>
      </c>
      <c r="H22" s="120">
        <f t="shared" si="11"/>
        <v>10497.745353195614</v>
      </c>
      <c r="I22" s="50">
        <f t="shared" si="12"/>
        <v>12155.062500000002</v>
      </c>
      <c r="J22" s="24"/>
      <c r="K22" s="84"/>
      <c r="L22" s="47">
        <v>4</v>
      </c>
      <c r="M22" s="51">
        <f t="shared" si="1"/>
        <v>0.15235979511354403</v>
      </c>
      <c r="N22" s="51">
        <f t="shared" si="2"/>
        <v>0.15492325031999998</v>
      </c>
      <c r="O22" s="51">
        <f t="shared" si="3"/>
        <v>0.17046841552734371</v>
      </c>
      <c r="P22" s="52">
        <f t="shared" si="4"/>
        <v>0.17180798017499987</v>
      </c>
      <c r="Q22" s="122">
        <f t="shared" si="5"/>
        <v>4.977453531956133E-2</v>
      </c>
      <c r="R22" s="53">
        <f t="shared" si="6"/>
        <v>0.21550625000000023</v>
      </c>
      <c r="S22" s="24"/>
      <c r="T22" s="45">
        <f t="shared" si="50"/>
        <v>4</v>
      </c>
      <c r="U22" s="58"/>
      <c r="V22" s="48">
        <f t="shared" si="13"/>
        <v>10166.666666666666</v>
      </c>
      <c r="W22" s="56">
        <f t="shared" si="51"/>
        <v>100</v>
      </c>
      <c r="X22" s="48">
        <f t="shared" si="52"/>
        <v>10000</v>
      </c>
      <c r="Y22" s="48">
        <f t="shared" si="62"/>
        <v>10000</v>
      </c>
      <c r="Z22" s="48">
        <f t="shared" si="53"/>
        <v>10000</v>
      </c>
      <c r="AA22" s="59">
        <f t="shared" si="14"/>
        <v>1.2999999999999999E-2</v>
      </c>
      <c r="AB22" s="48">
        <f t="shared" si="15"/>
        <v>10043.333333333332</v>
      </c>
      <c r="AC22" s="48" t="str">
        <f t="shared" si="16"/>
        <v>nie</v>
      </c>
      <c r="AD22" s="48">
        <f t="shared" si="17"/>
        <v>43.333333333332121</v>
      </c>
      <c r="AE22" s="48">
        <f t="shared" si="18"/>
        <v>10000</v>
      </c>
      <c r="AF22" s="48">
        <f t="shared" si="19"/>
        <v>0</v>
      </c>
      <c r="AG22" s="59">
        <f t="shared" si="20"/>
        <v>1.4999999999999999E-2</v>
      </c>
      <c r="AH22" s="48">
        <f t="shared" si="21"/>
        <v>0</v>
      </c>
      <c r="AI22" s="48">
        <f t="shared" si="22"/>
        <v>10000</v>
      </c>
      <c r="AJ22" s="24"/>
      <c r="AK22" s="56">
        <f t="shared" si="54"/>
        <v>100</v>
      </c>
      <c r="AL22" s="48">
        <f t="shared" si="55"/>
        <v>10000</v>
      </c>
      <c r="AM22" s="48">
        <f t="shared" si="56"/>
        <v>10000</v>
      </c>
      <c r="AN22" s="48">
        <f t="shared" si="57"/>
        <v>10000</v>
      </c>
      <c r="AO22" s="59">
        <f t="shared" si="23"/>
        <v>1.7000000000000001E-2</v>
      </c>
      <c r="AP22" s="48">
        <f t="shared" si="24"/>
        <v>10056.666666666668</v>
      </c>
      <c r="AQ22" s="48" t="str">
        <f t="shared" si="25"/>
        <v>nie</v>
      </c>
      <c r="AR22" s="48">
        <f t="shared" si="26"/>
        <v>56.666666666667879</v>
      </c>
      <c r="AS22" s="48">
        <f t="shared" si="27"/>
        <v>10000</v>
      </c>
      <c r="AT22" s="48">
        <f t="shared" si="28"/>
        <v>0</v>
      </c>
      <c r="AU22" s="59">
        <f t="shared" si="29"/>
        <v>1.4999999999999999E-2</v>
      </c>
      <c r="AV22" s="48">
        <f t="shared" si="30"/>
        <v>0</v>
      </c>
      <c r="AW22" s="48">
        <f t="shared" si="31"/>
        <v>10000</v>
      </c>
      <c r="AY22" s="56">
        <f t="shared" si="63"/>
        <v>100</v>
      </c>
      <c r="AZ22" s="48">
        <f t="shared" si="64"/>
        <v>10000</v>
      </c>
      <c r="BA22" s="48">
        <f t="shared" si="58"/>
        <v>10000</v>
      </c>
      <c r="BB22" s="48">
        <f t="shared" si="59"/>
        <v>10000</v>
      </c>
      <c r="BC22" s="59">
        <f t="shared" si="32"/>
        <v>1.4999999999999999E-2</v>
      </c>
      <c r="BD22" s="48">
        <f t="shared" si="33"/>
        <v>10049.999999999998</v>
      </c>
      <c r="BE22" s="48" t="str">
        <f t="shared" si="34"/>
        <v>nie</v>
      </c>
      <c r="BF22" s="48">
        <f t="shared" si="35"/>
        <v>49.999999999998181</v>
      </c>
      <c r="BG22" s="48">
        <f t="shared" si="36"/>
        <v>10000</v>
      </c>
      <c r="BH22" s="48">
        <f t="shared" si="37"/>
        <v>0</v>
      </c>
      <c r="BI22" s="59">
        <f t="shared" si="38"/>
        <v>1.4999999999999999E-2</v>
      </c>
      <c r="BJ22" s="48">
        <f t="shared" si="39"/>
        <v>0</v>
      </c>
      <c r="BK22" s="48">
        <f t="shared" si="40"/>
        <v>10000</v>
      </c>
      <c r="BL22" s="24"/>
      <c r="BM22" s="56">
        <f t="shared" si="65"/>
        <v>100</v>
      </c>
      <c r="BN22" s="48">
        <f t="shared" si="66"/>
        <v>10000</v>
      </c>
      <c r="BO22" s="48">
        <f t="shared" si="60"/>
        <v>10000</v>
      </c>
      <c r="BP22" s="48">
        <f t="shared" si="61"/>
        <v>10000</v>
      </c>
      <c r="BQ22" s="59">
        <f t="shared" si="41"/>
        <v>0.02</v>
      </c>
      <c r="BR22" s="48">
        <f t="shared" si="42"/>
        <v>10066.666666666666</v>
      </c>
      <c r="BS22" s="48" t="str">
        <f t="shared" si="43"/>
        <v>nie</v>
      </c>
      <c r="BT22" s="48">
        <f t="shared" si="44"/>
        <v>66.66666666666606</v>
      </c>
      <c r="BU22" s="48">
        <f t="shared" si="45"/>
        <v>10000</v>
      </c>
      <c r="BV22" s="48">
        <f t="shared" si="46"/>
        <v>0</v>
      </c>
      <c r="BW22" s="59">
        <f t="shared" si="47"/>
        <v>1.4999999999999999E-2</v>
      </c>
      <c r="BX22" s="48">
        <f t="shared" si="48"/>
        <v>0</v>
      </c>
      <c r="BY22" s="48">
        <f t="shared" si="49"/>
        <v>10000</v>
      </c>
    </row>
    <row r="23" spans="1:77" s="25" customFormat="1" ht="21" customHeight="1">
      <c r="A23" s="24"/>
      <c r="B23" s="24"/>
      <c r="C23" s="47">
        <v>5</v>
      </c>
      <c r="D23" s="48">
        <f t="shared" si="7"/>
        <v>11598.39701244083</v>
      </c>
      <c r="E23" s="48">
        <f t="shared" si="8"/>
        <v>12137.906453391999</v>
      </c>
      <c r="F23" s="48">
        <f t="shared" si="9"/>
        <v>12321.020664978027</v>
      </c>
      <c r="G23" s="49">
        <f t="shared" si="10"/>
        <v>12366.784988863748</v>
      </c>
      <c r="H23" s="120">
        <f t="shared" si="11"/>
        <v>10626.005642635531</v>
      </c>
      <c r="I23" s="50">
        <f t="shared" si="12"/>
        <v>12762.815625000003</v>
      </c>
      <c r="J23" s="24"/>
      <c r="K23" s="84"/>
      <c r="L23" s="47">
        <v>5</v>
      </c>
      <c r="M23" s="51">
        <f t="shared" si="1"/>
        <v>0.15983970124408287</v>
      </c>
      <c r="N23" s="51">
        <f t="shared" si="2"/>
        <v>0.2137906453392</v>
      </c>
      <c r="O23" s="51">
        <f t="shared" si="3"/>
        <v>0.23210206649780263</v>
      </c>
      <c r="P23" s="52">
        <f t="shared" si="4"/>
        <v>0.23667849888637482</v>
      </c>
      <c r="Q23" s="122">
        <f t="shared" si="5"/>
        <v>6.2600564263553204E-2</v>
      </c>
      <c r="R23" s="53">
        <f t="shared" si="6"/>
        <v>0.27628156250000035</v>
      </c>
      <c r="S23" s="24"/>
      <c r="T23" s="45">
        <f t="shared" si="50"/>
        <v>5</v>
      </c>
      <c r="U23" s="58"/>
      <c r="V23" s="48">
        <f t="shared" si="13"/>
        <v>10208.333333333332</v>
      </c>
      <c r="W23" s="56">
        <f t="shared" si="51"/>
        <v>100</v>
      </c>
      <c r="X23" s="48">
        <f t="shared" si="52"/>
        <v>10000</v>
      </c>
      <c r="Y23" s="48">
        <f t="shared" si="62"/>
        <v>10000</v>
      </c>
      <c r="Z23" s="48">
        <f t="shared" si="53"/>
        <v>10000</v>
      </c>
      <c r="AA23" s="59">
        <f t="shared" si="14"/>
        <v>1.2999999999999999E-2</v>
      </c>
      <c r="AB23" s="48">
        <f t="shared" si="15"/>
        <v>10054.166666666666</v>
      </c>
      <c r="AC23" s="48" t="str">
        <f t="shared" si="16"/>
        <v>nie</v>
      </c>
      <c r="AD23" s="48">
        <f t="shared" si="17"/>
        <v>54.16666666666606</v>
      </c>
      <c r="AE23" s="48">
        <f t="shared" si="18"/>
        <v>10000</v>
      </c>
      <c r="AF23" s="48">
        <f t="shared" si="19"/>
        <v>0</v>
      </c>
      <c r="AG23" s="59">
        <f t="shared" si="20"/>
        <v>1.4999999999999999E-2</v>
      </c>
      <c r="AH23" s="48">
        <f t="shared" si="21"/>
        <v>0</v>
      </c>
      <c r="AI23" s="48">
        <f t="shared" si="22"/>
        <v>10000</v>
      </c>
      <c r="AJ23" s="24"/>
      <c r="AK23" s="56">
        <f t="shared" si="54"/>
        <v>100</v>
      </c>
      <c r="AL23" s="48">
        <f t="shared" si="55"/>
        <v>10000</v>
      </c>
      <c r="AM23" s="48">
        <f t="shared" si="56"/>
        <v>10000</v>
      </c>
      <c r="AN23" s="48">
        <f t="shared" si="57"/>
        <v>10000</v>
      </c>
      <c r="AO23" s="59">
        <f t="shared" si="23"/>
        <v>1.7000000000000001E-2</v>
      </c>
      <c r="AP23" s="48">
        <f t="shared" si="24"/>
        <v>10070.833333333334</v>
      </c>
      <c r="AQ23" s="48" t="str">
        <f t="shared" si="25"/>
        <v>nie</v>
      </c>
      <c r="AR23" s="48">
        <f t="shared" si="26"/>
        <v>70.83333333333394</v>
      </c>
      <c r="AS23" s="48">
        <f t="shared" si="27"/>
        <v>10000</v>
      </c>
      <c r="AT23" s="48">
        <f t="shared" si="28"/>
        <v>0</v>
      </c>
      <c r="AU23" s="59">
        <f t="shared" si="29"/>
        <v>1.4999999999999999E-2</v>
      </c>
      <c r="AV23" s="48">
        <f t="shared" si="30"/>
        <v>0</v>
      </c>
      <c r="AW23" s="48">
        <f t="shared" si="31"/>
        <v>10000</v>
      </c>
      <c r="AY23" s="56">
        <f t="shared" si="63"/>
        <v>100</v>
      </c>
      <c r="AZ23" s="48">
        <f t="shared" si="64"/>
        <v>10000</v>
      </c>
      <c r="BA23" s="48">
        <f t="shared" si="58"/>
        <v>10000</v>
      </c>
      <c r="BB23" s="48">
        <f t="shared" si="59"/>
        <v>10000</v>
      </c>
      <c r="BC23" s="59">
        <f t="shared" si="32"/>
        <v>1.4999999999999999E-2</v>
      </c>
      <c r="BD23" s="48">
        <f t="shared" si="33"/>
        <v>10062.5</v>
      </c>
      <c r="BE23" s="48" t="str">
        <f t="shared" si="34"/>
        <v>nie</v>
      </c>
      <c r="BF23" s="48">
        <f t="shared" si="35"/>
        <v>62.5</v>
      </c>
      <c r="BG23" s="48">
        <f t="shared" si="36"/>
        <v>10000</v>
      </c>
      <c r="BH23" s="48">
        <f t="shared" si="37"/>
        <v>0</v>
      </c>
      <c r="BI23" s="59">
        <f t="shared" si="38"/>
        <v>1.4999999999999999E-2</v>
      </c>
      <c r="BJ23" s="48">
        <f t="shared" si="39"/>
        <v>0</v>
      </c>
      <c r="BK23" s="48">
        <f t="shared" si="40"/>
        <v>10000</v>
      </c>
      <c r="BL23" s="24"/>
      <c r="BM23" s="56">
        <f t="shared" si="65"/>
        <v>100</v>
      </c>
      <c r="BN23" s="48">
        <f t="shared" si="66"/>
        <v>10000</v>
      </c>
      <c r="BO23" s="48">
        <f t="shared" si="60"/>
        <v>10000</v>
      </c>
      <c r="BP23" s="48">
        <f t="shared" si="61"/>
        <v>10000</v>
      </c>
      <c r="BQ23" s="59">
        <f t="shared" si="41"/>
        <v>0.02</v>
      </c>
      <c r="BR23" s="48">
        <f t="shared" si="42"/>
        <v>10083.333333333334</v>
      </c>
      <c r="BS23" s="48" t="str">
        <f t="shared" si="43"/>
        <v>nie</v>
      </c>
      <c r="BT23" s="48">
        <f t="shared" si="44"/>
        <v>83.33333333333394</v>
      </c>
      <c r="BU23" s="48">
        <f t="shared" si="45"/>
        <v>10000</v>
      </c>
      <c r="BV23" s="48">
        <f t="shared" si="46"/>
        <v>0</v>
      </c>
      <c r="BW23" s="59">
        <f t="shared" si="47"/>
        <v>1.4999999999999999E-2</v>
      </c>
      <c r="BX23" s="48">
        <f t="shared" si="48"/>
        <v>0</v>
      </c>
      <c r="BY23" s="48">
        <f t="shared" si="49"/>
        <v>10000</v>
      </c>
    </row>
    <row r="24" spans="1:77" s="25" customFormat="1" ht="21" customHeight="1">
      <c r="A24" s="24"/>
      <c r="B24" s="24"/>
      <c r="C24" s="47">
        <v>6</v>
      </c>
      <c r="D24" s="48">
        <f t="shared" si="7"/>
        <v>12098.139358830591</v>
      </c>
      <c r="E24" s="48">
        <f t="shared" si="8"/>
        <v>12761.900840595521</v>
      </c>
      <c r="F24" s="48">
        <f t="shared" si="9"/>
        <v>13032.578206539152</v>
      </c>
      <c r="G24" s="49">
        <f t="shared" si="10"/>
        <v>13057.656013139891</v>
      </c>
      <c r="H24" s="120">
        <f t="shared" si="11"/>
        <v>10755.833002078933</v>
      </c>
      <c r="I24" s="50">
        <f t="shared" si="12"/>
        <v>13400.956406250005</v>
      </c>
      <c r="J24" s="24"/>
      <c r="K24" s="84"/>
      <c r="L24" s="47">
        <v>6</v>
      </c>
      <c r="M24" s="51">
        <f t="shared" si="1"/>
        <v>0.20981393588305908</v>
      </c>
      <c r="N24" s="51">
        <f t="shared" si="2"/>
        <v>0.27619008405955214</v>
      </c>
      <c r="O24" s="51">
        <f t="shared" si="3"/>
        <v>0.30325782065391516</v>
      </c>
      <c r="P24" s="52">
        <f t="shared" si="4"/>
        <v>0.30576560131398911</v>
      </c>
      <c r="Q24" s="122">
        <f t="shared" si="5"/>
        <v>7.5583300207893167E-2</v>
      </c>
      <c r="R24" s="53">
        <f t="shared" si="6"/>
        <v>0.34009564062500042</v>
      </c>
      <c r="S24" s="24"/>
      <c r="T24" s="45">
        <f t="shared" si="50"/>
        <v>6</v>
      </c>
      <c r="U24" s="58"/>
      <c r="V24" s="48">
        <f t="shared" si="13"/>
        <v>10250</v>
      </c>
      <c r="W24" s="56">
        <f t="shared" si="51"/>
        <v>100</v>
      </c>
      <c r="X24" s="48">
        <f t="shared" si="52"/>
        <v>10000</v>
      </c>
      <c r="Y24" s="48">
        <f t="shared" si="62"/>
        <v>10000</v>
      </c>
      <c r="Z24" s="48">
        <f t="shared" si="53"/>
        <v>10000</v>
      </c>
      <c r="AA24" s="59">
        <f t="shared" si="14"/>
        <v>1.2999999999999999E-2</v>
      </c>
      <c r="AB24" s="48">
        <f t="shared" si="15"/>
        <v>10065</v>
      </c>
      <c r="AC24" s="48" t="str">
        <f t="shared" si="16"/>
        <v>nie</v>
      </c>
      <c r="AD24" s="48">
        <f t="shared" si="17"/>
        <v>65</v>
      </c>
      <c r="AE24" s="48">
        <f t="shared" si="18"/>
        <v>10000</v>
      </c>
      <c r="AF24" s="48">
        <f t="shared" si="19"/>
        <v>0</v>
      </c>
      <c r="AG24" s="59">
        <f t="shared" si="20"/>
        <v>1.4999999999999999E-2</v>
      </c>
      <c r="AH24" s="48">
        <f t="shared" si="21"/>
        <v>0</v>
      </c>
      <c r="AI24" s="48">
        <f t="shared" si="22"/>
        <v>10000</v>
      </c>
      <c r="AJ24" s="24"/>
      <c r="AK24" s="56">
        <f t="shared" si="54"/>
        <v>100</v>
      </c>
      <c r="AL24" s="48">
        <f t="shared" si="55"/>
        <v>10000</v>
      </c>
      <c r="AM24" s="48">
        <f t="shared" si="56"/>
        <v>10000</v>
      </c>
      <c r="AN24" s="48">
        <f t="shared" si="57"/>
        <v>10000</v>
      </c>
      <c r="AO24" s="59">
        <f t="shared" si="23"/>
        <v>1.7000000000000001E-2</v>
      </c>
      <c r="AP24" s="48">
        <f t="shared" si="24"/>
        <v>10085</v>
      </c>
      <c r="AQ24" s="48" t="str">
        <f t="shared" si="25"/>
        <v>nie</v>
      </c>
      <c r="AR24" s="48">
        <f t="shared" si="26"/>
        <v>85</v>
      </c>
      <c r="AS24" s="48">
        <f t="shared" si="27"/>
        <v>10000</v>
      </c>
      <c r="AT24" s="48">
        <f t="shared" si="28"/>
        <v>0</v>
      </c>
      <c r="AU24" s="59">
        <f t="shared" si="29"/>
        <v>1.4999999999999999E-2</v>
      </c>
      <c r="AV24" s="48">
        <f t="shared" si="30"/>
        <v>0</v>
      </c>
      <c r="AW24" s="48">
        <f t="shared" si="31"/>
        <v>10000</v>
      </c>
      <c r="AY24" s="56">
        <f t="shared" si="63"/>
        <v>100</v>
      </c>
      <c r="AZ24" s="48">
        <f t="shared" si="64"/>
        <v>10000</v>
      </c>
      <c r="BA24" s="48">
        <f t="shared" si="58"/>
        <v>10000</v>
      </c>
      <c r="BB24" s="48">
        <f t="shared" si="59"/>
        <v>10000</v>
      </c>
      <c r="BC24" s="59">
        <f t="shared" si="32"/>
        <v>1.4999999999999999E-2</v>
      </c>
      <c r="BD24" s="48">
        <f t="shared" si="33"/>
        <v>10075</v>
      </c>
      <c r="BE24" s="48" t="str">
        <f t="shared" si="34"/>
        <v>nie</v>
      </c>
      <c r="BF24" s="48">
        <f t="shared" si="35"/>
        <v>70</v>
      </c>
      <c r="BG24" s="48">
        <f t="shared" si="36"/>
        <v>10004.049999999999</v>
      </c>
      <c r="BH24" s="48">
        <f t="shared" si="37"/>
        <v>0</v>
      </c>
      <c r="BI24" s="59">
        <f t="shared" si="38"/>
        <v>1.4999999999999999E-2</v>
      </c>
      <c r="BJ24" s="48">
        <f t="shared" si="39"/>
        <v>0</v>
      </c>
      <c r="BK24" s="48">
        <f t="shared" si="40"/>
        <v>10004.049999999999</v>
      </c>
      <c r="BL24" s="24"/>
      <c r="BM24" s="56">
        <f t="shared" si="65"/>
        <v>100</v>
      </c>
      <c r="BN24" s="48">
        <f t="shared" si="66"/>
        <v>10000</v>
      </c>
      <c r="BO24" s="48">
        <f t="shared" si="60"/>
        <v>10000</v>
      </c>
      <c r="BP24" s="48">
        <f t="shared" si="61"/>
        <v>10000</v>
      </c>
      <c r="BQ24" s="59">
        <f t="shared" si="41"/>
        <v>0.02</v>
      </c>
      <c r="BR24" s="48">
        <f t="shared" si="42"/>
        <v>10100</v>
      </c>
      <c r="BS24" s="48" t="str">
        <f t="shared" si="43"/>
        <v>nie</v>
      </c>
      <c r="BT24" s="48">
        <f t="shared" si="44"/>
        <v>100</v>
      </c>
      <c r="BU24" s="48">
        <f t="shared" si="45"/>
        <v>10000</v>
      </c>
      <c r="BV24" s="48">
        <f t="shared" si="46"/>
        <v>0</v>
      </c>
      <c r="BW24" s="59">
        <f t="shared" si="47"/>
        <v>1.4999999999999999E-2</v>
      </c>
      <c r="BX24" s="48">
        <f t="shared" si="48"/>
        <v>0</v>
      </c>
      <c r="BY24" s="48">
        <f t="shared" si="49"/>
        <v>10000</v>
      </c>
    </row>
    <row r="25" spans="1:77" s="25" customFormat="1" ht="21" customHeight="1">
      <c r="A25" s="24"/>
      <c r="B25" s="24"/>
      <c r="C25" s="47">
        <v>7</v>
      </c>
      <c r="D25" s="48">
        <f t="shared" si="7"/>
        <v>12603.987501830654</v>
      </c>
      <c r="E25" s="48">
        <f t="shared" si="8"/>
        <v>13423.334891031252</v>
      </c>
      <c r="F25" s="48">
        <f t="shared" si="9"/>
        <v>13117.21624345656</v>
      </c>
      <c r="G25" s="49">
        <f t="shared" si="10"/>
        <v>13793.433653993983</v>
      </c>
      <c r="H25" s="120">
        <f t="shared" si="11"/>
        <v>10887.246577813468</v>
      </c>
      <c r="I25" s="50">
        <f t="shared" si="12"/>
        <v>14071.004226562505</v>
      </c>
      <c r="J25" s="24"/>
      <c r="K25" s="84"/>
      <c r="L25" s="47">
        <v>7</v>
      </c>
      <c r="M25" s="51">
        <f t="shared" si="1"/>
        <v>0.26039875018306535</v>
      </c>
      <c r="N25" s="51">
        <f t="shared" si="2"/>
        <v>0.34233348910312533</v>
      </c>
      <c r="O25" s="51">
        <f t="shared" si="3"/>
        <v>0.31172162434565598</v>
      </c>
      <c r="P25" s="52">
        <f t="shared" si="4"/>
        <v>0.37934336539939828</v>
      </c>
      <c r="Q25" s="122">
        <f t="shared" si="5"/>
        <v>8.872465778134675E-2</v>
      </c>
      <c r="R25" s="53">
        <f t="shared" si="6"/>
        <v>0.40710042265625046</v>
      </c>
      <c r="S25" s="24"/>
      <c r="T25" s="45">
        <f t="shared" si="50"/>
        <v>7</v>
      </c>
      <c r="U25" s="58"/>
      <c r="V25" s="48">
        <f t="shared" si="13"/>
        <v>10291.666666666666</v>
      </c>
      <c r="W25" s="56">
        <f t="shared" si="51"/>
        <v>100</v>
      </c>
      <c r="X25" s="48">
        <f t="shared" si="52"/>
        <v>10000</v>
      </c>
      <c r="Y25" s="48">
        <f t="shared" si="62"/>
        <v>10000</v>
      </c>
      <c r="Z25" s="48">
        <f t="shared" si="53"/>
        <v>10000</v>
      </c>
      <c r="AA25" s="59">
        <f t="shared" si="14"/>
        <v>1.2999999999999999E-2</v>
      </c>
      <c r="AB25" s="48">
        <f t="shared" si="15"/>
        <v>10075.833333333332</v>
      </c>
      <c r="AC25" s="48" t="str">
        <f t="shared" si="16"/>
        <v>nie</v>
      </c>
      <c r="AD25" s="48">
        <f t="shared" si="17"/>
        <v>70</v>
      </c>
      <c r="AE25" s="48">
        <f t="shared" si="18"/>
        <v>10004.724999999999</v>
      </c>
      <c r="AF25" s="48">
        <f t="shared" si="19"/>
        <v>0</v>
      </c>
      <c r="AG25" s="59">
        <f t="shared" si="20"/>
        <v>1.4999999999999999E-2</v>
      </c>
      <c r="AH25" s="48">
        <f t="shared" si="21"/>
        <v>0</v>
      </c>
      <c r="AI25" s="48">
        <f t="shared" si="22"/>
        <v>10004.724999999999</v>
      </c>
      <c r="AJ25" s="24"/>
      <c r="AK25" s="56">
        <f t="shared" si="54"/>
        <v>100</v>
      </c>
      <c r="AL25" s="48">
        <f t="shared" si="55"/>
        <v>10000</v>
      </c>
      <c r="AM25" s="48">
        <f t="shared" si="56"/>
        <v>10000</v>
      </c>
      <c r="AN25" s="48">
        <f t="shared" si="57"/>
        <v>10000</v>
      </c>
      <c r="AO25" s="59">
        <f t="shared" si="23"/>
        <v>1.7000000000000001E-2</v>
      </c>
      <c r="AP25" s="48">
        <f t="shared" si="24"/>
        <v>10099.166666666666</v>
      </c>
      <c r="AQ25" s="48" t="str">
        <f t="shared" si="25"/>
        <v>nie</v>
      </c>
      <c r="AR25" s="48">
        <f t="shared" si="26"/>
        <v>99.16666666666606</v>
      </c>
      <c r="AS25" s="48">
        <f t="shared" si="27"/>
        <v>10000</v>
      </c>
      <c r="AT25" s="48">
        <f t="shared" si="28"/>
        <v>0</v>
      </c>
      <c r="AU25" s="59">
        <f t="shared" si="29"/>
        <v>1.4999999999999999E-2</v>
      </c>
      <c r="AV25" s="48">
        <f t="shared" si="30"/>
        <v>0</v>
      </c>
      <c r="AW25" s="48">
        <f t="shared" si="31"/>
        <v>10000</v>
      </c>
      <c r="AY25" s="56">
        <f t="shared" si="63"/>
        <v>100</v>
      </c>
      <c r="AZ25" s="48">
        <f t="shared" si="64"/>
        <v>10000</v>
      </c>
      <c r="BA25" s="48">
        <f t="shared" si="58"/>
        <v>10000</v>
      </c>
      <c r="BB25" s="48">
        <f t="shared" si="59"/>
        <v>10000</v>
      </c>
      <c r="BC25" s="59">
        <f t="shared" si="32"/>
        <v>1.4999999999999999E-2</v>
      </c>
      <c r="BD25" s="48">
        <f t="shared" si="33"/>
        <v>10087.5</v>
      </c>
      <c r="BE25" s="48" t="str">
        <f t="shared" si="34"/>
        <v>nie</v>
      </c>
      <c r="BF25" s="48">
        <f t="shared" si="35"/>
        <v>70</v>
      </c>
      <c r="BG25" s="48">
        <f t="shared" si="36"/>
        <v>10014.174999999999</v>
      </c>
      <c r="BH25" s="48">
        <f t="shared" si="37"/>
        <v>0</v>
      </c>
      <c r="BI25" s="59">
        <f t="shared" si="38"/>
        <v>1.4999999999999999E-2</v>
      </c>
      <c r="BJ25" s="48">
        <f t="shared" si="39"/>
        <v>0</v>
      </c>
      <c r="BK25" s="48">
        <f t="shared" si="40"/>
        <v>10014.174999999999</v>
      </c>
      <c r="BL25" s="24"/>
      <c r="BM25" s="56">
        <f t="shared" si="65"/>
        <v>100</v>
      </c>
      <c r="BN25" s="48">
        <f t="shared" si="66"/>
        <v>10000</v>
      </c>
      <c r="BO25" s="48">
        <f t="shared" si="60"/>
        <v>10000</v>
      </c>
      <c r="BP25" s="48">
        <f t="shared" si="61"/>
        <v>10000</v>
      </c>
      <c r="BQ25" s="59">
        <f t="shared" si="41"/>
        <v>0.02</v>
      </c>
      <c r="BR25" s="48">
        <f t="shared" si="42"/>
        <v>10116.666666666668</v>
      </c>
      <c r="BS25" s="48" t="str">
        <f t="shared" si="43"/>
        <v>nie</v>
      </c>
      <c r="BT25" s="48">
        <f t="shared" si="44"/>
        <v>116.66666666666788</v>
      </c>
      <c r="BU25" s="48">
        <f t="shared" si="45"/>
        <v>10000</v>
      </c>
      <c r="BV25" s="48">
        <f t="shared" si="46"/>
        <v>0</v>
      </c>
      <c r="BW25" s="59">
        <f t="shared" si="47"/>
        <v>1.4999999999999999E-2</v>
      </c>
      <c r="BX25" s="48">
        <f t="shared" si="48"/>
        <v>0</v>
      </c>
      <c r="BY25" s="48">
        <f t="shared" si="49"/>
        <v>10000</v>
      </c>
    </row>
    <row r="26" spans="1:77" s="25" customFormat="1" ht="21" customHeight="1">
      <c r="A26" s="24"/>
      <c r="B26" s="24"/>
      <c r="C26" s="47">
        <v>8</v>
      </c>
      <c r="D26" s="48">
        <f t="shared" si="7"/>
        <v>13174.984041387397</v>
      </c>
      <c r="E26" s="48">
        <f t="shared" si="8"/>
        <v>14124.454984493128</v>
      </c>
      <c r="F26" s="48">
        <f t="shared" si="9"/>
        <v>13785.616018544921</v>
      </c>
      <c r="G26" s="49">
        <f t="shared" si="10"/>
        <v>14577.036841503592</v>
      </c>
      <c r="H26" s="120">
        <f t="shared" si="11"/>
        <v>11020.265750054012</v>
      </c>
      <c r="I26" s="50">
        <f t="shared" si="12"/>
        <v>14774.554437890631</v>
      </c>
      <c r="J26" s="24"/>
      <c r="K26" s="84"/>
      <c r="L26" s="47">
        <v>8</v>
      </c>
      <c r="M26" s="51">
        <f t="shared" si="1"/>
        <v>0.31749840413873964</v>
      </c>
      <c r="N26" s="51">
        <f t="shared" si="2"/>
        <v>0.41244549844931289</v>
      </c>
      <c r="O26" s="51">
        <f t="shared" si="3"/>
        <v>0.37856160185449217</v>
      </c>
      <c r="P26" s="52">
        <f t="shared" si="4"/>
        <v>0.45770368415035922</v>
      </c>
      <c r="Q26" s="122">
        <f t="shared" si="5"/>
        <v>0.10202657500540124</v>
      </c>
      <c r="R26" s="53">
        <f t="shared" si="6"/>
        <v>0.47745544378906302</v>
      </c>
      <c r="S26" s="24"/>
      <c r="T26" s="45">
        <f t="shared" si="50"/>
        <v>8</v>
      </c>
      <c r="U26" s="58"/>
      <c r="V26" s="48">
        <f t="shared" si="13"/>
        <v>10333.333333333334</v>
      </c>
      <c r="W26" s="56">
        <f t="shared" si="51"/>
        <v>100</v>
      </c>
      <c r="X26" s="48">
        <f t="shared" si="52"/>
        <v>10000</v>
      </c>
      <c r="Y26" s="48">
        <f t="shared" si="62"/>
        <v>10000</v>
      </c>
      <c r="Z26" s="48">
        <f t="shared" si="53"/>
        <v>10000</v>
      </c>
      <c r="AA26" s="59">
        <f t="shared" si="14"/>
        <v>1.2999999999999999E-2</v>
      </c>
      <c r="AB26" s="48">
        <f t="shared" si="15"/>
        <v>10086.666666666666</v>
      </c>
      <c r="AC26" s="48" t="str">
        <f t="shared" si="16"/>
        <v>nie</v>
      </c>
      <c r="AD26" s="48">
        <f t="shared" si="17"/>
        <v>70</v>
      </c>
      <c r="AE26" s="48">
        <f t="shared" si="18"/>
        <v>10013.5</v>
      </c>
      <c r="AF26" s="48">
        <f t="shared" si="19"/>
        <v>0</v>
      </c>
      <c r="AG26" s="59">
        <f t="shared" si="20"/>
        <v>1.4999999999999999E-2</v>
      </c>
      <c r="AH26" s="48">
        <f t="shared" si="21"/>
        <v>0</v>
      </c>
      <c r="AI26" s="48">
        <f t="shared" si="22"/>
        <v>10013.5</v>
      </c>
      <c r="AJ26" s="24"/>
      <c r="AK26" s="56">
        <f t="shared" si="54"/>
        <v>100</v>
      </c>
      <c r="AL26" s="48">
        <f t="shared" si="55"/>
        <v>10000</v>
      </c>
      <c r="AM26" s="48">
        <f t="shared" si="56"/>
        <v>10000</v>
      </c>
      <c r="AN26" s="48">
        <f t="shared" si="57"/>
        <v>10000</v>
      </c>
      <c r="AO26" s="59">
        <f t="shared" si="23"/>
        <v>1.7000000000000001E-2</v>
      </c>
      <c r="AP26" s="48">
        <f t="shared" si="24"/>
        <v>10113.333333333334</v>
      </c>
      <c r="AQ26" s="48" t="str">
        <f t="shared" si="25"/>
        <v>nie</v>
      </c>
      <c r="AR26" s="48">
        <f t="shared" si="26"/>
        <v>113.33333333333394</v>
      </c>
      <c r="AS26" s="48">
        <f t="shared" si="27"/>
        <v>10000</v>
      </c>
      <c r="AT26" s="48">
        <f t="shared" si="28"/>
        <v>0</v>
      </c>
      <c r="AU26" s="59">
        <f t="shared" si="29"/>
        <v>1.4999999999999999E-2</v>
      </c>
      <c r="AV26" s="48">
        <f t="shared" si="30"/>
        <v>0</v>
      </c>
      <c r="AW26" s="48">
        <f t="shared" si="31"/>
        <v>10000</v>
      </c>
      <c r="AY26" s="56">
        <f t="shared" si="63"/>
        <v>100</v>
      </c>
      <c r="AZ26" s="48">
        <f t="shared" si="64"/>
        <v>10000</v>
      </c>
      <c r="BA26" s="48">
        <f t="shared" si="58"/>
        <v>10000</v>
      </c>
      <c r="BB26" s="48">
        <f t="shared" si="59"/>
        <v>10000</v>
      </c>
      <c r="BC26" s="59">
        <f t="shared" si="32"/>
        <v>1.4999999999999999E-2</v>
      </c>
      <c r="BD26" s="48">
        <f t="shared" si="33"/>
        <v>10100</v>
      </c>
      <c r="BE26" s="48" t="str">
        <f t="shared" si="34"/>
        <v>nie</v>
      </c>
      <c r="BF26" s="48">
        <f t="shared" si="35"/>
        <v>70</v>
      </c>
      <c r="BG26" s="48">
        <f t="shared" si="36"/>
        <v>10024.299999999999</v>
      </c>
      <c r="BH26" s="48">
        <f t="shared" si="37"/>
        <v>0</v>
      </c>
      <c r="BI26" s="59">
        <f t="shared" si="38"/>
        <v>1.4999999999999999E-2</v>
      </c>
      <c r="BJ26" s="48">
        <f t="shared" si="39"/>
        <v>0</v>
      </c>
      <c r="BK26" s="48">
        <f t="shared" si="40"/>
        <v>10024.299999999999</v>
      </c>
      <c r="BL26" s="24"/>
      <c r="BM26" s="56">
        <f t="shared" si="65"/>
        <v>100</v>
      </c>
      <c r="BN26" s="48">
        <f t="shared" si="66"/>
        <v>10000</v>
      </c>
      <c r="BO26" s="48">
        <f t="shared" si="60"/>
        <v>10000</v>
      </c>
      <c r="BP26" s="48">
        <f t="shared" si="61"/>
        <v>10000</v>
      </c>
      <c r="BQ26" s="59">
        <f t="shared" si="41"/>
        <v>0.02</v>
      </c>
      <c r="BR26" s="48">
        <f t="shared" si="42"/>
        <v>10133.333333333334</v>
      </c>
      <c r="BS26" s="48" t="str">
        <f t="shared" si="43"/>
        <v>nie</v>
      </c>
      <c r="BT26" s="48">
        <f t="shared" si="44"/>
        <v>133.33333333333394</v>
      </c>
      <c r="BU26" s="48">
        <f t="shared" si="45"/>
        <v>10000</v>
      </c>
      <c r="BV26" s="48">
        <f t="shared" si="46"/>
        <v>0</v>
      </c>
      <c r="BW26" s="59">
        <f t="shared" si="47"/>
        <v>1.4999999999999999E-2</v>
      </c>
      <c r="BX26" s="48">
        <f t="shared" si="48"/>
        <v>0</v>
      </c>
      <c r="BY26" s="48">
        <f t="shared" si="49"/>
        <v>10000</v>
      </c>
    </row>
    <row r="27" spans="1:77" s="25" customFormat="1" ht="21" customHeight="1" thickBot="1">
      <c r="A27" s="24"/>
      <c r="B27" s="24"/>
      <c r="C27" s="133">
        <v>9</v>
      </c>
      <c r="D27" s="134">
        <f t="shared" si="7"/>
        <v>13267.42128642946</v>
      </c>
      <c r="E27" s="134">
        <f t="shared" si="8"/>
        <v>14867.642283562716</v>
      </c>
      <c r="F27" s="134">
        <f t="shared" si="9"/>
        <v>14495.770520909413</v>
      </c>
      <c r="G27" s="135">
        <f t="shared" si="10"/>
        <v>15411.574236201326</v>
      </c>
      <c r="H27" s="136">
        <f t="shared" si="11"/>
        <v>11154.910135800752</v>
      </c>
      <c r="I27" s="137">
        <f t="shared" si="12"/>
        <v>15513.282159785162</v>
      </c>
      <c r="J27" s="24"/>
      <c r="K27" s="84"/>
      <c r="L27" s="133">
        <v>9</v>
      </c>
      <c r="M27" s="140">
        <f t="shared" si="1"/>
        <v>0.32674212864294594</v>
      </c>
      <c r="N27" s="140">
        <f t="shared" si="2"/>
        <v>0.48676422835627164</v>
      </c>
      <c r="O27" s="140">
        <f t="shared" si="3"/>
        <v>0.44957705209094123</v>
      </c>
      <c r="P27" s="141">
        <f t="shared" si="4"/>
        <v>0.54115742362013264</v>
      </c>
      <c r="Q27" s="142">
        <f t="shared" si="5"/>
        <v>0.1154910135800753</v>
      </c>
      <c r="R27" s="143">
        <f t="shared" si="6"/>
        <v>0.55132821597851622</v>
      </c>
      <c r="S27" s="24"/>
      <c r="T27" s="45">
        <f t="shared" si="50"/>
        <v>9</v>
      </c>
      <c r="U27" s="58"/>
      <c r="V27" s="48">
        <f t="shared" si="13"/>
        <v>10375</v>
      </c>
      <c r="W27" s="56">
        <f t="shared" si="51"/>
        <v>100</v>
      </c>
      <c r="X27" s="48">
        <f t="shared" si="52"/>
        <v>10000</v>
      </c>
      <c r="Y27" s="48">
        <f t="shared" si="62"/>
        <v>10000</v>
      </c>
      <c r="Z27" s="48">
        <f t="shared" si="53"/>
        <v>10000</v>
      </c>
      <c r="AA27" s="59">
        <f t="shared" si="14"/>
        <v>1.2999999999999999E-2</v>
      </c>
      <c r="AB27" s="48">
        <f t="shared" si="15"/>
        <v>10097.5</v>
      </c>
      <c r="AC27" s="48" t="str">
        <f t="shared" si="16"/>
        <v>nie</v>
      </c>
      <c r="AD27" s="48">
        <f t="shared" si="17"/>
        <v>70</v>
      </c>
      <c r="AE27" s="48">
        <f t="shared" si="18"/>
        <v>10022.275</v>
      </c>
      <c r="AF27" s="48">
        <f t="shared" si="19"/>
        <v>0</v>
      </c>
      <c r="AG27" s="59">
        <f t="shared" si="20"/>
        <v>1.4999999999999999E-2</v>
      </c>
      <c r="AH27" s="48">
        <f t="shared" si="21"/>
        <v>0</v>
      </c>
      <c r="AI27" s="48">
        <f t="shared" si="22"/>
        <v>10022.275</v>
      </c>
      <c r="AJ27" s="24"/>
      <c r="AK27" s="56">
        <f t="shared" si="54"/>
        <v>100</v>
      </c>
      <c r="AL27" s="48">
        <f t="shared" si="55"/>
        <v>10000</v>
      </c>
      <c r="AM27" s="48">
        <f t="shared" si="56"/>
        <v>10000</v>
      </c>
      <c r="AN27" s="48">
        <f t="shared" si="57"/>
        <v>10000</v>
      </c>
      <c r="AO27" s="59">
        <f t="shared" si="23"/>
        <v>1.7000000000000001E-2</v>
      </c>
      <c r="AP27" s="48">
        <f t="shared" si="24"/>
        <v>10127.5</v>
      </c>
      <c r="AQ27" s="48" t="str">
        <f t="shared" si="25"/>
        <v>nie</v>
      </c>
      <c r="AR27" s="48">
        <f t="shared" si="26"/>
        <v>127.5</v>
      </c>
      <c r="AS27" s="48">
        <f t="shared" si="27"/>
        <v>10000</v>
      </c>
      <c r="AT27" s="48">
        <f t="shared" si="28"/>
        <v>0</v>
      </c>
      <c r="AU27" s="59">
        <f t="shared" si="29"/>
        <v>1.4999999999999999E-2</v>
      </c>
      <c r="AV27" s="48">
        <f t="shared" si="30"/>
        <v>0</v>
      </c>
      <c r="AW27" s="48">
        <f t="shared" si="31"/>
        <v>10000</v>
      </c>
      <c r="AY27" s="56">
        <f t="shared" si="63"/>
        <v>100</v>
      </c>
      <c r="AZ27" s="48">
        <f t="shared" si="64"/>
        <v>10000</v>
      </c>
      <c r="BA27" s="48">
        <f t="shared" si="58"/>
        <v>10000</v>
      </c>
      <c r="BB27" s="48">
        <f t="shared" si="59"/>
        <v>10000</v>
      </c>
      <c r="BC27" s="59">
        <f t="shared" si="32"/>
        <v>1.4999999999999999E-2</v>
      </c>
      <c r="BD27" s="48">
        <f t="shared" si="33"/>
        <v>10112.5</v>
      </c>
      <c r="BE27" s="48" t="str">
        <f t="shared" si="34"/>
        <v>nie</v>
      </c>
      <c r="BF27" s="48">
        <f t="shared" si="35"/>
        <v>70</v>
      </c>
      <c r="BG27" s="48">
        <f t="shared" si="36"/>
        <v>10034.424999999999</v>
      </c>
      <c r="BH27" s="48">
        <f t="shared" si="37"/>
        <v>0</v>
      </c>
      <c r="BI27" s="59">
        <f t="shared" si="38"/>
        <v>1.4999999999999999E-2</v>
      </c>
      <c r="BJ27" s="48">
        <f t="shared" si="39"/>
        <v>0</v>
      </c>
      <c r="BK27" s="48">
        <f t="shared" si="40"/>
        <v>10034.424999999999</v>
      </c>
      <c r="BL27" s="24"/>
      <c r="BM27" s="56">
        <f t="shared" si="65"/>
        <v>100</v>
      </c>
      <c r="BN27" s="48">
        <f t="shared" si="66"/>
        <v>10000</v>
      </c>
      <c r="BO27" s="48">
        <f t="shared" si="60"/>
        <v>10000</v>
      </c>
      <c r="BP27" s="48">
        <f t="shared" si="61"/>
        <v>10000</v>
      </c>
      <c r="BQ27" s="59">
        <f t="shared" si="41"/>
        <v>0.02</v>
      </c>
      <c r="BR27" s="48">
        <f t="shared" si="42"/>
        <v>10149.999999999998</v>
      </c>
      <c r="BS27" s="48" t="str">
        <f t="shared" si="43"/>
        <v>nie</v>
      </c>
      <c r="BT27" s="48">
        <f t="shared" si="44"/>
        <v>149.99999999999818</v>
      </c>
      <c r="BU27" s="48">
        <f t="shared" si="45"/>
        <v>10000</v>
      </c>
      <c r="BV27" s="48">
        <f t="shared" si="46"/>
        <v>0</v>
      </c>
      <c r="BW27" s="59">
        <f t="shared" si="47"/>
        <v>1.4999999999999999E-2</v>
      </c>
      <c r="BX27" s="48">
        <f t="shared" si="48"/>
        <v>0</v>
      </c>
      <c r="BY27" s="48">
        <f t="shared" si="49"/>
        <v>10000</v>
      </c>
    </row>
    <row r="28" spans="1:77" s="25" customFormat="1" ht="21" customHeight="1" thickBot="1">
      <c r="A28" s="161" t="s">
        <v>74</v>
      </c>
      <c r="B28" s="24"/>
      <c r="C28" s="145">
        <v>10</v>
      </c>
      <c r="D28" s="146">
        <f t="shared" si="7"/>
        <v>13801.326140947254</v>
      </c>
      <c r="E28" s="146">
        <f t="shared" si="8"/>
        <v>15817.420820576481</v>
      </c>
      <c r="F28" s="146">
        <f t="shared" si="9"/>
        <v>15250.289173486652</v>
      </c>
      <c r="G28" s="146">
        <f t="shared" si="10"/>
        <v>16300.356561554412</v>
      </c>
      <c r="H28" s="147">
        <f t="shared" si="11"/>
        <v>11291.199591732213</v>
      </c>
      <c r="I28" s="148">
        <f t="shared" si="12"/>
        <v>16288.94626777442</v>
      </c>
      <c r="J28" s="24"/>
      <c r="K28" s="84"/>
      <c r="L28" s="145">
        <v>10</v>
      </c>
      <c r="M28" s="149">
        <f t="shared" si="1"/>
        <v>0.38013261409472543</v>
      </c>
      <c r="N28" s="149">
        <f t="shared" si="2"/>
        <v>0.58174208205764799</v>
      </c>
      <c r="O28" s="149">
        <f t="shared" si="3"/>
        <v>0.52502891734866508</v>
      </c>
      <c r="P28" s="149">
        <f t="shared" si="4"/>
        <v>0.63003565615544121</v>
      </c>
      <c r="Q28" s="150">
        <f t="shared" si="5"/>
        <v>0.12911995917322128</v>
      </c>
      <c r="R28" s="151">
        <f t="shared" si="6"/>
        <v>0.62889462677744201</v>
      </c>
      <c r="S28" s="24"/>
      <c r="T28" s="45">
        <f t="shared" si="50"/>
        <v>10</v>
      </c>
      <c r="U28" s="58"/>
      <c r="V28" s="48">
        <f t="shared" si="13"/>
        <v>10416.666666666668</v>
      </c>
      <c r="W28" s="56">
        <f t="shared" si="51"/>
        <v>100</v>
      </c>
      <c r="X28" s="48">
        <f t="shared" si="52"/>
        <v>10000</v>
      </c>
      <c r="Y28" s="48">
        <f t="shared" si="62"/>
        <v>10000</v>
      </c>
      <c r="Z28" s="48">
        <f t="shared" si="53"/>
        <v>10000</v>
      </c>
      <c r="AA28" s="59">
        <f t="shared" si="14"/>
        <v>1.2999999999999999E-2</v>
      </c>
      <c r="AB28" s="48">
        <f t="shared" si="15"/>
        <v>10108.333333333332</v>
      </c>
      <c r="AC28" s="48" t="str">
        <f t="shared" si="16"/>
        <v>nie</v>
      </c>
      <c r="AD28" s="48">
        <f t="shared" si="17"/>
        <v>70</v>
      </c>
      <c r="AE28" s="48">
        <f t="shared" si="18"/>
        <v>10031.049999999999</v>
      </c>
      <c r="AF28" s="48">
        <f t="shared" si="19"/>
        <v>0</v>
      </c>
      <c r="AG28" s="59">
        <f t="shared" si="20"/>
        <v>1.4999999999999999E-2</v>
      </c>
      <c r="AH28" s="48">
        <f t="shared" si="21"/>
        <v>0</v>
      </c>
      <c r="AI28" s="48">
        <f t="shared" si="22"/>
        <v>10031.049999999999</v>
      </c>
      <c r="AJ28" s="24"/>
      <c r="AK28" s="56">
        <f t="shared" si="54"/>
        <v>100</v>
      </c>
      <c r="AL28" s="48">
        <f t="shared" si="55"/>
        <v>10000</v>
      </c>
      <c r="AM28" s="48">
        <f t="shared" si="56"/>
        <v>10000</v>
      </c>
      <c r="AN28" s="48">
        <f t="shared" si="57"/>
        <v>10000</v>
      </c>
      <c r="AO28" s="59">
        <f t="shared" si="23"/>
        <v>1.7000000000000001E-2</v>
      </c>
      <c r="AP28" s="48">
        <f t="shared" si="24"/>
        <v>10141.666666666666</v>
      </c>
      <c r="AQ28" s="48" t="str">
        <f t="shared" si="25"/>
        <v>nie</v>
      </c>
      <c r="AR28" s="48">
        <f t="shared" si="26"/>
        <v>141.66666666666606</v>
      </c>
      <c r="AS28" s="48">
        <f t="shared" si="27"/>
        <v>10000</v>
      </c>
      <c r="AT28" s="48">
        <f t="shared" si="28"/>
        <v>0</v>
      </c>
      <c r="AU28" s="59">
        <f t="shared" si="29"/>
        <v>1.4999999999999999E-2</v>
      </c>
      <c r="AV28" s="48">
        <f t="shared" si="30"/>
        <v>0</v>
      </c>
      <c r="AW28" s="48">
        <f t="shared" si="31"/>
        <v>10000</v>
      </c>
      <c r="AY28" s="56">
        <f t="shared" si="63"/>
        <v>100</v>
      </c>
      <c r="AZ28" s="48">
        <f t="shared" si="64"/>
        <v>10000</v>
      </c>
      <c r="BA28" s="48">
        <f t="shared" si="58"/>
        <v>10000</v>
      </c>
      <c r="BB28" s="48">
        <f t="shared" si="59"/>
        <v>10000</v>
      </c>
      <c r="BC28" s="59">
        <f t="shared" si="32"/>
        <v>1.4999999999999999E-2</v>
      </c>
      <c r="BD28" s="48">
        <f t="shared" si="33"/>
        <v>10125</v>
      </c>
      <c r="BE28" s="48" t="str">
        <f t="shared" si="34"/>
        <v>nie</v>
      </c>
      <c r="BF28" s="48">
        <f t="shared" si="35"/>
        <v>70</v>
      </c>
      <c r="BG28" s="48">
        <f t="shared" si="36"/>
        <v>10044.549999999999</v>
      </c>
      <c r="BH28" s="48">
        <f t="shared" si="37"/>
        <v>0</v>
      </c>
      <c r="BI28" s="59">
        <f t="shared" si="38"/>
        <v>1.4999999999999999E-2</v>
      </c>
      <c r="BJ28" s="48">
        <f t="shared" si="39"/>
        <v>0</v>
      </c>
      <c r="BK28" s="48">
        <f t="shared" si="40"/>
        <v>10044.549999999999</v>
      </c>
      <c r="BL28" s="24"/>
      <c r="BM28" s="56">
        <f t="shared" si="65"/>
        <v>100</v>
      </c>
      <c r="BN28" s="48">
        <f t="shared" si="66"/>
        <v>10000</v>
      </c>
      <c r="BO28" s="48">
        <f t="shared" si="60"/>
        <v>10000</v>
      </c>
      <c r="BP28" s="48">
        <f t="shared" si="61"/>
        <v>10000</v>
      </c>
      <c r="BQ28" s="59">
        <f t="shared" si="41"/>
        <v>0.02</v>
      </c>
      <c r="BR28" s="48">
        <f t="shared" si="42"/>
        <v>10166.666666666666</v>
      </c>
      <c r="BS28" s="48" t="str">
        <f t="shared" si="43"/>
        <v>nie</v>
      </c>
      <c r="BT28" s="48">
        <f t="shared" si="44"/>
        <v>166.66666666666606</v>
      </c>
      <c r="BU28" s="48">
        <f t="shared" si="45"/>
        <v>10000</v>
      </c>
      <c r="BV28" s="48">
        <f t="shared" si="46"/>
        <v>0</v>
      </c>
      <c r="BW28" s="59">
        <f t="shared" si="47"/>
        <v>1.4999999999999999E-2</v>
      </c>
      <c r="BX28" s="48">
        <f t="shared" si="48"/>
        <v>0</v>
      </c>
      <c r="BY28" s="48">
        <f t="shared" si="49"/>
        <v>10000</v>
      </c>
    </row>
    <row r="29" spans="1:77" s="25" customFormat="1" ht="21" customHeight="1">
      <c r="A29" s="161"/>
      <c r="B29" s="24"/>
      <c r="C29" s="138">
        <v>11</v>
      </c>
      <c r="D29" s="49">
        <f t="shared" si="7"/>
        <v>14341.75418581401</v>
      </c>
      <c r="E29" s="49">
        <f t="shared" si="8"/>
        <v>15833.626708880989</v>
      </c>
      <c r="F29" s="49">
        <f t="shared" si="9"/>
        <v>16051.944485122631</v>
      </c>
      <c r="G29" s="49">
        <f t="shared" si="10"/>
        <v>17246.909738055449</v>
      </c>
      <c r="H29" s="120">
        <f t="shared" si="11"/>
        <v>11429.154217133617</v>
      </c>
      <c r="I29" s="139">
        <f t="shared" si="12"/>
        <v>17103.393581163142</v>
      </c>
      <c r="J29" s="24"/>
      <c r="K29" s="84"/>
      <c r="L29" s="138">
        <v>11</v>
      </c>
      <c r="M29" s="52">
        <f t="shared" si="1"/>
        <v>0.43417541858140107</v>
      </c>
      <c r="N29" s="52">
        <f t="shared" si="2"/>
        <v>0.58336267088809901</v>
      </c>
      <c r="O29" s="52">
        <f t="shared" si="3"/>
        <v>0.60519444851226312</v>
      </c>
      <c r="P29" s="52">
        <f t="shared" si="4"/>
        <v>0.72469097380554492</v>
      </c>
      <c r="Q29" s="122">
        <f t="shared" si="5"/>
        <v>0.14291542171336169</v>
      </c>
      <c r="R29" s="144">
        <f t="shared" si="6"/>
        <v>0.71033935811631421</v>
      </c>
      <c r="S29" s="24"/>
      <c r="T29" s="45">
        <f t="shared" si="50"/>
        <v>11</v>
      </c>
      <c r="U29" s="58"/>
      <c r="V29" s="48">
        <f t="shared" si="13"/>
        <v>10458.333333333334</v>
      </c>
      <c r="W29" s="56">
        <f t="shared" si="51"/>
        <v>100</v>
      </c>
      <c r="X29" s="48">
        <f t="shared" si="52"/>
        <v>10000</v>
      </c>
      <c r="Y29" s="48">
        <f t="shared" si="62"/>
        <v>10000</v>
      </c>
      <c r="Z29" s="48">
        <f t="shared" si="53"/>
        <v>10000</v>
      </c>
      <c r="AA29" s="59">
        <f t="shared" si="14"/>
        <v>1.2999999999999999E-2</v>
      </c>
      <c r="AB29" s="48">
        <f t="shared" si="15"/>
        <v>10119.166666666666</v>
      </c>
      <c r="AC29" s="48" t="str">
        <f t="shared" si="16"/>
        <v>nie</v>
      </c>
      <c r="AD29" s="48">
        <f t="shared" si="17"/>
        <v>70</v>
      </c>
      <c r="AE29" s="48">
        <f t="shared" si="18"/>
        <v>10039.824999999999</v>
      </c>
      <c r="AF29" s="48">
        <f t="shared" si="19"/>
        <v>0</v>
      </c>
      <c r="AG29" s="59">
        <f t="shared" si="20"/>
        <v>1.4999999999999999E-2</v>
      </c>
      <c r="AH29" s="48">
        <f t="shared" si="21"/>
        <v>0</v>
      </c>
      <c r="AI29" s="48">
        <f t="shared" si="22"/>
        <v>10039.824999999999</v>
      </c>
      <c r="AJ29" s="24"/>
      <c r="AK29" s="56">
        <f t="shared" si="54"/>
        <v>100</v>
      </c>
      <c r="AL29" s="48">
        <f t="shared" si="55"/>
        <v>10000</v>
      </c>
      <c r="AM29" s="48">
        <f t="shared" si="56"/>
        <v>10000</v>
      </c>
      <c r="AN29" s="48">
        <f t="shared" si="57"/>
        <v>10000</v>
      </c>
      <c r="AO29" s="59">
        <f t="shared" si="23"/>
        <v>1.7000000000000001E-2</v>
      </c>
      <c r="AP29" s="48">
        <f t="shared" si="24"/>
        <v>10155.833333333332</v>
      </c>
      <c r="AQ29" s="48" t="str">
        <f t="shared" si="25"/>
        <v>nie</v>
      </c>
      <c r="AR29" s="48">
        <f t="shared" si="26"/>
        <v>155.83333333333212</v>
      </c>
      <c r="AS29" s="48">
        <f t="shared" si="27"/>
        <v>10000</v>
      </c>
      <c r="AT29" s="48">
        <f t="shared" si="28"/>
        <v>0</v>
      </c>
      <c r="AU29" s="59">
        <f t="shared" si="29"/>
        <v>1.4999999999999999E-2</v>
      </c>
      <c r="AV29" s="48">
        <f t="shared" si="30"/>
        <v>0</v>
      </c>
      <c r="AW29" s="48">
        <f t="shared" si="31"/>
        <v>10000</v>
      </c>
      <c r="AY29" s="56">
        <f t="shared" si="63"/>
        <v>100</v>
      </c>
      <c r="AZ29" s="48">
        <f t="shared" si="64"/>
        <v>10000</v>
      </c>
      <c r="BA29" s="48">
        <f t="shared" si="58"/>
        <v>10000</v>
      </c>
      <c r="BB29" s="48">
        <f t="shared" si="59"/>
        <v>10000</v>
      </c>
      <c r="BC29" s="59">
        <f t="shared" si="32"/>
        <v>1.4999999999999999E-2</v>
      </c>
      <c r="BD29" s="48">
        <f t="shared" si="33"/>
        <v>10137.5</v>
      </c>
      <c r="BE29" s="48" t="str">
        <f t="shared" si="34"/>
        <v>nie</v>
      </c>
      <c r="BF29" s="48">
        <f t="shared" si="35"/>
        <v>70</v>
      </c>
      <c r="BG29" s="48">
        <f t="shared" si="36"/>
        <v>10054.674999999999</v>
      </c>
      <c r="BH29" s="48">
        <f t="shared" si="37"/>
        <v>0</v>
      </c>
      <c r="BI29" s="59">
        <f t="shared" si="38"/>
        <v>1.4999999999999999E-2</v>
      </c>
      <c r="BJ29" s="48">
        <f t="shared" si="39"/>
        <v>0</v>
      </c>
      <c r="BK29" s="48">
        <f t="shared" si="40"/>
        <v>10054.674999999999</v>
      </c>
      <c r="BL29" s="24"/>
      <c r="BM29" s="56">
        <f t="shared" si="65"/>
        <v>100</v>
      </c>
      <c r="BN29" s="48">
        <f t="shared" si="66"/>
        <v>10000</v>
      </c>
      <c r="BO29" s="48">
        <f t="shared" si="60"/>
        <v>10000</v>
      </c>
      <c r="BP29" s="48">
        <f t="shared" si="61"/>
        <v>10000</v>
      </c>
      <c r="BQ29" s="59">
        <f t="shared" si="41"/>
        <v>0.02</v>
      </c>
      <c r="BR29" s="48">
        <f t="shared" si="42"/>
        <v>10183.333333333334</v>
      </c>
      <c r="BS29" s="48" t="str">
        <f t="shared" si="43"/>
        <v>nie</v>
      </c>
      <c r="BT29" s="48">
        <f t="shared" si="44"/>
        <v>183.33333333333394</v>
      </c>
      <c r="BU29" s="48">
        <f t="shared" si="45"/>
        <v>10000</v>
      </c>
      <c r="BV29" s="48">
        <f t="shared" si="46"/>
        <v>0</v>
      </c>
      <c r="BW29" s="59">
        <f t="shared" si="47"/>
        <v>1.4999999999999999E-2</v>
      </c>
      <c r="BX29" s="48">
        <f t="shared" si="48"/>
        <v>0</v>
      </c>
      <c r="BY29" s="48">
        <f t="shared" si="49"/>
        <v>10000</v>
      </c>
    </row>
    <row r="30" spans="1:77" s="25" customFormat="1" ht="21" customHeight="1" thickBot="1">
      <c r="A30" s="161"/>
      <c r="B30" s="73"/>
      <c r="C30" s="60">
        <v>12</v>
      </c>
      <c r="D30" s="91">
        <f t="shared" si="7"/>
        <v>14950.021120646561</v>
      </c>
      <c r="E30" s="91">
        <f t="shared" si="8"/>
        <v>16576.577516283825</v>
      </c>
      <c r="F30" s="91">
        <f t="shared" si="9"/>
        <v>16977.392243405135</v>
      </c>
      <c r="G30" s="92">
        <f t="shared" si="10"/>
        <v>18416.988871029054</v>
      </c>
      <c r="H30" s="120">
        <f t="shared" si="11"/>
        <v>11568.794356861026</v>
      </c>
      <c r="I30" s="93">
        <f t="shared" si="12"/>
        <v>17958.563260221301</v>
      </c>
      <c r="J30" s="24"/>
      <c r="K30" s="84"/>
      <c r="L30" s="60">
        <v>12</v>
      </c>
      <c r="M30" s="61">
        <f t="shared" si="1"/>
        <v>0.49500211206465616</v>
      </c>
      <c r="N30" s="61">
        <f t="shared" si="2"/>
        <v>0.65765775162838258</v>
      </c>
      <c r="O30" s="61">
        <f t="shared" si="3"/>
        <v>0.69773922434051339</v>
      </c>
      <c r="P30" s="62">
        <f t="shared" si="4"/>
        <v>0.84169888710290541</v>
      </c>
      <c r="Q30" s="123">
        <f t="shared" si="5"/>
        <v>0.15687943568610252</v>
      </c>
      <c r="R30" s="63">
        <f t="shared" si="6"/>
        <v>0.79585632602213008</v>
      </c>
      <c r="S30" s="24"/>
      <c r="T30" s="45">
        <f t="shared" si="50"/>
        <v>12</v>
      </c>
      <c r="U30" s="58"/>
      <c r="V30" s="48">
        <f t="shared" si="13"/>
        <v>10500</v>
      </c>
      <c r="W30" s="56">
        <f t="shared" si="51"/>
        <v>100</v>
      </c>
      <c r="X30" s="48">
        <f t="shared" si="52"/>
        <v>10000</v>
      </c>
      <c r="Y30" s="48">
        <f t="shared" si="62"/>
        <v>10000</v>
      </c>
      <c r="Z30" s="48">
        <f t="shared" si="53"/>
        <v>10000</v>
      </c>
      <c r="AA30" s="59">
        <f t="shared" si="14"/>
        <v>1.2999999999999999E-2</v>
      </c>
      <c r="AB30" s="48">
        <f t="shared" si="15"/>
        <v>10129.999999999998</v>
      </c>
      <c r="AC30" s="48" t="str">
        <f t="shared" si="16"/>
        <v>nie</v>
      </c>
      <c r="AD30" s="48">
        <f t="shared" si="17"/>
        <v>70</v>
      </c>
      <c r="AE30" s="48">
        <f t="shared" si="18"/>
        <v>10048.599999999999</v>
      </c>
      <c r="AF30" s="48">
        <f t="shared" si="19"/>
        <v>105.29999999999853</v>
      </c>
      <c r="AG30" s="59">
        <f t="shared" si="20"/>
        <v>1.4999999999999999E-2</v>
      </c>
      <c r="AH30" s="48">
        <f t="shared" si="21"/>
        <v>105.29999999999853</v>
      </c>
      <c r="AI30" s="48">
        <f t="shared" si="22"/>
        <v>10048.599999999999</v>
      </c>
      <c r="AJ30" s="24"/>
      <c r="AK30" s="56">
        <f t="shared" si="54"/>
        <v>100</v>
      </c>
      <c r="AL30" s="48">
        <f t="shared" si="55"/>
        <v>10000</v>
      </c>
      <c r="AM30" s="48">
        <f t="shared" si="56"/>
        <v>10000</v>
      </c>
      <c r="AN30" s="48">
        <f t="shared" si="57"/>
        <v>10000</v>
      </c>
      <c r="AO30" s="59">
        <f t="shared" si="23"/>
        <v>1.7000000000000001E-2</v>
      </c>
      <c r="AP30" s="48">
        <f t="shared" si="24"/>
        <v>10169.999999999998</v>
      </c>
      <c r="AQ30" s="48" t="str">
        <f t="shared" si="25"/>
        <v>nie</v>
      </c>
      <c r="AR30" s="48">
        <f t="shared" si="26"/>
        <v>169.99999999999818</v>
      </c>
      <c r="AS30" s="48">
        <f t="shared" si="27"/>
        <v>10000</v>
      </c>
      <c r="AT30" s="48">
        <f t="shared" si="28"/>
        <v>0</v>
      </c>
      <c r="AU30" s="59">
        <f t="shared" si="29"/>
        <v>1.4999999999999999E-2</v>
      </c>
      <c r="AV30" s="48">
        <f t="shared" si="30"/>
        <v>0</v>
      </c>
      <c r="AW30" s="48">
        <f t="shared" si="31"/>
        <v>10000</v>
      </c>
      <c r="AY30" s="56">
        <f t="shared" si="63"/>
        <v>100</v>
      </c>
      <c r="AZ30" s="48">
        <f t="shared" si="64"/>
        <v>10000</v>
      </c>
      <c r="BA30" s="48">
        <f t="shared" si="58"/>
        <v>10000</v>
      </c>
      <c r="BB30" s="48">
        <f t="shared" si="59"/>
        <v>10000</v>
      </c>
      <c r="BC30" s="59">
        <f t="shared" si="32"/>
        <v>1.4999999999999999E-2</v>
      </c>
      <c r="BD30" s="48">
        <f t="shared" si="33"/>
        <v>10149.999999999998</v>
      </c>
      <c r="BE30" s="48" t="str">
        <f t="shared" si="34"/>
        <v>nie</v>
      </c>
      <c r="BF30" s="48">
        <f t="shared" si="35"/>
        <v>70</v>
      </c>
      <c r="BG30" s="48">
        <f t="shared" si="36"/>
        <v>10064.799999999999</v>
      </c>
      <c r="BH30" s="48">
        <f t="shared" si="37"/>
        <v>0</v>
      </c>
      <c r="BI30" s="59">
        <f t="shared" si="38"/>
        <v>1.4999999999999999E-2</v>
      </c>
      <c r="BJ30" s="48">
        <f t="shared" si="39"/>
        <v>0</v>
      </c>
      <c r="BK30" s="48">
        <f t="shared" si="40"/>
        <v>10064.799999999999</v>
      </c>
      <c r="BL30" s="24"/>
      <c r="BM30" s="56">
        <f t="shared" si="65"/>
        <v>100</v>
      </c>
      <c r="BN30" s="48">
        <f t="shared" si="66"/>
        <v>10000</v>
      </c>
      <c r="BO30" s="48">
        <f t="shared" si="60"/>
        <v>10000</v>
      </c>
      <c r="BP30" s="48">
        <f t="shared" si="61"/>
        <v>10000</v>
      </c>
      <c r="BQ30" s="59">
        <f t="shared" si="41"/>
        <v>0.02</v>
      </c>
      <c r="BR30" s="48">
        <f t="shared" si="42"/>
        <v>10200</v>
      </c>
      <c r="BS30" s="48" t="str">
        <f t="shared" si="43"/>
        <v>nie</v>
      </c>
      <c r="BT30" s="48">
        <f t="shared" si="44"/>
        <v>200</v>
      </c>
      <c r="BU30" s="48">
        <f t="shared" si="45"/>
        <v>10000</v>
      </c>
      <c r="BV30" s="48">
        <f t="shared" si="46"/>
        <v>0</v>
      </c>
      <c r="BW30" s="59">
        <f t="shared" si="47"/>
        <v>1.4999999999999999E-2</v>
      </c>
      <c r="BX30" s="48">
        <f t="shared" si="48"/>
        <v>0</v>
      </c>
      <c r="BY30" s="48">
        <f t="shared" si="49"/>
        <v>10000</v>
      </c>
    </row>
    <row r="31" spans="1:77" ht="21" customHeight="1" thickBot="1">
      <c r="A31" s="161"/>
      <c r="C31" s="94">
        <v>48</v>
      </c>
      <c r="D31" s="130">
        <f>INDEX(wyniki_COI_I,MATCH(zakup_domyslny_mc,wyniki_mc,0))</f>
        <v>11523.59795113544</v>
      </c>
      <c r="E31" s="130">
        <f>INDEX(wyniki_EDO_I,MATCH(zakup_domyslny_mc,wyniki_mc,0))</f>
        <v>11549.232503199999</v>
      </c>
      <c r="F31" s="130">
        <f>INDEX(wyniki_ROS_I,MATCH(zakup_domyslny_mc,wyniki_mc,0))</f>
        <v>11704.684155273437</v>
      </c>
      <c r="G31" s="130">
        <f>INDEX(wyniki_ROD_I,MATCH(zakup_domyslny_mc,wyniki_mc,0))</f>
        <v>11718.079801749998</v>
      </c>
      <c r="H31" s="131">
        <f>INDEX(H34:H178,MATCH(zakup_domyslny_mc,C34:C178,0))</f>
        <v>10497.745353195629</v>
      </c>
      <c r="I31" s="132">
        <f>INDEX(wyniki_skumulowana_inflacja,MATCH(zakup_domyslny_mc,wyniki_mc,0))</f>
        <v>12155.062500000002</v>
      </c>
      <c r="K31" s="84"/>
      <c r="L31" s="112">
        <f>zakup_domyslny_mc</f>
        <v>48</v>
      </c>
      <c r="M31" s="96">
        <f t="shared" si="1"/>
        <v>0.15235979511354403</v>
      </c>
      <c r="N31" s="96">
        <f t="shared" si="2"/>
        <v>0.15492325031999998</v>
      </c>
      <c r="O31" s="96">
        <f t="shared" si="3"/>
        <v>0.17046841552734371</v>
      </c>
      <c r="P31" s="96">
        <f t="shared" si="4"/>
        <v>0.17180798017499987</v>
      </c>
      <c r="Q31" s="96">
        <f t="shared" si="5"/>
        <v>4.9774535319562885E-2</v>
      </c>
      <c r="R31" s="97">
        <f t="shared" si="6"/>
        <v>0.21550625000000023</v>
      </c>
      <c r="T31" s="78">
        <f t="shared" si="50"/>
        <v>13</v>
      </c>
      <c r="U31" s="79">
        <f t="shared" ref="U31:U62" si="67">MAX(INDEX(scenariusz_I_inflacja,MATCH(ROUNDUP(T31/12,0)-1,scenariusz_I_rok,0)),0)</f>
        <v>0.05</v>
      </c>
      <c r="V31" s="80">
        <f t="shared" si="13"/>
        <v>10543.75</v>
      </c>
      <c r="W31" s="56">
        <f t="shared" si="51"/>
        <v>100</v>
      </c>
      <c r="X31" s="80">
        <f t="shared" si="52"/>
        <v>10000</v>
      </c>
      <c r="Y31" s="80">
        <f t="shared" si="62"/>
        <v>10000</v>
      </c>
      <c r="Z31" s="80">
        <f t="shared" si="53"/>
        <v>10000</v>
      </c>
      <c r="AA31" s="79">
        <f t="shared" si="14"/>
        <v>5.7500000000000002E-2</v>
      </c>
      <c r="AB31" s="80">
        <f t="shared" si="15"/>
        <v>10047.916666666668</v>
      </c>
      <c r="AC31" s="80" t="str">
        <f t="shared" si="16"/>
        <v>nie</v>
      </c>
      <c r="AD31" s="80">
        <f>IF(MOD($T31,zapadalnosc_COI)=0,0,
IF(AND(MOD($T31,zapadalnosc_COI)&lt;zapadalnosc_COI,MOD($T31,zapadalnosc_COI)&lt;=12),
MIN(AB31-Y31,W31*koszt_wczesniejszy_wykup_COI),W31*koszt_wczesniejszy_wykup_COI))</f>
        <v>70</v>
      </c>
      <c r="AE31" s="80">
        <f>AB31-AD31
-(AB31-Y31-AD31)*podatek_Belki</f>
        <v>9982.1125000000011</v>
      </c>
      <c r="AF31" s="80">
        <f t="shared" si="19"/>
        <v>0</v>
      </c>
      <c r="AG31" s="79">
        <f t="shared" si="20"/>
        <v>1.4999999999999999E-2</v>
      </c>
      <c r="AH31" s="80">
        <f t="shared" si="21"/>
        <v>105.40661624999854</v>
      </c>
      <c r="AI31" s="80">
        <f>AH30*(1+AG31/12*(1-podatek_Belki))+AE31</f>
        <v>10087.51911625</v>
      </c>
      <c r="AK31" s="81">
        <f t="shared" si="54"/>
        <v>100</v>
      </c>
      <c r="AL31" s="80">
        <f t="shared" si="55"/>
        <v>10000</v>
      </c>
      <c r="AM31" s="80">
        <f t="shared" si="56"/>
        <v>10000</v>
      </c>
      <c r="AN31" s="80">
        <f t="shared" si="57"/>
        <v>10169.999999999998</v>
      </c>
      <c r="AO31" s="79">
        <f t="shared" si="23"/>
        <v>6.0000000000000005E-2</v>
      </c>
      <c r="AP31" s="80">
        <f t="shared" si="24"/>
        <v>10220.849999999997</v>
      </c>
      <c r="AQ31" s="80" t="str">
        <f t="shared" si="25"/>
        <v>nie</v>
      </c>
      <c r="AR31" s="80">
        <f t="shared" si="26"/>
        <v>200</v>
      </c>
      <c r="AS31" s="80">
        <f t="shared" si="27"/>
        <v>10016.888499999997</v>
      </c>
      <c r="AT31" s="80">
        <f t="shared" si="28"/>
        <v>0</v>
      </c>
      <c r="AU31" s="79">
        <f t="shared" si="29"/>
        <v>1.4999999999999999E-2</v>
      </c>
      <c r="AV31" s="80">
        <f t="shared" si="30"/>
        <v>0</v>
      </c>
      <c r="AW31" s="80">
        <f t="shared" si="31"/>
        <v>10016.888499999997</v>
      </c>
      <c r="AY31" s="81">
        <f t="shared" si="63"/>
        <v>100</v>
      </c>
      <c r="AZ31" s="80">
        <f t="shared" si="64"/>
        <v>10000</v>
      </c>
      <c r="BA31" s="80">
        <f t="shared" si="58"/>
        <v>10000</v>
      </c>
      <c r="BB31" s="80">
        <f t="shared" si="59"/>
        <v>10149.999999999998</v>
      </c>
      <c r="BC31" s="79">
        <f t="shared" si="32"/>
        <v>6.25E-2</v>
      </c>
      <c r="BD31" s="80">
        <f t="shared" si="33"/>
        <v>10202.86458333333</v>
      </c>
      <c r="BE31" s="80" t="str">
        <f t="shared" si="34"/>
        <v>nie</v>
      </c>
      <c r="BF31" s="80">
        <f t="shared" si="35"/>
        <v>70</v>
      </c>
      <c r="BG31" s="80">
        <f t="shared" si="36"/>
        <v>10107.620312499997</v>
      </c>
      <c r="BH31" s="80">
        <f t="shared" si="37"/>
        <v>0</v>
      </c>
      <c r="BI31" s="79">
        <f t="shared" si="38"/>
        <v>1.4999999999999999E-2</v>
      </c>
      <c r="BJ31" s="80">
        <f t="shared" si="39"/>
        <v>0</v>
      </c>
      <c r="BK31" s="80">
        <f t="shared" si="40"/>
        <v>10107.620312499997</v>
      </c>
      <c r="BM31" s="81">
        <f t="shared" si="65"/>
        <v>100</v>
      </c>
      <c r="BN31" s="80">
        <f t="shared" si="66"/>
        <v>10000</v>
      </c>
      <c r="BO31" s="80">
        <f t="shared" si="60"/>
        <v>10000</v>
      </c>
      <c r="BP31" s="80">
        <f t="shared" si="61"/>
        <v>10200</v>
      </c>
      <c r="BQ31" s="79">
        <f t="shared" si="41"/>
        <v>6.5000000000000002E-2</v>
      </c>
      <c r="BR31" s="80">
        <f t="shared" si="42"/>
        <v>10255.25</v>
      </c>
      <c r="BS31" s="80" t="str">
        <f t="shared" si="43"/>
        <v>nie</v>
      </c>
      <c r="BT31" s="80">
        <f t="shared" si="44"/>
        <v>200</v>
      </c>
      <c r="BU31" s="80">
        <f t="shared" si="45"/>
        <v>10044.752500000001</v>
      </c>
      <c r="BV31" s="80">
        <f t="shared" si="46"/>
        <v>0</v>
      </c>
      <c r="BW31" s="79">
        <f t="shared" si="47"/>
        <v>1.4999999999999999E-2</v>
      </c>
      <c r="BX31" s="80">
        <f t="shared" si="48"/>
        <v>0</v>
      </c>
      <c r="BY31" s="80">
        <f t="shared" si="49"/>
        <v>10044.752500000001</v>
      </c>
    </row>
    <row r="32" spans="1:77" s="25" customFormat="1" ht="13" customHeight="1">
      <c r="A32" s="24"/>
      <c r="B32" s="9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45">
        <f t="shared" si="50"/>
        <v>14</v>
      </c>
      <c r="U32" s="59">
        <f t="shared" si="67"/>
        <v>0.05</v>
      </c>
      <c r="V32" s="48">
        <f t="shared" si="13"/>
        <v>10587.5</v>
      </c>
      <c r="W32" s="56">
        <f t="shared" si="51"/>
        <v>100</v>
      </c>
      <c r="X32" s="48">
        <f t="shared" si="52"/>
        <v>10000</v>
      </c>
      <c r="Y32" s="48">
        <f t="shared" si="62"/>
        <v>10000</v>
      </c>
      <c r="Z32" s="48">
        <f t="shared" si="53"/>
        <v>10000</v>
      </c>
      <c r="AA32" s="59">
        <f t="shared" si="14"/>
        <v>5.7500000000000002E-2</v>
      </c>
      <c r="AB32" s="48">
        <f t="shared" si="15"/>
        <v>10095.833333333332</v>
      </c>
      <c r="AC32" s="48" t="str">
        <f t="shared" si="16"/>
        <v>nie</v>
      </c>
      <c r="AD32" s="48">
        <f t="shared" si="17"/>
        <v>70</v>
      </c>
      <c r="AE32" s="48">
        <f t="shared" si="18"/>
        <v>10020.924999999999</v>
      </c>
      <c r="AF32" s="48">
        <f t="shared" si="19"/>
        <v>0</v>
      </c>
      <c r="AG32" s="59">
        <f t="shared" si="20"/>
        <v>1.4999999999999999E-2</v>
      </c>
      <c r="AH32" s="48">
        <f t="shared" si="21"/>
        <v>105.51334044895167</v>
      </c>
      <c r="AI32" s="48">
        <f t="shared" si="22"/>
        <v>10126.438340448951</v>
      </c>
      <c r="AJ32" s="24"/>
      <c r="AK32" s="56">
        <f t="shared" si="54"/>
        <v>100</v>
      </c>
      <c r="AL32" s="48">
        <f t="shared" si="55"/>
        <v>10000</v>
      </c>
      <c r="AM32" s="48">
        <f t="shared" si="56"/>
        <v>10000</v>
      </c>
      <c r="AN32" s="48">
        <f t="shared" si="57"/>
        <v>10169.999999999998</v>
      </c>
      <c r="AO32" s="59">
        <f t="shared" si="23"/>
        <v>6.0000000000000005E-2</v>
      </c>
      <c r="AP32" s="48">
        <f t="shared" si="24"/>
        <v>10271.699999999999</v>
      </c>
      <c r="AQ32" s="48" t="str">
        <f t="shared" si="25"/>
        <v>nie</v>
      </c>
      <c r="AR32" s="48">
        <f t="shared" si="26"/>
        <v>200</v>
      </c>
      <c r="AS32" s="48">
        <f t="shared" si="27"/>
        <v>10058.076999999999</v>
      </c>
      <c r="AT32" s="48">
        <f t="shared" si="28"/>
        <v>0</v>
      </c>
      <c r="AU32" s="59">
        <f t="shared" si="29"/>
        <v>1.4999999999999999E-2</v>
      </c>
      <c r="AV32" s="48">
        <f t="shared" si="30"/>
        <v>0</v>
      </c>
      <c r="AW32" s="48">
        <f t="shared" si="31"/>
        <v>10058.076999999999</v>
      </c>
      <c r="AY32" s="56">
        <f t="shared" si="63"/>
        <v>100</v>
      </c>
      <c r="AZ32" s="48">
        <f t="shared" si="64"/>
        <v>10000</v>
      </c>
      <c r="BA32" s="48">
        <f t="shared" si="58"/>
        <v>10000</v>
      </c>
      <c r="BB32" s="48">
        <f t="shared" si="59"/>
        <v>10149.999999999998</v>
      </c>
      <c r="BC32" s="59">
        <f t="shared" si="32"/>
        <v>6.25E-2</v>
      </c>
      <c r="BD32" s="48">
        <f t="shared" si="33"/>
        <v>10255.729166666666</v>
      </c>
      <c r="BE32" s="48" t="str">
        <f t="shared" si="34"/>
        <v>nie</v>
      </c>
      <c r="BF32" s="48">
        <f t="shared" si="35"/>
        <v>70</v>
      </c>
      <c r="BG32" s="48">
        <f t="shared" si="36"/>
        <v>10150.440624999999</v>
      </c>
      <c r="BH32" s="48">
        <f t="shared" si="37"/>
        <v>0</v>
      </c>
      <c r="BI32" s="59">
        <f t="shared" si="38"/>
        <v>1.4999999999999999E-2</v>
      </c>
      <c r="BJ32" s="48">
        <f t="shared" si="39"/>
        <v>0</v>
      </c>
      <c r="BK32" s="48">
        <f t="shared" si="40"/>
        <v>10150.440624999999</v>
      </c>
      <c r="BL32" s="24"/>
      <c r="BM32" s="56">
        <f t="shared" si="65"/>
        <v>100</v>
      </c>
      <c r="BN32" s="48">
        <f t="shared" si="66"/>
        <v>10000</v>
      </c>
      <c r="BO32" s="48">
        <f t="shared" si="60"/>
        <v>10000</v>
      </c>
      <c r="BP32" s="48">
        <f t="shared" si="61"/>
        <v>10200</v>
      </c>
      <c r="BQ32" s="59">
        <f t="shared" si="41"/>
        <v>6.5000000000000002E-2</v>
      </c>
      <c r="BR32" s="48">
        <f t="shared" si="42"/>
        <v>10310.5</v>
      </c>
      <c r="BS32" s="48" t="str">
        <f t="shared" si="43"/>
        <v>nie</v>
      </c>
      <c r="BT32" s="48">
        <f t="shared" si="44"/>
        <v>200</v>
      </c>
      <c r="BU32" s="48">
        <f t="shared" si="45"/>
        <v>10089.504999999999</v>
      </c>
      <c r="BV32" s="48">
        <f t="shared" si="46"/>
        <v>0</v>
      </c>
      <c r="BW32" s="59">
        <f t="shared" si="47"/>
        <v>1.4999999999999999E-2</v>
      </c>
      <c r="BX32" s="48">
        <f t="shared" si="48"/>
        <v>0</v>
      </c>
      <c r="BY32" s="48">
        <f t="shared" si="49"/>
        <v>10089.504999999999</v>
      </c>
    </row>
    <row r="33" spans="1:77" s="25" customFormat="1" ht="28" customHeight="1">
      <c r="A33" s="24"/>
      <c r="B33" s="171"/>
      <c r="C33" s="45" t="s">
        <v>16</v>
      </c>
      <c r="D33" s="45" t="s">
        <v>0</v>
      </c>
      <c r="E33" s="45" t="s">
        <v>1</v>
      </c>
      <c r="F33" s="45" t="s">
        <v>2</v>
      </c>
      <c r="G33" s="45" t="s">
        <v>3</v>
      </c>
      <c r="H33" s="124" t="s">
        <v>78</v>
      </c>
      <c r="I33" s="65" t="s">
        <v>59</v>
      </c>
      <c r="J33" s="24"/>
      <c r="K33" s="73"/>
      <c r="L33" s="45" t="s">
        <v>16</v>
      </c>
      <c r="M33" s="45" t="s">
        <v>0</v>
      </c>
      <c r="N33" s="45" t="s">
        <v>1</v>
      </c>
      <c r="O33" s="45" t="s">
        <v>2</v>
      </c>
      <c r="P33" s="45" t="s">
        <v>3</v>
      </c>
      <c r="Q33" s="124" t="s">
        <v>78</v>
      </c>
      <c r="R33" s="65" t="s">
        <v>59</v>
      </c>
      <c r="S33" s="24"/>
      <c r="T33" s="45">
        <f t="shared" si="50"/>
        <v>15</v>
      </c>
      <c r="U33" s="59">
        <f t="shared" si="67"/>
        <v>0.05</v>
      </c>
      <c r="V33" s="48">
        <f t="shared" si="13"/>
        <v>10631.25</v>
      </c>
      <c r="W33" s="56">
        <f t="shared" si="51"/>
        <v>100</v>
      </c>
      <c r="X33" s="48">
        <f t="shared" si="52"/>
        <v>10000</v>
      </c>
      <c r="Y33" s="48">
        <f t="shared" si="62"/>
        <v>10000</v>
      </c>
      <c r="Z33" s="48">
        <f t="shared" si="53"/>
        <v>10000</v>
      </c>
      <c r="AA33" s="59">
        <f t="shared" si="14"/>
        <v>5.7500000000000002E-2</v>
      </c>
      <c r="AB33" s="48">
        <f t="shared" si="15"/>
        <v>10143.75</v>
      </c>
      <c r="AC33" s="48" t="str">
        <f t="shared" si="16"/>
        <v>nie</v>
      </c>
      <c r="AD33" s="48">
        <f t="shared" si="17"/>
        <v>70</v>
      </c>
      <c r="AE33" s="48">
        <f t="shared" si="18"/>
        <v>10059.737499999999</v>
      </c>
      <c r="AF33" s="48">
        <f t="shared" si="19"/>
        <v>0</v>
      </c>
      <c r="AG33" s="59">
        <f t="shared" si="20"/>
        <v>1.4999999999999999E-2</v>
      </c>
      <c r="AH33" s="48">
        <f t="shared" si="21"/>
        <v>105.62017270615624</v>
      </c>
      <c r="AI33" s="48">
        <f t="shared" si="22"/>
        <v>10165.357672706155</v>
      </c>
      <c r="AJ33" s="24"/>
      <c r="AK33" s="56">
        <f t="shared" si="54"/>
        <v>100</v>
      </c>
      <c r="AL33" s="48">
        <f t="shared" si="55"/>
        <v>10000</v>
      </c>
      <c r="AM33" s="48">
        <f t="shared" si="56"/>
        <v>10000</v>
      </c>
      <c r="AN33" s="48">
        <f t="shared" si="57"/>
        <v>10169.999999999998</v>
      </c>
      <c r="AO33" s="59">
        <f t="shared" si="23"/>
        <v>6.0000000000000005E-2</v>
      </c>
      <c r="AP33" s="48">
        <f t="shared" si="24"/>
        <v>10322.549999999997</v>
      </c>
      <c r="AQ33" s="48" t="str">
        <f t="shared" si="25"/>
        <v>nie</v>
      </c>
      <c r="AR33" s="48">
        <f t="shared" si="26"/>
        <v>200</v>
      </c>
      <c r="AS33" s="48">
        <f t="shared" si="27"/>
        <v>10099.265499999998</v>
      </c>
      <c r="AT33" s="48">
        <f t="shared" si="28"/>
        <v>0</v>
      </c>
      <c r="AU33" s="59">
        <f t="shared" si="29"/>
        <v>1.4999999999999999E-2</v>
      </c>
      <c r="AV33" s="48">
        <f t="shared" si="30"/>
        <v>0</v>
      </c>
      <c r="AW33" s="48">
        <f t="shared" si="31"/>
        <v>10099.265499999998</v>
      </c>
      <c r="AY33" s="56">
        <f t="shared" si="63"/>
        <v>100</v>
      </c>
      <c r="AZ33" s="48">
        <f t="shared" si="64"/>
        <v>10000</v>
      </c>
      <c r="BA33" s="48">
        <f t="shared" si="58"/>
        <v>10000</v>
      </c>
      <c r="BB33" s="48">
        <f t="shared" si="59"/>
        <v>10149.999999999998</v>
      </c>
      <c r="BC33" s="59">
        <f t="shared" si="32"/>
        <v>6.25E-2</v>
      </c>
      <c r="BD33" s="48">
        <f t="shared" si="33"/>
        <v>10308.593749999998</v>
      </c>
      <c r="BE33" s="48" t="str">
        <f t="shared" si="34"/>
        <v>nie</v>
      </c>
      <c r="BF33" s="48">
        <f t="shared" si="35"/>
        <v>70</v>
      </c>
      <c r="BG33" s="48">
        <f t="shared" si="36"/>
        <v>10193.260937499999</v>
      </c>
      <c r="BH33" s="48">
        <f t="shared" si="37"/>
        <v>0</v>
      </c>
      <c r="BI33" s="59">
        <f t="shared" si="38"/>
        <v>1.4999999999999999E-2</v>
      </c>
      <c r="BJ33" s="48">
        <f t="shared" si="39"/>
        <v>0</v>
      </c>
      <c r="BK33" s="48">
        <f t="shared" si="40"/>
        <v>10193.260937499999</v>
      </c>
      <c r="BL33" s="24"/>
      <c r="BM33" s="56">
        <f t="shared" si="65"/>
        <v>100</v>
      </c>
      <c r="BN33" s="48">
        <f t="shared" si="66"/>
        <v>10000</v>
      </c>
      <c r="BO33" s="48">
        <f t="shared" si="60"/>
        <v>10000</v>
      </c>
      <c r="BP33" s="48">
        <f t="shared" si="61"/>
        <v>10200</v>
      </c>
      <c r="BQ33" s="59">
        <f t="shared" si="41"/>
        <v>6.5000000000000002E-2</v>
      </c>
      <c r="BR33" s="48">
        <f t="shared" si="42"/>
        <v>10365.750000000002</v>
      </c>
      <c r="BS33" s="48" t="str">
        <f t="shared" si="43"/>
        <v>nie</v>
      </c>
      <c r="BT33" s="48">
        <f t="shared" si="44"/>
        <v>200</v>
      </c>
      <c r="BU33" s="48">
        <f t="shared" si="45"/>
        <v>10134.257500000002</v>
      </c>
      <c r="BV33" s="48">
        <f t="shared" si="46"/>
        <v>0</v>
      </c>
      <c r="BW33" s="59">
        <f t="shared" si="47"/>
        <v>1.4999999999999999E-2</v>
      </c>
      <c r="BX33" s="48">
        <f t="shared" si="48"/>
        <v>0</v>
      </c>
      <c r="BY33" s="48">
        <f t="shared" si="49"/>
        <v>10134.257500000002</v>
      </c>
    </row>
    <row r="34" spans="1:77" s="25" customFormat="1" ht="14">
      <c r="A34" s="24"/>
      <c r="B34" s="173"/>
      <c r="C34" s="45" t="s">
        <v>77</v>
      </c>
      <c r="D34" s="48">
        <f t="shared" ref="D34:I34" si="68">zakup_domyslny_wartosc</f>
        <v>10000</v>
      </c>
      <c r="E34" s="48">
        <f t="shared" si="68"/>
        <v>10000</v>
      </c>
      <c r="F34" s="48">
        <f t="shared" si="68"/>
        <v>10000</v>
      </c>
      <c r="G34" s="48">
        <f t="shared" si="68"/>
        <v>10000</v>
      </c>
      <c r="H34" s="48">
        <f t="shared" si="68"/>
        <v>10000</v>
      </c>
      <c r="I34" s="48">
        <f t="shared" si="68"/>
        <v>10000</v>
      </c>
      <c r="J34" s="24"/>
      <c r="K34" s="73"/>
      <c r="L34" s="45" t="s">
        <v>77</v>
      </c>
      <c r="M34" s="51">
        <f t="shared" ref="M34:M65" si="69">D34/zakup_domyslny_wartosc-1</f>
        <v>0</v>
      </c>
      <c r="N34" s="51">
        <f t="shared" ref="N34:N65" si="70">E34/zakup_domyslny_wartosc-1</f>
        <v>0</v>
      </c>
      <c r="O34" s="51">
        <f t="shared" ref="O34:O65" si="71">F34/zakup_domyslny_wartosc-1</f>
        <v>0</v>
      </c>
      <c r="P34" s="51">
        <f t="shared" ref="P34:P65" si="72">G34/zakup_domyslny_wartosc-1</f>
        <v>0</v>
      </c>
      <c r="Q34" s="51">
        <f t="shared" ref="Q34:Q65" si="73">H34/zakup_domyslny_wartosc-1</f>
        <v>0</v>
      </c>
      <c r="R34" s="51">
        <f t="shared" ref="R34:R65" si="74">I34/zakup_domyslny_wartosc-1</f>
        <v>0</v>
      </c>
      <c r="S34" s="24"/>
      <c r="T34" s="45">
        <f t="shared" si="50"/>
        <v>16</v>
      </c>
      <c r="U34" s="59">
        <f t="shared" si="67"/>
        <v>0.05</v>
      </c>
      <c r="V34" s="48">
        <f t="shared" si="13"/>
        <v>10675</v>
      </c>
      <c r="W34" s="56">
        <f t="shared" si="51"/>
        <v>100</v>
      </c>
      <c r="X34" s="48">
        <f t="shared" si="52"/>
        <v>10000</v>
      </c>
      <c r="Y34" s="48">
        <f t="shared" si="62"/>
        <v>10000</v>
      </c>
      <c r="Z34" s="48">
        <f t="shared" si="53"/>
        <v>10000</v>
      </c>
      <c r="AA34" s="59">
        <f t="shared" si="14"/>
        <v>5.7500000000000002E-2</v>
      </c>
      <c r="AB34" s="48">
        <f t="shared" si="15"/>
        <v>10191.666666666668</v>
      </c>
      <c r="AC34" s="48" t="str">
        <f t="shared" si="16"/>
        <v>nie</v>
      </c>
      <c r="AD34" s="48">
        <f t="shared" si="17"/>
        <v>70</v>
      </c>
      <c r="AE34" s="48">
        <f t="shared" si="18"/>
        <v>10098.550000000001</v>
      </c>
      <c r="AF34" s="48">
        <f t="shared" si="19"/>
        <v>0</v>
      </c>
      <c r="AG34" s="59">
        <f t="shared" si="20"/>
        <v>1.4999999999999999E-2</v>
      </c>
      <c r="AH34" s="48">
        <f t="shared" si="21"/>
        <v>105.72711313102123</v>
      </c>
      <c r="AI34" s="48">
        <f t="shared" si="22"/>
        <v>10204.277113131022</v>
      </c>
      <c r="AJ34" s="24"/>
      <c r="AK34" s="56">
        <f t="shared" si="54"/>
        <v>100</v>
      </c>
      <c r="AL34" s="48">
        <f t="shared" si="55"/>
        <v>10000</v>
      </c>
      <c r="AM34" s="48">
        <f t="shared" si="56"/>
        <v>10000</v>
      </c>
      <c r="AN34" s="48">
        <f t="shared" si="57"/>
        <v>10169.999999999998</v>
      </c>
      <c r="AO34" s="59">
        <f t="shared" si="23"/>
        <v>6.0000000000000005E-2</v>
      </c>
      <c r="AP34" s="48">
        <f t="shared" si="24"/>
        <v>10373.399999999998</v>
      </c>
      <c r="AQ34" s="48" t="str">
        <f t="shared" si="25"/>
        <v>nie</v>
      </c>
      <c r="AR34" s="48">
        <f t="shared" si="26"/>
        <v>200</v>
      </c>
      <c r="AS34" s="48">
        <f t="shared" si="27"/>
        <v>10140.453999999998</v>
      </c>
      <c r="AT34" s="48">
        <f t="shared" si="28"/>
        <v>0</v>
      </c>
      <c r="AU34" s="59">
        <f t="shared" si="29"/>
        <v>1.4999999999999999E-2</v>
      </c>
      <c r="AV34" s="48">
        <f t="shared" si="30"/>
        <v>0</v>
      </c>
      <c r="AW34" s="48">
        <f t="shared" si="31"/>
        <v>10140.453999999998</v>
      </c>
      <c r="AY34" s="56">
        <f t="shared" si="63"/>
        <v>100</v>
      </c>
      <c r="AZ34" s="48">
        <f t="shared" si="64"/>
        <v>10000</v>
      </c>
      <c r="BA34" s="48">
        <f t="shared" si="58"/>
        <v>10000</v>
      </c>
      <c r="BB34" s="48">
        <f t="shared" si="59"/>
        <v>10149.999999999998</v>
      </c>
      <c r="BC34" s="59">
        <f t="shared" si="32"/>
        <v>6.25E-2</v>
      </c>
      <c r="BD34" s="48">
        <f t="shared" si="33"/>
        <v>10361.45833333333</v>
      </c>
      <c r="BE34" s="48" t="str">
        <f t="shared" si="34"/>
        <v>nie</v>
      </c>
      <c r="BF34" s="48">
        <f t="shared" si="35"/>
        <v>70</v>
      </c>
      <c r="BG34" s="48">
        <f t="shared" si="36"/>
        <v>10236.081249999997</v>
      </c>
      <c r="BH34" s="48">
        <f t="shared" si="37"/>
        <v>0</v>
      </c>
      <c r="BI34" s="59">
        <f t="shared" si="38"/>
        <v>1.4999999999999999E-2</v>
      </c>
      <c r="BJ34" s="48">
        <f t="shared" si="39"/>
        <v>0</v>
      </c>
      <c r="BK34" s="48">
        <f t="shared" si="40"/>
        <v>10236.081249999997</v>
      </c>
      <c r="BL34" s="24"/>
      <c r="BM34" s="56">
        <f t="shared" si="65"/>
        <v>100</v>
      </c>
      <c r="BN34" s="48">
        <f t="shared" si="66"/>
        <v>10000</v>
      </c>
      <c r="BO34" s="48">
        <f t="shared" si="60"/>
        <v>10000</v>
      </c>
      <c r="BP34" s="48">
        <f t="shared" si="61"/>
        <v>10200</v>
      </c>
      <c r="BQ34" s="59">
        <f t="shared" si="41"/>
        <v>6.5000000000000002E-2</v>
      </c>
      <c r="BR34" s="48">
        <f t="shared" si="42"/>
        <v>10421</v>
      </c>
      <c r="BS34" s="48" t="str">
        <f t="shared" si="43"/>
        <v>nie</v>
      </c>
      <c r="BT34" s="48">
        <f t="shared" si="44"/>
        <v>200</v>
      </c>
      <c r="BU34" s="48">
        <f t="shared" si="45"/>
        <v>10179.01</v>
      </c>
      <c r="BV34" s="48">
        <f t="shared" si="46"/>
        <v>0</v>
      </c>
      <c r="BW34" s="59">
        <f t="shared" si="47"/>
        <v>1.4999999999999999E-2</v>
      </c>
      <c r="BX34" s="48">
        <f t="shared" si="48"/>
        <v>0</v>
      </c>
      <c r="BY34" s="48">
        <f t="shared" si="49"/>
        <v>10179.01</v>
      </c>
    </row>
    <row r="35" spans="1:77" s="25" customFormat="1" ht="14.5" customHeight="1">
      <c r="A35" s="24"/>
      <c r="B35" s="171">
        <f>ROUNDUP(C46/12,0)</f>
        <v>1</v>
      </c>
      <c r="C35" s="66">
        <f t="shared" ref="C35:C66" si="75">T19</f>
        <v>1</v>
      </c>
      <c r="D35" s="48">
        <f t="shared" ref="D35:D66" si="76">AI19</f>
        <v>10000</v>
      </c>
      <c r="E35" s="48">
        <f t="shared" ref="E35:E66" si="77">AW19</f>
        <v>10000</v>
      </c>
      <c r="F35" s="48">
        <f t="shared" ref="F35:F66" si="78">BK19</f>
        <v>10000</v>
      </c>
      <c r="G35" s="49">
        <f t="shared" ref="G35:G66" si="79">BY19</f>
        <v>10000</v>
      </c>
      <c r="H35" s="49">
        <f t="shared" ref="H35:H66" si="80">FV(INDEX(scenariusz_I_konto,MATCH(ROUNDUP(C35/12,0),scenariusz_I_rok,0))/12*(1-podatek_Belki),1,0,-H34,1)</f>
        <v>10010.125</v>
      </c>
      <c r="I35" s="48">
        <f t="shared" ref="I35:I66" si="81">V19</f>
        <v>10041.666666666666</v>
      </c>
      <c r="J35" s="24"/>
      <c r="K35" s="84"/>
      <c r="L35" s="64">
        <f t="shared" ref="L35:L66" si="82">C35</f>
        <v>1</v>
      </c>
      <c r="M35" s="51">
        <f t="shared" si="69"/>
        <v>0</v>
      </c>
      <c r="N35" s="51">
        <f t="shared" si="70"/>
        <v>0</v>
      </c>
      <c r="O35" s="51">
        <f t="shared" si="71"/>
        <v>0</v>
      </c>
      <c r="P35" s="51">
        <f t="shared" si="72"/>
        <v>0</v>
      </c>
      <c r="Q35" s="51">
        <f t="shared" si="73"/>
        <v>1.0125000000000828E-3</v>
      </c>
      <c r="R35" s="51">
        <f t="shared" si="74"/>
        <v>4.1666666666666519E-3</v>
      </c>
      <c r="S35" s="24"/>
      <c r="T35" s="45">
        <f t="shared" si="50"/>
        <v>17</v>
      </c>
      <c r="U35" s="59">
        <f t="shared" si="67"/>
        <v>0.05</v>
      </c>
      <c r="V35" s="48">
        <f t="shared" si="13"/>
        <v>10718.75</v>
      </c>
      <c r="W35" s="56">
        <f t="shared" si="51"/>
        <v>100</v>
      </c>
      <c r="X35" s="48">
        <f t="shared" si="52"/>
        <v>10000</v>
      </c>
      <c r="Y35" s="48">
        <f t="shared" si="62"/>
        <v>10000</v>
      </c>
      <c r="Z35" s="48">
        <f t="shared" si="53"/>
        <v>10000</v>
      </c>
      <c r="AA35" s="59">
        <f t="shared" si="14"/>
        <v>5.7500000000000002E-2</v>
      </c>
      <c r="AB35" s="48">
        <f t="shared" si="15"/>
        <v>10239.583333333334</v>
      </c>
      <c r="AC35" s="48" t="str">
        <f t="shared" si="16"/>
        <v>nie</v>
      </c>
      <c r="AD35" s="48">
        <f t="shared" si="17"/>
        <v>70</v>
      </c>
      <c r="AE35" s="48">
        <f t="shared" si="18"/>
        <v>10137.362500000001</v>
      </c>
      <c r="AF35" s="48">
        <f t="shared" si="19"/>
        <v>0</v>
      </c>
      <c r="AG35" s="59">
        <f t="shared" si="20"/>
        <v>1.4999999999999999E-2</v>
      </c>
      <c r="AH35" s="48">
        <f t="shared" si="21"/>
        <v>105.83416183306639</v>
      </c>
      <c r="AI35" s="48">
        <f t="shared" si="22"/>
        <v>10243.196661833068</v>
      </c>
      <c r="AJ35" s="24"/>
      <c r="AK35" s="56">
        <f t="shared" si="54"/>
        <v>100</v>
      </c>
      <c r="AL35" s="48">
        <f t="shared" si="55"/>
        <v>10000</v>
      </c>
      <c r="AM35" s="48">
        <f t="shared" si="56"/>
        <v>10000</v>
      </c>
      <c r="AN35" s="48">
        <f t="shared" si="57"/>
        <v>10169.999999999998</v>
      </c>
      <c r="AO35" s="59">
        <f t="shared" si="23"/>
        <v>6.0000000000000005E-2</v>
      </c>
      <c r="AP35" s="48">
        <f t="shared" si="24"/>
        <v>10424.249999999996</v>
      </c>
      <c r="AQ35" s="48" t="str">
        <f t="shared" si="25"/>
        <v>nie</v>
      </c>
      <c r="AR35" s="48">
        <f t="shared" si="26"/>
        <v>200</v>
      </c>
      <c r="AS35" s="48">
        <f t="shared" si="27"/>
        <v>10181.642499999996</v>
      </c>
      <c r="AT35" s="48">
        <f t="shared" si="28"/>
        <v>0</v>
      </c>
      <c r="AU35" s="59">
        <f t="shared" si="29"/>
        <v>1.4999999999999999E-2</v>
      </c>
      <c r="AV35" s="48">
        <f t="shared" si="30"/>
        <v>0</v>
      </c>
      <c r="AW35" s="48">
        <f t="shared" si="31"/>
        <v>10181.642499999996</v>
      </c>
      <c r="AY35" s="56">
        <f t="shared" si="63"/>
        <v>100</v>
      </c>
      <c r="AZ35" s="48">
        <f t="shared" si="64"/>
        <v>10000</v>
      </c>
      <c r="BA35" s="48">
        <f t="shared" si="58"/>
        <v>10000</v>
      </c>
      <c r="BB35" s="48">
        <f t="shared" si="59"/>
        <v>10149.999999999998</v>
      </c>
      <c r="BC35" s="59">
        <f t="shared" si="32"/>
        <v>6.25E-2</v>
      </c>
      <c r="BD35" s="48">
        <f t="shared" si="33"/>
        <v>10414.322916666666</v>
      </c>
      <c r="BE35" s="48" t="str">
        <f t="shared" si="34"/>
        <v>nie</v>
      </c>
      <c r="BF35" s="48">
        <f t="shared" si="35"/>
        <v>70</v>
      </c>
      <c r="BG35" s="48">
        <f t="shared" si="36"/>
        <v>10278.901562499999</v>
      </c>
      <c r="BH35" s="48">
        <f t="shared" si="37"/>
        <v>0</v>
      </c>
      <c r="BI35" s="59">
        <f t="shared" si="38"/>
        <v>1.4999999999999999E-2</v>
      </c>
      <c r="BJ35" s="48">
        <f t="shared" si="39"/>
        <v>0</v>
      </c>
      <c r="BK35" s="48">
        <f t="shared" si="40"/>
        <v>10278.901562499999</v>
      </c>
      <c r="BL35" s="24"/>
      <c r="BM35" s="56">
        <f t="shared" si="65"/>
        <v>100</v>
      </c>
      <c r="BN35" s="48">
        <f t="shared" si="66"/>
        <v>10000</v>
      </c>
      <c r="BO35" s="48">
        <f t="shared" si="60"/>
        <v>10000</v>
      </c>
      <c r="BP35" s="48">
        <f t="shared" si="61"/>
        <v>10200</v>
      </c>
      <c r="BQ35" s="59">
        <f t="shared" si="41"/>
        <v>6.5000000000000002E-2</v>
      </c>
      <c r="BR35" s="48">
        <f t="shared" si="42"/>
        <v>10476.25</v>
      </c>
      <c r="BS35" s="48" t="str">
        <f t="shared" si="43"/>
        <v>nie</v>
      </c>
      <c r="BT35" s="48">
        <f t="shared" si="44"/>
        <v>200</v>
      </c>
      <c r="BU35" s="48">
        <f t="shared" si="45"/>
        <v>10223.762500000001</v>
      </c>
      <c r="BV35" s="48">
        <f t="shared" si="46"/>
        <v>0</v>
      </c>
      <c r="BW35" s="59">
        <f t="shared" si="47"/>
        <v>1.4999999999999999E-2</v>
      </c>
      <c r="BX35" s="48">
        <f t="shared" si="48"/>
        <v>0</v>
      </c>
      <c r="BY35" s="48">
        <f t="shared" si="49"/>
        <v>10223.762500000001</v>
      </c>
    </row>
    <row r="36" spans="1:77" s="25" customFormat="1" ht="14">
      <c r="A36" s="24"/>
      <c r="B36" s="172"/>
      <c r="C36" s="66">
        <f t="shared" si="75"/>
        <v>2</v>
      </c>
      <c r="D36" s="48">
        <f t="shared" si="76"/>
        <v>10000</v>
      </c>
      <c r="E36" s="48">
        <f t="shared" si="77"/>
        <v>10000</v>
      </c>
      <c r="F36" s="48">
        <f t="shared" si="78"/>
        <v>10000</v>
      </c>
      <c r="G36" s="49">
        <f t="shared" si="79"/>
        <v>10000</v>
      </c>
      <c r="H36" s="49">
        <f t="shared" si="80"/>
        <v>10020.2602515625</v>
      </c>
      <c r="I36" s="48">
        <f t="shared" si="81"/>
        <v>10083.333333333334</v>
      </c>
      <c r="J36" s="24"/>
      <c r="K36" s="84"/>
      <c r="L36" s="64">
        <f t="shared" si="82"/>
        <v>2</v>
      </c>
      <c r="M36" s="51">
        <f t="shared" si="69"/>
        <v>0</v>
      </c>
      <c r="N36" s="51">
        <f t="shared" si="70"/>
        <v>0</v>
      </c>
      <c r="O36" s="51">
        <f t="shared" si="71"/>
        <v>0</v>
      </c>
      <c r="P36" s="51">
        <f t="shared" si="72"/>
        <v>0</v>
      </c>
      <c r="Q36" s="51">
        <f t="shared" si="73"/>
        <v>2.0260251562500553E-3</v>
      </c>
      <c r="R36" s="51">
        <f t="shared" si="74"/>
        <v>8.3333333333333037E-3</v>
      </c>
      <c r="S36" s="24"/>
      <c r="T36" s="45">
        <f t="shared" si="50"/>
        <v>18</v>
      </c>
      <c r="U36" s="59">
        <f t="shared" si="67"/>
        <v>0.05</v>
      </c>
      <c r="V36" s="48">
        <f t="shared" si="13"/>
        <v>10762.499999999998</v>
      </c>
      <c r="W36" s="56">
        <f t="shared" si="51"/>
        <v>100</v>
      </c>
      <c r="X36" s="48">
        <f t="shared" si="52"/>
        <v>10000</v>
      </c>
      <c r="Y36" s="48">
        <f t="shared" si="62"/>
        <v>10000</v>
      </c>
      <c r="Z36" s="48">
        <f t="shared" si="53"/>
        <v>10000</v>
      </c>
      <c r="AA36" s="59">
        <f t="shared" si="14"/>
        <v>5.7500000000000002E-2</v>
      </c>
      <c r="AB36" s="48">
        <f t="shared" si="15"/>
        <v>10287.5</v>
      </c>
      <c r="AC36" s="48" t="str">
        <f t="shared" si="16"/>
        <v>nie</v>
      </c>
      <c r="AD36" s="48">
        <f t="shared" si="17"/>
        <v>70</v>
      </c>
      <c r="AE36" s="48">
        <f t="shared" si="18"/>
        <v>10176.174999999999</v>
      </c>
      <c r="AF36" s="48">
        <f t="shared" si="19"/>
        <v>0</v>
      </c>
      <c r="AG36" s="59">
        <f t="shared" si="20"/>
        <v>1.4999999999999999E-2</v>
      </c>
      <c r="AH36" s="48">
        <f t="shared" si="21"/>
        <v>105.94131892192237</v>
      </c>
      <c r="AI36" s="48">
        <f t="shared" si="22"/>
        <v>10282.116318921922</v>
      </c>
      <c r="AJ36" s="24"/>
      <c r="AK36" s="56">
        <f t="shared" si="54"/>
        <v>100</v>
      </c>
      <c r="AL36" s="48">
        <f t="shared" si="55"/>
        <v>10000</v>
      </c>
      <c r="AM36" s="48">
        <f t="shared" si="56"/>
        <v>10000</v>
      </c>
      <c r="AN36" s="48">
        <f t="shared" si="57"/>
        <v>10169.999999999998</v>
      </c>
      <c r="AO36" s="59">
        <f t="shared" si="23"/>
        <v>6.0000000000000005E-2</v>
      </c>
      <c r="AP36" s="48">
        <f t="shared" si="24"/>
        <v>10475.099999999999</v>
      </c>
      <c r="AQ36" s="48" t="str">
        <f t="shared" si="25"/>
        <v>nie</v>
      </c>
      <c r="AR36" s="48">
        <f t="shared" si="26"/>
        <v>200</v>
      </c>
      <c r="AS36" s="48">
        <f t="shared" si="27"/>
        <v>10222.830999999998</v>
      </c>
      <c r="AT36" s="48">
        <f t="shared" si="28"/>
        <v>0</v>
      </c>
      <c r="AU36" s="59">
        <f t="shared" si="29"/>
        <v>1.4999999999999999E-2</v>
      </c>
      <c r="AV36" s="48">
        <f t="shared" si="30"/>
        <v>0</v>
      </c>
      <c r="AW36" s="48">
        <f t="shared" si="31"/>
        <v>10222.830999999998</v>
      </c>
      <c r="AY36" s="56">
        <f t="shared" si="63"/>
        <v>100</v>
      </c>
      <c r="AZ36" s="48">
        <f t="shared" si="64"/>
        <v>10000</v>
      </c>
      <c r="BA36" s="48">
        <f t="shared" si="58"/>
        <v>10000</v>
      </c>
      <c r="BB36" s="48">
        <f t="shared" si="59"/>
        <v>10149.999999999998</v>
      </c>
      <c r="BC36" s="59">
        <f t="shared" si="32"/>
        <v>6.25E-2</v>
      </c>
      <c r="BD36" s="48">
        <f t="shared" si="33"/>
        <v>10467.187499999998</v>
      </c>
      <c r="BE36" s="48" t="str">
        <f t="shared" si="34"/>
        <v>nie</v>
      </c>
      <c r="BF36" s="48">
        <f t="shared" si="35"/>
        <v>70</v>
      </c>
      <c r="BG36" s="48">
        <f t="shared" si="36"/>
        <v>10321.721874999999</v>
      </c>
      <c r="BH36" s="48">
        <f t="shared" si="37"/>
        <v>0</v>
      </c>
      <c r="BI36" s="59">
        <f t="shared" si="38"/>
        <v>1.4999999999999999E-2</v>
      </c>
      <c r="BJ36" s="48">
        <f t="shared" si="39"/>
        <v>0</v>
      </c>
      <c r="BK36" s="48">
        <f t="shared" si="40"/>
        <v>10321.721874999999</v>
      </c>
      <c r="BL36" s="24"/>
      <c r="BM36" s="56">
        <f t="shared" si="65"/>
        <v>100</v>
      </c>
      <c r="BN36" s="48">
        <f t="shared" si="66"/>
        <v>10000</v>
      </c>
      <c r="BO36" s="48">
        <f t="shared" si="60"/>
        <v>10000</v>
      </c>
      <c r="BP36" s="48">
        <f t="shared" si="61"/>
        <v>10200</v>
      </c>
      <c r="BQ36" s="59">
        <f t="shared" si="41"/>
        <v>6.5000000000000002E-2</v>
      </c>
      <c r="BR36" s="48">
        <f t="shared" si="42"/>
        <v>10531.5</v>
      </c>
      <c r="BS36" s="48" t="str">
        <f t="shared" si="43"/>
        <v>nie</v>
      </c>
      <c r="BT36" s="48">
        <f t="shared" si="44"/>
        <v>200</v>
      </c>
      <c r="BU36" s="48">
        <f t="shared" si="45"/>
        <v>10268.514999999999</v>
      </c>
      <c r="BV36" s="48">
        <f t="shared" si="46"/>
        <v>0</v>
      </c>
      <c r="BW36" s="59">
        <f t="shared" si="47"/>
        <v>1.4999999999999999E-2</v>
      </c>
      <c r="BX36" s="48">
        <f t="shared" si="48"/>
        <v>0</v>
      </c>
      <c r="BY36" s="48">
        <f t="shared" si="49"/>
        <v>10268.514999999999</v>
      </c>
    </row>
    <row r="37" spans="1:77" s="25" customFormat="1" ht="14">
      <c r="A37" s="24"/>
      <c r="B37" s="172"/>
      <c r="C37" s="66">
        <f t="shared" si="75"/>
        <v>3</v>
      </c>
      <c r="D37" s="48">
        <f t="shared" si="76"/>
        <v>10000</v>
      </c>
      <c r="E37" s="48">
        <f t="shared" si="77"/>
        <v>10000</v>
      </c>
      <c r="F37" s="48">
        <f t="shared" si="78"/>
        <v>10000</v>
      </c>
      <c r="G37" s="49">
        <f t="shared" si="79"/>
        <v>10000</v>
      </c>
      <c r="H37" s="49">
        <f t="shared" si="80"/>
        <v>10030.405765067208</v>
      </c>
      <c r="I37" s="48">
        <f t="shared" si="81"/>
        <v>10125</v>
      </c>
      <c r="J37" s="24"/>
      <c r="K37" s="84"/>
      <c r="L37" s="64">
        <f t="shared" si="82"/>
        <v>3</v>
      </c>
      <c r="M37" s="51">
        <f t="shared" si="69"/>
        <v>0</v>
      </c>
      <c r="N37" s="51">
        <f t="shared" si="70"/>
        <v>0</v>
      </c>
      <c r="O37" s="51">
        <f t="shared" si="71"/>
        <v>0</v>
      </c>
      <c r="P37" s="51">
        <f t="shared" si="72"/>
        <v>0</v>
      </c>
      <c r="Q37" s="51">
        <f t="shared" si="73"/>
        <v>3.040576506720738E-3</v>
      </c>
      <c r="R37" s="51">
        <f t="shared" si="74"/>
        <v>1.2499999999999956E-2</v>
      </c>
      <c r="S37" s="24"/>
      <c r="T37" s="45">
        <f t="shared" si="50"/>
        <v>19</v>
      </c>
      <c r="U37" s="59">
        <f t="shared" si="67"/>
        <v>0.05</v>
      </c>
      <c r="V37" s="48">
        <f t="shared" si="13"/>
        <v>10806.249999999998</v>
      </c>
      <c r="W37" s="56">
        <f t="shared" si="51"/>
        <v>100</v>
      </c>
      <c r="X37" s="48">
        <f t="shared" si="52"/>
        <v>10000</v>
      </c>
      <c r="Y37" s="48">
        <f t="shared" si="62"/>
        <v>10000</v>
      </c>
      <c r="Z37" s="48">
        <f t="shared" si="53"/>
        <v>10000</v>
      </c>
      <c r="AA37" s="59">
        <f t="shared" si="14"/>
        <v>5.7500000000000002E-2</v>
      </c>
      <c r="AB37" s="48">
        <f t="shared" si="15"/>
        <v>10335.416666666666</v>
      </c>
      <c r="AC37" s="48" t="str">
        <f t="shared" si="16"/>
        <v>nie</v>
      </c>
      <c r="AD37" s="48">
        <f t="shared" si="17"/>
        <v>70</v>
      </c>
      <c r="AE37" s="48">
        <f t="shared" si="18"/>
        <v>10214.987499999999</v>
      </c>
      <c r="AF37" s="48">
        <f t="shared" si="19"/>
        <v>0</v>
      </c>
      <c r="AG37" s="59">
        <f t="shared" si="20"/>
        <v>1.4999999999999999E-2</v>
      </c>
      <c r="AH37" s="48">
        <f t="shared" si="21"/>
        <v>106.04858450733083</v>
      </c>
      <c r="AI37" s="48">
        <f t="shared" si="22"/>
        <v>10321.03608450733</v>
      </c>
      <c r="AJ37" s="24"/>
      <c r="AK37" s="56">
        <f t="shared" si="54"/>
        <v>100</v>
      </c>
      <c r="AL37" s="48">
        <f t="shared" si="55"/>
        <v>10000</v>
      </c>
      <c r="AM37" s="48">
        <f t="shared" si="56"/>
        <v>10000</v>
      </c>
      <c r="AN37" s="48">
        <f t="shared" si="57"/>
        <v>10169.999999999998</v>
      </c>
      <c r="AO37" s="59">
        <f t="shared" si="23"/>
        <v>6.0000000000000005E-2</v>
      </c>
      <c r="AP37" s="48">
        <f t="shared" si="24"/>
        <v>10525.949999999997</v>
      </c>
      <c r="AQ37" s="48" t="str">
        <f t="shared" si="25"/>
        <v>nie</v>
      </c>
      <c r="AR37" s="48">
        <f t="shared" si="26"/>
        <v>200</v>
      </c>
      <c r="AS37" s="48">
        <f t="shared" si="27"/>
        <v>10264.019499999999</v>
      </c>
      <c r="AT37" s="48">
        <f t="shared" si="28"/>
        <v>0</v>
      </c>
      <c r="AU37" s="59">
        <f t="shared" si="29"/>
        <v>1.4999999999999999E-2</v>
      </c>
      <c r="AV37" s="48">
        <f t="shared" si="30"/>
        <v>0</v>
      </c>
      <c r="AW37" s="48">
        <f t="shared" si="31"/>
        <v>10264.019499999999</v>
      </c>
      <c r="AY37" s="56">
        <f t="shared" si="63"/>
        <v>100</v>
      </c>
      <c r="AZ37" s="48">
        <f t="shared" si="64"/>
        <v>10000</v>
      </c>
      <c r="BA37" s="48">
        <f t="shared" si="58"/>
        <v>10000</v>
      </c>
      <c r="BB37" s="48">
        <f t="shared" si="59"/>
        <v>10149.999999999998</v>
      </c>
      <c r="BC37" s="59">
        <f t="shared" si="32"/>
        <v>6.25E-2</v>
      </c>
      <c r="BD37" s="48">
        <f t="shared" si="33"/>
        <v>10520.05208333333</v>
      </c>
      <c r="BE37" s="48" t="str">
        <f t="shared" si="34"/>
        <v>nie</v>
      </c>
      <c r="BF37" s="48">
        <f t="shared" si="35"/>
        <v>70</v>
      </c>
      <c r="BG37" s="48">
        <f t="shared" si="36"/>
        <v>10364.542187499997</v>
      </c>
      <c r="BH37" s="48">
        <f t="shared" si="37"/>
        <v>0</v>
      </c>
      <c r="BI37" s="59">
        <f t="shared" si="38"/>
        <v>1.4999999999999999E-2</v>
      </c>
      <c r="BJ37" s="48">
        <f t="shared" si="39"/>
        <v>0</v>
      </c>
      <c r="BK37" s="48">
        <f t="shared" si="40"/>
        <v>10364.542187499997</v>
      </c>
      <c r="BL37" s="24"/>
      <c r="BM37" s="56">
        <f t="shared" si="65"/>
        <v>100</v>
      </c>
      <c r="BN37" s="48">
        <f t="shared" si="66"/>
        <v>10000</v>
      </c>
      <c r="BO37" s="48">
        <f t="shared" si="60"/>
        <v>10000</v>
      </c>
      <c r="BP37" s="48">
        <f t="shared" si="61"/>
        <v>10200</v>
      </c>
      <c r="BQ37" s="59">
        <f t="shared" si="41"/>
        <v>6.5000000000000002E-2</v>
      </c>
      <c r="BR37" s="48">
        <f t="shared" si="42"/>
        <v>10586.75</v>
      </c>
      <c r="BS37" s="48" t="str">
        <f t="shared" si="43"/>
        <v>nie</v>
      </c>
      <c r="BT37" s="48">
        <f t="shared" si="44"/>
        <v>200</v>
      </c>
      <c r="BU37" s="48">
        <f t="shared" si="45"/>
        <v>10313.2675</v>
      </c>
      <c r="BV37" s="48">
        <f t="shared" si="46"/>
        <v>0</v>
      </c>
      <c r="BW37" s="59">
        <f t="shared" si="47"/>
        <v>1.4999999999999999E-2</v>
      </c>
      <c r="BX37" s="48">
        <f t="shared" si="48"/>
        <v>0</v>
      </c>
      <c r="BY37" s="48">
        <f t="shared" si="49"/>
        <v>10313.2675</v>
      </c>
    </row>
    <row r="38" spans="1:77" s="25" customFormat="1" ht="14">
      <c r="A38" s="24"/>
      <c r="B38" s="172"/>
      <c r="C38" s="66">
        <f t="shared" si="75"/>
        <v>4</v>
      </c>
      <c r="D38" s="48">
        <f t="shared" si="76"/>
        <v>10000</v>
      </c>
      <c r="E38" s="48">
        <f t="shared" si="77"/>
        <v>10000</v>
      </c>
      <c r="F38" s="48">
        <f t="shared" si="78"/>
        <v>10000</v>
      </c>
      <c r="G38" s="49">
        <f t="shared" si="79"/>
        <v>10000</v>
      </c>
      <c r="H38" s="49">
        <f t="shared" si="80"/>
        <v>10040.561550904338</v>
      </c>
      <c r="I38" s="48">
        <f t="shared" si="81"/>
        <v>10166.666666666666</v>
      </c>
      <c r="J38" s="24"/>
      <c r="K38" s="84"/>
      <c r="L38" s="64">
        <f t="shared" si="82"/>
        <v>4</v>
      </c>
      <c r="M38" s="51">
        <f t="shared" si="69"/>
        <v>0</v>
      </c>
      <c r="N38" s="51">
        <f t="shared" si="70"/>
        <v>0</v>
      </c>
      <c r="O38" s="51">
        <f t="shared" si="71"/>
        <v>0</v>
      </c>
      <c r="P38" s="51">
        <f t="shared" si="72"/>
        <v>0</v>
      </c>
      <c r="Q38" s="51">
        <f t="shared" si="73"/>
        <v>4.0561550904338883E-3</v>
      </c>
      <c r="R38" s="51">
        <f t="shared" si="74"/>
        <v>1.6666666666666607E-2</v>
      </c>
      <c r="S38" s="24"/>
      <c r="T38" s="45">
        <f t="shared" si="50"/>
        <v>20</v>
      </c>
      <c r="U38" s="59">
        <f t="shared" si="67"/>
        <v>0.05</v>
      </c>
      <c r="V38" s="48">
        <f t="shared" si="13"/>
        <v>10850.000000000002</v>
      </c>
      <c r="W38" s="56">
        <f t="shared" si="51"/>
        <v>100</v>
      </c>
      <c r="X38" s="48">
        <f t="shared" si="52"/>
        <v>10000</v>
      </c>
      <c r="Y38" s="48">
        <f t="shared" si="62"/>
        <v>10000</v>
      </c>
      <c r="Z38" s="48">
        <f t="shared" si="53"/>
        <v>10000</v>
      </c>
      <c r="AA38" s="59">
        <f t="shared" si="14"/>
        <v>5.7500000000000002E-2</v>
      </c>
      <c r="AB38" s="48">
        <f t="shared" si="15"/>
        <v>10383.333333333334</v>
      </c>
      <c r="AC38" s="48" t="str">
        <f t="shared" si="16"/>
        <v>nie</v>
      </c>
      <c r="AD38" s="48">
        <f t="shared" si="17"/>
        <v>70</v>
      </c>
      <c r="AE38" s="48">
        <f t="shared" si="18"/>
        <v>10253.800000000001</v>
      </c>
      <c r="AF38" s="48">
        <f t="shared" si="19"/>
        <v>0</v>
      </c>
      <c r="AG38" s="59">
        <f t="shared" si="20"/>
        <v>1.4999999999999999E-2</v>
      </c>
      <c r="AH38" s="48">
        <f t="shared" si="21"/>
        <v>106.15595869914451</v>
      </c>
      <c r="AI38" s="48">
        <f t="shared" si="22"/>
        <v>10359.955958699145</v>
      </c>
      <c r="AJ38" s="24"/>
      <c r="AK38" s="56">
        <f t="shared" si="54"/>
        <v>100</v>
      </c>
      <c r="AL38" s="48">
        <f t="shared" si="55"/>
        <v>10000</v>
      </c>
      <c r="AM38" s="48">
        <f t="shared" si="56"/>
        <v>10000</v>
      </c>
      <c r="AN38" s="48">
        <f t="shared" si="57"/>
        <v>10169.999999999998</v>
      </c>
      <c r="AO38" s="59">
        <f t="shared" si="23"/>
        <v>6.0000000000000005E-2</v>
      </c>
      <c r="AP38" s="48">
        <f t="shared" si="24"/>
        <v>10576.8</v>
      </c>
      <c r="AQ38" s="48" t="str">
        <f t="shared" si="25"/>
        <v>nie</v>
      </c>
      <c r="AR38" s="48">
        <f t="shared" si="26"/>
        <v>200</v>
      </c>
      <c r="AS38" s="48">
        <f t="shared" si="27"/>
        <v>10305.207999999999</v>
      </c>
      <c r="AT38" s="48">
        <f t="shared" si="28"/>
        <v>0</v>
      </c>
      <c r="AU38" s="59">
        <f t="shared" si="29"/>
        <v>1.4999999999999999E-2</v>
      </c>
      <c r="AV38" s="48">
        <f t="shared" si="30"/>
        <v>0</v>
      </c>
      <c r="AW38" s="48">
        <f t="shared" si="31"/>
        <v>10305.207999999999</v>
      </c>
      <c r="AY38" s="56">
        <f t="shared" si="63"/>
        <v>100</v>
      </c>
      <c r="AZ38" s="48">
        <f t="shared" si="64"/>
        <v>10000</v>
      </c>
      <c r="BA38" s="48">
        <f t="shared" si="58"/>
        <v>10000</v>
      </c>
      <c r="BB38" s="48">
        <f t="shared" si="59"/>
        <v>10149.999999999998</v>
      </c>
      <c r="BC38" s="59">
        <f t="shared" si="32"/>
        <v>6.25E-2</v>
      </c>
      <c r="BD38" s="48">
        <f t="shared" si="33"/>
        <v>10572.916666666666</v>
      </c>
      <c r="BE38" s="48" t="str">
        <f t="shared" si="34"/>
        <v>nie</v>
      </c>
      <c r="BF38" s="48">
        <f t="shared" si="35"/>
        <v>70</v>
      </c>
      <c r="BG38" s="48">
        <f t="shared" si="36"/>
        <v>10407.362499999999</v>
      </c>
      <c r="BH38" s="48">
        <f t="shared" si="37"/>
        <v>0</v>
      </c>
      <c r="BI38" s="59">
        <f t="shared" si="38"/>
        <v>1.4999999999999999E-2</v>
      </c>
      <c r="BJ38" s="48">
        <f t="shared" si="39"/>
        <v>0</v>
      </c>
      <c r="BK38" s="48">
        <f t="shared" si="40"/>
        <v>10407.362499999999</v>
      </c>
      <c r="BL38" s="24"/>
      <c r="BM38" s="56">
        <f t="shared" si="65"/>
        <v>100</v>
      </c>
      <c r="BN38" s="48">
        <f t="shared" si="66"/>
        <v>10000</v>
      </c>
      <c r="BO38" s="48">
        <f t="shared" si="60"/>
        <v>10000</v>
      </c>
      <c r="BP38" s="48">
        <f t="shared" si="61"/>
        <v>10200</v>
      </c>
      <c r="BQ38" s="59">
        <f t="shared" si="41"/>
        <v>6.5000000000000002E-2</v>
      </c>
      <c r="BR38" s="48">
        <f t="shared" si="42"/>
        <v>10642.000000000002</v>
      </c>
      <c r="BS38" s="48" t="str">
        <f t="shared" si="43"/>
        <v>nie</v>
      </c>
      <c r="BT38" s="48">
        <f t="shared" si="44"/>
        <v>200</v>
      </c>
      <c r="BU38" s="48">
        <f t="shared" si="45"/>
        <v>10358.020000000002</v>
      </c>
      <c r="BV38" s="48">
        <f t="shared" si="46"/>
        <v>0</v>
      </c>
      <c r="BW38" s="59">
        <f t="shared" si="47"/>
        <v>1.4999999999999999E-2</v>
      </c>
      <c r="BX38" s="48">
        <f t="shared" si="48"/>
        <v>0</v>
      </c>
      <c r="BY38" s="48">
        <f t="shared" si="49"/>
        <v>10358.020000000002</v>
      </c>
    </row>
    <row r="39" spans="1:77" s="25" customFormat="1" ht="14">
      <c r="A39" s="24"/>
      <c r="B39" s="172"/>
      <c r="C39" s="66">
        <f t="shared" si="75"/>
        <v>5</v>
      </c>
      <c r="D39" s="48">
        <f t="shared" si="76"/>
        <v>10000</v>
      </c>
      <c r="E39" s="48">
        <f t="shared" si="77"/>
        <v>10000</v>
      </c>
      <c r="F39" s="48">
        <f t="shared" si="78"/>
        <v>10000</v>
      </c>
      <c r="G39" s="49">
        <f t="shared" si="79"/>
        <v>10000</v>
      </c>
      <c r="H39" s="49">
        <f t="shared" si="80"/>
        <v>10050.72761947463</v>
      </c>
      <c r="I39" s="48">
        <f t="shared" si="81"/>
        <v>10208.333333333332</v>
      </c>
      <c r="J39" s="24"/>
      <c r="K39" s="84"/>
      <c r="L39" s="64">
        <f t="shared" si="82"/>
        <v>5</v>
      </c>
      <c r="M39" s="51">
        <f t="shared" si="69"/>
        <v>0</v>
      </c>
      <c r="N39" s="51">
        <f t="shared" si="70"/>
        <v>0</v>
      </c>
      <c r="O39" s="51">
        <f t="shared" si="71"/>
        <v>0</v>
      </c>
      <c r="P39" s="51">
        <f t="shared" si="72"/>
        <v>0</v>
      </c>
      <c r="Q39" s="51">
        <f t="shared" si="73"/>
        <v>5.0727619474630892E-3</v>
      </c>
      <c r="R39" s="51">
        <f t="shared" si="74"/>
        <v>2.0833333333333259E-2</v>
      </c>
      <c r="S39" s="24"/>
      <c r="T39" s="45">
        <f t="shared" si="50"/>
        <v>21</v>
      </c>
      <c r="U39" s="59">
        <f t="shared" si="67"/>
        <v>0.05</v>
      </c>
      <c r="V39" s="48">
        <f t="shared" si="13"/>
        <v>10893.750000000002</v>
      </c>
      <c r="W39" s="56">
        <f t="shared" si="51"/>
        <v>100</v>
      </c>
      <c r="X39" s="48">
        <f t="shared" si="52"/>
        <v>10000</v>
      </c>
      <c r="Y39" s="48">
        <f t="shared" si="62"/>
        <v>10000</v>
      </c>
      <c r="Z39" s="48">
        <f t="shared" si="53"/>
        <v>10000</v>
      </c>
      <c r="AA39" s="59">
        <f t="shared" si="14"/>
        <v>5.7500000000000002E-2</v>
      </c>
      <c r="AB39" s="48">
        <f t="shared" si="15"/>
        <v>10431.25</v>
      </c>
      <c r="AC39" s="48" t="str">
        <f t="shared" si="16"/>
        <v>nie</v>
      </c>
      <c r="AD39" s="48">
        <f t="shared" si="17"/>
        <v>70</v>
      </c>
      <c r="AE39" s="48">
        <f t="shared" si="18"/>
        <v>10292.612499999999</v>
      </c>
      <c r="AF39" s="48">
        <f t="shared" si="19"/>
        <v>0</v>
      </c>
      <c r="AG39" s="59">
        <f t="shared" si="20"/>
        <v>1.4999999999999999E-2</v>
      </c>
      <c r="AH39" s="48">
        <f t="shared" si="21"/>
        <v>106.26344160732739</v>
      </c>
      <c r="AI39" s="48">
        <f t="shared" si="22"/>
        <v>10398.875941607326</v>
      </c>
      <c r="AJ39" s="24"/>
      <c r="AK39" s="56">
        <f t="shared" si="54"/>
        <v>100</v>
      </c>
      <c r="AL39" s="48">
        <f t="shared" si="55"/>
        <v>10000</v>
      </c>
      <c r="AM39" s="48">
        <f t="shared" si="56"/>
        <v>10000</v>
      </c>
      <c r="AN39" s="48">
        <f t="shared" si="57"/>
        <v>10169.999999999998</v>
      </c>
      <c r="AO39" s="59">
        <f t="shared" si="23"/>
        <v>6.0000000000000005E-2</v>
      </c>
      <c r="AP39" s="48">
        <f t="shared" si="24"/>
        <v>10627.649999999998</v>
      </c>
      <c r="AQ39" s="48" t="str">
        <f t="shared" si="25"/>
        <v>nie</v>
      </c>
      <c r="AR39" s="48">
        <f t="shared" si="26"/>
        <v>200</v>
      </c>
      <c r="AS39" s="48">
        <f t="shared" si="27"/>
        <v>10346.396499999999</v>
      </c>
      <c r="AT39" s="48">
        <f t="shared" si="28"/>
        <v>0</v>
      </c>
      <c r="AU39" s="59">
        <f t="shared" si="29"/>
        <v>1.4999999999999999E-2</v>
      </c>
      <c r="AV39" s="48">
        <f t="shared" si="30"/>
        <v>0</v>
      </c>
      <c r="AW39" s="48">
        <f t="shared" si="31"/>
        <v>10346.396499999999</v>
      </c>
      <c r="AY39" s="56">
        <f t="shared" si="63"/>
        <v>100</v>
      </c>
      <c r="AZ39" s="48">
        <f t="shared" si="64"/>
        <v>10000</v>
      </c>
      <c r="BA39" s="48">
        <f t="shared" si="58"/>
        <v>10000</v>
      </c>
      <c r="BB39" s="48">
        <f t="shared" si="59"/>
        <v>10149.999999999998</v>
      </c>
      <c r="BC39" s="59">
        <f t="shared" si="32"/>
        <v>6.25E-2</v>
      </c>
      <c r="BD39" s="48">
        <f t="shared" si="33"/>
        <v>10625.781249999998</v>
      </c>
      <c r="BE39" s="48" t="str">
        <f t="shared" si="34"/>
        <v>nie</v>
      </c>
      <c r="BF39" s="48">
        <f t="shared" si="35"/>
        <v>70</v>
      </c>
      <c r="BG39" s="48">
        <f t="shared" si="36"/>
        <v>10450.182812499999</v>
      </c>
      <c r="BH39" s="48">
        <f t="shared" si="37"/>
        <v>0</v>
      </c>
      <c r="BI39" s="59">
        <f t="shared" si="38"/>
        <v>1.4999999999999999E-2</v>
      </c>
      <c r="BJ39" s="48">
        <f t="shared" si="39"/>
        <v>0</v>
      </c>
      <c r="BK39" s="48">
        <f t="shared" si="40"/>
        <v>10450.182812499999</v>
      </c>
      <c r="BL39" s="24"/>
      <c r="BM39" s="56">
        <f t="shared" si="65"/>
        <v>100</v>
      </c>
      <c r="BN39" s="48">
        <f t="shared" si="66"/>
        <v>10000</v>
      </c>
      <c r="BO39" s="48">
        <f t="shared" si="60"/>
        <v>10000</v>
      </c>
      <c r="BP39" s="48">
        <f t="shared" si="61"/>
        <v>10200</v>
      </c>
      <c r="BQ39" s="59">
        <f t="shared" si="41"/>
        <v>6.5000000000000002E-2</v>
      </c>
      <c r="BR39" s="48">
        <f t="shared" si="42"/>
        <v>10697.25</v>
      </c>
      <c r="BS39" s="48" t="str">
        <f t="shared" si="43"/>
        <v>nie</v>
      </c>
      <c r="BT39" s="48">
        <f t="shared" si="44"/>
        <v>200</v>
      </c>
      <c r="BU39" s="48">
        <f t="shared" si="45"/>
        <v>10402.772499999999</v>
      </c>
      <c r="BV39" s="48">
        <f t="shared" si="46"/>
        <v>0</v>
      </c>
      <c r="BW39" s="59">
        <f t="shared" si="47"/>
        <v>1.4999999999999999E-2</v>
      </c>
      <c r="BX39" s="48">
        <f t="shared" si="48"/>
        <v>0</v>
      </c>
      <c r="BY39" s="48">
        <f t="shared" si="49"/>
        <v>10402.772499999999</v>
      </c>
    </row>
    <row r="40" spans="1:77" s="25" customFormat="1" ht="14">
      <c r="A40" s="24"/>
      <c r="B40" s="172"/>
      <c r="C40" s="66">
        <f t="shared" si="75"/>
        <v>6</v>
      </c>
      <c r="D40" s="48">
        <f t="shared" si="76"/>
        <v>10000</v>
      </c>
      <c r="E40" s="48">
        <f t="shared" si="77"/>
        <v>10000</v>
      </c>
      <c r="F40" s="48">
        <f t="shared" si="78"/>
        <v>10004.049999999999</v>
      </c>
      <c r="G40" s="49">
        <f t="shared" si="79"/>
        <v>10000</v>
      </c>
      <c r="H40" s="49">
        <f t="shared" si="80"/>
        <v>10060.903981189349</v>
      </c>
      <c r="I40" s="48">
        <f t="shared" si="81"/>
        <v>10250</v>
      </c>
      <c r="J40" s="24"/>
      <c r="K40" s="84"/>
      <c r="L40" s="64">
        <f t="shared" si="82"/>
        <v>6</v>
      </c>
      <c r="M40" s="51">
        <f t="shared" si="69"/>
        <v>0</v>
      </c>
      <c r="N40" s="51">
        <f t="shared" si="70"/>
        <v>0</v>
      </c>
      <c r="O40" s="51">
        <f t="shared" si="71"/>
        <v>4.049999999999887E-4</v>
      </c>
      <c r="P40" s="51">
        <f t="shared" si="72"/>
        <v>0</v>
      </c>
      <c r="Q40" s="51">
        <f t="shared" si="73"/>
        <v>6.0903981189348588E-3</v>
      </c>
      <c r="R40" s="51">
        <f t="shared" si="74"/>
        <v>2.4999999999999911E-2</v>
      </c>
      <c r="S40" s="24"/>
      <c r="T40" s="45">
        <f t="shared" si="50"/>
        <v>22</v>
      </c>
      <c r="U40" s="59">
        <f t="shared" si="67"/>
        <v>0.05</v>
      </c>
      <c r="V40" s="48">
        <f t="shared" si="13"/>
        <v>10937.5</v>
      </c>
      <c r="W40" s="56">
        <f t="shared" si="51"/>
        <v>100</v>
      </c>
      <c r="X40" s="48">
        <f t="shared" si="52"/>
        <v>10000</v>
      </c>
      <c r="Y40" s="48">
        <f t="shared" si="62"/>
        <v>10000</v>
      </c>
      <c r="Z40" s="48">
        <f t="shared" si="53"/>
        <v>10000</v>
      </c>
      <c r="AA40" s="59">
        <f t="shared" si="14"/>
        <v>5.7500000000000002E-2</v>
      </c>
      <c r="AB40" s="48">
        <f t="shared" si="15"/>
        <v>10479.166666666666</v>
      </c>
      <c r="AC40" s="48" t="str">
        <f t="shared" si="16"/>
        <v>nie</v>
      </c>
      <c r="AD40" s="48">
        <f t="shared" si="17"/>
        <v>70</v>
      </c>
      <c r="AE40" s="48">
        <f t="shared" si="18"/>
        <v>10331.424999999999</v>
      </c>
      <c r="AF40" s="48">
        <f t="shared" si="19"/>
        <v>0</v>
      </c>
      <c r="AG40" s="59">
        <f t="shared" si="20"/>
        <v>1.4999999999999999E-2</v>
      </c>
      <c r="AH40" s="48">
        <f t="shared" si="21"/>
        <v>106.37103334195483</v>
      </c>
      <c r="AI40" s="48">
        <f t="shared" si="22"/>
        <v>10437.796033341954</v>
      </c>
      <c r="AJ40" s="24"/>
      <c r="AK40" s="56">
        <f t="shared" si="54"/>
        <v>100</v>
      </c>
      <c r="AL40" s="48">
        <f t="shared" si="55"/>
        <v>10000</v>
      </c>
      <c r="AM40" s="48">
        <f t="shared" si="56"/>
        <v>10000</v>
      </c>
      <c r="AN40" s="48">
        <f t="shared" si="57"/>
        <v>10169.999999999998</v>
      </c>
      <c r="AO40" s="59">
        <f t="shared" si="23"/>
        <v>6.0000000000000005E-2</v>
      </c>
      <c r="AP40" s="48">
        <f t="shared" si="24"/>
        <v>10678.499999999998</v>
      </c>
      <c r="AQ40" s="48" t="str">
        <f t="shared" si="25"/>
        <v>nie</v>
      </c>
      <c r="AR40" s="48">
        <f t="shared" si="26"/>
        <v>200</v>
      </c>
      <c r="AS40" s="48">
        <f t="shared" si="27"/>
        <v>10387.584999999999</v>
      </c>
      <c r="AT40" s="48">
        <f t="shared" si="28"/>
        <v>0</v>
      </c>
      <c r="AU40" s="59">
        <f t="shared" si="29"/>
        <v>1.4999999999999999E-2</v>
      </c>
      <c r="AV40" s="48">
        <f t="shared" si="30"/>
        <v>0</v>
      </c>
      <c r="AW40" s="48">
        <f t="shared" si="31"/>
        <v>10387.584999999999</v>
      </c>
      <c r="AY40" s="56">
        <f t="shared" si="63"/>
        <v>100</v>
      </c>
      <c r="AZ40" s="48">
        <f t="shared" si="64"/>
        <v>10000</v>
      </c>
      <c r="BA40" s="48">
        <f t="shared" si="58"/>
        <v>10000</v>
      </c>
      <c r="BB40" s="48">
        <f t="shared" si="59"/>
        <v>10149.999999999998</v>
      </c>
      <c r="BC40" s="59">
        <f t="shared" si="32"/>
        <v>6.25E-2</v>
      </c>
      <c r="BD40" s="48">
        <f t="shared" si="33"/>
        <v>10678.64583333333</v>
      </c>
      <c r="BE40" s="48" t="str">
        <f t="shared" si="34"/>
        <v>nie</v>
      </c>
      <c r="BF40" s="48">
        <f t="shared" si="35"/>
        <v>70</v>
      </c>
      <c r="BG40" s="48">
        <f t="shared" si="36"/>
        <v>10493.003124999997</v>
      </c>
      <c r="BH40" s="48">
        <f t="shared" si="37"/>
        <v>0</v>
      </c>
      <c r="BI40" s="59">
        <f t="shared" si="38"/>
        <v>1.4999999999999999E-2</v>
      </c>
      <c r="BJ40" s="48">
        <f t="shared" si="39"/>
        <v>0</v>
      </c>
      <c r="BK40" s="48">
        <f t="shared" si="40"/>
        <v>10493.003124999997</v>
      </c>
      <c r="BL40" s="24"/>
      <c r="BM40" s="56">
        <f t="shared" si="65"/>
        <v>100</v>
      </c>
      <c r="BN40" s="48">
        <f t="shared" si="66"/>
        <v>10000</v>
      </c>
      <c r="BO40" s="48">
        <f t="shared" si="60"/>
        <v>10000</v>
      </c>
      <c r="BP40" s="48">
        <f t="shared" si="61"/>
        <v>10200</v>
      </c>
      <c r="BQ40" s="59">
        <f t="shared" si="41"/>
        <v>6.5000000000000002E-2</v>
      </c>
      <c r="BR40" s="48">
        <f t="shared" si="42"/>
        <v>10752.5</v>
      </c>
      <c r="BS40" s="48" t="str">
        <f t="shared" si="43"/>
        <v>nie</v>
      </c>
      <c r="BT40" s="48">
        <f t="shared" si="44"/>
        <v>200</v>
      </c>
      <c r="BU40" s="48">
        <f t="shared" si="45"/>
        <v>10447.525</v>
      </c>
      <c r="BV40" s="48">
        <f t="shared" si="46"/>
        <v>0</v>
      </c>
      <c r="BW40" s="59">
        <f t="shared" si="47"/>
        <v>1.4999999999999999E-2</v>
      </c>
      <c r="BX40" s="48">
        <f t="shared" si="48"/>
        <v>0</v>
      </c>
      <c r="BY40" s="48">
        <f t="shared" si="49"/>
        <v>10447.525</v>
      </c>
    </row>
    <row r="41" spans="1:77" s="25" customFormat="1" ht="14">
      <c r="A41" s="24"/>
      <c r="B41" s="172"/>
      <c r="C41" s="66">
        <f t="shared" si="75"/>
        <v>7</v>
      </c>
      <c r="D41" s="48">
        <f t="shared" si="76"/>
        <v>10004.724999999999</v>
      </c>
      <c r="E41" s="48">
        <f t="shared" si="77"/>
        <v>10000</v>
      </c>
      <c r="F41" s="48">
        <f t="shared" si="78"/>
        <v>10014.174999999999</v>
      </c>
      <c r="G41" s="49">
        <f t="shared" si="79"/>
        <v>10000</v>
      </c>
      <c r="H41" s="49">
        <f t="shared" si="80"/>
        <v>10071.090646470304</v>
      </c>
      <c r="I41" s="48">
        <f t="shared" si="81"/>
        <v>10291.666666666666</v>
      </c>
      <c r="J41" s="24"/>
      <c r="K41" s="84"/>
      <c r="L41" s="64">
        <f t="shared" si="82"/>
        <v>7</v>
      </c>
      <c r="M41" s="51">
        <f t="shared" si="69"/>
        <v>4.724999999998758E-4</v>
      </c>
      <c r="N41" s="51">
        <f t="shared" si="70"/>
        <v>0</v>
      </c>
      <c r="O41" s="51">
        <f t="shared" si="71"/>
        <v>1.4174999999998494E-3</v>
      </c>
      <c r="P41" s="51">
        <f t="shared" si="72"/>
        <v>0</v>
      </c>
      <c r="Q41" s="51">
        <f t="shared" si="73"/>
        <v>7.1090646470304275E-3</v>
      </c>
      <c r="R41" s="51">
        <f t="shared" si="74"/>
        <v>2.9166666666666563E-2</v>
      </c>
      <c r="S41" s="24"/>
      <c r="T41" s="45">
        <f t="shared" si="50"/>
        <v>23</v>
      </c>
      <c r="U41" s="59">
        <f t="shared" si="67"/>
        <v>0.05</v>
      </c>
      <c r="V41" s="48">
        <f t="shared" si="13"/>
        <v>10981.25</v>
      </c>
      <c r="W41" s="56">
        <f t="shared" si="51"/>
        <v>100</v>
      </c>
      <c r="X41" s="48">
        <f t="shared" si="52"/>
        <v>10000</v>
      </c>
      <c r="Y41" s="48">
        <f t="shared" si="62"/>
        <v>10000</v>
      </c>
      <c r="Z41" s="48">
        <f t="shared" si="53"/>
        <v>10000</v>
      </c>
      <c r="AA41" s="59">
        <f t="shared" si="14"/>
        <v>5.7500000000000002E-2</v>
      </c>
      <c r="AB41" s="48">
        <f t="shared" si="15"/>
        <v>10527.083333333334</v>
      </c>
      <c r="AC41" s="48" t="str">
        <f t="shared" si="16"/>
        <v>nie</v>
      </c>
      <c r="AD41" s="48">
        <f t="shared" si="17"/>
        <v>70</v>
      </c>
      <c r="AE41" s="48">
        <f t="shared" si="18"/>
        <v>10370.237500000001</v>
      </c>
      <c r="AF41" s="48">
        <f t="shared" si="19"/>
        <v>0</v>
      </c>
      <c r="AG41" s="59">
        <f t="shared" si="20"/>
        <v>1.4999999999999999E-2</v>
      </c>
      <c r="AH41" s="48">
        <f t="shared" si="21"/>
        <v>106.47873401321357</v>
      </c>
      <c r="AI41" s="48">
        <f t="shared" si="22"/>
        <v>10476.716234013214</v>
      </c>
      <c r="AJ41" s="24"/>
      <c r="AK41" s="56">
        <f t="shared" si="54"/>
        <v>100</v>
      </c>
      <c r="AL41" s="48">
        <f t="shared" si="55"/>
        <v>10000</v>
      </c>
      <c r="AM41" s="48">
        <f t="shared" si="56"/>
        <v>10000</v>
      </c>
      <c r="AN41" s="48">
        <f t="shared" si="57"/>
        <v>10169.999999999998</v>
      </c>
      <c r="AO41" s="59">
        <f t="shared" si="23"/>
        <v>6.0000000000000005E-2</v>
      </c>
      <c r="AP41" s="48">
        <f t="shared" si="24"/>
        <v>10729.349999999997</v>
      </c>
      <c r="AQ41" s="48" t="str">
        <f t="shared" si="25"/>
        <v>nie</v>
      </c>
      <c r="AR41" s="48">
        <f t="shared" si="26"/>
        <v>200</v>
      </c>
      <c r="AS41" s="48">
        <f t="shared" si="27"/>
        <v>10428.773499999998</v>
      </c>
      <c r="AT41" s="48">
        <f t="shared" si="28"/>
        <v>0</v>
      </c>
      <c r="AU41" s="59">
        <f t="shared" si="29"/>
        <v>1.4999999999999999E-2</v>
      </c>
      <c r="AV41" s="48">
        <f t="shared" si="30"/>
        <v>0</v>
      </c>
      <c r="AW41" s="48">
        <f t="shared" si="31"/>
        <v>10428.773499999998</v>
      </c>
      <c r="AY41" s="56">
        <f t="shared" si="63"/>
        <v>100</v>
      </c>
      <c r="AZ41" s="48">
        <f t="shared" si="64"/>
        <v>10000</v>
      </c>
      <c r="BA41" s="48">
        <f t="shared" si="58"/>
        <v>10000</v>
      </c>
      <c r="BB41" s="48">
        <f t="shared" si="59"/>
        <v>10149.999999999998</v>
      </c>
      <c r="BC41" s="59">
        <f t="shared" si="32"/>
        <v>6.25E-2</v>
      </c>
      <c r="BD41" s="48">
        <f t="shared" si="33"/>
        <v>10731.510416666666</v>
      </c>
      <c r="BE41" s="48" t="str">
        <f t="shared" si="34"/>
        <v>nie</v>
      </c>
      <c r="BF41" s="48">
        <f t="shared" si="35"/>
        <v>70</v>
      </c>
      <c r="BG41" s="48">
        <f t="shared" si="36"/>
        <v>10535.823437499999</v>
      </c>
      <c r="BH41" s="48">
        <f t="shared" si="37"/>
        <v>0</v>
      </c>
      <c r="BI41" s="59">
        <f t="shared" si="38"/>
        <v>1.4999999999999999E-2</v>
      </c>
      <c r="BJ41" s="48">
        <f t="shared" si="39"/>
        <v>0</v>
      </c>
      <c r="BK41" s="48">
        <f t="shared" si="40"/>
        <v>10535.823437499999</v>
      </c>
      <c r="BL41" s="24"/>
      <c r="BM41" s="56">
        <f t="shared" si="65"/>
        <v>100</v>
      </c>
      <c r="BN41" s="48">
        <f t="shared" si="66"/>
        <v>10000</v>
      </c>
      <c r="BO41" s="48">
        <f t="shared" si="60"/>
        <v>10000</v>
      </c>
      <c r="BP41" s="48">
        <f t="shared" si="61"/>
        <v>10200</v>
      </c>
      <c r="BQ41" s="59">
        <f t="shared" si="41"/>
        <v>6.5000000000000002E-2</v>
      </c>
      <c r="BR41" s="48">
        <f t="shared" si="42"/>
        <v>10807.75</v>
      </c>
      <c r="BS41" s="48" t="str">
        <f t="shared" si="43"/>
        <v>nie</v>
      </c>
      <c r="BT41" s="48">
        <f t="shared" si="44"/>
        <v>200</v>
      </c>
      <c r="BU41" s="48">
        <f t="shared" si="45"/>
        <v>10492.2775</v>
      </c>
      <c r="BV41" s="48">
        <f t="shared" si="46"/>
        <v>0</v>
      </c>
      <c r="BW41" s="59">
        <f t="shared" si="47"/>
        <v>1.4999999999999999E-2</v>
      </c>
      <c r="BX41" s="48">
        <f t="shared" si="48"/>
        <v>0</v>
      </c>
      <c r="BY41" s="48">
        <f t="shared" si="49"/>
        <v>10492.2775</v>
      </c>
    </row>
    <row r="42" spans="1:77" s="25" customFormat="1" ht="14">
      <c r="A42" s="24"/>
      <c r="B42" s="172"/>
      <c r="C42" s="66">
        <f t="shared" si="75"/>
        <v>8</v>
      </c>
      <c r="D42" s="48">
        <f t="shared" si="76"/>
        <v>10013.5</v>
      </c>
      <c r="E42" s="48">
        <f t="shared" si="77"/>
        <v>10000</v>
      </c>
      <c r="F42" s="48">
        <f t="shared" si="78"/>
        <v>10024.299999999999</v>
      </c>
      <c r="G42" s="49">
        <f t="shared" si="79"/>
        <v>10000</v>
      </c>
      <c r="H42" s="49">
        <f t="shared" si="80"/>
        <v>10081.287625749856</v>
      </c>
      <c r="I42" s="48">
        <f t="shared" si="81"/>
        <v>10333.333333333334</v>
      </c>
      <c r="J42" s="24"/>
      <c r="K42" s="84"/>
      <c r="L42" s="64">
        <f t="shared" si="82"/>
        <v>8</v>
      </c>
      <c r="M42" s="51">
        <f t="shared" si="69"/>
        <v>1.3499999999999623E-3</v>
      </c>
      <c r="N42" s="51">
        <f t="shared" si="70"/>
        <v>0</v>
      </c>
      <c r="O42" s="51">
        <f t="shared" si="71"/>
        <v>2.4299999999999322E-3</v>
      </c>
      <c r="P42" s="51">
        <f t="shared" si="72"/>
        <v>0</v>
      </c>
      <c r="Q42" s="51">
        <f t="shared" si="73"/>
        <v>8.1287625749855152E-3</v>
      </c>
      <c r="R42" s="51">
        <f t="shared" si="74"/>
        <v>3.3333333333333437E-2</v>
      </c>
      <c r="S42" s="24"/>
      <c r="T42" s="45">
        <f t="shared" si="50"/>
        <v>24</v>
      </c>
      <c r="U42" s="59">
        <f t="shared" si="67"/>
        <v>0.05</v>
      </c>
      <c r="V42" s="48">
        <f t="shared" si="13"/>
        <v>11025</v>
      </c>
      <c r="W42" s="56">
        <f t="shared" si="51"/>
        <v>100</v>
      </c>
      <c r="X42" s="48">
        <f t="shared" si="52"/>
        <v>10000</v>
      </c>
      <c r="Y42" s="48">
        <f t="shared" si="62"/>
        <v>10000</v>
      </c>
      <c r="Z42" s="48">
        <f t="shared" si="53"/>
        <v>10000</v>
      </c>
      <c r="AA42" s="59">
        <f t="shared" si="14"/>
        <v>5.7500000000000002E-2</v>
      </c>
      <c r="AB42" s="48">
        <f t="shared" si="15"/>
        <v>10575.000000000002</v>
      </c>
      <c r="AC42" s="48" t="str">
        <f t="shared" si="16"/>
        <v>nie</v>
      </c>
      <c r="AD42" s="48">
        <f t="shared" si="17"/>
        <v>70</v>
      </c>
      <c r="AE42" s="48">
        <f t="shared" si="18"/>
        <v>10409.050000000001</v>
      </c>
      <c r="AF42" s="48">
        <f t="shared" si="19"/>
        <v>465.75000000000148</v>
      </c>
      <c r="AG42" s="59">
        <f t="shared" si="20"/>
        <v>1.4999999999999999E-2</v>
      </c>
      <c r="AH42" s="48">
        <f t="shared" si="21"/>
        <v>572.33654373140348</v>
      </c>
      <c r="AI42" s="48">
        <f t="shared" si="22"/>
        <v>10515.636543731403</v>
      </c>
      <c r="AJ42" s="24"/>
      <c r="AK42" s="56">
        <f t="shared" si="54"/>
        <v>100</v>
      </c>
      <c r="AL42" s="48">
        <f t="shared" si="55"/>
        <v>10000</v>
      </c>
      <c r="AM42" s="48">
        <f t="shared" si="56"/>
        <v>10000</v>
      </c>
      <c r="AN42" s="48">
        <f t="shared" si="57"/>
        <v>10169.999999999998</v>
      </c>
      <c r="AO42" s="59">
        <f t="shared" si="23"/>
        <v>6.0000000000000005E-2</v>
      </c>
      <c r="AP42" s="48">
        <f t="shared" si="24"/>
        <v>10780.199999999999</v>
      </c>
      <c r="AQ42" s="48" t="str">
        <f t="shared" si="25"/>
        <v>nie</v>
      </c>
      <c r="AR42" s="48">
        <f t="shared" si="26"/>
        <v>200</v>
      </c>
      <c r="AS42" s="48">
        <f t="shared" si="27"/>
        <v>10469.962</v>
      </c>
      <c r="AT42" s="48">
        <f t="shared" si="28"/>
        <v>0</v>
      </c>
      <c r="AU42" s="59">
        <f t="shared" si="29"/>
        <v>1.4999999999999999E-2</v>
      </c>
      <c r="AV42" s="48">
        <f t="shared" si="30"/>
        <v>0</v>
      </c>
      <c r="AW42" s="48">
        <f t="shared" si="31"/>
        <v>10469.962</v>
      </c>
      <c r="AY42" s="56">
        <f t="shared" si="63"/>
        <v>100</v>
      </c>
      <c r="AZ42" s="48">
        <f t="shared" si="64"/>
        <v>10000</v>
      </c>
      <c r="BA42" s="48">
        <f t="shared" si="58"/>
        <v>10000</v>
      </c>
      <c r="BB42" s="48">
        <f t="shared" si="59"/>
        <v>10149.999999999998</v>
      </c>
      <c r="BC42" s="59">
        <f t="shared" si="32"/>
        <v>6.25E-2</v>
      </c>
      <c r="BD42" s="48">
        <f t="shared" si="33"/>
        <v>10784.374999999998</v>
      </c>
      <c r="BE42" s="48" t="str">
        <f t="shared" si="34"/>
        <v>nie</v>
      </c>
      <c r="BF42" s="48">
        <f t="shared" si="35"/>
        <v>70</v>
      </c>
      <c r="BG42" s="48">
        <f t="shared" si="36"/>
        <v>10578.643749999999</v>
      </c>
      <c r="BH42" s="48">
        <f t="shared" si="37"/>
        <v>0</v>
      </c>
      <c r="BI42" s="59">
        <f t="shared" si="38"/>
        <v>1.4999999999999999E-2</v>
      </c>
      <c r="BJ42" s="48">
        <f t="shared" si="39"/>
        <v>0</v>
      </c>
      <c r="BK42" s="48">
        <f t="shared" si="40"/>
        <v>10578.643749999999</v>
      </c>
      <c r="BL42" s="24"/>
      <c r="BM42" s="56">
        <f t="shared" si="65"/>
        <v>100</v>
      </c>
      <c r="BN42" s="48">
        <f t="shared" si="66"/>
        <v>10000</v>
      </c>
      <c r="BO42" s="48">
        <f t="shared" si="60"/>
        <v>10000</v>
      </c>
      <c r="BP42" s="48">
        <f t="shared" si="61"/>
        <v>10200</v>
      </c>
      <c r="BQ42" s="59">
        <f t="shared" si="41"/>
        <v>6.5000000000000002E-2</v>
      </c>
      <c r="BR42" s="48">
        <f t="shared" si="42"/>
        <v>10863</v>
      </c>
      <c r="BS42" s="48" t="str">
        <f t="shared" si="43"/>
        <v>nie</v>
      </c>
      <c r="BT42" s="48">
        <f t="shared" si="44"/>
        <v>200</v>
      </c>
      <c r="BU42" s="48">
        <f t="shared" si="45"/>
        <v>10537.03</v>
      </c>
      <c r="BV42" s="48">
        <f t="shared" si="46"/>
        <v>0</v>
      </c>
      <c r="BW42" s="59">
        <f t="shared" si="47"/>
        <v>1.4999999999999999E-2</v>
      </c>
      <c r="BX42" s="48">
        <f t="shared" si="48"/>
        <v>0</v>
      </c>
      <c r="BY42" s="48">
        <f t="shared" si="49"/>
        <v>10537.03</v>
      </c>
    </row>
    <row r="43" spans="1:77" s="25" customFormat="1" ht="14">
      <c r="A43" s="24"/>
      <c r="B43" s="172"/>
      <c r="C43" s="66">
        <f t="shared" si="75"/>
        <v>9</v>
      </c>
      <c r="D43" s="48">
        <f t="shared" si="76"/>
        <v>10022.275</v>
      </c>
      <c r="E43" s="48">
        <f t="shared" si="77"/>
        <v>10000</v>
      </c>
      <c r="F43" s="48">
        <f t="shared" si="78"/>
        <v>10034.424999999999</v>
      </c>
      <c r="G43" s="49">
        <f t="shared" si="79"/>
        <v>10000</v>
      </c>
      <c r="H43" s="49">
        <f t="shared" si="80"/>
        <v>10091.494929470928</v>
      </c>
      <c r="I43" s="48">
        <f t="shared" si="81"/>
        <v>10375</v>
      </c>
      <c r="J43" s="24"/>
      <c r="K43" s="84"/>
      <c r="L43" s="64">
        <f t="shared" si="82"/>
        <v>9</v>
      </c>
      <c r="M43" s="51">
        <f t="shared" si="69"/>
        <v>2.2275000000000489E-3</v>
      </c>
      <c r="N43" s="51">
        <f t="shared" si="70"/>
        <v>0</v>
      </c>
      <c r="O43" s="51">
        <f t="shared" si="71"/>
        <v>3.442500000000015E-3</v>
      </c>
      <c r="P43" s="51">
        <f t="shared" si="72"/>
        <v>0</v>
      </c>
      <c r="Q43" s="51">
        <f t="shared" si="73"/>
        <v>9.1494929470927744E-3</v>
      </c>
      <c r="R43" s="51">
        <f t="shared" si="74"/>
        <v>3.7500000000000089E-2</v>
      </c>
      <c r="S43" s="24"/>
      <c r="T43" s="45">
        <f t="shared" si="50"/>
        <v>25</v>
      </c>
      <c r="U43" s="59">
        <f t="shared" si="67"/>
        <v>0.05</v>
      </c>
      <c r="V43" s="48">
        <f t="shared" si="13"/>
        <v>11070.9375</v>
      </c>
      <c r="W43" s="56">
        <f t="shared" si="51"/>
        <v>100</v>
      </c>
      <c r="X43" s="48">
        <f t="shared" si="52"/>
        <v>10000</v>
      </c>
      <c r="Y43" s="48">
        <f t="shared" si="62"/>
        <v>10000</v>
      </c>
      <c r="Z43" s="48">
        <f t="shared" si="53"/>
        <v>10000</v>
      </c>
      <c r="AA43" s="59">
        <f t="shared" si="14"/>
        <v>5.7500000000000002E-2</v>
      </c>
      <c r="AB43" s="48">
        <f t="shared" si="15"/>
        <v>10047.916666666668</v>
      </c>
      <c r="AC43" s="48" t="str">
        <f t="shared" si="16"/>
        <v>nie</v>
      </c>
      <c r="AD43" s="48">
        <f t="shared" si="17"/>
        <v>70</v>
      </c>
      <c r="AE43" s="48">
        <f t="shared" si="18"/>
        <v>9982.1125000000011</v>
      </c>
      <c r="AF43" s="48">
        <f t="shared" si="19"/>
        <v>0</v>
      </c>
      <c r="AG43" s="59">
        <f t="shared" si="20"/>
        <v>1.4999999999999999E-2</v>
      </c>
      <c r="AH43" s="48">
        <f t="shared" si="21"/>
        <v>572.91603448193155</v>
      </c>
      <c r="AI43" s="48">
        <f t="shared" si="22"/>
        <v>10555.028534481933</v>
      </c>
      <c r="AJ43" s="24"/>
      <c r="AK43" s="56">
        <f t="shared" si="54"/>
        <v>100</v>
      </c>
      <c r="AL43" s="48">
        <f t="shared" si="55"/>
        <v>10000</v>
      </c>
      <c r="AM43" s="48">
        <f t="shared" si="56"/>
        <v>10000</v>
      </c>
      <c r="AN43" s="48">
        <f t="shared" si="57"/>
        <v>10780.199999999999</v>
      </c>
      <c r="AO43" s="59">
        <f t="shared" si="23"/>
        <v>6.0000000000000005E-2</v>
      </c>
      <c r="AP43" s="48">
        <f t="shared" si="24"/>
        <v>10834.100999999997</v>
      </c>
      <c r="AQ43" s="48" t="str">
        <f t="shared" si="25"/>
        <v>nie</v>
      </c>
      <c r="AR43" s="48">
        <f t="shared" si="26"/>
        <v>200</v>
      </c>
      <c r="AS43" s="48">
        <f t="shared" si="27"/>
        <v>10513.621809999997</v>
      </c>
      <c r="AT43" s="48">
        <f t="shared" si="28"/>
        <v>0</v>
      </c>
      <c r="AU43" s="59">
        <f t="shared" si="29"/>
        <v>1.4999999999999999E-2</v>
      </c>
      <c r="AV43" s="48">
        <f t="shared" si="30"/>
        <v>0</v>
      </c>
      <c r="AW43" s="48">
        <f t="shared" si="31"/>
        <v>10513.621809999997</v>
      </c>
      <c r="AY43" s="56">
        <f t="shared" si="63"/>
        <v>100</v>
      </c>
      <c r="AZ43" s="48">
        <f t="shared" si="64"/>
        <v>10000</v>
      </c>
      <c r="BA43" s="48">
        <f t="shared" si="58"/>
        <v>10000</v>
      </c>
      <c r="BB43" s="48">
        <f t="shared" si="59"/>
        <v>10784.374999999998</v>
      </c>
      <c r="BC43" s="59">
        <f t="shared" si="32"/>
        <v>6.25E-2</v>
      </c>
      <c r="BD43" s="48">
        <f t="shared" si="33"/>
        <v>10840.543619791664</v>
      </c>
      <c r="BE43" s="48" t="str">
        <f t="shared" si="34"/>
        <v>nie</v>
      </c>
      <c r="BF43" s="48">
        <f t="shared" si="35"/>
        <v>70</v>
      </c>
      <c r="BG43" s="48">
        <f t="shared" si="36"/>
        <v>10624.140332031247</v>
      </c>
      <c r="BH43" s="48">
        <f t="shared" si="37"/>
        <v>0</v>
      </c>
      <c r="BI43" s="59">
        <f t="shared" si="38"/>
        <v>1.4999999999999999E-2</v>
      </c>
      <c r="BJ43" s="48">
        <f t="shared" si="39"/>
        <v>0</v>
      </c>
      <c r="BK43" s="48">
        <f t="shared" si="40"/>
        <v>10624.140332031247</v>
      </c>
      <c r="BL43" s="24"/>
      <c r="BM43" s="56">
        <f t="shared" si="65"/>
        <v>100</v>
      </c>
      <c r="BN43" s="48">
        <f t="shared" si="66"/>
        <v>10000</v>
      </c>
      <c r="BO43" s="48">
        <f t="shared" si="60"/>
        <v>10000</v>
      </c>
      <c r="BP43" s="48">
        <f t="shared" si="61"/>
        <v>10863</v>
      </c>
      <c r="BQ43" s="59">
        <f t="shared" si="41"/>
        <v>6.5000000000000002E-2</v>
      </c>
      <c r="BR43" s="48">
        <f t="shared" si="42"/>
        <v>10921.841249999999</v>
      </c>
      <c r="BS43" s="48" t="str">
        <f t="shared" si="43"/>
        <v>nie</v>
      </c>
      <c r="BT43" s="48">
        <f t="shared" si="44"/>
        <v>200</v>
      </c>
      <c r="BU43" s="48">
        <f t="shared" si="45"/>
        <v>10584.6914125</v>
      </c>
      <c r="BV43" s="48">
        <f t="shared" si="46"/>
        <v>0</v>
      </c>
      <c r="BW43" s="59">
        <f t="shared" si="47"/>
        <v>1.4999999999999999E-2</v>
      </c>
      <c r="BX43" s="48">
        <f t="shared" si="48"/>
        <v>0</v>
      </c>
      <c r="BY43" s="48">
        <f t="shared" si="49"/>
        <v>10584.6914125</v>
      </c>
    </row>
    <row r="44" spans="1:77" s="25" customFormat="1" ht="14">
      <c r="A44" s="24"/>
      <c r="B44" s="172"/>
      <c r="C44" s="66">
        <f t="shared" si="75"/>
        <v>10</v>
      </c>
      <c r="D44" s="48">
        <f t="shared" si="76"/>
        <v>10031.049999999999</v>
      </c>
      <c r="E44" s="48">
        <f t="shared" si="77"/>
        <v>10000</v>
      </c>
      <c r="F44" s="48">
        <f t="shared" si="78"/>
        <v>10044.549999999999</v>
      </c>
      <c r="G44" s="49">
        <f t="shared" si="79"/>
        <v>10000</v>
      </c>
      <c r="H44" s="49">
        <f t="shared" si="80"/>
        <v>10101.712568087018</v>
      </c>
      <c r="I44" s="48">
        <f t="shared" si="81"/>
        <v>10416.666666666668</v>
      </c>
      <c r="J44" s="24"/>
      <c r="K44" s="84"/>
      <c r="L44" s="64">
        <f t="shared" si="82"/>
        <v>10</v>
      </c>
      <c r="M44" s="51">
        <f t="shared" si="69"/>
        <v>3.1049999999999134E-3</v>
      </c>
      <c r="N44" s="51">
        <f t="shared" si="70"/>
        <v>0</v>
      </c>
      <c r="O44" s="51">
        <f t="shared" si="71"/>
        <v>4.4549999999998757E-3</v>
      </c>
      <c r="P44" s="51">
        <f t="shared" si="72"/>
        <v>0</v>
      </c>
      <c r="Q44" s="51">
        <f t="shared" si="73"/>
        <v>1.017125680870179E-2</v>
      </c>
      <c r="R44" s="51">
        <f t="shared" si="74"/>
        <v>4.1666666666666741E-2</v>
      </c>
      <c r="S44" s="24"/>
      <c r="T44" s="45">
        <f t="shared" si="50"/>
        <v>26</v>
      </c>
      <c r="U44" s="59">
        <f t="shared" si="67"/>
        <v>0.05</v>
      </c>
      <c r="V44" s="48">
        <f t="shared" si="13"/>
        <v>11116.875</v>
      </c>
      <c r="W44" s="56">
        <f t="shared" si="51"/>
        <v>100</v>
      </c>
      <c r="X44" s="48">
        <f t="shared" si="52"/>
        <v>10000</v>
      </c>
      <c r="Y44" s="48">
        <f t="shared" si="62"/>
        <v>10000</v>
      </c>
      <c r="Z44" s="48">
        <f t="shared" si="53"/>
        <v>10000</v>
      </c>
      <c r="AA44" s="59">
        <f t="shared" si="14"/>
        <v>5.7500000000000002E-2</v>
      </c>
      <c r="AB44" s="48">
        <f t="shared" si="15"/>
        <v>10095.833333333332</v>
      </c>
      <c r="AC44" s="48" t="str">
        <f t="shared" si="16"/>
        <v>nie</v>
      </c>
      <c r="AD44" s="48">
        <f t="shared" si="17"/>
        <v>70</v>
      </c>
      <c r="AE44" s="48">
        <f t="shared" si="18"/>
        <v>10020.924999999999</v>
      </c>
      <c r="AF44" s="48">
        <f t="shared" si="19"/>
        <v>0</v>
      </c>
      <c r="AG44" s="59">
        <f t="shared" si="20"/>
        <v>1.4999999999999999E-2</v>
      </c>
      <c r="AH44" s="48">
        <f t="shared" si="21"/>
        <v>573.49611196684452</v>
      </c>
      <c r="AI44" s="48">
        <f t="shared" si="22"/>
        <v>10594.421111966843</v>
      </c>
      <c r="AJ44" s="24"/>
      <c r="AK44" s="56">
        <f t="shared" si="54"/>
        <v>100</v>
      </c>
      <c r="AL44" s="48">
        <f t="shared" si="55"/>
        <v>10000</v>
      </c>
      <c r="AM44" s="48">
        <f t="shared" si="56"/>
        <v>10000</v>
      </c>
      <c r="AN44" s="48">
        <f t="shared" si="57"/>
        <v>10780.199999999999</v>
      </c>
      <c r="AO44" s="59">
        <f t="shared" si="23"/>
        <v>6.0000000000000005E-2</v>
      </c>
      <c r="AP44" s="48">
        <f t="shared" si="24"/>
        <v>10888.001999999999</v>
      </c>
      <c r="AQ44" s="48" t="str">
        <f t="shared" si="25"/>
        <v>nie</v>
      </c>
      <c r="AR44" s="48">
        <f t="shared" si="26"/>
        <v>200</v>
      </c>
      <c r="AS44" s="48">
        <f t="shared" si="27"/>
        <v>10557.28162</v>
      </c>
      <c r="AT44" s="48">
        <f t="shared" si="28"/>
        <v>0</v>
      </c>
      <c r="AU44" s="59">
        <f t="shared" si="29"/>
        <v>1.4999999999999999E-2</v>
      </c>
      <c r="AV44" s="48">
        <f t="shared" si="30"/>
        <v>0</v>
      </c>
      <c r="AW44" s="48">
        <f t="shared" si="31"/>
        <v>10557.28162</v>
      </c>
      <c r="AY44" s="56">
        <f t="shared" si="63"/>
        <v>100</v>
      </c>
      <c r="AZ44" s="48">
        <f t="shared" si="64"/>
        <v>10000</v>
      </c>
      <c r="BA44" s="48">
        <f t="shared" si="58"/>
        <v>10000</v>
      </c>
      <c r="BB44" s="48">
        <f t="shared" si="59"/>
        <v>10784.374999999998</v>
      </c>
      <c r="BC44" s="59">
        <f t="shared" si="32"/>
        <v>6.25E-2</v>
      </c>
      <c r="BD44" s="48">
        <f t="shared" si="33"/>
        <v>10896.712239583332</v>
      </c>
      <c r="BE44" s="48" t="str">
        <f t="shared" si="34"/>
        <v>nie</v>
      </c>
      <c r="BF44" s="48">
        <f t="shared" si="35"/>
        <v>70</v>
      </c>
      <c r="BG44" s="48">
        <f t="shared" si="36"/>
        <v>10669.636914062499</v>
      </c>
      <c r="BH44" s="48">
        <f t="shared" si="37"/>
        <v>0</v>
      </c>
      <c r="BI44" s="59">
        <f t="shared" si="38"/>
        <v>1.4999999999999999E-2</v>
      </c>
      <c r="BJ44" s="48">
        <f t="shared" si="39"/>
        <v>0</v>
      </c>
      <c r="BK44" s="48">
        <f t="shared" si="40"/>
        <v>10669.636914062499</v>
      </c>
      <c r="BL44" s="24"/>
      <c r="BM44" s="56">
        <f t="shared" si="65"/>
        <v>100</v>
      </c>
      <c r="BN44" s="48">
        <f t="shared" si="66"/>
        <v>10000</v>
      </c>
      <c r="BO44" s="48">
        <f t="shared" si="60"/>
        <v>10000</v>
      </c>
      <c r="BP44" s="48">
        <f t="shared" si="61"/>
        <v>10863</v>
      </c>
      <c r="BQ44" s="59">
        <f t="shared" si="41"/>
        <v>6.5000000000000002E-2</v>
      </c>
      <c r="BR44" s="48">
        <f t="shared" si="42"/>
        <v>10980.682499999999</v>
      </c>
      <c r="BS44" s="48" t="str">
        <f t="shared" si="43"/>
        <v>nie</v>
      </c>
      <c r="BT44" s="48">
        <f t="shared" si="44"/>
        <v>200</v>
      </c>
      <c r="BU44" s="48">
        <f t="shared" si="45"/>
        <v>10632.352825</v>
      </c>
      <c r="BV44" s="48">
        <f t="shared" si="46"/>
        <v>0</v>
      </c>
      <c r="BW44" s="59">
        <f t="shared" si="47"/>
        <v>1.4999999999999999E-2</v>
      </c>
      <c r="BX44" s="48">
        <f t="shared" si="48"/>
        <v>0</v>
      </c>
      <c r="BY44" s="48">
        <f t="shared" si="49"/>
        <v>10632.352825</v>
      </c>
    </row>
    <row r="45" spans="1:77" s="25" customFormat="1" ht="14" customHeight="1">
      <c r="A45" s="24"/>
      <c r="B45" s="172"/>
      <c r="C45" s="66">
        <f t="shared" si="75"/>
        <v>11</v>
      </c>
      <c r="D45" s="48">
        <f t="shared" si="76"/>
        <v>10039.824999999999</v>
      </c>
      <c r="E45" s="48">
        <f t="shared" si="77"/>
        <v>10000</v>
      </c>
      <c r="F45" s="48">
        <f t="shared" si="78"/>
        <v>10054.674999999999</v>
      </c>
      <c r="G45" s="49">
        <f t="shared" si="79"/>
        <v>10000</v>
      </c>
      <c r="H45" s="49">
        <f t="shared" si="80"/>
        <v>10111.940552062206</v>
      </c>
      <c r="I45" s="48">
        <f t="shared" si="81"/>
        <v>10458.333333333334</v>
      </c>
      <c r="J45" s="24"/>
      <c r="K45" s="84"/>
      <c r="L45" s="64">
        <f t="shared" si="82"/>
        <v>11</v>
      </c>
      <c r="M45" s="51">
        <f t="shared" si="69"/>
        <v>3.9824999999999999E-3</v>
      </c>
      <c r="N45" s="51">
        <f t="shared" si="70"/>
        <v>0</v>
      </c>
      <c r="O45" s="51">
        <f t="shared" si="71"/>
        <v>5.4674999999999585E-3</v>
      </c>
      <c r="P45" s="51">
        <f t="shared" si="72"/>
        <v>0</v>
      </c>
      <c r="Q45" s="51">
        <f t="shared" si="73"/>
        <v>1.1194055206220632E-2</v>
      </c>
      <c r="R45" s="51">
        <f t="shared" si="74"/>
        <v>4.5833333333333393E-2</v>
      </c>
      <c r="S45" s="24"/>
      <c r="T45" s="45">
        <f t="shared" si="50"/>
        <v>27</v>
      </c>
      <c r="U45" s="59">
        <f t="shared" si="67"/>
        <v>0.05</v>
      </c>
      <c r="V45" s="48">
        <f t="shared" si="13"/>
        <v>11162.8125</v>
      </c>
      <c r="W45" s="56">
        <f t="shared" si="51"/>
        <v>100</v>
      </c>
      <c r="X45" s="48">
        <f t="shared" si="52"/>
        <v>10000</v>
      </c>
      <c r="Y45" s="48">
        <f t="shared" si="62"/>
        <v>10000</v>
      </c>
      <c r="Z45" s="48">
        <f t="shared" si="53"/>
        <v>10000</v>
      </c>
      <c r="AA45" s="59">
        <f t="shared" si="14"/>
        <v>5.7500000000000002E-2</v>
      </c>
      <c r="AB45" s="48">
        <f t="shared" si="15"/>
        <v>10143.75</v>
      </c>
      <c r="AC45" s="48" t="str">
        <f t="shared" si="16"/>
        <v>nie</v>
      </c>
      <c r="AD45" s="48">
        <f t="shared" si="17"/>
        <v>70</v>
      </c>
      <c r="AE45" s="48">
        <f t="shared" si="18"/>
        <v>10059.737499999999</v>
      </c>
      <c r="AF45" s="48">
        <f t="shared" si="19"/>
        <v>0</v>
      </c>
      <c r="AG45" s="59">
        <f t="shared" si="20"/>
        <v>1.4999999999999999E-2</v>
      </c>
      <c r="AH45" s="48">
        <f t="shared" si="21"/>
        <v>574.07677678021105</v>
      </c>
      <c r="AI45" s="48">
        <f t="shared" si="22"/>
        <v>10633.814276780211</v>
      </c>
      <c r="AJ45" s="24"/>
      <c r="AK45" s="56">
        <f t="shared" si="54"/>
        <v>100</v>
      </c>
      <c r="AL45" s="48">
        <f t="shared" si="55"/>
        <v>10000</v>
      </c>
      <c r="AM45" s="48">
        <f t="shared" si="56"/>
        <v>10000</v>
      </c>
      <c r="AN45" s="48">
        <f t="shared" si="57"/>
        <v>10780.199999999999</v>
      </c>
      <c r="AO45" s="59">
        <f t="shared" si="23"/>
        <v>6.0000000000000005E-2</v>
      </c>
      <c r="AP45" s="48">
        <f t="shared" si="24"/>
        <v>10941.902999999998</v>
      </c>
      <c r="AQ45" s="48" t="str">
        <f t="shared" si="25"/>
        <v>nie</v>
      </c>
      <c r="AR45" s="48">
        <f t="shared" si="26"/>
        <v>200</v>
      </c>
      <c r="AS45" s="48">
        <f t="shared" si="27"/>
        <v>10600.941429999999</v>
      </c>
      <c r="AT45" s="48">
        <f t="shared" si="28"/>
        <v>0</v>
      </c>
      <c r="AU45" s="59">
        <f t="shared" si="29"/>
        <v>1.4999999999999999E-2</v>
      </c>
      <c r="AV45" s="48">
        <f t="shared" si="30"/>
        <v>0</v>
      </c>
      <c r="AW45" s="48">
        <f t="shared" si="31"/>
        <v>10600.941429999999</v>
      </c>
      <c r="AY45" s="56">
        <f t="shared" si="63"/>
        <v>100</v>
      </c>
      <c r="AZ45" s="48">
        <f t="shared" si="64"/>
        <v>10000</v>
      </c>
      <c r="BA45" s="48">
        <f t="shared" si="58"/>
        <v>10000</v>
      </c>
      <c r="BB45" s="48">
        <f t="shared" si="59"/>
        <v>10784.374999999998</v>
      </c>
      <c r="BC45" s="59">
        <f t="shared" si="32"/>
        <v>6.25E-2</v>
      </c>
      <c r="BD45" s="48">
        <f t="shared" si="33"/>
        <v>10952.880859374998</v>
      </c>
      <c r="BE45" s="48" t="str">
        <f t="shared" si="34"/>
        <v>nie</v>
      </c>
      <c r="BF45" s="48">
        <f t="shared" si="35"/>
        <v>70</v>
      </c>
      <c r="BG45" s="48">
        <f t="shared" si="36"/>
        <v>10715.133496093749</v>
      </c>
      <c r="BH45" s="48">
        <f t="shared" si="37"/>
        <v>0</v>
      </c>
      <c r="BI45" s="59">
        <f t="shared" si="38"/>
        <v>1.4999999999999999E-2</v>
      </c>
      <c r="BJ45" s="48">
        <f t="shared" si="39"/>
        <v>0</v>
      </c>
      <c r="BK45" s="48">
        <f t="shared" si="40"/>
        <v>10715.133496093749</v>
      </c>
      <c r="BL45" s="24"/>
      <c r="BM45" s="56">
        <f t="shared" si="65"/>
        <v>100</v>
      </c>
      <c r="BN45" s="48">
        <f t="shared" si="66"/>
        <v>10000</v>
      </c>
      <c r="BO45" s="48">
        <f t="shared" si="60"/>
        <v>10000</v>
      </c>
      <c r="BP45" s="48">
        <f t="shared" si="61"/>
        <v>10863</v>
      </c>
      <c r="BQ45" s="59">
        <f t="shared" si="41"/>
        <v>6.5000000000000002E-2</v>
      </c>
      <c r="BR45" s="48">
        <f t="shared" si="42"/>
        <v>11039.52375</v>
      </c>
      <c r="BS45" s="48" t="str">
        <f t="shared" si="43"/>
        <v>nie</v>
      </c>
      <c r="BT45" s="48">
        <f t="shared" si="44"/>
        <v>200</v>
      </c>
      <c r="BU45" s="48">
        <f t="shared" si="45"/>
        <v>10680.0142375</v>
      </c>
      <c r="BV45" s="48">
        <f t="shared" si="46"/>
        <v>0</v>
      </c>
      <c r="BW45" s="59">
        <f t="shared" si="47"/>
        <v>1.4999999999999999E-2</v>
      </c>
      <c r="BX45" s="48">
        <f t="shared" si="48"/>
        <v>0</v>
      </c>
      <c r="BY45" s="48">
        <f t="shared" si="49"/>
        <v>10680.0142375</v>
      </c>
    </row>
    <row r="46" spans="1:77" s="25" customFormat="1" ht="14">
      <c r="A46" s="24"/>
      <c r="B46" s="173"/>
      <c r="C46" s="66">
        <f t="shared" si="75"/>
        <v>12</v>
      </c>
      <c r="D46" s="48">
        <f t="shared" si="76"/>
        <v>10048.599999999999</v>
      </c>
      <c r="E46" s="48">
        <f t="shared" si="77"/>
        <v>10000</v>
      </c>
      <c r="F46" s="48">
        <f t="shared" si="78"/>
        <v>10064.799999999999</v>
      </c>
      <c r="G46" s="49">
        <f t="shared" si="79"/>
        <v>10000</v>
      </c>
      <c r="H46" s="49">
        <f t="shared" si="80"/>
        <v>10122.17889187117</v>
      </c>
      <c r="I46" s="48">
        <f t="shared" si="81"/>
        <v>10500</v>
      </c>
      <c r="J46" s="24"/>
      <c r="K46" s="84"/>
      <c r="L46" s="64">
        <f t="shared" si="82"/>
        <v>12</v>
      </c>
      <c r="M46" s="51">
        <f t="shared" si="69"/>
        <v>4.8599999999998644E-3</v>
      </c>
      <c r="N46" s="51">
        <f t="shared" si="70"/>
        <v>0</v>
      </c>
      <c r="O46" s="51">
        <f t="shared" si="71"/>
        <v>6.4799999999998192E-3</v>
      </c>
      <c r="P46" s="51">
        <f t="shared" si="72"/>
        <v>0</v>
      </c>
      <c r="Q46" s="51">
        <f t="shared" si="73"/>
        <v>1.221788918711697E-2</v>
      </c>
      <c r="R46" s="51">
        <f t="shared" si="74"/>
        <v>5.0000000000000044E-2</v>
      </c>
      <c r="S46" s="24"/>
      <c r="T46" s="45">
        <f t="shared" si="50"/>
        <v>28</v>
      </c>
      <c r="U46" s="59">
        <f t="shared" si="67"/>
        <v>0.05</v>
      </c>
      <c r="V46" s="48">
        <f t="shared" si="13"/>
        <v>11208.75</v>
      </c>
      <c r="W46" s="56">
        <f t="shared" si="51"/>
        <v>100</v>
      </c>
      <c r="X46" s="48">
        <f t="shared" si="52"/>
        <v>10000</v>
      </c>
      <c r="Y46" s="48">
        <f t="shared" si="62"/>
        <v>10000</v>
      </c>
      <c r="Z46" s="48">
        <f t="shared" si="53"/>
        <v>10000</v>
      </c>
      <c r="AA46" s="59">
        <f t="shared" si="14"/>
        <v>5.7500000000000002E-2</v>
      </c>
      <c r="AB46" s="48">
        <f t="shared" si="15"/>
        <v>10191.666666666668</v>
      </c>
      <c r="AC46" s="48" t="str">
        <f t="shared" si="16"/>
        <v>nie</v>
      </c>
      <c r="AD46" s="48">
        <f t="shared" si="17"/>
        <v>70</v>
      </c>
      <c r="AE46" s="48">
        <f t="shared" si="18"/>
        <v>10098.550000000001</v>
      </c>
      <c r="AF46" s="48">
        <f t="shared" si="19"/>
        <v>0</v>
      </c>
      <c r="AG46" s="59">
        <f t="shared" si="20"/>
        <v>1.4999999999999999E-2</v>
      </c>
      <c r="AH46" s="48">
        <f t="shared" si="21"/>
        <v>574.65802951670105</v>
      </c>
      <c r="AI46" s="48">
        <f t="shared" si="22"/>
        <v>10673.208029516702</v>
      </c>
      <c r="AJ46" s="24"/>
      <c r="AK46" s="56">
        <f t="shared" si="54"/>
        <v>100</v>
      </c>
      <c r="AL46" s="48">
        <f t="shared" si="55"/>
        <v>10000</v>
      </c>
      <c r="AM46" s="48">
        <f t="shared" si="56"/>
        <v>10000</v>
      </c>
      <c r="AN46" s="48">
        <f t="shared" si="57"/>
        <v>10780.199999999999</v>
      </c>
      <c r="AO46" s="59">
        <f t="shared" si="23"/>
        <v>6.0000000000000005E-2</v>
      </c>
      <c r="AP46" s="48">
        <f t="shared" si="24"/>
        <v>10995.803999999998</v>
      </c>
      <c r="AQ46" s="48" t="str">
        <f t="shared" si="25"/>
        <v>nie</v>
      </c>
      <c r="AR46" s="48">
        <f t="shared" si="26"/>
        <v>200</v>
      </c>
      <c r="AS46" s="48">
        <f t="shared" si="27"/>
        <v>10644.601239999998</v>
      </c>
      <c r="AT46" s="48">
        <f t="shared" si="28"/>
        <v>0</v>
      </c>
      <c r="AU46" s="59">
        <f t="shared" si="29"/>
        <v>1.4999999999999999E-2</v>
      </c>
      <c r="AV46" s="48">
        <f t="shared" si="30"/>
        <v>0</v>
      </c>
      <c r="AW46" s="48">
        <f t="shared" si="31"/>
        <v>10644.601239999998</v>
      </c>
      <c r="AY46" s="56">
        <f t="shared" si="63"/>
        <v>100</v>
      </c>
      <c r="AZ46" s="48">
        <f t="shared" si="64"/>
        <v>10000</v>
      </c>
      <c r="BA46" s="48">
        <f t="shared" si="58"/>
        <v>10000</v>
      </c>
      <c r="BB46" s="48">
        <f t="shared" si="59"/>
        <v>10784.374999999998</v>
      </c>
      <c r="BC46" s="59">
        <f t="shared" si="32"/>
        <v>6.25E-2</v>
      </c>
      <c r="BD46" s="48">
        <f t="shared" si="33"/>
        <v>11009.049479166664</v>
      </c>
      <c r="BE46" s="48" t="str">
        <f t="shared" si="34"/>
        <v>nie</v>
      </c>
      <c r="BF46" s="48">
        <f t="shared" si="35"/>
        <v>70</v>
      </c>
      <c r="BG46" s="48">
        <f t="shared" si="36"/>
        <v>10760.630078124997</v>
      </c>
      <c r="BH46" s="48">
        <f t="shared" si="37"/>
        <v>0</v>
      </c>
      <c r="BI46" s="59">
        <f t="shared" si="38"/>
        <v>1.4999999999999999E-2</v>
      </c>
      <c r="BJ46" s="48">
        <f t="shared" si="39"/>
        <v>0</v>
      </c>
      <c r="BK46" s="48">
        <f t="shared" si="40"/>
        <v>10760.630078124997</v>
      </c>
      <c r="BL46" s="24"/>
      <c r="BM46" s="56">
        <f t="shared" si="65"/>
        <v>100</v>
      </c>
      <c r="BN46" s="48">
        <f t="shared" si="66"/>
        <v>10000</v>
      </c>
      <c r="BO46" s="48">
        <f t="shared" si="60"/>
        <v>10000</v>
      </c>
      <c r="BP46" s="48">
        <f t="shared" si="61"/>
        <v>10863</v>
      </c>
      <c r="BQ46" s="59">
        <f t="shared" si="41"/>
        <v>6.5000000000000002E-2</v>
      </c>
      <c r="BR46" s="48">
        <f t="shared" si="42"/>
        <v>11098.365</v>
      </c>
      <c r="BS46" s="48" t="str">
        <f t="shared" si="43"/>
        <v>nie</v>
      </c>
      <c r="BT46" s="48">
        <f t="shared" si="44"/>
        <v>200</v>
      </c>
      <c r="BU46" s="48">
        <f t="shared" si="45"/>
        <v>10727.675649999999</v>
      </c>
      <c r="BV46" s="48">
        <f t="shared" si="46"/>
        <v>0</v>
      </c>
      <c r="BW46" s="59">
        <f t="shared" si="47"/>
        <v>1.4999999999999999E-2</v>
      </c>
      <c r="BX46" s="48">
        <f t="shared" si="48"/>
        <v>0</v>
      </c>
      <c r="BY46" s="48">
        <f t="shared" si="49"/>
        <v>10727.675649999999</v>
      </c>
    </row>
    <row r="47" spans="1:77" s="25" customFormat="1" ht="14">
      <c r="A47" s="24"/>
      <c r="B47" s="171">
        <f>ROUNDUP(C58/12,0)</f>
        <v>2</v>
      </c>
      <c r="C47" s="66">
        <f t="shared" si="75"/>
        <v>13</v>
      </c>
      <c r="D47" s="48">
        <f t="shared" si="76"/>
        <v>10087.51911625</v>
      </c>
      <c r="E47" s="48">
        <f t="shared" si="77"/>
        <v>10016.888499999997</v>
      </c>
      <c r="F47" s="48">
        <f t="shared" si="78"/>
        <v>10107.620312499997</v>
      </c>
      <c r="G47" s="49">
        <f t="shared" si="79"/>
        <v>10044.752500000001</v>
      </c>
      <c r="H47" s="49">
        <f t="shared" si="80"/>
        <v>10132.427597999191</v>
      </c>
      <c r="I47" s="48">
        <f t="shared" si="81"/>
        <v>10543.75</v>
      </c>
      <c r="J47" s="24"/>
      <c r="K47" s="84"/>
      <c r="L47" s="64">
        <f t="shared" si="82"/>
        <v>13</v>
      </c>
      <c r="M47" s="51">
        <f t="shared" si="69"/>
        <v>8.7519116249998863E-3</v>
      </c>
      <c r="N47" s="51">
        <f t="shared" si="70"/>
        <v>1.6888499999996309E-3</v>
      </c>
      <c r="O47" s="51">
        <f t="shared" si="71"/>
        <v>1.0762031249999637E-2</v>
      </c>
      <c r="P47" s="51">
        <f t="shared" si="72"/>
        <v>4.4752500000000417E-3</v>
      </c>
      <c r="Q47" s="51">
        <f t="shared" si="73"/>
        <v>1.3242759799919179E-2</v>
      </c>
      <c r="R47" s="51">
        <f t="shared" si="74"/>
        <v>5.4375000000000062E-2</v>
      </c>
      <c r="S47" s="24"/>
      <c r="T47" s="45">
        <f t="shared" si="50"/>
        <v>29</v>
      </c>
      <c r="U47" s="59">
        <f t="shared" si="67"/>
        <v>0.05</v>
      </c>
      <c r="V47" s="48">
        <f t="shared" si="13"/>
        <v>11254.6875</v>
      </c>
      <c r="W47" s="56">
        <f t="shared" si="51"/>
        <v>100</v>
      </c>
      <c r="X47" s="48">
        <f t="shared" si="52"/>
        <v>10000</v>
      </c>
      <c r="Y47" s="48">
        <f t="shared" si="62"/>
        <v>10000</v>
      </c>
      <c r="Z47" s="48">
        <f t="shared" si="53"/>
        <v>10000</v>
      </c>
      <c r="AA47" s="59">
        <f t="shared" si="14"/>
        <v>5.7500000000000002E-2</v>
      </c>
      <c r="AB47" s="48">
        <f t="shared" si="15"/>
        <v>10239.583333333334</v>
      </c>
      <c r="AC47" s="48" t="str">
        <f t="shared" si="16"/>
        <v>nie</v>
      </c>
      <c r="AD47" s="48">
        <f t="shared" si="17"/>
        <v>70</v>
      </c>
      <c r="AE47" s="48">
        <f t="shared" si="18"/>
        <v>10137.362500000001</v>
      </c>
      <c r="AF47" s="48">
        <f t="shared" si="19"/>
        <v>0</v>
      </c>
      <c r="AG47" s="59">
        <f t="shared" si="20"/>
        <v>1.4999999999999999E-2</v>
      </c>
      <c r="AH47" s="48">
        <f t="shared" si="21"/>
        <v>575.23987077158677</v>
      </c>
      <c r="AI47" s="48">
        <f t="shared" si="22"/>
        <v>10712.602370771589</v>
      </c>
      <c r="AJ47" s="24"/>
      <c r="AK47" s="56">
        <f t="shared" si="54"/>
        <v>100</v>
      </c>
      <c r="AL47" s="48">
        <f t="shared" si="55"/>
        <v>10000</v>
      </c>
      <c r="AM47" s="48">
        <f t="shared" si="56"/>
        <v>10000</v>
      </c>
      <c r="AN47" s="48">
        <f t="shared" si="57"/>
        <v>10780.199999999999</v>
      </c>
      <c r="AO47" s="59">
        <f t="shared" si="23"/>
        <v>6.0000000000000005E-2</v>
      </c>
      <c r="AP47" s="48">
        <f t="shared" si="24"/>
        <v>11049.704999999998</v>
      </c>
      <c r="AQ47" s="48" t="str">
        <f t="shared" si="25"/>
        <v>nie</v>
      </c>
      <c r="AR47" s="48">
        <f t="shared" si="26"/>
        <v>200</v>
      </c>
      <c r="AS47" s="48">
        <f t="shared" si="27"/>
        <v>10688.261049999999</v>
      </c>
      <c r="AT47" s="48">
        <f t="shared" si="28"/>
        <v>0</v>
      </c>
      <c r="AU47" s="59">
        <f t="shared" si="29"/>
        <v>1.4999999999999999E-2</v>
      </c>
      <c r="AV47" s="48">
        <f t="shared" si="30"/>
        <v>0</v>
      </c>
      <c r="AW47" s="48">
        <f t="shared" si="31"/>
        <v>10688.261049999999</v>
      </c>
      <c r="AY47" s="56">
        <f t="shared" si="63"/>
        <v>100</v>
      </c>
      <c r="AZ47" s="48">
        <f t="shared" si="64"/>
        <v>10000</v>
      </c>
      <c r="BA47" s="48">
        <f t="shared" si="58"/>
        <v>10000</v>
      </c>
      <c r="BB47" s="48">
        <f t="shared" si="59"/>
        <v>10784.374999999998</v>
      </c>
      <c r="BC47" s="59">
        <f t="shared" si="32"/>
        <v>6.25E-2</v>
      </c>
      <c r="BD47" s="48">
        <f t="shared" si="33"/>
        <v>11065.218098958332</v>
      </c>
      <c r="BE47" s="48" t="str">
        <f t="shared" si="34"/>
        <v>nie</v>
      </c>
      <c r="BF47" s="48">
        <f t="shared" si="35"/>
        <v>70</v>
      </c>
      <c r="BG47" s="48">
        <f t="shared" si="36"/>
        <v>10806.126660156249</v>
      </c>
      <c r="BH47" s="48">
        <f t="shared" si="37"/>
        <v>0</v>
      </c>
      <c r="BI47" s="59">
        <f t="shared" si="38"/>
        <v>1.4999999999999999E-2</v>
      </c>
      <c r="BJ47" s="48">
        <f t="shared" si="39"/>
        <v>0</v>
      </c>
      <c r="BK47" s="48">
        <f t="shared" si="40"/>
        <v>10806.126660156249</v>
      </c>
      <c r="BL47" s="24"/>
      <c r="BM47" s="56">
        <f t="shared" si="65"/>
        <v>100</v>
      </c>
      <c r="BN47" s="48">
        <f t="shared" si="66"/>
        <v>10000</v>
      </c>
      <c r="BO47" s="48">
        <f t="shared" si="60"/>
        <v>10000</v>
      </c>
      <c r="BP47" s="48">
        <f t="shared" si="61"/>
        <v>10863</v>
      </c>
      <c r="BQ47" s="59">
        <f t="shared" si="41"/>
        <v>6.5000000000000002E-2</v>
      </c>
      <c r="BR47" s="48">
        <f t="shared" si="42"/>
        <v>11157.206249999999</v>
      </c>
      <c r="BS47" s="48" t="str">
        <f t="shared" si="43"/>
        <v>nie</v>
      </c>
      <c r="BT47" s="48">
        <f t="shared" si="44"/>
        <v>200</v>
      </c>
      <c r="BU47" s="48">
        <f t="shared" si="45"/>
        <v>10775.337062499999</v>
      </c>
      <c r="BV47" s="48">
        <f t="shared" si="46"/>
        <v>0</v>
      </c>
      <c r="BW47" s="59">
        <f t="shared" si="47"/>
        <v>1.4999999999999999E-2</v>
      </c>
      <c r="BX47" s="48">
        <f t="shared" si="48"/>
        <v>0</v>
      </c>
      <c r="BY47" s="48">
        <f t="shared" si="49"/>
        <v>10775.337062499999</v>
      </c>
    </row>
    <row r="48" spans="1:77" s="25" customFormat="1" ht="14">
      <c r="A48" s="24"/>
      <c r="B48" s="172"/>
      <c r="C48" s="66">
        <f t="shared" si="75"/>
        <v>14</v>
      </c>
      <c r="D48" s="48">
        <f t="shared" si="76"/>
        <v>10126.438340448951</v>
      </c>
      <c r="E48" s="48">
        <f t="shared" si="77"/>
        <v>10058.076999999999</v>
      </c>
      <c r="F48" s="48">
        <f t="shared" si="78"/>
        <v>10150.440624999999</v>
      </c>
      <c r="G48" s="49">
        <f t="shared" si="79"/>
        <v>10089.504999999999</v>
      </c>
      <c r="H48" s="49">
        <f t="shared" si="80"/>
        <v>10142.686680942166</v>
      </c>
      <c r="I48" s="48">
        <f t="shared" si="81"/>
        <v>10587.5</v>
      </c>
      <c r="J48" s="24"/>
      <c r="K48" s="84"/>
      <c r="L48" s="64">
        <f t="shared" si="82"/>
        <v>14</v>
      </c>
      <c r="M48" s="51">
        <f t="shared" si="69"/>
        <v>1.2643834044895108E-2</v>
      </c>
      <c r="N48" s="51">
        <f t="shared" si="70"/>
        <v>5.8076999999998602E-3</v>
      </c>
      <c r="O48" s="51">
        <f t="shared" si="71"/>
        <v>1.50440624999999E-2</v>
      </c>
      <c r="P48" s="51">
        <f t="shared" si="72"/>
        <v>8.9504999999998613E-3</v>
      </c>
      <c r="Q48" s="51">
        <f t="shared" si="73"/>
        <v>1.4268668094216563E-2</v>
      </c>
      <c r="R48" s="51">
        <f t="shared" si="74"/>
        <v>5.875000000000008E-2</v>
      </c>
      <c r="S48" s="24"/>
      <c r="T48" s="45">
        <f t="shared" si="50"/>
        <v>30</v>
      </c>
      <c r="U48" s="59">
        <f t="shared" si="67"/>
        <v>0.05</v>
      </c>
      <c r="V48" s="48">
        <f t="shared" si="13"/>
        <v>11300.624999999998</v>
      </c>
      <c r="W48" s="56">
        <f t="shared" si="51"/>
        <v>100</v>
      </c>
      <c r="X48" s="48">
        <f t="shared" si="52"/>
        <v>10000</v>
      </c>
      <c r="Y48" s="48">
        <f t="shared" si="62"/>
        <v>10000</v>
      </c>
      <c r="Z48" s="48">
        <f t="shared" si="53"/>
        <v>10000</v>
      </c>
      <c r="AA48" s="59">
        <f t="shared" si="14"/>
        <v>5.7500000000000002E-2</v>
      </c>
      <c r="AB48" s="48">
        <f t="shared" si="15"/>
        <v>10287.5</v>
      </c>
      <c r="AC48" s="48" t="str">
        <f t="shared" si="16"/>
        <v>nie</v>
      </c>
      <c r="AD48" s="48">
        <f t="shared" si="17"/>
        <v>70</v>
      </c>
      <c r="AE48" s="48">
        <f t="shared" si="18"/>
        <v>10176.174999999999</v>
      </c>
      <c r="AF48" s="48">
        <f t="shared" si="19"/>
        <v>0</v>
      </c>
      <c r="AG48" s="59">
        <f t="shared" si="20"/>
        <v>1.4999999999999999E-2</v>
      </c>
      <c r="AH48" s="48">
        <f t="shared" si="21"/>
        <v>575.82230114074309</v>
      </c>
      <c r="AI48" s="48">
        <f t="shared" si="22"/>
        <v>10751.997301140742</v>
      </c>
      <c r="AJ48" s="24"/>
      <c r="AK48" s="56">
        <f t="shared" si="54"/>
        <v>100</v>
      </c>
      <c r="AL48" s="48">
        <f t="shared" si="55"/>
        <v>10000</v>
      </c>
      <c r="AM48" s="48">
        <f t="shared" si="56"/>
        <v>10000</v>
      </c>
      <c r="AN48" s="48">
        <f t="shared" si="57"/>
        <v>10780.199999999999</v>
      </c>
      <c r="AO48" s="59">
        <f t="shared" si="23"/>
        <v>6.0000000000000005E-2</v>
      </c>
      <c r="AP48" s="48">
        <f t="shared" si="24"/>
        <v>11103.606</v>
      </c>
      <c r="AQ48" s="48" t="str">
        <f t="shared" si="25"/>
        <v>nie</v>
      </c>
      <c r="AR48" s="48">
        <f t="shared" si="26"/>
        <v>200</v>
      </c>
      <c r="AS48" s="48">
        <f t="shared" si="27"/>
        <v>10731.92086</v>
      </c>
      <c r="AT48" s="48">
        <f t="shared" si="28"/>
        <v>0</v>
      </c>
      <c r="AU48" s="59">
        <f t="shared" si="29"/>
        <v>1.4999999999999999E-2</v>
      </c>
      <c r="AV48" s="48">
        <f t="shared" si="30"/>
        <v>0</v>
      </c>
      <c r="AW48" s="48">
        <f t="shared" si="31"/>
        <v>10731.92086</v>
      </c>
      <c r="AY48" s="56">
        <f t="shared" si="63"/>
        <v>100</v>
      </c>
      <c r="AZ48" s="48">
        <f t="shared" si="64"/>
        <v>10000</v>
      </c>
      <c r="BA48" s="48">
        <f t="shared" si="58"/>
        <v>10000</v>
      </c>
      <c r="BB48" s="48">
        <f t="shared" si="59"/>
        <v>10784.374999999998</v>
      </c>
      <c r="BC48" s="59">
        <f t="shared" si="32"/>
        <v>6.25E-2</v>
      </c>
      <c r="BD48" s="48">
        <f t="shared" si="33"/>
        <v>11121.386718749998</v>
      </c>
      <c r="BE48" s="48" t="str">
        <f t="shared" si="34"/>
        <v>nie</v>
      </c>
      <c r="BF48" s="48">
        <f t="shared" si="35"/>
        <v>70</v>
      </c>
      <c r="BG48" s="48">
        <f t="shared" si="36"/>
        <v>10851.623242187499</v>
      </c>
      <c r="BH48" s="48">
        <f t="shared" si="37"/>
        <v>0</v>
      </c>
      <c r="BI48" s="59">
        <f t="shared" si="38"/>
        <v>1.4999999999999999E-2</v>
      </c>
      <c r="BJ48" s="48">
        <f t="shared" si="39"/>
        <v>0</v>
      </c>
      <c r="BK48" s="48">
        <f t="shared" si="40"/>
        <v>10851.623242187499</v>
      </c>
      <c r="BL48" s="24"/>
      <c r="BM48" s="56">
        <f t="shared" si="65"/>
        <v>100</v>
      </c>
      <c r="BN48" s="48">
        <f t="shared" si="66"/>
        <v>10000</v>
      </c>
      <c r="BO48" s="48">
        <f t="shared" si="60"/>
        <v>10000</v>
      </c>
      <c r="BP48" s="48">
        <f t="shared" si="61"/>
        <v>10863</v>
      </c>
      <c r="BQ48" s="59">
        <f t="shared" si="41"/>
        <v>6.5000000000000002E-2</v>
      </c>
      <c r="BR48" s="48">
        <f t="shared" si="42"/>
        <v>11216.047500000001</v>
      </c>
      <c r="BS48" s="48" t="str">
        <f t="shared" si="43"/>
        <v>nie</v>
      </c>
      <c r="BT48" s="48">
        <f t="shared" si="44"/>
        <v>200</v>
      </c>
      <c r="BU48" s="48">
        <f t="shared" si="45"/>
        <v>10822.998475</v>
      </c>
      <c r="BV48" s="48">
        <f t="shared" si="46"/>
        <v>0</v>
      </c>
      <c r="BW48" s="59">
        <f t="shared" si="47"/>
        <v>1.4999999999999999E-2</v>
      </c>
      <c r="BX48" s="48">
        <f t="shared" si="48"/>
        <v>0</v>
      </c>
      <c r="BY48" s="48">
        <f t="shared" si="49"/>
        <v>10822.998475</v>
      </c>
    </row>
    <row r="49" spans="1:82" s="25" customFormat="1" ht="14">
      <c r="A49" s="24"/>
      <c r="B49" s="172"/>
      <c r="C49" s="66">
        <f t="shared" si="75"/>
        <v>15</v>
      </c>
      <c r="D49" s="48">
        <f t="shared" si="76"/>
        <v>10165.357672706155</v>
      </c>
      <c r="E49" s="48">
        <f t="shared" si="77"/>
        <v>10099.265499999998</v>
      </c>
      <c r="F49" s="48">
        <f t="shared" si="78"/>
        <v>10193.260937499999</v>
      </c>
      <c r="G49" s="49">
        <f t="shared" si="79"/>
        <v>10134.257500000002</v>
      </c>
      <c r="H49" s="49">
        <f t="shared" si="80"/>
        <v>10152.956151206621</v>
      </c>
      <c r="I49" s="48">
        <f t="shared" si="81"/>
        <v>10631.25</v>
      </c>
      <c r="J49" s="24"/>
      <c r="K49" s="84"/>
      <c r="L49" s="64">
        <f t="shared" si="82"/>
        <v>15</v>
      </c>
      <c r="M49" s="51">
        <f t="shared" si="69"/>
        <v>1.6535767270615453E-2</v>
      </c>
      <c r="N49" s="51">
        <f t="shared" si="70"/>
        <v>9.9265499999998674E-3</v>
      </c>
      <c r="O49" s="51">
        <f t="shared" si="71"/>
        <v>1.932609374999994E-2</v>
      </c>
      <c r="P49" s="51">
        <f t="shared" si="72"/>
        <v>1.3425750000000125E-2</v>
      </c>
      <c r="Q49" s="51">
        <f t="shared" si="73"/>
        <v>1.5295615120662021E-2</v>
      </c>
      <c r="R49" s="51">
        <f t="shared" si="74"/>
        <v>6.3125000000000098E-2</v>
      </c>
      <c r="S49" s="24"/>
      <c r="T49" s="45">
        <f t="shared" si="50"/>
        <v>31</v>
      </c>
      <c r="U49" s="59">
        <f t="shared" si="67"/>
        <v>0.05</v>
      </c>
      <c r="V49" s="48">
        <f t="shared" si="13"/>
        <v>11346.562499999998</v>
      </c>
      <c r="W49" s="56">
        <f t="shared" si="51"/>
        <v>100</v>
      </c>
      <c r="X49" s="48">
        <f t="shared" si="52"/>
        <v>10000</v>
      </c>
      <c r="Y49" s="48">
        <f t="shared" si="62"/>
        <v>10000</v>
      </c>
      <c r="Z49" s="48">
        <f t="shared" si="53"/>
        <v>10000</v>
      </c>
      <c r="AA49" s="59">
        <f t="shared" si="14"/>
        <v>5.7500000000000002E-2</v>
      </c>
      <c r="AB49" s="48">
        <f t="shared" si="15"/>
        <v>10335.416666666666</v>
      </c>
      <c r="AC49" s="48" t="str">
        <f t="shared" si="16"/>
        <v>nie</v>
      </c>
      <c r="AD49" s="48">
        <f t="shared" si="17"/>
        <v>70</v>
      </c>
      <c r="AE49" s="48">
        <f t="shared" si="18"/>
        <v>10214.987499999999</v>
      </c>
      <c r="AF49" s="48">
        <f t="shared" si="19"/>
        <v>0</v>
      </c>
      <c r="AG49" s="59">
        <f t="shared" si="20"/>
        <v>1.4999999999999999E-2</v>
      </c>
      <c r="AH49" s="48">
        <f t="shared" si="21"/>
        <v>576.40532122064815</v>
      </c>
      <c r="AI49" s="48">
        <f t="shared" si="22"/>
        <v>10791.392821220648</v>
      </c>
      <c r="AJ49" s="24"/>
      <c r="AK49" s="56">
        <f t="shared" si="54"/>
        <v>100</v>
      </c>
      <c r="AL49" s="48">
        <f t="shared" si="55"/>
        <v>10000</v>
      </c>
      <c r="AM49" s="48">
        <f t="shared" si="56"/>
        <v>10000</v>
      </c>
      <c r="AN49" s="48">
        <f t="shared" si="57"/>
        <v>10780.199999999999</v>
      </c>
      <c r="AO49" s="59">
        <f t="shared" si="23"/>
        <v>6.0000000000000005E-2</v>
      </c>
      <c r="AP49" s="48">
        <f t="shared" si="24"/>
        <v>11157.506999999998</v>
      </c>
      <c r="AQ49" s="48" t="str">
        <f t="shared" si="25"/>
        <v>nie</v>
      </c>
      <c r="AR49" s="48">
        <f t="shared" si="26"/>
        <v>200</v>
      </c>
      <c r="AS49" s="48">
        <f t="shared" si="27"/>
        <v>10775.580669999998</v>
      </c>
      <c r="AT49" s="48">
        <f t="shared" si="28"/>
        <v>0</v>
      </c>
      <c r="AU49" s="59">
        <f t="shared" si="29"/>
        <v>1.4999999999999999E-2</v>
      </c>
      <c r="AV49" s="48">
        <f t="shared" si="30"/>
        <v>0</v>
      </c>
      <c r="AW49" s="48">
        <f t="shared" si="31"/>
        <v>10775.580669999998</v>
      </c>
      <c r="AY49" s="56">
        <f t="shared" si="63"/>
        <v>100</v>
      </c>
      <c r="AZ49" s="48">
        <f t="shared" si="64"/>
        <v>10000</v>
      </c>
      <c r="BA49" s="48">
        <f t="shared" si="58"/>
        <v>10000</v>
      </c>
      <c r="BB49" s="48">
        <f t="shared" si="59"/>
        <v>10784.374999999998</v>
      </c>
      <c r="BC49" s="59">
        <f t="shared" si="32"/>
        <v>6.25E-2</v>
      </c>
      <c r="BD49" s="48">
        <f t="shared" si="33"/>
        <v>11177.555338541664</v>
      </c>
      <c r="BE49" s="48" t="str">
        <f t="shared" si="34"/>
        <v>nie</v>
      </c>
      <c r="BF49" s="48">
        <f t="shared" si="35"/>
        <v>70</v>
      </c>
      <c r="BG49" s="48">
        <f t="shared" si="36"/>
        <v>10897.119824218747</v>
      </c>
      <c r="BH49" s="48">
        <f t="shared" si="37"/>
        <v>0</v>
      </c>
      <c r="BI49" s="59">
        <f t="shared" si="38"/>
        <v>1.4999999999999999E-2</v>
      </c>
      <c r="BJ49" s="48">
        <f t="shared" si="39"/>
        <v>0</v>
      </c>
      <c r="BK49" s="48">
        <f t="shared" si="40"/>
        <v>10897.119824218747</v>
      </c>
      <c r="BL49" s="24"/>
      <c r="BM49" s="56">
        <f t="shared" si="65"/>
        <v>100</v>
      </c>
      <c r="BN49" s="48">
        <f t="shared" si="66"/>
        <v>10000</v>
      </c>
      <c r="BO49" s="48">
        <f t="shared" si="60"/>
        <v>10000</v>
      </c>
      <c r="BP49" s="48">
        <f t="shared" si="61"/>
        <v>10863</v>
      </c>
      <c r="BQ49" s="59">
        <f t="shared" si="41"/>
        <v>6.5000000000000002E-2</v>
      </c>
      <c r="BR49" s="48">
        <f t="shared" si="42"/>
        <v>11274.88875</v>
      </c>
      <c r="BS49" s="48" t="str">
        <f t="shared" si="43"/>
        <v>nie</v>
      </c>
      <c r="BT49" s="48">
        <f t="shared" si="44"/>
        <v>200</v>
      </c>
      <c r="BU49" s="48">
        <f t="shared" si="45"/>
        <v>10870.6598875</v>
      </c>
      <c r="BV49" s="48">
        <f t="shared" si="46"/>
        <v>0</v>
      </c>
      <c r="BW49" s="59">
        <f t="shared" si="47"/>
        <v>1.4999999999999999E-2</v>
      </c>
      <c r="BX49" s="48">
        <f t="shared" si="48"/>
        <v>0</v>
      </c>
      <c r="BY49" s="48">
        <f t="shared" si="49"/>
        <v>10870.6598875</v>
      </c>
    </row>
    <row r="50" spans="1:82" s="25" customFormat="1" ht="14">
      <c r="A50" s="24"/>
      <c r="B50" s="172"/>
      <c r="C50" s="66">
        <f t="shared" si="75"/>
        <v>16</v>
      </c>
      <c r="D50" s="48">
        <f t="shared" si="76"/>
        <v>10204.277113131022</v>
      </c>
      <c r="E50" s="48">
        <f t="shared" si="77"/>
        <v>10140.453999999998</v>
      </c>
      <c r="F50" s="48">
        <f t="shared" si="78"/>
        <v>10236.081249999997</v>
      </c>
      <c r="G50" s="49">
        <f t="shared" si="79"/>
        <v>10179.01</v>
      </c>
      <c r="H50" s="49">
        <f t="shared" si="80"/>
        <v>10163.236019309719</v>
      </c>
      <c r="I50" s="48">
        <f t="shared" si="81"/>
        <v>10675</v>
      </c>
      <c r="J50" s="24"/>
      <c r="K50" s="84"/>
      <c r="L50" s="64">
        <f t="shared" si="82"/>
        <v>16</v>
      </c>
      <c r="M50" s="51">
        <f t="shared" si="69"/>
        <v>2.042771131310217E-2</v>
      </c>
      <c r="N50" s="51">
        <f t="shared" si="70"/>
        <v>1.4045399999999875E-2</v>
      </c>
      <c r="O50" s="51">
        <f t="shared" si="71"/>
        <v>2.3608124999999758E-2</v>
      </c>
      <c r="P50" s="51">
        <f t="shared" si="72"/>
        <v>1.7900999999999945E-2</v>
      </c>
      <c r="Q50" s="51">
        <f t="shared" si="73"/>
        <v>1.6323601930971821E-2</v>
      </c>
      <c r="R50" s="51">
        <f t="shared" si="74"/>
        <v>6.7499999999999893E-2</v>
      </c>
      <c r="S50" s="24"/>
      <c r="T50" s="45">
        <f t="shared" si="50"/>
        <v>32</v>
      </c>
      <c r="U50" s="59">
        <f t="shared" si="67"/>
        <v>0.05</v>
      </c>
      <c r="V50" s="48">
        <f t="shared" si="13"/>
        <v>11392.500000000002</v>
      </c>
      <c r="W50" s="56">
        <f t="shared" si="51"/>
        <v>100</v>
      </c>
      <c r="X50" s="48">
        <f t="shared" si="52"/>
        <v>10000</v>
      </c>
      <c r="Y50" s="48">
        <f t="shared" si="62"/>
        <v>10000</v>
      </c>
      <c r="Z50" s="48">
        <f t="shared" si="53"/>
        <v>10000</v>
      </c>
      <c r="AA50" s="59">
        <f t="shared" si="14"/>
        <v>5.7500000000000002E-2</v>
      </c>
      <c r="AB50" s="48">
        <f t="shared" si="15"/>
        <v>10383.333333333334</v>
      </c>
      <c r="AC50" s="48" t="str">
        <f t="shared" si="16"/>
        <v>nie</v>
      </c>
      <c r="AD50" s="48">
        <f t="shared" si="17"/>
        <v>70</v>
      </c>
      <c r="AE50" s="48">
        <f t="shared" si="18"/>
        <v>10253.800000000001</v>
      </c>
      <c r="AF50" s="48">
        <f t="shared" si="19"/>
        <v>0</v>
      </c>
      <c r="AG50" s="59">
        <f t="shared" si="20"/>
        <v>1.4999999999999999E-2</v>
      </c>
      <c r="AH50" s="48">
        <f t="shared" si="21"/>
        <v>576.98893160838406</v>
      </c>
      <c r="AI50" s="48">
        <f t="shared" si="22"/>
        <v>10830.788931608386</v>
      </c>
      <c r="AJ50" s="24"/>
      <c r="AK50" s="56">
        <f t="shared" si="54"/>
        <v>100</v>
      </c>
      <c r="AL50" s="48">
        <f t="shared" si="55"/>
        <v>10000</v>
      </c>
      <c r="AM50" s="48">
        <f t="shared" si="56"/>
        <v>10000</v>
      </c>
      <c r="AN50" s="48">
        <f t="shared" si="57"/>
        <v>10780.199999999999</v>
      </c>
      <c r="AO50" s="59">
        <f t="shared" si="23"/>
        <v>6.0000000000000005E-2</v>
      </c>
      <c r="AP50" s="48">
        <f t="shared" si="24"/>
        <v>11211.407999999999</v>
      </c>
      <c r="AQ50" s="48" t="str">
        <f t="shared" si="25"/>
        <v>nie</v>
      </c>
      <c r="AR50" s="48">
        <f t="shared" si="26"/>
        <v>200</v>
      </c>
      <c r="AS50" s="48">
        <f t="shared" si="27"/>
        <v>10819.24048</v>
      </c>
      <c r="AT50" s="48">
        <f t="shared" si="28"/>
        <v>0</v>
      </c>
      <c r="AU50" s="59">
        <f t="shared" si="29"/>
        <v>1.4999999999999999E-2</v>
      </c>
      <c r="AV50" s="48">
        <f t="shared" si="30"/>
        <v>0</v>
      </c>
      <c r="AW50" s="48">
        <f t="shared" si="31"/>
        <v>10819.24048</v>
      </c>
      <c r="AY50" s="56">
        <f t="shared" si="63"/>
        <v>100</v>
      </c>
      <c r="AZ50" s="48">
        <f t="shared" si="64"/>
        <v>10000</v>
      </c>
      <c r="BA50" s="48">
        <f t="shared" si="58"/>
        <v>10000</v>
      </c>
      <c r="BB50" s="48">
        <f t="shared" si="59"/>
        <v>10784.374999999998</v>
      </c>
      <c r="BC50" s="59">
        <f t="shared" si="32"/>
        <v>6.25E-2</v>
      </c>
      <c r="BD50" s="48">
        <f t="shared" si="33"/>
        <v>11233.723958333332</v>
      </c>
      <c r="BE50" s="48" t="str">
        <f t="shared" si="34"/>
        <v>nie</v>
      </c>
      <c r="BF50" s="48">
        <f t="shared" si="35"/>
        <v>70</v>
      </c>
      <c r="BG50" s="48">
        <f t="shared" si="36"/>
        <v>10942.616406249999</v>
      </c>
      <c r="BH50" s="48">
        <f t="shared" si="37"/>
        <v>0</v>
      </c>
      <c r="BI50" s="59">
        <f t="shared" si="38"/>
        <v>1.4999999999999999E-2</v>
      </c>
      <c r="BJ50" s="48">
        <f t="shared" si="39"/>
        <v>0</v>
      </c>
      <c r="BK50" s="48">
        <f t="shared" si="40"/>
        <v>10942.616406249999</v>
      </c>
      <c r="BL50" s="24"/>
      <c r="BM50" s="56">
        <f t="shared" si="65"/>
        <v>100</v>
      </c>
      <c r="BN50" s="48">
        <f t="shared" si="66"/>
        <v>10000</v>
      </c>
      <c r="BO50" s="48">
        <f t="shared" si="60"/>
        <v>10000</v>
      </c>
      <c r="BP50" s="48">
        <f t="shared" si="61"/>
        <v>10863</v>
      </c>
      <c r="BQ50" s="59">
        <f t="shared" si="41"/>
        <v>6.5000000000000002E-2</v>
      </c>
      <c r="BR50" s="48">
        <f t="shared" si="42"/>
        <v>11333.730000000001</v>
      </c>
      <c r="BS50" s="48" t="str">
        <f t="shared" si="43"/>
        <v>nie</v>
      </c>
      <c r="BT50" s="48">
        <f t="shared" si="44"/>
        <v>200</v>
      </c>
      <c r="BU50" s="48">
        <f t="shared" si="45"/>
        <v>10918.321300000001</v>
      </c>
      <c r="BV50" s="48">
        <f t="shared" si="46"/>
        <v>0</v>
      </c>
      <c r="BW50" s="59">
        <f t="shared" si="47"/>
        <v>1.4999999999999999E-2</v>
      </c>
      <c r="BX50" s="48">
        <f t="shared" si="48"/>
        <v>0</v>
      </c>
      <c r="BY50" s="48">
        <f t="shared" si="49"/>
        <v>10918.321300000001</v>
      </c>
    </row>
    <row r="51" spans="1:82" s="25" customFormat="1" ht="14">
      <c r="A51" s="24"/>
      <c r="B51" s="172"/>
      <c r="C51" s="66">
        <f t="shared" si="75"/>
        <v>17</v>
      </c>
      <c r="D51" s="48">
        <f t="shared" si="76"/>
        <v>10243.196661833068</v>
      </c>
      <c r="E51" s="48">
        <f t="shared" si="77"/>
        <v>10181.642499999996</v>
      </c>
      <c r="F51" s="48">
        <f t="shared" si="78"/>
        <v>10278.901562499999</v>
      </c>
      <c r="G51" s="49">
        <f t="shared" si="79"/>
        <v>10223.762500000001</v>
      </c>
      <c r="H51" s="49">
        <f t="shared" si="80"/>
        <v>10173.526295779271</v>
      </c>
      <c r="I51" s="48">
        <f t="shared" si="81"/>
        <v>10718.75</v>
      </c>
      <c r="J51" s="24"/>
      <c r="K51" s="84"/>
      <c r="L51" s="64">
        <f t="shared" si="82"/>
        <v>17</v>
      </c>
      <c r="M51" s="51">
        <f t="shared" si="69"/>
        <v>2.4319666183306721E-2</v>
      </c>
      <c r="N51" s="51">
        <f t="shared" si="70"/>
        <v>1.816424999999966E-2</v>
      </c>
      <c r="O51" s="51">
        <f t="shared" si="71"/>
        <v>2.789015625000002E-2</v>
      </c>
      <c r="P51" s="51">
        <f t="shared" si="72"/>
        <v>2.2376249999999986E-2</v>
      </c>
      <c r="Q51" s="51">
        <f t="shared" si="73"/>
        <v>1.7352629577927159E-2</v>
      </c>
      <c r="R51" s="51">
        <f t="shared" si="74"/>
        <v>7.1874999999999911E-2</v>
      </c>
      <c r="S51" s="24"/>
      <c r="T51" s="45">
        <f t="shared" si="50"/>
        <v>33</v>
      </c>
      <c r="U51" s="59">
        <f t="shared" si="67"/>
        <v>0.05</v>
      </c>
      <c r="V51" s="48">
        <f t="shared" ref="V51:V82" si="83">zakup_domyslny_wartosc*IFERROR((INDEX(scenariusz_I_inflacja_skumulowana,MATCH(ROUNDDOWN(T51/12,0),scenariusz_I_rok,0))+1),1)
*(1+MOD(T51,12)*INDEX(scenariusz_I_inflacja,MATCH(ROUNDUP(T51/12,0),scenariusz_I_rok,0))/12)</f>
        <v>11438.437500000002</v>
      </c>
      <c r="W51" s="56">
        <f t="shared" si="51"/>
        <v>100</v>
      </c>
      <c r="X51" s="48">
        <f t="shared" si="52"/>
        <v>10000</v>
      </c>
      <c r="Y51" s="48">
        <f t="shared" si="62"/>
        <v>10000</v>
      </c>
      <c r="Z51" s="48">
        <f t="shared" si="53"/>
        <v>10000</v>
      </c>
      <c r="AA51" s="59">
        <f t="shared" ref="AA51:AA82" si="84">IF(AND(MOD($T51,zapadalnosc_COI)&lt;=12,MOD($T51,zapadalnosc_COI)&lt;&gt;0),proc_I_okres_COI,(marza_COI+$U51))</f>
        <v>5.7500000000000002E-2</v>
      </c>
      <c r="AB51" s="48">
        <f t="shared" ref="AB51:AB82" si="85">Z51*(1+AA51*IF(MOD($T51,12)&lt;&gt;0,MOD($T51,12),12)/12)</f>
        <v>10431.25</v>
      </c>
      <c r="AC51" s="48" t="str">
        <f t="shared" ref="AC51:AC82" si="86">IF(MOD($T51,zapadalnosc_COI)=0,"tak","nie")</f>
        <v>nie</v>
      </c>
      <c r="AD51" s="48">
        <f t="shared" ref="AD51:AD82" si="87">IF(MOD($T51,zapadalnosc_COI)=0,0,
IF(AND(MOD($T51,zapadalnosc_COI)&lt;zapadalnosc_COI,MOD($T51,zapadalnosc_COI)&lt;=12),
MIN(AB51-Y51,W51*koszt_wczesniejszy_wykup_COI),W51*koszt_wczesniejszy_wykup_COI))</f>
        <v>70</v>
      </c>
      <c r="AE51" s="48">
        <f t="shared" ref="AE51:AE82" si="88">AB51-AD51
-(AB51-Y51-AD51)*podatek_Belki</f>
        <v>10292.612499999999</v>
      </c>
      <c r="AF51" s="48">
        <f t="shared" ref="AF51:AF82" si="89">IF(MOD(T51,wyplata_odsetek_COI)=0, (AB51-Y51)*(1-podatek_Belki),0)
-IF(AND(AC51="tak",X52&lt;&gt;""),X52-Y51,0)</f>
        <v>0</v>
      </c>
      <c r="AG51" s="59">
        <f t="shared" ref="AG51:AG82" si="90">INDEX(scenariusz_I_konto,MATCH(ROUNDUP($T51/12,0),scenariusz_I_rok,0))</f>
        <v>1.4999999999999999E-2</v>
      </c>
      <c r="AH51" s="48">
        <f t="shared" ref="AH51:AH82" si="91">AH50*(1+AG51/12*(1-podatek_Belki))+AF51</f>
        <v>577.57313290163756</v>
      </c>
      <c r="AI51" s="48">
        <f t="shared" ref="AI51:AI82" si="92">AH50*(1+AG51/12*(1-podatek_Belki))+AE51</f>
        <v>10870.185632901637</v>
      </c>
      <c r="AJ51" s="24"/>
      <c r="AK51" s="56">
        <f t="shared" si="54"/>
        <v>100</v>
      </c>
      <c r="AL51" s="48">
        <f t="shared" si="55"/>
        <v>10000</v>
      </c>
      <c r="AM51" s="48">
        <f t="shared" si="56"/>
        <v>10000</v>
      </c>
      <c r="AN51" s="48">
        <f t="shared" si="57"/>
        <v>10780.199999999999</v>
      </c>
      <c r="AO51" s="59">
        <f t="shared" ref="AO51:AO82" si="93">IF(AND(MOD($T51,zapadalnosc_EDO)&lt;=12,MOD($T51,zapadalnosc_EDO)&lt;&gt;0),proc_I_okres_EDO,(marza_EDO+$U51))</f>
        <v>6.0000000000000005E-2</v>
      </c>
      <c r="AP51" s="48">
        <f t="shared" ref="AP51:AP82" si="94">AN51*(1+AO51*IF(MOD($T51,12)&lt;&gt;0,MOD($T51,12),12)/12)</f>
        <v>11265.308999999997</v>
      </c>
      <c r="AQ51" s="48" t="str">
        <f t="shared" ref="AQ51:AQ82" si="95">IF(MOD($T51,zapadalnosc_EDO)=0,"tak","nie")</f>
        <v>nie</v>
      </c>
      <c r="AR51" s="48">
        <f t="shared" ref="AR51:AR82" si="96">IF(AND(MOD($T51,zapadalnosc_EDO)&lt;zapadalnosc_EDO,MOD($T51,zapadalnosc_EDO)&lt;&gt;0),MIN(AP51-AM51,AK51*koszt_wczesniejszy_wykup_EDO),0)</f>
        <v>200</v>
      </c>
      <c r="AS51" s="48">
        <f t="shared" ref="AS51:AS82" si="97">AP51-AR51
-(AP51-AM51-AR51)*podatek_Belki</f>
        <v>10862.900289999998</v>
      </c>
      <c r="AT51" s="48">
        <f t="shared" si="28"/>
        <v>0</v>
      </c>
      <c r="AU51" s="59">
        <f t="shared" ref="AU51:AU82" si="98">INDEX(scenariusz_I_konto,MATCH(ROUNDUP($T51/12,0),scenariusz_I_rok,0))</f>
        <v>1.4999999999999999E-2</v>
      </c>
      <c r="AV51" s="48">
        <f t="shared" ref="AV51:AV82" si="99">AV50*(1+AU51/12*(1-podatek_Belki))+AT51</f>
        <v>0</v>
      </c>
      <c r="AW51" s="48">
        <f t="shared" ref="AW51:AW82" si="100">AV50*(1+AU51/12*(1-podatek_Belki))+AS51</f>
        <v>10862.900289999998</v>
      </c>
      <c r="AY51" s="56">
        <f t="shared" si="63"/>
        <v>100</v>
      </c>
      <c r="AZ51" s="48">
        <f t="shared" si="64"/>
        <v>10000</v>
      </c>
      <c r="BA51" s="48">
        <f t="shared" si="58"/>
        <v>10000</v>
      </c>
      <c r="BB51" s="48">
        <f t="shared" si="59"/>
        <v>10784.374999999998</v>
      </c>
      <c r="BC51" s="59">
        <f t="shared" ref="BC51:BC82" si="101">IF(AND(MOD($T51,zapadalnosc_ROS)&lt;=12,MOD($T51,zapadalnosc_ROS)&lt;&gt;0),proc_I_okres_ROS,(marza_ROS+$U51))</f>
        <v>6.25E-2</v>
      </c>
      <c r="BD51" s="48">
        <f t="shared" ref="BD51:BD82" si="102">BB51*(1+BC51*IF(MOD($T51,12)&lt;&gt;0,MOD($T51,12),12)/12)</f>
        <v>11289.892578124998</v>
      </c>
      <c r="BE51" s="48" t="str">
        <f t="shared" ref="BE51:BE82" si="103">IF(MOD($T51,zapadalnosc_ROS)=0,"tak","nie")</f>
        <v>nie</v>
      </c>
      <c r="BF51" s="48">
        <f t="shared" ref="BF51:BF82" si="104">IF(AND(MOD($T51,zapadalnosc_ROS)&lt;zapadalnosc_ROS,MOD($T51,zapadalnosc_ROS)&lt;&gt;0),MIN(BD51-BA51,AY51*koszt_wczesniejszy_wykup_ROS),0)</f>
        <v>70</v>
      </c>
      <c r="BG51" s="48">
        <f t="shared" ref="BG51:BG82" si="105">BD51-BF51
-(BD51-BA51-BF51)*podatek_Belki</f>
        <v>10988.112988281249</v>
      </c>
      <c r="BH51" s="48">
        <f t="shared" si="37"/>
        <v>0</v>
      </c>
      <c r="BI51" s="59">
        <f t="shared" ref="BI51:BI82" si="106">INDEX(scenariusz_I_konto,MATCH(ROUNDUP($T51/12,0),scenariusz_I_rok,0))</f>
        <v>1.4999999999999999E-2</v>
      </c>
      <c r="BJ51" s="48">
        <f t="shared" ref="BJ51:BJ82" si="107">BJ50*(1+BI51/12*(1-podatek_Belki))+BH51</f>
        <v>0</v>
      </c>
      <c r="BK51" s="48">
        <f t="shared" ref="BK51:BK82" si="108">BJ50*(1+BI51/12*(1-podatek_Belki))+BG51</f>
        <v>10988.112988281249</v>
      </c>
      <c r="BL51" s="24"/>
      <c r="BM51" s="56">
        <f t="shared" si="65"/>
        <v>100</v>
      </c>
      <c r="BN51" s="48">
        <f t="shared" si="66"/>
        <v>10000</v>
      </c>
      <c r="BO51" s="48">
        <f t="shared" si="60"/>
        <v>10000</v>
      </c>
      <c r="BP51" s="48">
        <f t="shared" si="61"/>
        <v>10863</v>
      </c>
      <c r="BQ51" s="59">
        <f t="shared" ref="BQ51:BQ82" si="109">IF(AND(MOD($T51,zapadalnosc_ROD)&lt;=12,MOD($T51,zapadalnosc_ROD)&lt;&gt;0),proc_I_okres_ROD,(marza_ROD+$U51))</f>
        <v>6.5000000000000002E-2</v>
      </c>
      <c r="BR51" s="48">
        <f t="shared" ref="BR51:BR82" si="110">BP51*(1+BQ51*IF(MOD($T51,12)&lt;&gt;0,MOD($T51,12),12)/12)</f>
        <v>11392.571250000001</v>
      </c>
      <c r="BS51" s="48" t="str">
        <f t="shared" ref="BS51:BS82" si="111">IF(MOD($T51,zapadalnosc_ROD)=0,"tak","nie")</f>
        <v>nie</v>
      </c>
      <c r="BT51" s="48">
        <f t="shared" ref="BT51:BT82" si="112">IF(AND(MOD($T51,zapadalnosc_ROD)&lt;zapadalnosc_ROD,MOD($T51,zapadalnosc_ROD)&lt;&gt;0),MIN(BR51-BO51,BM51*koszt_wczesniejszy_wykup_ROD),0)</f>
        <v>200</v>
      </c>
      <c r="BU51" s="48">
        <f t="shared" si="45"/>
        <v>10965.982712500001</v>
      </c>
      <c r="BV51" s="48">
        <f t="shared" si="46"/>
        <v>0</v>
      </c>
      <c r="BW51" s="59">
        <f t="shared" ref="BW51:BW82" si="113">INDEX(scenariusz_I_konto,MATCH(ROUNDUP($T51/12,0),scenariusz_I_rok,0))</f>
        <v>1.4999999999999999E-2</v>
      </c>
      <c r="BX51" s="48">
        <f t="shared" ref="BX51:BX82" si="114">BX50*(1+BW51/12*(1-podatek_Belki))+BV51</f>
        <v>0</v>
      </c>
      <c r="BY51" s="48">
        <f t="shared" ref="BY51:BY82" si="115">BX50*(1+BW51/12*(1-podatek_Belki))+BU51</f>
        <v>10965.982712500001</v>
      </c>
    </row>
    <row r="52" spans="1:82" s="25" customFormat="1" ht="14">
      <c r="A52" s="24"/>
      <c r="B52" s="172"/>
      <c r="C52" s="66">
        <f t="shared" si="75"/>
        <v>18</v>
      </c>
      <c r="D52" s="48">
        <f t="shared" si="76"/>
        <v>10282.116318921922</v>
      </c>
      <c r="E52" s="48">
        <f t="shared" si="77"/>
        <v>10222.830999999998</v>
      </c>
      <c r="F52" s="48">
        <f t="shared" si="78"/>
        <v>10321.721874999999</v>
      </c>
      <c r="G52" s="49">
        <f t="shared" si="79"/>
        <v>10268.514999999999</v>
      </c>
      <c r="H52" s="49">
        <f t="shared" si="80"/>
        <v>10183.826991153748</v>
      </c>
      <c r="I52" s="48">
        <f t="shared" si="81"/>
        <v>10762.499999999998</v>
      </c>
      <c r="J52" s="24"/>
      <c r="K52" s="84"/>
      <c r="L52" s="64">
        <f t="shared" si="82"/>
        <v>18</v>
      </c>
      <c r="M52" s="51">
        <f t="shared" si="69"/>
        <v>2.8211631892192335E-2</v>
      </c>
      <c r="N52" s="51">
        <f t="shared" si="70"/>
        <v>2.2283099999999889E-2</v>
      </c>
      <c r="O52" s="51">
        <f t="shared" si="71"/>
        <v>3.2172187499999838E-2</v>
      </c>
      <c r="P52" s="51">
        <f t="shared" si="72"/>
        <v>2.6851500000000028E-2</v>
      </c>
      <c r="Q52" s="51">
        <f t="shared" si="73"/>
        <v>1.8382699115374823E-2</v>
      </c>
      <c r="R52" s="51">
        <f t="shared" si="74"/>
        <v>7.6249999999999929E-2</v>
      </c>
      <c r="S52" s="24"/>
      <c r="T52" s="45">
        <f t="shared" si="50"/>
        <v>34</v>
      </c>
      <c r="U52" s="59">
        <f t="shared" si="67"/>
        <v>0.05</v>
      </c>
      <c r="V52" s="48">
        <f t="shared" si="83"/>
        <v>11484.375</v>
      </c>
      <c r="W52" s="56">
        <f t="shared" ref="W52:W83" si="116">IF(AC51="tak",
ROUNDDOWN(AE51/zamiana_COI,0),
W51)</f>
        <v>100</v>
      </c>
      <c r="X52" s="48">
        <f t="shared" ref="X52:X83" si="117">IF(AC51="tak",
W52*zamiana_COI,
X51)</f>
        <v>10000</v>
      </c>
      <c r="Y52" s="48">
        <f t="shared" si="62"/>
        <v>10000</v>
      </c>
      <c r="Z52" s="48">
        <f t="shared" si="53"/>
        <v>10000</v>
      </c>
      <c r="AA52" s="59">
        <f t="shared" si="84"/>
        <v>5.7500000000000002E-2</v>
      </c>
      <c r="AB52" s="48">
        <f t="shared" si="85"/>
        <v>10479.166666666666</v>
      </c>
      <c r="AC52" s="48" t="str">
        <f t="shared" si="86"/>
        <v>nie</v>
      </c>
      <c r="AD52" s="48">
        <f t="shared" si="87"/>
        <v>70</v>
      </c>
      <c r="AE52" s="48">
        <f t="shared" si="88"/>
        <v>10331.424999999999</v>
      </c>
      <c r="AF52" s="48">
        <f t="shared" si="89"/>
        <v>0</v>
      </c>
      <c r="AG52" s="59">
        <f t="shared" si="90"/>
        <v>1.4999999999999999E-2</v>
      </c>
      <c r="AH52" s="48">
        <f t="shared" si="91"/>
        <v>578.15792569870052</v>
      </c>
      <c r="AI52" s="48">
        <f t="shared" si="92"/>
        <v>10909.5829256987</v>
      </c>
      <c r="AJ52" s="24"/>
      <c r="AK52" s="56">
        <f t="shared" ref="AK52:AK83" si="118">IF(AQ51="tak",
ROUNDDOWN(AS51/zamiana_EDO,0),
AK51)</f>
        <v>100</v>
      </c>
      <c r="AL52" s="48">
        <f t="shared" ref="AL52:AL83" si="119">IF(AQ51="tak",
AK52*zamiana_EDO,
AL51)</f>
        <v>10000</v>
      </c>
      <c r="AM52" s="48">
        <f t="shared" si="56"/>
        <v>10000</v>
      </c>
      <c r="AN52" s="48">
        <f t="shared" ref="AN52:AN83" si="120">IF(AQ51="tak",
 AM52,
IF(MOD($T52,kapitalizacja_odsetek_mc_EDO)&lt;&gt;1,AN51,AP51))</f>
        <v>10780.199999999999</v>
      </c>
      <c r="AO52" s="59">
        <f t="shared" si="93"/>
        <v>6.0000000000000005E-2</v>
      </c>
      <c r="AP52" s="48">
        <f t="shared" si="94"/>
        <v>11319.21</v>
      </c>
      <c r="AQ52" s="48" t="str">
        <f t="shared" si="95"/>
        <v>nie</v>
      </c>
      <c r="AR52" s="48">
        <f t="shared" si="96"/>
        <v>200</v>
      </c>
      <c r="AS52" s="48">
        <f t="shared" si="97"/>
        <v>10906.560099999999</v>
      </c>
      <c r="AT52" s="48">
        <f t="shared" si="28"/>
        <v>0</v>
      </c>
      <c r="AU52" s="59">
        <f t="shared" si="98"/>
        <v>1.4999999999999999E-2</v>
      </c>
      <c r="AV52" s="48">
        <f t="shared" si="99"/>
        <v>0</v>
      </c>
      <c r="AW52" s="48">
        <f t="shared" si="100"/>
        <v>10906.560099999999</v>
      </c>
      <c r="AY52" s="56">
        <f t="shared" si="63"/>
        <v>100</v>
      </c>
      <c r="AZ52" s="48">
        <f t="shared" si="64"/>
        <v>10000</v>
      </c>
      <c r="BA52" s="48">
        <f t="shared" si="58"/>
        <v>10000</v>
      </c>
      <c r="BB52" s="48">
        <f t="shared" ref="BB52:BB83" si="121">IF(BE51="tak",
 BA52,
IF(MOD($T52,kapitalizacja_odsetek_mc_ROS)&lt;&gt;1,BB51,BD51))</f>
        <v>10784.374999999998</v>
      </c>
      <c r="BC52" s="59">
        <f t="shared" si="101"/>
        <v>6.25E-2</v>
      </c>
      <c r="BD52" s="48">
        <f t="shared" si="102"/>
        <v>11346.061197916664</v>
      </c>
      <c r="BE52" s="48" t="str">
        <f t="shared" si="103"/>
        <v>nie</v>
      </c>
      <c r="BF52" s="48">
        <f t="shared" si="104"/>
        <v>70</v>
      </c>
      <c r="BG52" s="48">
        <f t="shared" si="105"/>
        <v>11033.609570312497</v>
      </c>
      <c r="BH52" s="48">
        <f t="shared" si="37"/>
        <v>0</v>
      </c>
      <c r="BI52" s="59">
        <f t="shared" si="106"/>
        <v>1.4999999999999999E-2</v>
      </c>
      <c r="BJ52" s="48">
        <f t="shared" si="107"/>
        <v>0</v>
      </c>
      <c r="BK52" s="48">
        <f t="shared" si="108"/>
        <v>11033.609570312497</v>
      </c>
      <c r="BL52" s="24"/>
      <c r="BM52" s="56">
        <f t="shared" si="65"/>
        <v>100</v>
      </c>
      <c r="BN52" s="48">
        <f t="shared" si="66"/>
        <v>10000</v>
      </c>
      <c r="BO52" s="48">
        <f t="shared" si="60"/>
        <v>10000</v>
      </c>
      <c r="BP52" s="48">
        <f t="shared" ref="BP52:BP83" si="122">IF(BS51="tak",
 BO52,
IF(MOD($T52,kapitalizacja_odsetek_mc_ROD)&lt;&gt;1,BP51,BR51))</f>
        <v>10863</v>
      </c>
      <c r="BQ52" s="59">
        <f t="shared" si="109"/>
        <v>6.5000000000000002E-2</v>
      </c>
      <c r="BR52" s="48">
        <f t="shared" si="110"/>
        <v>11451.4125</v>
      </c>
      <c r="BS52" s="48" t="str">
        <f t="shared" si="111"/>
        <v>nie</v>
      </c>
      <c r="BT52" s="48">
        <f t="shared" si="112"/>
        <v>200</v>
      </c>
      <c r="BU52" s="48">
        <f t="shared" si="45"/>
        <v>11013.644125000001</v>
      </c>
      <c r="BV52" s="48">
        <f t="shared" si="46"/>
        <v>0</v>
      </c>
      <c r="BW52" s="59">
        <f t="shared" si="113"/>
        <v>1.4999999999999999E-2</v>
      </c>
      <c r="BX52" s="48">
        <f t="shared" si="114"/>
        <v>0</v>
      </c>
      <c r="BY52" s="48">
        <f t="shared" si="115"/>
        <v>11013.644125000001</v>
      </c>
    </row>
    <row r="53" spans="1:82" s="25" customFormat="1" ht="14">
      <c r="A53" s="24"/>
      <c r="B53" s="172"/>
      <c r="C53" s="66">
        <f t="shared" si="75"/>
        <v>19</v>
      </c>
      <c r="D53" s="48">
        <f t="shared" si="76"/>
        <v>10321.03608450733</v>
      </c>
      <c r="E53" s="48">
        <f t="shared" si="77"/>
        <v>10264.019499999999</v>
      </c>
      <c r="F53" s="48">
        <f t="shared" si="78"/>
        <v>10364.542187499997</v>
      </c>
      <c r="G53" s="49">
        <f t="shared" si="79"/>
        <v>10313.2675</v>
      </c>
      <c r="H53" s="49">
        <f t="shared" si="80"/>
        <v>10194.138115982292</v>
      </c>
      <c r="I53" s="48">
        <f t="shared" si="81"/>
        <v>10806.249999999998</v>
      </c>
      <c r="J53" s="24"/>
      <c r="K53" s="84"/>
      <c r="L53" s="64">
        <f t="shared" si="82"/>
        <v>19</v>
      </c>
      <c r="M53" s="51">
        <f t="shared" si="69"/>
        <v>3.2103608450732901E-2</v>
      </c>
      <c r="N53" s="51">
        <f t="shared" si="70"/>
        <v>2.6401949999999896E-2</v>
      </c>
      <c r="O53" s="51">
        <f t="shared" si="71"/>
        <v>3.6454218749999656E-2</v>
      </c>
      <c r="P53" s="51">
        <f t="shared" si="72"/>
        <v>3.132675000000007E-2</v>
      </c>
      <c r="Q53" s="51">
        <f t="shared" si="73"/>
        <v>1.9413811598229191E-2</v>
      </c>
      <c r="R53" s="51">
        <f t="shared" si="74"/>
        <v>8.0624999999999725E-2</v>
      </c>
      <c r="S53" s="24"/>
      <c r="T53" s="45">
        <f t="shared" si="50"/>
        <v>35</v>
      </c>
      <c r="U53" s="59">
        <f t="shared" si="67"/>
        <v>0.05</v>
      </c>
      <c r="V53" s="48">
        <f t="shared" si="83"/>
        <v>11530.3125</v>
      </c>
      <c r="W53" s="56">
        <f t="shared" si="116"/>
        <v>100</v>
      </c>
      <c r="X53" s="48">
        <f t="shared" si="117"/>
        <v>10000</v>
      </c>
      <c r="Y53" s="48">
        <f t="shared" si="62"/>
        <v>10000</v>
      </c>
      <c r="Z53" s="48">
        <f t="shared" si="53"/>
        <v>10000</v>
      </c>
      <c r="AA53" s="59">
        <f t="shared" si="84"/>
        <v>5.7500000000000002E-2</v>
      </c>
      <c r="AB53" s="48">
        <f t="shared" si="85"/>
        <v>10527.083333333334</v>
      </c>
      <c r="AC53" s="48" t="str">
        <f t="shared" si="86"/>
        <v>nie</v>
      </c>
      <c r="AD53" s="48">
        <f t="shared" si="87"/>
        <v>70</v>
      </c>
      <c r="AE53" s="48">
        <f t="shared" si="88"/>
        <v>10370.237500000001</v>
      </c>
      <c r="AF53" s="48">
        <f t="shared" si="89"/>
        <v>0</v>
      </c>
      <c r="AG53" s="59">
        <f t="shared" si="90"/>
        <v>1.4999999999999999E-2</v>
      </c>
      <c r="AH53" s="48">
        <f t="shared" si="91"/>
        <v>578.74331059847054</v>
      </c>
      <c r="AI53" s="48">
        <f t="shared" si="92"/>
        <v>10948.980810598472</v>
      </c>
      <c r="AJ53" s="24"/>
      <c r="AK53" s="56">
        <f t="shared" si="118"/>
        <v>100</v>
      </c>
      <c r="AL53" s="48">
        <f t="shared" si="119"/>
        <v>10000</v>
      </c>
      <c r="AM53" s="48">
        <f t="shared" si="56"/>
        <v>10000</v>
      </c>
      <c r="AN53" s="48">
        <f t="shared" si="120"/>
        <v>10780.199999999999</v>
      </c>
      <c r="AO53" s="59">
        <f t="shared" si="93"/>
        <v>6.0000000000000005E-2</v>
      </c>
      <c r="AP53" s="48">
        <f t="shared" si="94"/>
        <v>11373.110999999999</v>
      </c>
      <c r="AQ53" s="48" t="str">
        <f t="shared" si="95"/>
        <v>nie</v>
      </c>
      <c r="AR53" s="48">
        <f t="shared" si="96"/>
        <v>200</v>
      </c>
      <c r="AS53" s="48">
        <f t="shared" si="97"/>
        <v>10950.21991</v>
      </c>
      <c r="AT53" s="48">
        <f t="shared" si="28"/>
        <v>0</v>
      </c>
      <c r="AU53" s="59">
        <f t="shared" si="98"/>
        <v>1.4999999999999999E-2</v>
      </c>
      <c r="AV53" s="48">
        <f t="shared" si="99"/>
        <v>0</v>
      </c>
      <c r="AW53" s="48">
        <f t="shared" si="100"/>
        <v>10950.21991</v>
      </c>
      <c r="AY53" s="56">
        <f t="shared" si="63"/>
        <v>100</v>
      </c>
      <c r="AZ53" s="48">
        <f t="shared" si="64"/>
        <v>10000</v>
      </c>
      <c r="BA53" s="48">
        <f t="shared" si="58"/>
        <v>10000</v>
      </c>
      <c r="BB53" s="48">
        <f t="shared" si="121"/>
        <v>10784.374999999998</v>
      </c>
      <c r="BC53" s="59">
        <f t="shared" si="101"/>
        <v>6.25E-2</v>
      </c>
      <c r="BD53" s="48">
        <f t="shared" si="102"/>
        <v>11402.229817708332</v>
      </c>
      <c r="BE53" s="48" t="str">
        <f t="shared" si="103"/>
        <v>nie</v>
      </c>
      <c r="BF53" s="48">
        <f t="shared" si="104"/>
        <v>70</v>
      </c>
      <c r="BG53" s="48">
        <f t="shared" si="105"/>
        <v>11079.106152343749</v>
      </c>
      <c r="BH53" s="48">
        <f t="shared" si="37"/>
        <v>0</v>
      </c>
      <c r="BI53" s="59">
        <f t="shared" si="106"/>
        <v>1.4999999999999999E-2</v>
      </c>
      <c r="BJ53" s="48">
        <f t="shared" si="107"/>
        <v>0</v>
      </c>
      <c r="BK53" s="48">
        <f t="shared" si="108"/>
        <v>11079.106152343749</v>
      </c>
      <c r="BL53" s="24"/>
      <c r="BM53" s="56">
        <f t="shared" si="65"/>
        <v>100</v>
      </c>
      <c r="BN53" s="48">
        <f t="shared" si="66"/>
        <v>10000</v>
      </c>
      <c r="BO53" s="48">
        <f t="shared" si="60"/>
        <v>10000</v>
      </c>
      <c r="BP53" s="48">
        <f t="shared" si="122"/>
        <v>10863</v>
      </c>
      <c r="BQ53" s="59">
        <f t="shared" si="109"/>
        <v>6.5000000000000002E-2</v>
      </c>
      <c r="BR53" s="48">
        <f t="shared" si="110"/>
        <v>11510.25375</v>
      </c>
      <c r="BS53" s="48" t="str">
        <f t="shared" si="111"/>
        <v>nie</v>
      </c>
      <c r="BT53" s="48">
        <f t="shared" si="112"/>
        <v>200</v>
      </c>
      <c r="BU53" s="48">
        <f t="shared" si="45"/>
        <v>11061.3055375</v>
      </c>
      <c r="BV53" s="48">
        <f t="shared" si="46"/>
        <v>0</v>
      </c>
      <c r="BW53" s="59">
        <f t="shared" si="113"/>
        <v>1.4999999999999999E-2</v>
      </c>
      <c r="BX53" s="48">
        <f t="shared" si="114"/>
        <v>0</v>
      </c>
      <c r="BY53" s="48">
        <f t="shared" si="115"/>
        <v>11061.3055375</v>
      </c>
    </row>
    <row r="54" spans="1:82" s="25" customFormat="1" ht="14">
      <c r="A54" s="24"/>
      <c r="B54" s="172"/>
      <c r="C54" s="66">
        <f t="shared" si="75"/>
        <v>20</v>
      </c>
      <c r="D54" s="48">
        <f t="shared" si="76"/>
        <v>10359.955958699145</v>
      </c>
      <c r="E54" s="48">
        <f t="shared" si="77"/>
        <v>10305.207999999999</v>
      </c>
      <c r="F54" s="48">
        <f t="shared" si="78"/>
        <v>10407.362499999999</v>
      </c>
      <c r="G54" s="49">
        <f t="shared" si="79"/>
        <v>10358.020000000002</v>
      </c>
      <c r="H54" s="49">
        <f t="shared" si="80"/>
        <v>10204.459680824724</v>
      </c>
      <c r="I54" s="48">
        <f t="shared" si="81"/>
        <v>10850.000000000002</v>
      </c>
      <c r="J54" s="24"/>
      <c r="K54" s="84"/>
      <c r="L54" s="64">
        <f t="shared" si="82"/>
        <v>20</v>
      </c>
      <c r="M54" s="51">
        <f t="shared" si="69"/>
        <v>3.5995595869914521E-2</v>
      </c>
      <c r="N54" s="51">
        <f t="shared" si="70"/>
        <v>3.0520799999999904E-2</v>
      </c>
      <c r="O54" s="51">
        <f t="shared" si="71"/>
        <v>4.0736249999999918E-2</v>
      </c>
      <c r="P54" s="51">
        <f t="shared" si="72"/>
        <v>3.5802000000000334E-2</v>
      </c>
      <c r="Q54" s="51">
        <f t="shared" si="73"/>
        <v>2.0445968082472454E-2</v>
      </c>
      <c r="R54" s="51">
        <f t="shared" si="74"/>
        <v>8.5000000000000187E-2</v>
      </c>
      <c r="S54" s="24"/>
      <c r="T54" s="45">
        <f t="shared" si="50"/>
        <v>36</v>
      </c>
      <c r="U54" s="59">
        <f t="shared" si="67"/>
        <v>0.05</v>
      </c>
      <c r="V54" s="48">
        <f t="shared" si="83"/>
        <v>11576.250000000002</v>
      </c>
      <c r="W54" s="56">
        <f t="shared" si="116"/>
        <v>100</v>
      </c>
      <c r="X54" s="48">
        <f t="shared" si="117"/>
        <v>10000</v>
      </c>
      <c r="Y54" s="48">
        <f t="shared" si="62"/>
        <v>10000</v>
      </c>
      <c r="Z54" s="48">
        <f t="shared" si="53"/>
        <v>10000</v>
      </c>
      <c r="AA54" s="59">
        <f t="shared" si="84"/>
        <v>5.7500000000000002E-2</v>
      </c>
      <c r="AB54" s="48">
        <f t="shared" si="85"/>
        <v>10575.000000000002</v>
      </c>
      <c r="AC54" s="48" t="str">
        <f t="shared" si="86"/>
        <v>nie</v>
      </c>
      <c r="AD54" s="48">
        <f t="shared" si="87"/>
        <v>70</v>
      </c>
      <c r="AE54" s="48">
        <f t="shared" si="88"/>
        <v>10409.050000000001</v>
      </c>
      <c r="AF54" s="48">
        <f t="shared" si="89"/>
        <v>465.75000000000148</v>
      </c>
      <c r="AG54" s="59">
        <f t="shared" si="90"/>
        <v>1.4999999999999999E-2</v>
      </c>
      <c r="AH54" s="48">
        <f t="shared" si="91"/>
        <v>1045.079288200453</v>
      </c>
      <c r="AI54" s="48">
        <f t="shared" si="92"/>
        <v>10988.379288200453</v>
      </c>
      <c r="AJ54" s="24"/>
      <c r="AK54" s="56">
        <f t="shared" si="118"/>
        <v>100</v>
      </c>
      <c r="AL54" s="48">
        <f t="shared" si="119"/>
        <v>10000</v>
      </c>
      <c r="AM54" s="48">
        <f t="shared" si="56"/>
        <v>10000</v>
      </c>
      <c r="AN54" s="48">
        <f t="shared" si="120"/>
        <v>10780.199999999999</v>
      </c>
      <c r="AO54" s="59">
        <f t="shared" si="93"/>
        <v>6.0000000000000005E-2</v>
      </c>
      <c r="AP54" s="48">
        <f t="shared" si="94"/>
        <v>11427.011999999999</v>
      </c>
      <c r="AQ54" s="48" t="str">
        <f t="shared" si="95"/>
        <v>nie</v>
      </c>
      <c r="AR54" s="48">
        <f t="shared" si="96"/>
        <v>200</v>
      </c>
      <c r="AS54" s="48">
        <f t="shared" si="97"/>
        <v>10993.879719999999</v>
      </c>
      <c r="AT54" s="48">
        <f t="shared" si="28"/>
        <v>0</v>
      </c>
      <c r="AU54" s="59">
        <f t="shared" si="98"/>
        <v>1.4999999999999999E-2</v>
      </c>
      <c r="AV54" s="48">
        <f t="shared" si="99"/>
        <v>0</v>
      </c>
      <c r="AW54" s="48">
        <f t="shared" si="100"/>
        <v>10993.879719999999</v>
      </c>
      <c r="AY54" s="56">
        <f t="shared" si="63"/>
        <v>100</v>
      </c>
      <c r="AZ54" s="48">
        <f t="shared" si="64"/>
        <v>10000</v>
      </c>
      <c r="BA54" s="48">
        <f t="shared" si="58"/>
        <v>10000</v>
      </c>
      <c r="BB54" s="48">
        <f t="shared" si="121"/>
        <v>10784.374999999998</v>
      </c>
      <c r="BC54" s="59">
        <f t="shared" si="101"/>
        <v>6.25E-2</v>
      </c>
      <c r="BD54" s="48">
        <f t="shared" si="102"/>
        <v>11458.398437499998</v>
      </c>
      <c r="BE54" s="48" t="str">
        <f t="shared" si="103"/>
        <v>nie</v>
      </c>
      <c r="BF54" s="48">
        <f t="shared" si="104"/>
        <v>70</v>
      </c>
      <c r="BG54" s="48">
        <f t="shared" si="105"/>
        <v>11124.602734374999</v>
      </c>
      <c r="BH54" s="48">
        <f t="shared" si="37"/>
        <v>0</v>
      </c>
      <c r="BI54" s="59">
        <f t="shared" si="106"/>
        <v>1.4999999999999999E-2</v>
      </c>
      <c r="BJ54" s="48">
        <f t="shared" si="107"/>
        <v>0</v>
      </c>
      <c r="BK54" s="48">
        <f t="shared" si="108"/>
        <v>11124.602734374999</v>
      </c>
      <c r="BL54" s="24"/>
      <c r="BM54" s="56">
        <f t="shared" si="65"/>
        <v>100</v>
      </c>
      <c r="BN54" s="48">
        <f t="shared" si="66"/>
        <v>10000</v>
      </c>
      <c r="BO54" s="48">
        <f t="shared" si="60"/>
        <v>10000</v>
      </c>
      <c r="BP54" s="48">
        <f t="shared" si="122"/>
        <v>10863</v>
      </c>
      <c r="BQ54" s="59">
        <f t="shared" si="109"/>
        <v>6.5000000000000002E-2</v>
      </c>
      <c r="BR54" s="48">
        <f t="shared" si="110"/>
        <v>11569.094999999999</v>
      </c>
      <c r="BS54" s="48" t="str">
        <f t="shared" si="111"/>
        <v>nie</v>
      </c>
      <c r="BT54" s="48">
        <f t="shared" si="112"/>
        <v>200</v>
      </c>
      <c r="BU54" s="48">
        <f t="shared" si="45"/>
        <v>11108.96695</v>
      </c>
      <c r="BV54" s="48">
        <f t="shared" si="46"/>
        <v>0</v>
      </c>
      <c r="BW54" s="59">
        <f t="shared" si="113"/>
        <v>1.4999999999999999E-2</v>
      </c>
      <c r="BX54" s="48">
        <f t="shared" si="114"/>
        <v>0</v>
      </c>
      <c r="BY54" s="48">
        <f t="shared" si="115"/>
        <v>11108.96695</v>
      </c>
    </row>
    <row r="55" spans="1:82" s="25" customFormat="1" ht="14">
      <c r="A55" s="24"/>
      <c r="B55" s="172"/>
      <c r="C55" s="66">
        <f t="shared" si="75"/>
        <v>21</v>
      </c>
      <c r="D55" s="48">
        <f t="shared" si="76"/>
        <v>10398.875941607326</v>
      </c>
      <c r="E55" s="48">
        <f t="shared" si="77"/>
        <v>10346.396499999999</v>
      </c>
      <c r="F55" s="48">
        <f t="shared" si="78"/>
        <v>10450.182812499999</v>
      </c>
      <c r="G55" s="49">
        <f t="shared" si="79"/>
        <v>10402.772499999999</v>
      </c>
      <c r="H55" s="49">
        <f t="shared" si="80"/>
        <v>10214.791696251561</v>
      </c>
      <c r="I55" s="48">
        <f t="shared" si="81"/>
        <v>10893.750000000002</v>
      </c>
      <c r="J55" s="24"/>
      <c r="K55" s="84"/>
      <c r="L55" s="64">
        <f t="shared" si="82"/>
        <v>21</v>
      </c>
      <c r="M55" s="51">
        <f t="shared" si="69"/>
        <v>3.988759416073262E-2</v>
      </c>
      <c r="N55" s="51">
        <f t="shared" si="70"/>
        <v>3.4639649999999911E-2</v>
      </c>
      <c r="O55" s="51">
        <f t="shared" si="71"/>
        <v>4.5018281249999959E-2</v>
      </c>
      <c r="P55" s="51">
        <f t="shared" si="72"/>
        <v>4.0277249999999931E-2</v>
      </c>
      <c r="Q55" s="51">
        <f t="shared" si="73"/>
        <v>2.1479169625156169E-2</v>
      </c>
      <c r="R55" s="51">
        <f t="shared" si="74"/>
        <v>8.9375000000000204E-2</v>
      </c>
      <c r="S55" s="24"/>
      <c r="T55" s="45">
        <f t="shared" si="50"/>
        <v>37</v>
      </c>
      <c r="U55" s="59">
        <f t="shared" si="67"/>
        <v>0.05</v>
      </c>
      <c r="V55" s="48">
        <f t="shared" si="83"/>
        <v>11624.484375000002</v>
      </c>
      <c r="W55" s="56">
        <f t="shared" si="116"/>
        <v>100</v>
      </c>
      <c r="X55" s="48">
        <f t="shared" si="117"/>
        <v>10000</v>
      </c>
      <c r="Y55" s="48">
        <f t="shared" si="62"/>
        <v>10000</v>
      </c>
      <c r="Z55" s="48">
        <f t="shared" si="53"/>
        <v>10000</v>
      </c>
      <c r="AA55" s="59">
        <f t="shared" si="84"/>
        <v>5.7500000000000002E-2</v>
      </c>
      <c r="AB55" s="48">
        <f t="shared" si="85"/>
        <v>10047.916666666668</v>
      </c>
      <c r="AC55" s="48" t="str">
        <f t="shared" si="86"/>
        <v>nie</v>
      </c>
      <c r="AD55" s="48">
        <f t="shared" si="87"/>
        <v>70</v>
      </c>
      <c r="AE55" s="48">
        <f t="shared" si="88"/>
        <v>9982.1125000000011</v>
      </c>
      <c r="AF55" s="48">
        <f t="shared" si="89"/>
        <v>0</v>
      </c>
      <c r="AG55" s="59">
        <f t="shared" si="90"/>
        <v>1.4999999999999999E-2</v>
      </c>
      <c r="AH55" s="48">
        <f t="shared" si="91"/>
        <v>1046.1374309797561</v>
      </c>
      <c r="AI55" s="48">
        <f t="shared" si="92"/>
        <v>11028.249930979757</v>
      </c>
      <c r="AJ55" s="24"/>
      <c r="AK55" s="56">
        <f t="shared" si="118"/>
        <v>100</v>
      </c>
      <c r="AL55" s="48">
        <f t="shared" si="119"/>
        <v>10000</v>
      </c>
      <c r="AM55" s="48">
        <f t="shared" si="56"/>
        <v>10000</v>
      </c>
      <c r="AN55" s="48">
        <f t="shared" si="120"/>
        <v>11427.011999999999</v>
      </c>
      <c r="AO55" s="59">
        <f t="shared" si="93"/>
        <v>6.0000000000000005E-2</v>
      </c>
      <c r="AP55" s="48">
        <f t="shared" si="94"/>
        <v>11484.147059999998</v>
      </c>
      <c r="AQ55" s="48" t="str">
        <f t="shared" si="95"/>
        <v>nie</v>
      </c>
      <c r="AR55" s="48">
        <f t="shared" si="96"/>
        <v>200</v>
      </c>
      <c r="AS55" s="48">
        <f t="shared" si="97"/>
        <v>11040.159118599999</v>
      </c>
      <c r="AT55" s="48">
        <f t="shared" si="28"/>
        <v>0</v>
      </c>
      <c r="AU55" s="59">
        <f t="shared" si="98"/>
        <v>1.4999999999999999E-2</v>
      </c>
      <c r="AV55" s="48">
        <f t="shared" si="99"/>
        <v>0</v>
      </c>
      <c r="AW55" s="48">
        <f t="shared" si="100"/>
        <v>11040.159118599999</v>
      </c>
      <c r="AY55" s="56">
        <f t="shared" si="63"/>
        <v>100</v>
      </c>
      <c r="AZ55" s="48">
        <f t="shared" si="64"/>
        <v>10000</v>
      </c>
      <c r="BA55" s="48">
        <f t="shared" si="58"/>
        <v>10000</v>
      </c>
      <c r="BB55" s="48">
        <f t="shared" si="121"/>
        <v>11458.398437499998</v>
      </c>
      <c r="BC55" s="59">
        <f t="shared" si="101"/>
        <v>6.25E-2</v>
      </c>
      <c r="BD55" s="48">
        <f t="shared" si="102"/>
        <v>11518.077596028643</v>
      </c>
      <c r="BE55" s="48" t="str">
        <f t="shared" si="103"/>
        <v>nie</v>
      </c>
      <c r="BF55" s="48">
        <f t="shared" si="104"/>
        <v>70</v>
      </c>
      <c r="BG55" s="48">
        <f t="shared" si="105"/>
        <v>11172.942852783201</v>
      </c>
      <c r="BH55" s="48">
        <f t="shared" si="37"/>
        <v>0</v>
      </c>
      <c r="BI55" s="59">
        <f t="shared" si="106"/>
        <v>1.4999999999999999E-2</v>
      </c>
      <c r="BJ55" s="48">
        <f t="shared" si="107"/>
        <v>0</v>
      </c>
      <c r="BK55" s="48">
        <f t="shared" si="108"/>
        <v>11172.942852783201</v>
      </c>
      <c r="BL55" s="24"/>
      <c r="BM55" s="56">
        <f t="shared" si="65"/>
        <v>100</v>
      </c>
      <c r="BN55" s="48">
        <f t="shared" si="66"/>
        <v>10000</v>
      </c>
      <c r="BO55" s="48">
        <f t="shared" si="60"/>
        <v>10000</v>
      </c>
      <c r="BP55" s="48">
        <f t="shared" si="122"/>
        <v>11569.094999999999</v>
      </c>
      <c r="BQ55" s="59">
        <f t="shared" si="109"/>
        <v>6.5000000000000002E-2</v>
      </c>
      <c r="BR55" s="48">
        <f t="shared" si="110"/>
        <v>11631.760931249999</v>
      </c>
      <c r="BS55" s="48" t="str">
        <f t="shared" si="111"/>
        <v>nie</v>
      </c>
      <c r="BT55" s="48">
        <f t="shared" si="112"/>
        <v>200</v>
      </c>
      <c r="BU55" s="48">
        <f t="shared" si="45"/>
        <v>11159.726354312499</v>
      </c>
      <c r="BV55" s="48">
        <f t="shared" si="46"/>
        <v>0</v>
      </c>
      <c r="BW55" s="59">
        <f t="shared" si="113"/>
        <v>1.4999999999999999E-2</v>
      </c>
      <c r="BX55" s="48">
        <f t="shared" si="114"/>
        <v>0</v>
      </c>
      <c r="BY55" s="48">
        <f t="shared" si="115"/>
        <v>11159.726354312499</v>
      </c>
    </row>
    <row r="56" spans="1:82" s="25" customFormat="1" ht="14">
      <c r="A56" s="24"/>
      <c r="B56" s="172"/>
      <c r="C56" s="66">
        <f t="shared" si="75"/>
        <v>22</v>
      </c>
      <c r="D56" s="48">
        <f t="shared" si="76"/>
        <v>10437.796033341954</v>
      </c>
      <c r="E56" s="48">
        <f t="shared" si="77"/>
        <v>10387.584999999999</v>
      </c>
      <c r="F56" s="48">
        <f t="shared" si="78"/>
        <v>10493.003124999997</v>
      </c>
      <c r="G56" s="49">
        <f t="shared" si="79"/>
        <v>10447.525</v>
      </c>
      <c r="H56" s="49">
        <f t="shared" si="80"/>
        <v>10225.134172844017</v>
      </c>
      <c r="I56" s="48">
        <f t="shared" si="81"/>
        <v>10937.5</v>
      </c>
      <c r="J56" s="24"/>
      <c r="K56" s="84"/>
      <c r="L56" s="64">
        <f t="shared" si="82"/>
        <v>22</v>
      </c>
      <c r="M56" s="51">
        <f t="shared" si="69"/>
        <v>4.3779603334195505E-2</v>
      </c>
      <c r="N56" s="51">
        <f t="shared" si="70"/>
        <v>3.8758499999999918E-2</v>
      </c>
      <c r="O56" s="51">
        <f t="shared" si="71"/>
        <v>4.9300312499999777E-2</v>
      </c>
      <c r="P56" s="51">
        <f t="shared" si="72"/>
        <v>4.4752499999999973E-2</v>
      </c>
      <c r="Q56" s="51">
        <f t="shared" si="73"/>
        <v>2.2513417284401704E-2</v>
      </c>
      <c r="R56" s="51">
        <f t="shared" si="74"/>
        <v>9.375E-2</v>
      </c>
      <c r="S56" s="24"/>
      <c r="T56" s="45">
        <f t="shared" si="50"/>
        <v>38</v>
      </c>
      <c r="U56" s="59">
        <f t="shared" si="67"/>
        <v>0.05</v>
      </c>
      <c r="V56" s="48">
        <f t="shared" si="83"/>
        <v>11672.718750000002</v>
      </c>
      <c r="W56" s="56">
        <f t="shared" si="116"/>
        <v>100</v>
      </c>
      <c r="X56" s="48">
        <f t="shared" si="117"/>
        <v>10000</v>
      </c>
      <c r="Y56" s="48">
        <f t="shared" si="62"/>
        <v>10000</v>
      </c>
      <c r="Z56" s="48">
        <f t="shared" si="53"/>
        <v>10000</v>
      </c>
      <c r="AA56" s="59">
        <f t="shared" si="84"/>
        <v>5.7500000000000002E-2</v>
      </c>
      <c r="AB56" s="48">
        <f t="shared" si="85"/>
        <v>10095.833333333332</v>
      </c>
      <c r="AC56" s="48" t="str">
        <f t="shared" si="86"/>
        <v>nie</v>
      </c>
      <c r="AD56" s="48">
        <f t="shared" si="87"/>
        <v>70</v>
      </c>
      <c r="AE56" s="48">
        <f t="shared" si="88"/>
        <v>10020.924999999999</v>
      </c>
      <c r="AF56" s="48">
        <f t="shared" si="89"/>
        <v>0</v>
      </c>
      <c r="AG56" s="59">
        <f t="shared" si="90"/>
        <v>1.4999999999999999E-2</v>
      </c>
      <c r="AH56" s="48">
        <f t="shared" si="91"/>
        <v>1047.1966451286232</v>
      </c>
      <c r="AI56" s="48">
        <f t="shared" si="92"/>
        <v>11068.121645128622</v>
      </c>
      <c r="AJ56" s="24"/>
      <c r="AK56" s="56">
        <f t="shared" si="118"/>
        <v>100</v>
      </c>
      <c r="AL56" s="48">
        <f t="shared" si="119"/>
        <v>10000</v>
      </c>
      <c r="AM56" s="48">
        <f t="shared" si="56"/>
        <v>10000</v>
      </c>
      <c r="AN56" s="48">
        <f t="shared" si="120"/>
        <v>11427.011999999999</v>
      </c>
      <c r="AO56" s="59">
        <f t="shared" si="93"/>
        <v>6.0000000000000005E-2</v>
      </c>
      <c r="AP56" s="48">
        <f t="shared" si="94"/>
        <v>11541.282119999998</v>
      </c>
      <c r="AQ56" s="48" t="str">
        <f t="shared" si="95"/>
        <v>nie</v>
      </c>
      <c r="AR56" s="48">
        <f t="shared" si="96"/>
        <v>200</v>
      </c>
      <c r="AS56" s="48">
        <f t="shared" si="97"/>
        <v>11086.438517199998</v>
      </c>
      <c r="AT56" s="48">
        <f t="shared" si="28"/>
        <v>0</v>
      </c>
      <c r="AU56" s="59">
        <f t="shared" si="98"/>
        <v>1.4999999999999999E-2</v>
      </c>
      <c r="AV56" s="48">
        <f t="shared" si="99"/>
        <v>0</v>
      </c>
      <c r="AW56" s="48">
        <f t="shared" si="100"/>
        <v>11086.438517199998</v>
      </c>
      <c r="AY56" s="56">
        <f t="shared" si="63"/>
        <v>100</v>
      </c>
      <c r="AZ56" s="48">
        <f t="shared" si="64"/>
        <v>10000</v>
      </c>
      <c r="BA56" s="48">
        <f t="shared" si="58"/>
        <v>10000</v>
      </c>
      <c r="BB56" s="48">
        <f t="shared" si="121"/>
        <v>11458.398437499998</v>
      </c>
      <c r="BC56" s="59">
        <f t="shared" si="101"/>
        <v>6.25E-2</v>
      </c>
      <c r="BD56" s="48">
        <f t="shared" si="102"/>
        <v>11577.756754557291</v>
      </c>
      <c r="BE56" s="48" t="str">
        <f t="shared" si="103"/>
        <v>nie</v>
      </c>
      <c r="BF56" s="48">
        <f t="shared" si="104"/>
        <v>70</v>
      </c>
      <c r="BG56" s="48">
        <f t="shared" si="105"/>
        <v>11221.282971191406</v>
      </c>
      <c r="BH56" s="48">
        <f t="shared" si="37"/>
        <v>0</v>
      </c>
      <c r="BI56" s="59">
        <f t="shared" si="106"/>
        <v>1.4999999999999999E-2</v>
      </c>
      <c r="BJ56" s="48">
        <f t="shared" si="107"/>
        <v>0</v>
      </c>
      <c r="BK56" s="48">
        <f t="shared" si="108"/>
        <v>11221.282971191406</v>
      </c>
      <c r="BL56" s="24"/>
      <c r="BM56" s="56">
        <f t="shared" si="65"/>
        <v>100</v>
      </c>
      <c r="BN56" s="48">
        <f t="shared" si="66"/>
        <v>10000</v>
      </c>
      <c r="BO56" s="48">
        <f t="shared" si="60"/>
        <v>10000</v>
      </c>
      <c r="BP56" s="48">
        <f t="shared" si="122"/>
        <v>11569.094999999999</v>
      </c>
      <c r="BQ56" s="59">
        <f t="shared" si="109"/>
        <v>6.5000000000000002E-2</v>
      </c>
      <c r="BR56" s="48">
        <f t="shared" si="110"/>
        <v>11694.426862499999</v>
      </c>
      <c r="BS56" s="48" t="str">
        <f t="shared" si="111"/>
        <v>nie</v>
      </c>
      <c r="BT56" s="48">
        <f t="shared" si="112"/>
        <v>200</v>
      </c>
      <c r="BU56" s="48">
        <f t="shared" si="45"/>
        <v>11210.485758624998</v>
      </c>
      <c r="BV56" s="48">
        <f t="shared" si="46"/>
        <v>0</v>
      </c>
      <c r="BW56" s="59">
        <f t="shared" si="113"/>
        <v>1.4999999999999999E-2</v>
      </c>
      <c r="BX56" s="48">
        <f t="shared" si="114"/>
        <v>0</v>
      </c>
      <c r="BY56" s="48">
        <f t="shared" si="115"/>
        <v>11210.485758624998</v>
      </c>
    </row>
    <row r="57" spans="1:82" s="25" customFormat="1" ht="14" customHeight="1">
      <c r="A57" s="24"/>
      <c r="B57" s="172"/>
      <c r="C57" s="66">
        <f t="shared" si="75"/>
        <v>23</v>
      </c>
      <c r="D57" s="48">
        <f t="shared" si="76"/>
        <v>10476.716234013214</v>
      </c>
      <c r="E57" s="48">
        <f t="shared" si="77"/>
        <v>10428.773499999998</v>
      </c>
      <c r="F57" s="48">
        <f t="shared" si="78"/>
        <v>10535.823437499999</v>
      </c>
      <c r="G57" s="49">
        <f t="shared" si="79"/>
        <v>10492.2775</v>
      </c>
      <c r="H57" s="49">
        <f t="shared" si="80"/>
        <v>10235.487121194023</v>
      </c>
      <c r="I57" s="48">
        <f t="shared" si="81"/>
        <v>10981.25</v>
      </c>
      <c r="J57" s="24"/>
      <c r="K57" s="84"/>
      <c r="L57" s="64">
        <f t="shared" si="82"/>
        <v>23</v>
      </c>
      <c r="M57" s="51">
        <f t="shared" si="69"/>
        <v>4.7671623401321472E-2</v>
      </c>
      <c r="N57" s="51">
        <f t="shared" si="70"/>
        <v>4.2877349999999703E-2</v>
      </c>
      <c r="O57" s="51">
        <f t="shared" si="71"/>
        <v>5.3582343749999817E-2</v>
      </c>
      <c r="P57" s="51">
        <f t="shared" si="72"/>
        <v>4.9227750000000015E-2</v>
      </c>
      <c r="Q57" s="51">
        <f t="shared" si="73"/>
        <v>2.3548712119402238E-2</v>
      </c>
      <c r="R57" s="51">
        <f t="shared" si="74"/>
        <v>9.8125000000000018E-2</v>
      </c>
      <c r="S57" s="24"/>
      <c r="T57" s="45">
        <f t="shared" si="50"/>
        <v>39</v>
      </c>
      <c r="U57" s="59">
        <f t="shared" si="67"/>
        <v>0.05</v>
      </c>
      <c r="V57" s="48">
        <f t="shared" si="83"/>
        <v>11720.953125000002</v>
      </c>
      <c r="W57" s="56">
        <f t="shared" si="116"/>
        <v>100</v>
      </c>
      <c r="X57" s="48">
        <f t="shared" si="117"/>
        <v>10000</v>
      </c>
      <c r="Y57" s="48">
        <f t="shared" si="62"/>
        <v>10000</v>
      </c>
      <c r="Z57" s="48">
        <f t="shared" si="53"/>
        <v>10000</v>
      </c>
      <c r="AA57" s="59">
        <f t="shared" si="84"/>
        <v>5.7500000000000002E-2</v>
      </c>
      <c r="AB57" s="48">
        <f t="shared" si="85"/>
        <v>10143.75</v>
      </c>
      <c r="AC57" s="48" t="str">
        <f t="shared" si="86"/>
        <v>nie</v>
      </c>
      <c r="AD57" s="48">
        <f t="shared" si="87"/>
        <v>70</v>
      </c>
      <c r="AE57" s="48">
        <f t="shared" si="88"/>
        <v>10059.737499999999</v>
      </c>
      <c r="AF57" s="48">
        <f t="shared" si="89"/>
        <v>0</v>
      </c>
      <c r="AG57" s="59">
        <f t="shared" si="90"/>
        <v>1.4999999999999999E-2</v>
      </c>
      <c r="AH57" s="48">
        <f t="shared" si="91"/>
        <v>1048.2569317318159</v>
      </c>
      <c r="AI57" s="48">
        <f t="shared" si="92"/>
        <v>11107.994431731815</v>
      </c>
      <c r="AJ57" s="24"/>
      <c r="AK57" s="56">
        <f t="shared" si="118"/>
        <v>100</v>
      </c>
      <c r="AL57" s="48">
        <f t="shared" si="119"/>
        <v>10000</v>
      </c>
      <c r="AM57" s="48">
        <f t="shared" si="56"/>
        <v>10000</v>
      </c>
      <c r="AN57" s="48">
        <f t="shared" si="120"/>
        <v>11427.011999999999</v>
      </c>
      <c r="AO57" s="59">
        <f t="shared" si="93"/>
        <v>6.0000000000000005E-2</v>
      </c>
      <c r="AP57" s="48">
        <f t="shared" si="94"/>
        <v>11598.417179999999</v>
      </c>
      <c r="AQ57" s="48" t="str">
        <f t="shared" si="95"/>
        <v>nie</v>
      </c>
      <c r="AR57" s="48">
        <f t="shared" si="96"/>
        <v>200</v>
      </c>
      <c r="AS57" s="48">
        <f t="shared" si="97"/>
        <v>11132.717915799998</v>
      </c>
      <c r="AT57" s="48">
        <f t="shared" si="28"/>
        <v>0</v>
      </c>
      <c r="AU57" s="59">
        <f t="shared" si="98"/>
        <v>1.4999999999999999E-2</v>
      </c>
      <c r="AV57" s="48">
        <f t="shared" si="99"/>
        <v>0</v>
      </c>
      <c r="AW57" s="48">
        <f t="shared" si="100"/>
        <v>11132.717915799998</v>
      </c>
      <c r="AY57" s="56">
        <f t="shared" si="63"/>
        <v>100</v>
      </c>
      <c r="AZ57" s="48">
        <f t="shared" si="64"/>
        <v>10000</v>
      </c>
      <c r="BA57" s="48">
        <f t="shared" si="58"/>
        <v>10000</v>
      </c>
      <c r="BB57" s="48">
        <f t="shared" si="121"/>
        <v>11458.398437499998</v>
      </c>
      <c r="BC57" s="59">
        <f t="shared" si="101"/>
        <v>6.25E-2</v>
      </c>
      <c r="BD57" s="48">
        <f t="shared" si="102"/>
        <v>11637.435913085936</v>
      </c>
      <c r="BE57" s="48" t="str">
        <f t="shared" si="103"/>
        <v>nie</v>
      </c>
      <c r="BF57" s="48">
        <f t="shared" si="104"/>
        <v>70</v>
      </c>
      <c r="BG57" s="48">
        <f t="shared" si="105"/>
        <v>11269.623089599609</v>
      </c>
      <c r="BH57" s="48">
        <f t="shared" si="37"/>
        <v>0</v>
      </c>
      <c r="BI57" s="59">
        <f t="shared" si="106"/>
        <v>1.4999999999999999E-2</v>
      </c>
      <c r="BJ57" s="48">
        <f t="shared" si="107"/>
        <v>0</v>
      </c>
      <c r="BK57" s="48">
        <f t="shared" si="108"/>
        <v>11269.623089599609</v>
      </c>
      <c r="BL57" s="24"/>
      <c r="BM57" s="56">
        <f t="shared" si="65"/>
        <v>100</v>
      </c>
      <c r="BN57" s="48">
        <f t="shared" si="66"/>
        <v>10000</v>
      </c>
      <c r="BO57" s="48">
        <f t="shared" si="60"/>
        <v>10000</v>
      </c>
      <c r="BP57" s="48">
        <f t="shared" si="122"/>
        <v>11569.094999999999</v>
      </c>
      <c r="BQ57" s="59">
        <f t="shared" si="109"/>
        <v>6.5000000000000002E-2</v>
      </c>
      <c r="BR57" s="48">
        <f t="shared" si="110"/>
        <v>11757.09279375</v>
      </c>
      <c r="BS57" s="48" t="str">
        <f t="shared" si="111"/>
        <v>nie</v>
      </c>
      <c r="BT57" s="48">
        <f t="shared" si="112"/>
        <v>200</v>
      </c>
      <c r="BU57" s="48">
        <f t="shared" si="45"/>
        <v>11261.245162937499</v>
      </c>
      <c r="BV57" s="48">
        <f t="shared" si="46"/>
        <v>0</v>
      </c>
      <c r="BW57" s="59">
        <f t="shared" si="113"/>
        <v>1.4999999999999999E-2</v>
      </c>
      <c r="BX57" s="48">
        <f t="shared" si="114"/>
        <v>0</v>
      </c>
      <c r="BY57" s="48">
        <f t="shared" si="115"/>
        <v>11261.245162937499</v>
      </c>
    </row>
    <row r="58" spans="1:82" s="25" customFormat="1" ht="14">
      <c r="A58" s="24"/>
      <c r="B58" s="173"/>
      <c r="C58" s="66">
        <f t="shared" si="75"/>
        <v>24</v>
      </c>
      <c r="D58" s="48">
        <f t="shared" si="76"/>
        <v>10515.636543731403</v>
      </c>
      <c r="E58" s="48">
        <f t="shared" si="77"/>
        <v>10469.962</v>
      </c>
      <c r="F58" s="48">
        <f t="shared" si="78"/>
        <v>10578.643749999999</v>
      </c>
      <c r="G58" s="49">
        <f t="shared" si="79"/>
        <v>10537.03</v>
      </c>
      <c r="H58" s="49">
        <f t="shared" si="80"/>
        <v>10245.850551904232</v>
      </c>
      <c r="I58" s="48">
        <f t="shared" si="81"/>
        <v>11025</v>
      </c>
      <c r="J58" s="24"/>
      <c r="K58" s="84"/>
      <c r="L58" s="64">
        <f t="shared" si="82"/>
        <v>24</v>
      </c>
      <c r="M58" s="51">
        <f t="shared" si="69"/>
        <v>5.1563654373140366E-2</v>
      </c>
      <c r="N58" s="51">
        <f t="shared" si="70"/>
        <v>4.6996199999999932E-2</v>
      </c>
      <c r="O58" s="51">
        <f t="shared" si="71"/>
        <v>5.7864374999999857E-2</v>
      </c>
      <c r="P58" s="51">
        <f t="shared" si="72"/>
        <v>5.3703000000000056E-2</v>
      </c>
      <c r="Q58" s="51">
        <f t="shared" si="73"/>
        <v>2.45850551904232E-2</v>
      </c>
      <c r="R58" s="51">
        <f t="shared" si="74"/>
        <v>0.10250000000000004</v>
      </c>
      <c r="S58" s="24"/>
      <c r="T58" s="45">
        <f t="shared" si="50"/>
        <v>40</v>
      </c>
      <c r="U58" s="59">
        <f t="shared" si="67"/>
        <v>0.05</v>
      </c>
      <c r="V58" s="48">
        <f t="shared" si="83"/>
        <v>11769.187500000002</v>
      </c>
      <c r="W58" s="56">
        <f t="shared" si="116"/>
        <v>100</v>
      </c>
      <c r="X58" s="48">
        <f t="shared" si="117"/>
        <v>10000</v>
      </c>
      <c r="Y58" s="48">
        <f t="shared" si="62"/>
        <v>10000</v>
      </c>
      <c r="Z58" s="48">
        <f t="shared" si="53"/>
        <v>10000</v>
      </c>
      <c r="AA58" s="59">
        <f t="shared" si="84"/>
        <v>5.7500000000000002E-2</v>
      </c>
      <c r="AB58" s="48">
        <f t="shared" si="85"/>
        <v>10191.666666666668</v>
      </c>
      <c r="AC58" s="48" t="str">
        <f t="shared" si="86"/>
        <v>nie</v>
      </c>
      <c r="AD58" s="48">
        <f t="shared" si="87"/>
        <v>70</v>
      </c>
      <c r="AE58" s="48">
        <f t="shared" si="88"/>
        <v>10098.550000000001</v>
      </c>
      <c r="AF58" s="48">
        <f t="shared" si="89"/>
        <v>0</v>
      </c>
      <c r="AG58" s="59">
        <f t="shared" si="90"/>
        <v>1.4999999999999999E-2</v>
      </c>
      <c r="AH58" s="48">
        <f t="shared" si="91"/>
        <v>1049.3182918751945</v>
      </c>
      <c r="AI58" s="48">
        <f t="shared" si="92"/>
        <v>11147.868291875195</v>
      </c>
      <c r="AJ58" s="24"/>
      <c r="AK58" s="56">
        <f t="shared" si="118"/>
        <v>100</v>
      </c>
      <c r="AL58" s="48">
        <f t="shared" si="119"/>
        <v>10000</v>
      </c>
      <c r="AM58" s="48">
        <f t="shared" si="56"/>
        <v>10000</v>
      </c>
      <c r="AN58" s="48">
        <f t="shared" si="120"/>
        <v>11427.011999999999</v>
      </c>
      <c r="AO58" s="59">
        <f t="shared" si="93"/>
        <v>6.0000000000000005E-2</v>
      </c>
      <c r="AP58" s="48">
        <f t="shared" si="94"/>
        <v>11655.552239999999</v>
      </c>
      <c r="AQ58" s="48" t="str">
        <f t="shared" si="95"/>
        <v>nie</v>
      </c>
      <c r="AR58" s="48">
        <f t="shared" si="96"/>
        <v>200</v>
      </c>
      <c r="AS58" s="48">
        <f t="shared" si="97"/>
        <v>11178.9973144</v>
      </c>
      <c r="AT58" s="48">
        <f t="shared" si="28"/>
        <v>0</v>
      </c>
      <c r="AU58" s="59">
        <f t="shared" si="98"/>
        <v>1.4999999999999999E-2</v>
      </c>
      <c r="AV58" s="48">
        <f t="shared" si="99"/>
        <v>0</v>
      </c>
      <c r="AW58" s="48">
        <f t="shared" si="100"/>
        <v>11178.9973144</v>
      </c>
      <c r="AY58" s="56">
        <f t="shared" si="63"/>
        <v>100</v>
      </c>
      <c r="AZ58" s="48">
        <f t="shared" si="64"/>
        <v>10000</v>
      </c>
      <c r="BA58" s="48">
        <f t="shared" si="58"/>
        <v>10000</v>
      </c>
      <c r="BB58" s="48">
        <f t="shared" si="121"/>
        <v>11458.398437499998</v>
      </c>
      <c r="BC58" s="59">
        <f t="shared" si="101"/>
        <v>6.25E-2</v>
      </c>
      <c r="BD58" s="48">
        <f t="shared" si="102"/>
        <v>11697.11507161458</v>
      </c>
      <c r="BE58" s="48" t="str">
        <f t="shared" si="103"/>
        <v>nie</v>
      </c>
      <c r="BF58" s="48">
        <f t="shared" si="104"/>
        <v>70</v>
      </c>
      <c r="BG58" s="48">
        <f t="shared" si="105"/>
        <v>11317.96320800781</v>
      </c>
      <c r="BH58" s="48">
        <f t="shared" si="37"/>
        <v>0</v>
      </c>
      <c r="BI58" s="59">
        <f t="shared" si="106"/>
        <v>1.4999999999999999E-2</v>
      </c>
      <c r="BJ58" s="48">
        <f t="shared" si="107"/>
        <v>0</v>
      </c>
      <c r="BK58" s="48">
        <f t="shared" si="108"/>
        <v>11317.96320800781</v>
      </c>
      <c r="BL58" s="24"/>
      <c r="BM58" s="56">
        <f t="shared" si="65"/>
        <v>100</v>
      </c>
      <c r="BN58" s="48">
        <f t="shared" si="66"/>
        <v>10000</v>
      </c>
      <c r="BO58" s="48">
        <f t="shared" si="60"/>
        <v>10000</v>
      </c>
      <c r="BP58" s="48">
        <f t="shared" si="122"/>
        <v>11569.094999999999</v>
      </c>
      <c r="BQ58" s="59">
        <f t="shared" si="109"/>
        <v>6.5000000000000002E-2</v>
      </c>
      <c r="BR58" s="48">
        <f t="shared" si="110"/>
        <v>11819.758725</v>
      </c>
      <c r="BS58" s="48" t="str">
        <f t="shared" si="111"/>
        <v>nie</v>
      </c>
      <c r="BT58" s="48">
        <f t="shared" si="112"/>
        <v>200</v>
      </c>
      <c r="BU58" s="48">
        <f t="shared" si="45"/>
        <v>11312.00456725</v>
      </c>
      <c r="BV58" s="48">
        <f t="shared" si="46"/>
        <v>0</v>
      </c>
      <c r="BW58" s="59">
        <f t="shared" si="113"/>
        <v>1.4999999999999999E-2</v>
      </c>
      <c r="BX58" s="48">
        <f t="shared" si="114"/>
        <v>0</v>
      </c>
      <c r="BY58" s="48">
        <f t="shared" si="115"/>
        <v>11312.00456725</v>
      </c>
    </row>
    <row r="59" spans="1:82" s="25" customFormat="1" ht="14">
      <c r="A59" s="24"/>
      <c r="B59" s="171">
        <f>ROUNDUP(C70/12,0)</f>
        <v>3</v>
      </c>
      <c r="C59" s="66">
        <f t="shared" si="75"/>
        <v>25</v>
      </c>
      <c r="D59" s="48">
        <f t="shared" si="76"/>
        <v>10555.028534481933</v>
      </c>
      <c r="E59" s="48">
        <f t="shared" si="77"/>
        <v>10513.621809999997</v>
      </c>
      <c r="F59" s="48">
        <f t="shared" si="78"/>
        <v>10624.140332031247</v>
      </c>
      <c r="G59" s="49">
        <f t="shared" si="79"/>
        <v>10584.6914125</v>
      </c>
      <c r="H59" s="49">
        <f t="shared" si="80"/>
        <v>10256.224475588037</v>
      </c>
      <c r="I59" s="48">
        <f t="shared" si="81"/>
        <v>11070.9375</v>
      </c>
      <c r="J59" s="24"/>
      <c r="K59" s="84"/>
      <c r="L59" s="64">
        <f t="shared" si="82"/>
        <v>25</v>
      </c>
      <c r="M59" s="51">
        <f t="shared" si="69"/>
        <v>5.550285344819339E-2</v>
      </c>
      <c r="N59" s="51">
        <f t="shared" si="70"/>
        <v>5.1362180999999785E-2</v>
      </c>
      <c r="O59" s="51">
        <f t="shared" si="71"/>
        <v>6.2414033203124664E-2</v>
      </c>
      <c r="P59" s="51">
        <f t="shared" si="72"/>
        <v>5.8469141250000023E-2</v>
      </c>
      <c r="Q59" s="51">
        <f t="shared" si="73"/>
        <v>2.5622447558803607E-2</v>
      </c>
      <c r="R59" s="51">
        <f t="shared" si="74"/>
        <v>0.10709374999999999</v>
      </c>
      <c r="S59" s="24"/>
      <c r="T59" s="45">
        <f t="shared" si="50"/>
        <v>41</v>
      </c>
      <c r="U59" s="59">
        <f t="shared" si="67"/>
        <v>0.05</v>
      </c>
      <c r="V59" s="48">
        <f t="shared" si="83"/>
        <v>11817.421875000002</v>
      </c>
      <c r="W59" s="56">
        <f t="shared" si="116"/>
        <v>100</v>
      </c>
      <c r="X59" s="48">
        <f t="shared" si="117"/>
        <v>10000</v>
      </c>
      <c r="Y59" s="48">
        <f t="shared" si="62"/>
        <v>10000</v>
      </c>
      <c r="Z59" s="48">
        <f t="shared" si="53"/>
        <v>10000</v>
      </c>
      <c r="AA59" s="59">
        <f t="shared" si="84"/>
        <v>5.7500000000000002E-2</v>
      </c>
      <c r="AB59" s="48">
        <f t="shared" si="85"/>
        <v>10239.583333333334</v>
      </c>
      <c r="AC59" s="48" t="str">
        <f t="shared" si="86"/>
        <v>nie</v>
      </c>
      <c r="AD59" s="48">
        <f t="shared" si="87"/>
        <v>70</v>
      </c>
      <c r="AE59" s="48">
        <f t="shared" si="88"/>
        <v>10137.362500000001</v>
      </c>
      <c r="AF59" s="48">
        <f t="shared" si="89"/>
        <v>0</v>
      </c>
      <c r="AG59" s="59">
        <f t="shared" si="90"/>
        <v>1.4999999999999999E-2</v>
      </c>
      <c r="AH59" s="48">
        <f t="shared" si="91"/>
        <v>1050.3807266457181</v>
      </c>
      <c r="AI59" s="48">
        <f t="shared" si="92"/>
        <v>11187.74322664572</v>
      </c>
      <c r="AJ59" s="24"/>
      <c r="AK59" s="56">
        <f t="shared" si="118"/>
        <v>100</v>
      </c>
      <c r="AL59" s="48">
        <f t="shared" si="119"/>
        <v>10000</v>
      </c>
      <c r="AM59" s="48">
        <f t="shared" si="56"/>
        <v>10000</v>
      </c>
      <c r="AN59" s="48">
        <f t="shared" si="120"/>
        <v>11427.011999999999</v>
      </c>
      <c r="AO59" s="59">
        <f t="shared" si="93"/>
        <v>6.0000000000000005E-2</v>
      </c>
      <c r="AP59" s="48">
        <f t="shared" si="94"/>
        <v>11712.687299999998</v>
      </c>
      <c r="AQ59" s="48" t="str">
        <f t="shared" si="95"/>
        <v>nie</v>
      </c>
      <c r="AR59" s="48">
        <f t="shared" si="96"/>
        <v>200</v>
      </c>
      <c r="AS59" s="48">
        <f t="shared" si="97"/>
        <v>11225.276712999997</v>
      </c>
      <c r="AT59" s="48">
        <f t="shared" si="28"/>
        <v>0</v>
      </c>
      <c r="AU59" s="59">
        <f t="shared" si="98"/>
        <v>1.4999999999999999E-2</v>
      </c>
      <c r="AV59" s="48">
        <f t="shared" si="99"/>
        <v>0</v>
      </c>
      <c r="AW59" s="48">
        <f t="shared" si="100"/>
        <v>11225.276712999997</v>
      </c>
      <c r="AY59" s="56">
        <f t="shared" si="63"/>
        <v>100</v>
      </c>
      <c r="AZ59" s="48">
        <f t="shared" si="64"/>
        <v>10000</v>
      </c>
      <c r="BA59" s="48">
        <f t="shared" si="58"/>
        <v>10000</v>
      </c>
      <c r="BB59" s="48">
        <f t="shared" si="121"/>
        <v>11458.398437499998</v>
      </c>
      <c r="BC59" s="59">
        <f t="shared" si="101"/>
        <v>6.25E-2</v>
      </c>
      <c r="BD59" s="48">
        <f t="shared" si="102"/>
        <v>11756.794230143229</v>
      </c>
      <c r="BE59" s="48" t="str">
        <f t="shared" si="103"/>
        <v>nie</v>
      </c>
      <c r="BF59" s="48">
        <f t="shared" si="104"/>
        <v>70</v>
      </c>
      <c r="BG59" s="48">
        <f t="shared" si="105"/>
        <v>11366.303326416015</v>
      </c>
      <c r="BH59" s="48">
        <f t="shared" si="37"/>
        <v>0</v>
      </c>
      <c r="BI59" s="59">
        <f t="shared" si="106"/>
        <v>1.4999999999999999E-2</v>
      </c>
      <c r="BJ59" s="48">
        <f t="shared" si="107"/>
        <v>0</v>
      </c>
      <c r="BK59" s="48">
        <f t="shared" si="108"/>
        <v>11366.303326416015</v>
      </c>
      <c r="BL59" s="24"/>
      <c r="BM59" s="56">
        <f t="shared" si="65"/>
        <v>100</v>
      </c>
      <c r="BN59" s="48">
        <f t="shared" si="66"/>
        <v>10000</v>
      </c>
      <c r="BO59" s="48">
        <f t="shared" si="60"/>
        <v>10000</v>
      </c>
      <c r="BP59" s="48">
        <f t="shared" si="122"/>
        <v>11569.094999999999</v>
      </c>
      <c r="BQ59" s="59">
        <f t="shared" si="109"/>
        <v>6.5000000000000002E-2</v>
      </c>
      <c r="BR59" s="48">
        <f t="shared" si="110"/>
        <v>11882.424656249999</v>
      </c>
      <c r="BS59" s="48" t="str">
        <f t="shared" si="111"/>
        <v>nie</v>
      </c>
      <c r="BT59" s="48">
        <f t="shared" si="112"/>
        <v>200</v>
      </c>
      <c r="BU59" s="48">
        <f t="shared" si="45"/>
        <v>11362.763971562499</v>
      </c>
      <c r="BV59" s="48">
        <f t="shared" si="46"/>
        <v>0</v>
      </c>
      <c r="BW59" s="59">
        <f t="shared" si="113"/>
        <v>1.4999999999999999E-2</v>
      </c>
      <c r="BX59" s="48">
        <f t="shared" si="114"/>
        <v>0</v>
      </c>
      <c r="BY59" s="48">
        <f t="shared" si="115"/>
        <v>11362.763971562499</v>
      </c>
    </row>
    <row r="60" spans="1:82" s="25" customFormat="1" ht="14">
      <c r="A60" s="24"/>
      <c r="B60" s="172"/>
      <c r="C60" s="66">
        <f t="shared" si="75"/>
        <v>26</v>
      </c>
      <c r="D60" s="48">
        <f t="shared" si="76"/>
        <v>10594.421111966843</v>
      </c>
      <c r="E60" s="48">
        <f t="shared" si="77"/>
        <v>10557.28162</v>
      </c>
      <c r="F60" s="48">
        <f t="shared" si="78"/>
        <v>10669.636914062499</v>
      </c>
      <c r="G60" s="49">
        <f t="shared" si="79"/>
        <v>10632.352825</v>
      </c>
      <c r="H60" s="49">
        <f t="shared" si="80"/>
        <v>10266.60890286957</v>
      </c>
      <c r="I60" s="48">
        <f t="shared" si="81"/>
        <v>11116.875</v>
      </c>
      <c r="J60" s="24"/>
      <c r="K60" s="84"/>
      <c r="L60" s="64">
        <f t="shared" si="82"/>
        <v>26</v>
      </c>
      <c r="M60" s="51">
        <f t="shared" si="69"/>
        <v>5.94421111966843E-2</v>
      </c>
      <c r="N60" s="51">
        <f t="shared" si="70"/>
        <v>5.5728162000000081E-2</v>
      </c>
      <c r="O60" s="51">
        <f t="shared" si="71"/>
        <v>6.6963691406249914E-2</v>
      </c>
      <c r="P60" s="51">
        <f t="shared" si="72"/>
        <v>6.323528249999999E-2</v>
      </c>
      <c r="Q60" s="51">
        <f t="shared" si="73"/>
        <v>2.6660890286956951E-2</v>
      </c>
      <c r="R60" s="51">
        <f t="shared" si="74"/>
        <v>0.11168749999999994</v>
      </c>
      <c r="S60" s="24"/>
      <c r="T60" s="45">
        <f t="shared" si="50"/>
        <v>42</v>
      </c>
      <c r="U60" s="59">
        <f t="shared" si="67"/>
        <v>0.05</v>
      </c>
      <c r="V60" s="48">
        <f t="shared" si="83"/>
        <v>11865.65625</v>
      </c>
      <c r="W60" s="56">
        <f t="shared" si="116"/>
        <v>100</v>
      </c>
      <c r="X60" s="48">
        <f t="shared" si="117"/>
        <v>10000</v>
      </c>
      <c r="Y60" s="48">
        <f t="shared" si="62"/>
        <v>10000</v>
      </c>
      <c r="Z60" s="48">
        <f t="shared" si="53"/>
        <v>10000</v>
      </c>
      <c r="AA60" s="59">
        <f t="shared" si="84"/>
        <v>5.7500000000000002E-2</v>
      </c>
      <c r="AB60" s="48">
        <f t="shared" si="85"/>
        <v>10287.5</v>
      </c>
      <c r="AC60" s="48" t="str">
        <f t="shared" si="86"/>
        <v>nie</v>
      </c>
      <c r="AD60" s="48">
        <f t="shared" si="87"/>
        <v>70</v>
      </c>
      <c r="AE60" s="48">
        <f t="shared" si="88"/>
        <v>10176.174999999999</v>
      </c>
      <c r="AF60" s="48">
        <f t="shared" si="89"/>
        <v>0</v>
      </c>
      <c r="AG60" s="59">
        <f t="shared" si="90"/>
        <v>1.4999999999999999E-2</v>
      </c>
      <c r="AH60" s="48">
        <f t="shared" si="91"/>
        <v>1051.4442371314469</v>
      </c>
      <c r="AI60" s="48">
        <f t="shared" si="92"/>
        <v>11227.619237131446</v>
      </c>
      <c r="AJ60" s="24"/>
      <c r="AK60" s="56">
        <f t="shared" si="118"/>
        <v>100</v>
      </c>
      <c r="AL60" s="48">
        <f t="shared" si="119"/>
        <v>10000</v>
      </c>
      <c r="AM60" s="48">
        <f t="shared" si="56"/>
        <v>10000</v>
      </c>
      <c r="AN60" s="48">
        <f t="shared" si="120"/>
        <v>11427.011999999999</v>
      </c>
      <c r="AO60" s="59">
        <f t="shared" si="93"/>
        <v>6.0000000000000005E-2</v>
      </c>
      <c r="AP60" s="48">
        <f t="shared" si="94"/>
        <v>11769.822359999998</v>
      </c>
      <c r="AQ60" s="48" t="str">
        <f t="shared" si="95"/>
        <v>nie</v>
      </c>
      <c r="AR60" s="48">
        <f t="shared" si="96"/>
        <v>200</v>
      </c>
      <c r="AS60" s="48">
        <f t="shared" si="97"/>
        <v>11271.556111599999</v>
      </c>
      <c r="AT60" s="48">
        <f t="shared" si="28"/>
        <v>0</v>
      </c>
      <c r="AU60" s="59">
        <f t="shared" si="98"/>
        <v>1.4999999999999999E-2</v>
      </c>
      <c r="AV60" s="48">
        <f t="shared" si="99"/>
        <v>0</v>
      </c>
      <c r="AW60" s="48">
        <f t="shared" si="100"/>
        <v>11271.556111599999</v>
      </c>
      <c r="AY60" s="56">
        <f t="shared" si="63"/>
        <v>100</v>
      </c>
      <c r="AZ60" s="48">
        <f t="shared" si="64"/>
        <v>10000</v>
      </c>
      <c r="BA60" s="48">
        <f t="shared" si="58"/>
        <v>10000</v>
      </c>
      <c r="BB60" s="48">
        <f t="shared" si="121"/>
        <v>11458.398437499998</v>
      </c>
      <c r="BC60" s="59">
        <f t="shared" si="101"/>
        <v>6.25E-2</v>
      </c>
      <c r="BD60" s="48">
        <f t="shared" si="102"/>
        <v>11816.473388671873</v>
      </c>
      <c r="BE60" s="48" t="str">
        <f t="shared" si="103"/>
        <v>nie</v>
      </c>
      <c r="BF60" s="48">
        <f t="shared" si="104"/>
        <v>70</v>
      </c>
      <c r="BG60" s="48">
        <f t="shared" si="105"/>
        <v>11414.643444824218</v>
      </c>
      <c r="BH60" s="48">
        <f t="shared" si="37"/>
        <v>0</v>
      </c>
      <c r="BI60" s="59">
        <f t="shared" si="106"/>
        <v>1.4999999999999999E-2</v>
      </c>
      <c r="BJ60" s="48">
        <f t="shared" si="107"/>
        <v>0</v>
      </c>
      <c r="BK60" s="48">
        <f t="shared" si="108"/>
        <v>11414.643444824218</v>
      </c>
      <c r="BL60" s="24"/>
      <c r="BM60" s="56">
        <f t="shared" si="65"/>
        <v>100</v>
      </c>
      <c r="BN60" s="48">
        <f t="shared" si="66"/>
        <v>10000</v>
      </c>
      <c r="BO60" s="48">
        <f t="shared" si="60"/>
        <v>10000</v>
      </c>
      <c r="BP60" s="48">
        <f t="shared" si="122"/>
        <v>11569.094999999999</v>
      </c>
      <c r="BQ60" s="59">
        <f t="shared" si="109"/>
        <v>6.5000000000000002E-2</v>
      </c>
      <c r="BR60" s="48">
        <f t="shared" si="110"/>
        <v>11945.090587499999</v>
      </c>
      <c r="BS60" s="48" t="str">
        <f t="shared" si="111"/>
        <v>nie</v>
      </c>
      <c r="BT60" s="48">
        <f t="shared" si="112"/>
        <v>200</v>
      </c>
      <c r="BU60" s="48">
        <f t="shared" si="45"/>
        <v>11413.523375875</v>
      </c>
      <c r="BV60" s="48">
        <f t="shared" si="46"/>
        <v>0</v>
      </c>
      <c r="BW60" s="59">
        <f t="shared" si="113"/>
        <v>1.4999999999999999E-2</v>
      </c>
      <c r="BX60" s="48">
        <f t="shared" si="114"/>
        <v>0</v>
      </c>
      <c r="BY60" s="48">
        <f t="shared" si="115"/>
        <v>11413.523375875</v>
      </c>
    </row>
    <row r="61" spans="1:82" s="25" customFormat="1" ht="14">
      <c r="A61" s="24"/>
      <c r="B61" s="172"/>
      <c r="C61" s="66">
        <f t="shared" si="75"/>
        <v>27</v>
      </c>
      <c r="D61" s="48">
        <f t="shared" si="76"/>
        <v>10633.814276780211</v>
      </c>
      <c r="E61" s="48">
        <f t="shared" si="77"/>
        <v>10600.941429999999</v>
      </c>
      <c r="F61" s="48">
        <f t="shared" si="78"/>
        <v>10715.133496093749</v>
      </c>
      <c r="G61" s="49">
        <f t="shared" si="79"/>
        <v>10680.0142375</v>
      </c>
      <c r="H61" s="49">
        <f t="shared" si="80"/>
        <v>10277.003844383726</v>
      </c>
      <c r="I61" s="48">
        <f t="shared" si="81"/>
        <v>11162.8125</v>
      </c>
      <c r="J61" s="24"/>
      <c r="K61" s="84"/>
      <c r="L61" s="64">
        <f t="shared" si="82"/>
        <v>27</v>
      </c>
      <c r="M61" s="51">
        <f t="shared" si="69"/>
        <v>6.3381427678021129E-2</v>
      </c>
      <c r="N61" s="51">
        <f t="shared" si="70"/>
        <v>6.0094142999999933E-2</v>
      </c>
      <c r="O61" s="51">
        <f t="shared" si="71"/>
        <v>7.1513349609374943E-2</v>
      </c>
      <c r="P61" s="51">
        <f t="shared" si="72"/>
        <v>6.8001423749999956E-2</v>
      </c>
      <c r="Q61" s="51">
        <f t="shared" si="73"/>
        <v>2.7700384438372527E-2</v>
      </c>
      <c r="R61" s="51">
        <f t="shared" si="74"/>
        <v>0.11628124999999989</v>
      </c>
      <c r="S61" s="24"/>
      <c r="T61" s="45">
        <f t="shared" si="50"/>
        <v>43</v>
      </c>
      <c r="U61" s="59">
        <f t="shared" si="67"/>
        <v>0.05</v>
      </c>
      <c r="V61" s="48">
        <f t="shared" si="83"/>
        <v>11913.890625</v>
      </c>
      <c r="W61" s="56">
        <f t="shared" si="116"/>
        <v>100</v>
      </c>
      <c r="X61" s="48">
        <f t="shared" si="117"/>
        <v>10000</v>
      </c>
      <c r="Y61" s="48">
        <f t="shared" si="62"/>
        <v>10000</v>
      </c>
      <c r="Z61" s="48">
        <f t="shared" si="53"/>
        <v>10000</v>
      </c>
      <c r="AA61" s="59">
        <f t="shared" si="84"/>
        <v>5.7500000000000002E-2</v>
      </c>
      <c r="AB61" s="48">
        <f t="shared" si="85"/>
        <v>10335.416666666666</v>
      </c>
      <c r="AC61" s="48" t="str">
        <f t="shared" si="86"/>
        <v>nie</v>
      </c>
      <c r="AD61" s="48">
        <f t="shared" si="87"/>
        <v>70</v>
      </c>
      <c r="AE61" s="48">
        <f t="shared" si="88"/>
        <v>10214.987499999999</v>
      </c>
      <c r="AF61" s="48">
        <f t="shared" si="89"/>
        <v>0</v>
      </c>
      <c r="AG61" s="59">
        <f t="shared" si="90"/>
        <v>1.4999999999999999E-2</v>
      </c>
      <c r="AH61" s="48">
        <f t="shared" si="91"/>
        <v>1052.5088244215426</v>
      </c>
      <c r="AI61" s="48">
        <f t="shared" si="92"/>
        <v>11267.496324421541</v>
      </c>
      <c r="AJ61" s="24"/>
      <c r="AK61" s="56">
        <f t="shared" si="118"/>
        <v>100</v>
      </c>
      <c r="AL61" s="48">
        <f t="shared" si="119"/>
        <v>10000</v>
      </c>
      <c r="AM61" s="48">
        <f t="shared" si="56"/>
        <v>10000</v>
      </c>
      <c r="AN61" s="48">
        <f t="shared" si="120"/>
        <v>11427.011999999999</v>
      </c>
      <c r="AO61" s="59">
        <f t="shared" si="93"/>
        <v>6.0000000000000005E-2</v>
      </c>
      <c r="AP61" s="48">
        <f t="shared" si="94"/>
        <v>11826.957419999997</v>
      </c>
      <c r="AQ61" s="48" t="str">
        <f t="shared" si="95"/>
        <v>nie</v>
      </c>
      <c r="AR61" s="48">
        <f t="shared" si="96"/>
        <v>200</v>
      </c>
      <c r="AS61" s="48">
        <f t="shared" si="97"/>
        <v>11317.835510199997</v>
      </c>
      <c r="AT61" s="48">
        <f t="shared" si="28"/>
        <v>0</v>
      </c>
      <c r="AU61" s="59">
        <f t="shared" si="98"/>
        <v>1.4999999999999999E-2</v>
      </c>
      <c r="AV61" s="48">
        <f t="shared" si="99"/>
        <v>0</v>
      </c>
      <c r="AW61" s="48">
        <f t="shared" si="100"/>
        <v>11317.835510199997</v>
      </c>
      <c r="AY61" s="56">
        <f t="shared" si="63"/>
        <v>100</v>
      </c>
      <c r="AZ61" s="48">
        <f t="shared" si="64"/>
        <v>10000</v>
      </c>
      <c r="BA61" s="48">
        <f t="shared" si="58"/>
        <v>10000</v>
      </c>
      <c r="BB61" s="48">
        <f t="shared" si="121"/>
        <v>11458.398437499998</v>
      </c>
      <c r="BC61" s="59">
        <f t="shared" si="101"/>
        <v>6.25E-2</v>
      </c>
      <c r="BD61" s="48">
        <f t="shared" si="102"/>
        <v>11876.152547200518</v>
      </c>
      <c r="BE61" s="48" t="str">
        <f t="shared" si="103"/>
        <v>nie</v>
      </c>
      <c r="BF61" s="48">
        <f t="shared" si="104"/>
        <v>70</v>
      </c>
      <c r="BG61" s="48">
        <f t="shared" si="105"/>
        <v>11462.983563232419</v>
      </c>
      <c r="BH61" s="48">
        <f t="shared" si="37"/>
        <v>0</v>
      </c>
      <c r="BI61" s="59">
        <f t="shared" si="106"/>
        <v>1.4999999999999999E-2</v>
      </c>
      <c r="BJ61" s="48">
        <f t="shared" si="107"/>
        <v>0</v>
      </c>
      <c r="BK61" s="48">
        <f t="shared" si="108"/>
        <v>11462.983563232419</v>
      </c>
      <c r="BL61" s="24"/>
      <c r="BM61" s="56">
        <f t="shared" si="65"/>
        <v>100</v>
      </c>
      <c r="BN61" s="48">
        <f t="shared" si="66"/>
        <v>10000</v>
      </c>
      <c r="BO61" s="48">
        <f t="shared" si="60"/>
        <v>10000</v>
      </c>
      <c r="BP61" s="48">
        <f t="shared" si="122"/>
        <v>11569.094999999999</v>
      </c>
      <c r="BQ61" s="59">
        <f t="shared" si="109"/>
        <v>6.5000000000000002E-2</v>
      </c>
      <c r="BR61" s="48">
        <f t="shared" si="110"/>
        <v>12007.756518749999</v>
      </c>
      <c r="BS61" s="48" t="str">
        <f t="shared" si="111"/>
        <v>nie</v>
      </c>
      <c r="BT61" s="48">
        <f t="shared" si="112"/>
        <v>200</v>
      </c>
      <c r="BU61" s="48">
        <f t="shared" si="45"/>
        <v>11464.282780187499</v>
      </c>
      <c r="BV61" s="48">
        <f t="shared" si="46"/>
        <v>0</v>
      </c>
      <c r="BW61" s="59">
        <f t="shared" si="113"/>
        <v>1.4999999999999999E-2</v>
      </c>
      <c r="BX61" s="48">
        <f t="shared" si="114"/>
        <v>0</v>
      </c>
      <c r="BY61" s="48">
        <f t="shared" si="115"/>
        <v>11464.282780187499</v>
      </c>
    </row>
    <row r="62" spans="1:82" s="25" customFormat="1" ht="14">
      <c r="A62" s="24"/>
      <c r="B62" s="172"/>
      <c r="C62" s="66">
        <f t="shared" si="75"/>
        <v>28</v>
      </c>
      <c r="D62" s="48">
        <f t="shared" si="76"/>
        <v>10673.208029516702</v>
      </c>
      <c r="E62" s="48">
        <f t="shared" si="77"/>
        <v>10644.601239999998</v>
      </c>
      <c r="F62" s="48">
        <f t="shared" si="78"/>
        <v>10760.630078124997</v>
      </c>
      <c r="G62" s="49">
        <f t="shared" si="79"/>
        <v>10727.675649999999</v>
      </c>
      <c r="H62" s="49">
        <f t="shared" si="80"/>
        <v>10287.409310776166</v>
      </c>
      <c r="I62" s="48">
        <f t="shared" si="81"/>
        <v>11208.75</v>
      </c>
      <c r="J62" s="24"/>
      <c r="K62" s="84"/>
      <c r="L62" s="64">
        <f t="shared" si="82"/>
        <v>28</v>
      </c>
      <c r="M62" s="51">
        <f t="shared" si="69"/>
        <v>6.7320802951670089E-2</v>
      </c>
      <c r="N62" s="51">
        <f t="shared" si="70"/>
        <v>6.4460123999999785E-2</v>
      </c>
      <c r="O62" s="51">
        <f t="shared" si="71"/>
        <v>7.606300781249975E-2</v>
      </c>
      <c r="P62" s="51">
        <f t="shared" si="72"/>
        <v>7.2767564999999923E-2</v>
      </c>
      <c r="Q62" s="51">
        <f t="shared" si="73"/>
        <v>2.8740931077616549E-2</v>
      </c>
      <c r="R62" s="51">
        <f t="shared" si="74"/>
        <v>0.12087500000000007</v>
      </c>
      <c r="S62" s="24"/>
      <c r="T62" s="45">
        <f t="shared" si="50"/>
        <v>44</v>
      </c>
      <c r="U62" s="59">
        <f t="shared" si="67"/>
        <v>0.05</v>
      </c>
      <c r="V62" s="48">
        <f t="shared" si="83"/>
        <v>11962.125000000004</v>
      </c>
      <c r="W62" s="56">
        <f t="shared" si="116"/>
        <v>100</v>
      </c>
      <c r="X62" s="48">
        <f t="shared" si="117"/>
        <v>10000</v>
      </c>
      <c r="Y62" s="48">
        <f t="shared" si="62"/>
        <v>10000</v>
      </c>
      <c r="Z62" s="48">
        <f t="shared" si="53"/>
        <v>10000</v>
      </c>
      <c r="AA62" s="59">
        <f t="shared" si="84"/>
        <v>5.7500000000000002E-2</v>
      </c>
      <c r="AB62" s="48">
        <f t="shared" si="85"/>
        <v>10383.333333333334</v>
      </c>
      <c r="AC62" s="48" t="str">
        <f t="shared" si="86"/>
        <v>nie</v>
      </c>
      <c r="AD62" s="48">
        <f t="shared" si="87"/>
        <v>70</v>
      </c>
      <c r="AE62" s="48">
        <f t="shared" si="88"/>
        <v>10253.800000000001</v>
      </c>
      <c r="AF62" s="48">
        <f t="shared" si="89"/>
        <v>0</v>
      </c>
      <c r="AG62" s="59">
        <f t="shared" si="90"/>
        <v>1.4999999999999999E-2</v>
      </c>
      <c r="AH62" s="48">
        <f t="shared" si="91"/>
        <v>1053.5744896062695</v>
      </c>
      <c r="AI62" s="48">
        <f t="shared" si="92"/>
        <v>11307.374489606271</v>
      </c>
      <c r="AJ62" s="24"/>
      <c r="AK62" s="56">
        <f t="shared" si="118"/>
        <v>100</v>
      </c>
      <c r="AL62" s="48">
        <f t="shared" si="119"/>
        <v>10000</v>
      </c>
      <c r="AM62" s="48">
        <f t="shared" si="56"/>
        <v>10000</v>
      </c>
      <c r="AN62" s="48">
        <f t="shared" si="120"/>
        <v>11427.011999999999</v>
      </c>
      <c r="AO62" s="59">
        <f t="shared" si="93"/>
        <v>6.0000000000000005E-2</v>
      </c>
      <c r="AP62" s="48">
        <f t="shared" si="94"/>
        <v>11884.092479999999</v>
      </c>
      <c r="AQ62" s="48" t="str">
        <f t="shared" si="95"/>
        <v>nie</v>
      </c>
      <c r="AR62" s="48">
        <f t="shared" si="96"/>
        <v>200</v>
      </c>
      <c r="AS62" s="48">
        <f t="shared" si="97"/>
        <v>11364.1149088</v>
      </c>
      <c r="AT62" s="48">
        <f t="shared" si="28"/>
        <v>0</v>
      </c>
      <c r="AU62" s="59">
        <f t="shared" si="98"/>
        <v>1.4999999999999999E-2</v>
      </c>
      <c r="AV62" s="48">
        <f t="shared" si="99"/>
        <v>0</v>
      </c>
      <c r="AW62" s="48">
        <f t="shared" si="100"/>
        <v>11364.1149088</v>
      </c>
      <c r="AY62" s="56">
        <f t="shared" si="63"/>
        <v>100</v>
      </c>
      <c r="AZ62" s="48">
        <f t="shared" si="64"/>
        <v>10000</v>
      </c>
      <c r="BA62" s="48">
        <f t="shared" si="58"/>
        <v>10000</v>
      </c>
      <c r="BB62" s="48">
        <f t="shared" si="121"/>
        <v>11458.398437499998</v>
      </c>
      <c r="BC62" s="59">
        <f t="shared" si="101"/>
        <v>6.25E-2</v>
      </c>
      <c r="BD62" s="48">
        <f t="shared" si="102"/>
        <v>11935.831705729166</v>
      </c>
      <c r="BE62" s="48" t="str">
        <f t="shared" si="103"/>
        <v>nie</v>
      </c>
      <c r="BF62" s="48">
        <f t="shared" si="104"/>
        <v>70</v>
      </c>
      <c r="BG62" s="48">
        <f t="shared" si="105"/>
        <v>11511.323681640624</v>
      </c>
      <c r="BH62" s="48">
        <f t="shared" si="37"/>
        <v>0</v>
      </c>
      <c r="BI62" s="59">
        <f t="shared" si="106"/>
        <v>1.4999999999999999E-2</v>
      </c>
      <c r="BJ62" s="48">
        <f t="shared" si="107"/>
        <v>0</v>
      </c>
      <c r="BK62" s="48">
        <f t="shared" si="108"/>
        <v>11511.323681640624</v>
      </c>
      <c r="BL62" s="24"/>
      <c r="BM62" s="56">
        <f t="shared" si="65"/>
        <v>100</v>
      </c>
      <c r="BN62" s="48">
        <f t="shared" si="66"/>
        <v>10000</v>
      </c>
      <c r="BO62" s="48">
        <f t="shared" si="60"/>
        <v>10000</v>
      </c>
      <c r="BP62" s="48">
        <f t="shared" si="122"/>
        <v>11569.094999999999</v>
      </c>
      <c r="BQ62" s="59">
        <f t="shared" si="109"/>
        <v>6.5000000000000002E-2</v>
      </c>
      <c r="BR62" s="48">
        <f t="shared" si="110"/>
        <v>12070.42245</v>
      </c>
      <c r="BS62" s="48" t="str">
        <f t="shared" si="111"/>
        <v>nie</v>
      </c>
      <c r="BT62" s="48">
        <f t="shared" si="112"/>
        <v>200</v>
      </c>
      <c r="BU62" s="48">
        <f t="shared" si="45"/>
        <v>11515.0421845</v>
      </c>
      <c r="BV62" s="48">
        <f t="shared" si="46"/>
        <v>0</v>
      </c>
      <c r="BW62" s="59">
        <f t="shared" si="113"/>
        <v>1.4999999999999999E-2</v>
      </c>
      <c r="BX62" s="48">
        <f t="shared" si="114"/>
        <v>0</v>
      </c>
      <c r="BY62" s="48">
        <f t="shared" si="115"/>
        <v>11515.0421845</v>
      </c>
    </row>
    <row r="63" spans="1:82" s="25" customFormat="1" ht="14">
      <c r="A63" s="24"/>
      <c r="B63" s="172"/>
      <c r="C63" s="66">
        <f t="shared" si="75"/>
        <v>29</v>
      </c>
      <c r="D63" s="48">
        <f t="shared" si="76"/>
        <v>10712.602370771589</v>
      </c>
      <c r="E63" s="48">
        <f t="shared" si="77"/>
        <v>10688.261049999999</v>
      </c>
      <c r="F63" s="48">
        <f t="shared" si="78"/>
        <v>10806.126660156249</v>
      </c>
      <c r="G63" s="49">
        <f t="shared" si="79"/>
        <v>10775.337062499999</v>
      </c>
      <c r="H63" s="49">
        <f t="shared" si="80"/>
        <v>10297.825312703328</v>
      </c>
      <c r="I63" s="48">
        <f t="shared" si="81"/>
        <v>11254.6875</v>
      </c>
      <c r="J63" s="24"/>
      <c r="K63" s="84"/>
      <c r="L63" s="64">
        <f t="shared" si="82"/>
        <v>29</v>
      </c>
      <c r="M63" s="51">
        <f t="shared" si="69"/>
        <v>7.1260237077158894E-2</v>
      </c>
      <c r="N63" s="51">
        <f t="shared" si="70"/>
        <v>6.882610499999986E-2</v>
      </c>
      <c r="O63" s="51">
        <f t="shared" si="71"/>
        <v>8.0612666015625001E-2</v>
      </c>
      <c r="P63" s="51">
        <f t="shared" si="72"/>
        <v>7.753370624999989E-2</v>
      </c>
      <c r="Q63" s="51">
        <f t="shared" si="73"/>
        <v>2.9782531270332813E-2</v>
      </c>
      <c r="R63" s="51">
        <f t="shared" si="74"/>
        <v>0.12546875000000002</v>
      </c>
      <c r="S63" s="24"/>
      <c r="T63" s="45">
        <f t="shared" si="50"/>
        <v>45</v>
      </c>
      <c r="U63" s="59">
        <f t="shared" ref="U63:U94" si="123">MAX(INDEX(scenariusz_I_inflacja,MATCH(ROUNDUP(T63/12,0)-1,scenariusz_I_rok,0)),0)</f>
        <v>0.05</v>
      </c>
      <c r="V63" s="48">
        <f t="shared" si="83"/>
        <v>12010.359375000004</v>
      </c>
      <c r="W63" s="56">
        <f t="shared" si="116"/>
        <v>100</v>
      </c>
      <c r="X63" s="48">
        <f t="shared" si="117"/>
        <v>10000</v>
      </c>
      <c r="Y63" s="48">
        <f t="shared" si="62"/>
        <v>10000</v>
      </c>
      <c r="Z63" s="48">
        <f t="shared" si="53"/>
        <v>10000</v>
      </c>
      <c r="AA63" s="59">
        <f t="shared" si="84"/>
        <v>5.7500000000000002E-2</v>
      </c>
      <c r="AB63" s="48">
        <f t="shared" si="85"/>
        <v>10431.25</v>
      </c>
      <c r="AC63" s="48" t="str">
        <f t="shared" si="86"/>
        <v>nie</v>
      </c>
      <c r="AD63" s="48">
        <f t="shared" si="87"/>
        <v>70</v>
      </c>
      <c r="AE63" s="48">
        <f t="shared" si="88"/>
        <v>10292.612499999999</v>
      </c>
      <c r="AF63" s="48">
        <f t="shared" si="89"/>
        <v>0</v>
      </c>
      <c r="AG63" s="59">
        <f t="shared" si="90"/>
        <v>1.4999999999999999E-2</v>
      </c>
      <c r="AH63" s="48">
        <f t="shared" si="91"/>
        <v>1054.6412337769959</v>
      </c>
      <c r="AI63" s="48">
        <f t="shared" si="92"/>
        <v>11347.253733776995</v>
      </c>
      <c r="AJ63" s="24"/>
      <c r="AK63" s="56">
        <f t="shared" si="118"/>
        <v>100</v>
      </c>
      <c r="AL63" s="48">
        <f t="shared" si="119"/>
        <v>10000</v>
      </c>
      <c r="AM63" s="48">
        <f t="shared" si="56"/>
        <v>10000</v>
      </c>
      <c r="AN63" s="48">
        <f t="shared" si="120"/>
        <v>11427.011999999999</v>
      </c>
      <c r="AO63" s="59">
        <f t="shared" si="93"/>
        <v>6.0000000000000005E-2</v>
      </c>
      <c r="AP63" s="48">
        <f t="shared" si="94"/>
        <v>11941.227539999998</v>
      </c>
      <c r="AQ63" s="48" t="str">
        <f t="shared" si="95"/>
        <v>nie</v>
      </c>
      <c r="AR63" s="48">
        <f t="shared" si="96"/>
        <v>200</v>
      </c>
      <c r="AS63" s="48">
        <f t="shared" si="97"/>
        <v>11410.394307399998</v>
      </c>
      <c r="AT63" s="48">
        <f t="shared" si="28"/>
        <v>0</v>
      </c>
      <c r="AU63" s="59">
        <f t="shared" si="98"/>
        <v>1.4999999999999999E-2</v>
      </c>
      <c r="AV63" s="48">
        <f t="shared" si="99"/>
        <v>0</v>
      </c>
      <c r="AW63" s="48">
        <f t="shared" si="100"/>
        <v>11410.394307399998</v>
      </c>
      <c r="AY63" s="56">
        <f t="shared" si="63"/>
        <v>100</v>
      </c>
      <c r="AZ63" s="48">
        <f t="shared" si="64"/>
        <v>10000</v>
      </c>
      <c r="BA63" s="48">
        <f t="shared" si="58"/>
        <v>10000</v>
      </c>
      <c r="BB63" s="48">
        <f t="shared" si="121"/>
        <v>11458.398437499998</v>
      </c>
      <c r="BC63" s="59">
        <f t="shared" si="101"/>
        <v>6.25E-2</v>
      </c>
      <c r="BD63" s="48">
        <f t="shared" si="102"/>
        <v>11995.510864257811</v>
      </c>
      <c r="BE63" s="48" t="str">
        <f t="shared" si="103"/>
        <v>nie</v>
      </c>
      <c r="BF63" s="48">
        <f t="shared" si="104"/>
        <v>70</v>
      </c>
      <c r="BG63" s="48">
        <f t="shared" si="105"/>
        <v>11559.663800048827</v>
      </c>
      <c r="BH63" s="48">
        <f t="shared" si="37"/>
        <v>0</v>
      </c>
      <c r="BI63" s="59">
        <f t="shared" si="106"/>
        <v>1.4999999999999999E-2</v>
      </c>
      <c r="BJ63" s="48">
        <f t="shared" si="107"/>
        <v>0</v>
      </c>
      <c r="BK63" s="48">
        <f t="shared" si="108"/>
        <v>11559.663800048827</v>
      </c>
      <c r="BL63" s="24"/>
      <c r="BM63" s="56">
        <f t="shared" si="65"/>
        <v>100</v>
      </c>
      <c r="BN63" s="48">
        <f t="shared" si="66"/>
        <v>10000</v>
      </c>
      <c r="BO63" s="48">
        <f t="shared" si="60"/>
        <v>10000</v>
      </c>
      <c r="BP63" s="48">
        <f t="shared" si="122"/>
        <v>11569.094999999999</v>
      </c>
      <c r="BQ63" s="59">
        <f t="shared" si="109"/>
        <v>6.5000000000000002E-2</v>
      </c>
      <c r="BR63" s="48">
        <f t="shared" si="110"/>
        <v>12133.08838125</v>
      </c>
      <c r="BS63" s="48" t="str">
        <f t="shared" si="111"/>
        <v>nie</v>
      </c>
      <c r="BT63" s="48">
        <f t="shared" si="112"/>
        <v>200</v>
      </c>
      <c r="BU63" s="48">
        <f t="shared" si="45"/>
        <v>11565.801588812499</v>
      </c>
      <c r="BV63" s="48">
        <f t="shared" si="46"/>
        <v>0</v>
      </c>
      <c r="BW63" s="59">
        <f t="shared" si="113"/>
        <v>1.4999999999999999E-2</v>
      </c>
      <c r="BX63" s="48">
        <f t="shared" si="114"/>
        <v>0</v>
      </c>
      <c r="BY63" s="48">
        <f t="shared" si="115"/>
        <v>11565.801588812499</v>
      </c>
      <c r="BZ63" s="25" t="s">
        <v>30</v>
      </c>
      <c r="CA63" s="67"/>
      <c r="CB63" s="67"/>
      <c r="CC63" s="67"/>
      <c r="CD63" s="67"/>
    </row>
    <row r="64" spans="1:82" s="25" customFormat="1" ht="14">
      <c r="A64" s="24"/>
      <c r="B64" s="172"/>
      <c r="C64" s="66">
        <f t="shared" si="75"/>
        <v>30</v>
      </c>
      <c r="D64" s="48">
        <f t="shared" si="76"/>
        <v>10751.997301140742</v>
      </c>
      <c r="E64" s="48">
        <f t="shared" si="77"/>
        <v>10731.92086</v>
      </c>
      <c r="F64" s="48">
        <f t="shared" si="78"/>
        <v>10851.623242187499</v>
      </c>
      <c r="G64" s="49">
        <f t="shared" si="79"/>
        <v>10822.998475</v>
      </c>
      <c r="H64" s="49">
        <f t="shared" si="80"/>
        <v>10308.251860832441</v>
      </c>
      <c r="I64" s="48">
        <f t="shared" si="81"/>
        <v>11300.624999999998</v>
      </c>
      <c r="J64" s="24"/>
      <c r="K64" s="84"/>
      <c r="L64" s="64">
        <f t="shared" si="82"/>
        <v>30</v>
      </c>
      <c r="M64" s="51">
        <f t="shared" si="69"/>
        <v>7.5199730114074104E-2</v>
      </c>
      <c r="N64" s="51">
        <f t="shared" si="70"/>
        <v>7.3192085999999934E-2</v>
      </c>
      <c r="O64" s="51">
        <f t="shared" si="71"/>
        <v>8.516232421875003E-2</v>
      </c>
      <c r="P64" s="51">
        <f t="shared" si="72"/>
        <v>8.2299847500000078E-2</v>
      </c>
      <c r="Q64" s="51">
        <f t="shared" si="73"/>
        <v>3.0825186083244027E-2</v>
      </c>
      <c r="R64" s="51">
        <f t="shared" si="74"/>
        <v>0.13006249999999975</v>
      </c>
      <c r="S64" s="24"/>
      <c r="T64" s="45">
        <f t="shared" si="50"/>
        <v>46</v>
      </c>
      <c r="U64" s="59">
        <f t="shared" si="123"/>
        <v>0.05</v>
      </c>
      <c r="V64" s="48">
        <f t="shared" si="83"/>
        <v>12058.593750000004</v>
      </c>
      <c r="W64" s="56">
        <f t="shared" si="116"/>
        <v>100</v>
      </c>
      <c r="X64" s="48">
        <f t="shared" si="117"/>
        <v>10000</v>
      </c>
      <c r="Y64" s="48">
        <f t="shared" si="62"/>
        <v>10000</v>
      </c>
      <c r="Z64" s="48">
        <f t="shared" si="53"/>
        <v>10000</v>
      </c>
      <c r="AA64" s="59">
        <f t="shared" si="84"/>
        <v>5.7500000000000002E-2</v>
      </c>
      <c r="AB64" s="48">
        <f t="shared" si="85"/>
        <v>10479.166666666666</v>
      </c>
      <c r="AC64" s="48" t="str">
        <f t="shared" si="86"/>
        <v>nie</v>
      </c>
      <c r="AD64" s="48">
        <f t="shared" si="87"/>
        <v>70</v>
      </c>
      <c r="AE64" s="48">
        <f t="shared" si="88"/>
        <v>10331.424999999999</v>
      </c>
      <c r="AF64" s="48">
        <f t="shared" si="89"/>
        <v>0</v>
      </c>
      <c r="AG64" s="59">
        <f t="shared" si="90"/>
        <v>1.4999999999999999E-2</v>
      </c>
      <c r="AH64" s="48">
        <f t="shared" si="91"/>
        <v>1055.7090580261952</v>
      </c>
      <c r="AI64" s="48">
        <f t="shared" si="92"/>
        <v>11387.134058026195</v>
      </c>
      <c r="AJ64" s="24"/>
      <c r="AK64" s="56">
        <f t="shared" si="118"/>
        <v>100</v>
      </c>
      <c r="AL64" s="48">
        <f t="shared" si="119"/>
        <v>10000</v>
      </c>
      <c r="AM64" s="48">
        <f t="shared" si="56"/>
        <v>10000</v>
      </c>
      <c r="AN64" s="48">
        <f t="shared" si="120"/>
        <v>11427.011999999999</v>
      </c>
      <c r="AO64" s="59">
        <f t="shared" si="93"/>
        <v>6.0000000000000005E-2</v>
      </c>
      <c r="AP64" s="48">
        <f t="shared" si="94"/>
        <v>11998.362599999999</v>
      </c>
      <c r="AQ64" s="48" t="str">
        <f t="shared" si="95"/>
        <v>nie</v>
      </c>
      <c r="AR64" s="48">
        <f t="shared" si="96"/>
        <v>200</v>
      </c>
      <c r="AS64" s="48">
        <f t="shared" si="97"/>
        <v>11456.673706</v>
      </c>
      <c r="AT64" s="48">
        <f t="shared" si="28"/>
        <v>0</v>
      </c>
      <c r="AU64" s="59">
        <f t="shared" si="98"/>
        <v>1.4999999999999999E-2</v>
      </c>
      <c r="AV64" s="48">
        <f t="shared" si="99"/>
        <v>0</v>
      </c>
      <c r="AW64" s="48">
        <f t="shared" si="100"/>
        <v>11456.673706</v>
      </c>
      <c r="AY64" s="56">
        <f t="shared" si="63"/>
        <v>100</v>
      </c>
      <c r="AZ64" s="48">
        <f t="shared" si="64"/>
        <v>10000</v>
      </c>
      <c r="BA64" s="48">
        <f t="shared" si="58"/>
        <v>10000</v>
      </c>
      <c r="BB64" s="48">
        <f t="shared" si="121"/>
        <v>11458.398437499998</v>
      </c>
      <c r="BC64" s="59">
        <f t="shared" si="101"/>
        <v>6.25E-2</v>
      </c>
      <c r="BD64" s="48">
        <f t="shared" si="102"/>
        <v>12055.190022786455</v>
      </c>
      <c r="BE64" s="48" t="str">
        <f t="shared" si="103"/>
        <v>nie</v>
      </c>
      <c r="BF64" s="48">
        <f t="shared" si="104"/>
        <v>70</v>
      </c>
      <c r="BG64" s="48">
        <f t="shared" si="105"/>
        <v>11608.003918457029</v>
      </c>
      <c r="BH64" s="48">
        <f t="shared" si="37"/>
        <v>0</v>
      </c>
      <c r="BI64" s="59">
        <f t="shared" si="106"/>
        <v>1.4999999999999999E-2</v>
      </c>
      <c r="BJ64" s="48">
        <f t="shared" si="107"/>
        <v>0</v>
      </c>
      <c r="BK64" s="48">
        <f t="shared" si="108"/>
        <v>11608.003918457029</v>
      </c>
      <c r="BL64" s="24"/>
      <c r="BM64" s="56">
        <f t="shared" si="65"/>
        <v>100</v>
      </c>
      <c r="BN64" s="48">
        <f t="shared" si="66"/>
        <v>10000</v>
      </c>
      <c r="BO64" s="48">
        <f t="shared" si="60"/>
        <v>10000</v>
      </c>
      <c r="BP64" s="48">
        <f t="shared" si="122"/>
        <v>11569.094999999999</v>
      </c>
      <c r="BQ64" s="59">
        <f t="shared" si="109"/>
        <v>6.5000000000000002E-2</v>
      </c>
      <c r="BR64" s="48">
        <f t="shared" si="110"/>
        <v>12195.754312499999</v>
      </c>
      <c r="BS64" s="48" t="str">
        <f t="shared" si="111"/>
        <v>nie</v>
      </c>
      <c r="BT64" s="48">
        <f t="shared" si="112"/>
        <v>200</v>
      </c>
      <c r="BU64" s="48">
        <f t="shared" si="45"/>
        <v>11616.560993125</v>
      </c>
      <c r="BV64" s="48">
        <f t="shared" si="46"/>
        <v>0</v>
      </c>
      <c r="BW64" s="59">
        <f t="shared" si="113"/>
        <v>1.4999999999999999E-2</v>
      </c>
      <c r="BX64" s="48">
        <f t="shared" si="114"/>
        <v>0</v>
      </c>
      <c r="BY64" s="48">
        <f t="shared" si="115"/>
        <v>11616.560993125</v>
      </c>
    </row>
    <row r="65" spans="1:77" s="25" customFormat="1" ht="14">
      <c r="A65" s="24"/>
      <c r="B65" s="172"/>
      <c r="C65" s="66">
        <f t="shared" si="75"/>
        <v>31</v>
      </c>
      <c r="D65" s="48">
        <f t="shared" si="76"/>
        <v>10791.392821220648</v>
      </c>
      <c r="E65" s="48">
        <f t="shared" si="77"/>
        <v>10775.580669999998</v>
      </c>
      <c r="F65" s="48">
        <f t="shared" si="78"/>
        <v>10897.119824218747</v>
      </c>
      <c r="G65" s="49">
        <f t="shared" si="79"/>
        <v>10870.6598875</v>
      </c>
      <c r="H65" s="49">
        <f t="shared" si="80"/>
        <v>10318.688965841535</v>
      </c>
      <c r="I65" s="48">
        <f t="shared" si="81"/>
        <v>11346.562499999998</v>
      </c>
      <c r="J65" s="24"/>
      <c r="K65" s="84"/>
      <c r="L65" s="64">
        <f t="shared" si="82"/>
        <v>31</v>
      </c>
      <c r="M65" s="51">
        <f t="shared" si="69"/>
        <v>7.9139282122064891E-2</v>
      </c>
      <c r="N65" s="51">
        <f t="shared" si="70"/>
        <v>7.7558066999999786E-2</v>
      </c>
      <c r="O65" s="51">
        <f t="shared" si="71"/>
        <v>8.9711982421874836E-2</v>
      </c>
      <c r="P65" s="51">
        <f t="shared" si="72"/>
        <v>8.7065988750000045E-2</v>
      </c>
      <c r="Q65" s="51">
        <f t="shared" si="73"/>
        <v>3.1868896584153372E-2</v>
      </c>
      <c r="R65" s="51">
        <f t="shared" si="74"/>
        <v>0.13465624999999992</v>
      </c>
      <c r="S65" s="24"/>
      <c r="T65" s="45">
        <f t="shared" si="50"/>
        <v>47</v>
      </c>
      <c r="U65" s="59">
        <f t="shared" si="123"/>
        <v>0.05</v>
      </c>
      <c r="V65" s="48">
        <f t="shared" si="83"/>
        <v>12106.828125000002</v>
      </c>
      <c r="W65" s="56">
        <f t="shared" si="116"/>
        <v>100</v>
      </c>
      <c r="X65" s="48">
        <f t="shared" si="117"/>
        <v>10000</v>
      </c>
      <c r="Y65" s="48">
        <f t="shared" si="62"/>
        <v>10000</v>
      </c>
      <c r="Z65" s="48">
        <f t="shared" si="53"/>
        <v>10000</v>
      </c>
      <c r="AA65" s="59">
        <f t="shared" si="84"/>
        <v>5.7500000000000002E-2</v>
      </c>
      <c r="AB65" s="48">
        <f t="shared" si="85"/>
        <v>10527.083333333334</v>
      </c>
      <c r="AC65" s="48" t="str">
        <f t="shared" si="86"/>
        <v>nie</v>
      </c>
      <c r="AD65" s="48">
        <f t="shared" si="87"/>
        <v>70</v>
      </c>
      <c r="AE65" s="48">
        <f t="shared" si="88"/>
        <v>10370.237500000001</v>
      </c>
      <c r="AF65" s="48">
        <f t="shared" si="89"/>
        <v>0</v>
      </c>
      <c r="AG65" s="59">
        <f t="shared" si="90"/>
        <v>1.4999999999999999E-2</v>
      </c>
      <c r="AH65" s="48">
        <f t="shared" si="91"/>
        <v>1056.7779634474468</v>
      </c>
      <c r="AI65" s="48">
        <f t="shared" si="92"/>
        <v>11427.015463447447</v>
      </c>
      <c r="AJ65" s="24"/>
      <c r="AK65" s="56">
        <f t="shared" si="118"/>
        <v>100</v>
      </c>
      <c r="AL65" s="48">
        <f t="shared" si="119"/>
        <v>10000</v>
      </c>
      <c r="AM65" s="48">
        <f t="shared" si="56"/>
        <v>10000</v>
      </c>
      <c r="AN65" s="48">
        <f t="shared" si="120"/>
        <v>11427.011999999999</v>
      </c>
      <c r="AO65" s="59">
        <f t="shared" si="93"/>
        <v>6.0000000000000005E-2</v>
      </c>
      <c r="AP65" s="48">
        <f t="shared" si="94"/>
        <v>12055.497659999997</v>
      </c>
      <c r="AQ65" s="48" t="str">
        <f t="shared" si="95"/>
        <v>nie</v>
      </c>
      <c r="AR65" s="48">
        <f t="shared" si="96"/>
        <v>200</v>
      </c>
      <c r="AS65" s="48">
        <f t="shared" si="97"/>
        <v>11502.953104599997</v>
      </c>
      <c r="AT65" s="48">
        <f t="shared" si="28"/>
        <v>0</v>
      </c>
      <c r="AU65" s="59">
        <f t="shared" si="98"/>
        <v>1.4999999999999999E-2</v>
      </c>
      <c r="AV65" s="48">
        <f t="shared" si="99"/>
        <v>0</v>
      </c>
      <c r="AW65" s="48">
        <f t="shared" si="100"/>
        <v>11502.953104599997</v>
      </c>
      <c r="AY65" s="56">
        <f t="shared" si="63"/>
        <v>100</v>
      </c>
      <c r="AZ65" s="48">
        <f t="shared" si="64"/>
        <v>10000</v>
      </c>
      <c r="BA65" s="48">
        <f t="shared" si="58"/>
        <v>10000</v>
      </c>
      <c r="BB65" s="48">
        <f t="shared" si="121"/>
        <v>11458.398437499998</v>
      </c>
      <c r="BC65" s="59">
        <f t="shared" si="101"/>
        <v>6.25E-2</v>
      </c>
      <c r="BD65" s="48">
        <f t="shared" si="102"/>
        <v>12114.869181315104</v>
      </c>
      <c r="BE65" s="48" t="str">
        <f t="shared" si="103"/>
        <v>nie</v>
      </c>
      <c r="BF65" s="48">
        <f t="shared" si="104"/>
        <v>70</v>
      </c>
      <c r="BG65" s="48">
        <f t="shared" si="105"/>
        <v>11656.344036865234</v>
      </c>
      <c r="BH65" s="48">
        <f t="shared" si="37"/>
        <v>0</v>
      </c>
      <c r="BI65" s="59">
        <f t="shared" si="106"/>
        <v>1.4999999999999999E-2</v>
      </c>
      <c r="BJ65" s="48">
        <f t="shared" si="107"/>
        <v>0</v>
      </c>
      <c r="BK65" s="48">
        <f t="shared" si="108"/>
        <v>11656.344036865234</v>
      </c>
      <c r="BL65" s="24"/>
      <c r="BM65" s="56">
        <f t="shared" si="65"/>
        <v>100</v>
      </c>
      <c r="BN65" s="48">
        <f t="shared" si="66"/>
        <v>10000</v>
      </c>
      <c r="BO65" s="48">
        <f t="shared" si="60"/>
        <v>10000</v>
      </c>
      <c r="BP65" s="48">
        <f t="shared" si="122"/>
        <v>11569.094999999999</v>
      </c>
      <c r="BQ65" s="59">
        <f t="shared" si="109"/>
        <v>6.5000000000000002E-2</v>
      </c>
      <c r="BR65" s="48">
        <f t="shared" si="110"/>
        <v>12258.420243749999</v>
      </c>
      <c r="BS65" s="48" t="str">
        <f t="shared" si="111"/>
        <v>nie</v>
      </c>
      <c r="BT65" s="48">
        <f t="shared" si="112"/>
        <v>200</v>
      </c>
      <c r="BU65" s="48">
        <f t="shared" si="45"/>
        <v>11667.320397437499</v>
      </c>
      <c r="BV65" s="48">
        <f t="shared" si="46"/>
        <v>0</v>
      </c>
      <c r="BW65" s="59">
        <f t="shared" si="113"/>
        <v>1.4999999999999999E-2</v>
      </c>
      <c r="BX65" s="48">
        <f t="shared" si="114"/>
        <v>0</v>
      </c>
      <c r="BY65" s="48">
        <f t="shared" si="115"/>
        <v>11667.320397437499</v>
      </c>
    </row>
    <row r="66" spans="1:77" s="25" customFormat="1" ht="14">
      <c r="A66" s="24"/>
      <c r="B66" s="172"/>
      <c r="C66" s="66">
        <f t="shared" si="75"/>
        <v>32</v>
      </c>
      <c r="D66" s="48">
        <f t="shared" si="76"/>
        <v>10830.788931608386</v>
      </c>
      <c r="E66" s="48">
        <f t="shared" si="77"/>
        <v>10819.24048</v>
      </c>
      <c r="F66" s="48">
        <f t="shared" si="78"/>
        <v>10942.616406249999</v>
      </c>
      <c r="G66" s="49">
        <f t="shared" si="79"/>
        <v>10918.321300000001</v>
      </c>
      <c r="H66" s="49">
        <f t="shared" si="80"/>
        <v>10329.13663841945</v>
      </c>
      <c r="I66" s="48">
        <f t="shared" si="81"/>
        <v>11392.500000000002</v>
      </c>
      <c r="J66" s="24"/>
      <c r="K66" s="84"/>
      <c r="L66" s="64">
        <f t="shared" si="82"/>
        <v>32</v>
      </c>
      <c r="M66" s="51">
        <f t="shared" ref="M66:M97" si="124">D66/zakup_domyslny_wartosc-1</f>
        <v>8.3078893160838607E-2</v>
      </c>
      <c r="N66" s="51">
        <f t="shared" ref="N66:N97" si="125">E66/zakup_domyslny_wartosc-1</f>
        <v>8.1924048000000083E-2</v>
      </c>
      <c r="O66" s="51">
        <f t="shared" ref="O66:O97" si="126">F66/zakup_domyslny_wartosc-1</f>
        <v>9.4261640624999865E-2</v>
      </c>
      <c r="P66" s="51">
        <f t="shared" ref="P66:P97" si="127">G66/zakup_domyslny_wartosc-1</f>
        <v>9.1832130000000234E-2</v>
      </c>
      <c r="Q66" s="51">
        <f t="shared" ref="Q66:Q97" si="128">H66/zakup_domyslny_wartosc-1</f>
        <v>3.291366384194494E-2</v>
      </c>
      <c r="R66" s="51">
        <f t="shared" ref="R66:R97" si="129">I66/zakup_domyslny_wartosc-1</f>
        <v>0.1392500000000001</v>
      </c>
      <c r="S66" s="24"/>
      <c r="T66" s="45">
        <f t="shared" si="50"/>
        <v>48</v>
      </c>
      <c r="U66" s="59">
        <f t="shared" si="123"/>
        <v>0.05</v>
      </c>
      <c r="V66" s="48">
        <f t="shared" si="83"/>
        <v>12155.062500000002</v>
      </c>
      <c r="W66" s="56">
        <f t="shared" si="116"/>
        <v>100</v>
      </c>
      <c r="X66" s="48">
        <f t="shared" si="117"/>
        <v>10000</v>
      </c>
      <c r="Y66" s="48">
        <f t="shared" si="62"/>
        <v>10000</v>
      </c>
      <c r="Z66" s="48">
        <f t="shared" si="53"/>
        <v>10000</v>
      </c>
      <c r="AA66" s="59">
        <f t="shared" si="84"/>
        <v>5.7500000000000002E-2</v>
      </c>
      <c r="AB66" s="48">
        <f t="shared" si="85"/>
        <v>10575.000000000002</v>
      </c>
      <c r="AC66" s="48" t="str">
        <f t="shared" si="86"/>
        <v>tak</v>
      </c>
      <c r="AD66" s="48">
        <f t="shared" si="87"/>
        <v>0</v>
      </c>
      <c r="AE66" s="48">
        <f t="shared" si="88"/>
        <v>10465.750000000002</v>
      </c>
      <c r="AF66" s="48">
        <f t="shared" si="89"/>
        <v>76.150000000001114</v>
      </c>
      <c r="AG66" s="59">
        <f t="shared" si="90"/>
        <v>1.4999999999999999E-2</v>
      </c>
      <c r="AH66" s="48">
        <f t="shared" si="91"/>
        <v>1133.9979511354386</v>
      </c>
      <c r="AI66" s="48">
        <f t="shared" si="92"/>
        <v>11523.59795113544</v>
      </c>
      <c r="AJ66" s="24"/>
      <c r="AK66" s="56">
        <f t="shared" si="118"/>
        <v>100</v>
      </c>
      <c r="AL66" s="48">
        <f t="shared" si="119"/>
        <v>10000</v>
      </c>
      <c r="AM66" s="48">
        <f t="shared" si="56"/>
        <v>10000</v>
      </c>
      <c r="AN66" s="48">
        <f t="shared" si="120"/>
        <v>11427.011999999999</v>
      </c>
      <c r="AO66" s="59">
        <f t="shared" si="93"/>
        <v>6.0000000000000005E-2</v>
      </c>
      <c r="AP66" s="48">
        <f t="shared" si="94"/>
        <v>12112.63272</v>
      </c>
      <c r="AQ66" s="48" t="str">
        <f t="shared" si="95"/>
        <v>nie</v>
      </c>
      <c r="AR66" s="48">
        <f t="shared" si="96"/>
        <v>200</v>
      </c>
      <c r="AS66" s="48">
        <f t="shared" si="97"/>
        <v>11549.232503199999</v>
      </c>
      <c r="AT66" s="48">
        <f t="shared" si="28"/>
        <v>0</v>
      </c>
      <c r="AU66" s="59">
        <f t="shared" si="98"/>
        <v>1.4999999999999999E-2</v>
      </c>
      <c r="AV66" s="48">
        <f t="shared" si="99"/>
        <v>0</v>
      </c>
      <c r="AW66" s="48">
        <f t="shared" si="100"/>
        <v>11549.232503199999</v>
      </c>
      <c r="AY66" s="56">
        <f t="shared" si="63"/>
        <v>100</v>
      </c>
      <c r="AZ66" s="48">
        <f t="shared" si="64"/>
        <v>10000</v>
      </c>
      <c r="BA66" s="48">
        <f t="shared" si="58"/>
        <v>10000</v>
      </c>
      <c r="BB66" s="48">
        <f t="shared" si="121"/>
        <v>11458.398437499998</v>
      </c>
      <c r="BC66" s="59">
        <f t="shared" si="101"/>
        <v>6.25E-2</v>
      </c>
      <c r="BD66" s="48">
        <f t="shared" si="102"/>
        <v>12174.548339843748</v>
      </c>
      <c r="BE66" s="48" t="str">
        <f t="shared" si="103"/>
        <v>nie</v>
      </c>
      <c r="BF66" s="48">
        <f t="shared" si="104"/>
        <v>70</v>
      </c>
      <c r="BG66" s="48">
        <f t="shared" si="105"/>
        <v>11704.684155273437</v>
      </c>
      <c r="BH66" s="48">
        <f t="shared" si="37"/>
        <v>0</v>
      </c>
      <c r="BI66" s="59">
        <f t="shared" si="106"/>
        <v>1.4999999999999999E-2</v>
      </c>
      <c r="BJ66" s="48">
        <f t="shared" si="107"/>
        <v>0</v>
      </c>
      <c r="BK66" s="48">
        <f t="shared" si="108"/>
        <v>11704.684155273437</v>
      </c>
      <c r="BL66" s="24"/>
      <c r="BM66" s="56">
        <f t="shared" si="65"/>
        <v>100</v>
      </c>
      <c r="BN66" s="48">
        <f t="shared" si="66"/>
        <v>10000</v>
      </c>
      <c r="BO66" s="48">
        <f t="shared" si="60"/>
        <v>10000</v>
      </c>
      <c r="BP66" s="48">
        <f t="shared" si="122"/>
        <v>11569.094999999999</v>
      </c>
      <c r="BQ66" s="59">
        <f t="shared" si="109"/>
        <v>6.5000000000000002E-2</v>
      </c>
      <c r="BR66" s="48">
        <f t="shared" si="110"/>
        <v>12321.086174999999</v>
      </c>
      <c r="BS66" s="48" t="str">
        <f t="shared" si="111"/>
        <v>nie</v>
      </c>
      <c r="BT66" s="48">
        <f t="shared" si="112"/>
        <v>200</v>
      </c>
      <c r="BU66" s="48">
        <f t="shared" si="45"/>
        <v>11718.079801749998</v>
      </c>
      <c r="BV66" s="48">
        <f t="shared" si="46"/>
        <v>0</v>
      </c>
      <c r="BW66" s="59">
        <f t="shared" si="113"/>
        <v>1.4999999999999999E-2</v>
      </c>
      <c r="BX66" s="48">
        <f t="shared" si="114"/>
        <v>0</v>
      </c>
      <c r="BY66" s="48">
        <f t="shared" si="115"/>
        <v>11718.079801749998</v>
      </c>
    </row>
    <row r="67" spans="1:77" s="25" customFormat="1" ht="14">
      <c r="A67" s="24"/>
      <c r="B67" s="172"/>
      <c r="C67" s="66">
        <f t="shared" ref="C67:C98" si="130">T51</f>
        <v>33</v>
      </c>
      <c r="D67" s="48">
        <f t="shared" ref="D67:D98" si="131">AI51</f>
        <v>10870.185632901637</v>
      </c>
      <c r="E67" s="48">
        <f t="shared" ref="E67:E98" si="132">AW51</f>
        <v>10862.900289999998</v>
      </c>
      <c r="F67" s="48">
        <f t="shared" ref="F67:F98" si="133">BK51</f>
        <v>10988.112988281249</v>
      </c>
      <c r="G67" s="49">
        <f t="shared" ref="G67:G98" si="134">BY51</f>
        <v>10965.982712500001</v>
      </c>
      <c r="H67" s="49">
        <f t="shared" ref="H67:H98" si="135">FV(INDEX(scenariusz_I_konto,MATCH(ROUNDUP(C67/12,0),scenariusz_I_rok,0))/12*(1-podatek_Belki),1,0,-H66,1)</f>
        <v>10339.594889265851</v>
      </c>
      <c r="I67" s="48">
        <f t="shared" ref="I67:I98" si="136">V51</f>
        <v>11438.437500000002</v>
      </c>
      <c r="J67" s="24"/>
      <c r="K67" s="84"/>
      <c r="L67" s="64">
        <f t="shared" ref="L67:L98" si="137">C67</f>
        <v>33</v>
      </c>
      <c r="M67" s="51">
        <f t="shared" si="124"/>
        <v>8.7018563290163664E-2</v>
      </c>
      <c r="N67" s="51">
        <f t="shared" si="125"/>
        <v>8.6290028999999713E-2</v>
      </c>
      <c r="O67" s="51">
        <f t="shared" si="126"/>
        <v>9.8811298828124894E-2</v>
      </c>
      <c r="P67" s="51">
        <f t="shared" si="127"/>
        <v>9.6598271250000201E-2</v>
      </c>
      <c r="Q67" s="51">
        <f t="shared" si="128"/>
        <v>3.3959488926585069E-2</v>
      </c>
      <c r="R67" s="51">
        <f t="shared" si="129"/>
        <v>0.14384375000000027</v>
      </c>
      <c r="S67" s="24"/>
      <c r="T67" s="45">
        <f t="shared" si="50"/>
        <v>49</v>
      </c>
      <c r="U67" s="59">
        <f t="shared" si="123"/>
        <v>0.05</v>
      </c>
      <c r="V67" s="48">
        <f t="shared" si="83"/>
        <v>12205.708593750001</v>
      </c>
      <c r="W67" s="56">
        <f t="shared" si="116"/>
        <v>104</v>
      </c>
      <c r="X67" s="48">
        <f t="shared" si="117"/>
        <v>10389.6</v>
      </c>
      <c r="Y67" s="48">
        <f t="shared" si="62"/>
        <v>10400</v>
      </c>
      <c r="Z67" s="48">
        <f t="shared" si="53"/>
        <v>10400</v>
      </c>
      <c r="AA67" s="59">
        <f t="shared" si="84"/>
        <v>1.2999999999999999E-2</v>
      </c>
      <c r="AB67" s="48">
        <f t="shared" si="85"/>
        <v>10411.266666666666</v>
      </c>
      <c r="AC67" s="48" t="str">
        <f t="shared" si="86"/>
        <v>nie</v>
      </c>
      <c r="AD67" s="48">
        <f t="shared" si="87"/>
        <v>11.266666666666424</v>
      </c>
      <c r="AE67" s="48">
        <f t="shared" si="88"/>
        <v>10400</v>
      </c>
      <c r="AF67" s="48">
        <f t="shared" si="89"/>
        <v>0</v>
      </c>
      <c r="AG67" s="59">
        <f t="shared" si="90"/>
        <v>1.4999999999999999E-2</v>
      </c>
      <c r="AH67" s="48">
        <f t="shared" si="91"/>
        <v>1135.1461240609633</v>
      </c>
      <c r="AI67" s="48">
        <f t="shared" si="92"/>
        <v>11535.146124060964</v>
      </c>
      <c r="AJ67" s="24"/>
      <c r="AK67" s="56">
        <f t="shared" si="118"/>
        <v>100</v>
      </c>
      <c r="AL67" s="48">
        <f t="shared" si="119"/>
        <v>10000</v>
      </c>
      <c r="AM67" s="48">
        <f t="shared" si="56"/>
        <v>10000</v>
      </c>
      <c r="AN67" s="48">
        <f t="shared" si="120"/>
        <v>12112.63272</v>
      </c>
      <c r="AO67" s="59">
        <f t="shared" si="93"/>
        <v>6.0000000000000005E-2</v>
      </c>
      <c r="AP67" s="48">
        <f t="shared" si="94"/>
        <v>12173.195883599998</v>
      </c>
      <c r="AQ67" s="48" t="str">
        <f t="shared" si="95"/>
        <v>nie</v>
      </c>
      <c r="AR67" s="48">
        <f t="shared" si="96"/>
        <v>200</v>
      </c>
      <c r="AS67" s="48">
        <f t="shared" si="97"/>
        <v>11598.288665715998</v>
      </c>
      <c r="AT67" s="48">
        <f t="shared" si="28"/>
        <v>0</v>
      </c>
      <c r="AU67" s="59">
        <f t="shared" si="98"/>
        <v>1.4999999999999999E-2</v>
      </c>
      <c r="AV67" s="48">
        <f t="shared" si="99"/>
        <v>0</v>
      </c>
      <c r="AW67" s="48">
        <f t="shared" si="100"/>
        <v>11598.288665715998</v>
      </c>
      <c r="AY67" s="56">
        <f t="shared" si="63"/>
        <v>100</v>
      </c>
      <c r="AZ67" s="48">
        <f t="shared" si="64"/>
        <v>10000</v>
      </c>
      <c r="BA67" s="48">
        <f t="shared" si="58"/>
        <v>10000</v>
      </c>
      <c r="BB67" s="48">
        <f t="shared" si="121"/>
        <v>12174.548339843748</v>
      </c>
      <c r="BC67" s="59">
        <f t="shared" si="101"/>
        <v>6.25E-2</v>
      </c>
      <c r="BD67" s="48">
        <f t="shared" si="102"/>
        <v>12237.957445780434</v>
      </c>
      <c r="BE67" s="48" t="str">
        <f t="shared" si="103"/>
        <v>nie</v>
      </c>
      <c r="BF67" s="48">
        <f t="shared" si="104"/>
        <v>70</v>
      </c>
      <c r="BG67" s="48">
        <f t="shared" si="105"/>
        <v>11756.045531082151</v>
      </c>
      <c r="BH67" s="48">
        <f t="shared" si="37"/>
        <v>0</v>
      </c>
      <c r="BI67" s="59">
        <f t="shared" si="106"/>
        <v>1.4999999999999999E-2</v>
      </c>
      <c r="BJ67" s="48">
        <f t="shared" si="107"/>
        <v>0</v>
      </c>
      <c r="BK67" s="48">
        <f t="shared" si="108"/>
        <v>11756.045531082151</v>
      </c>
      <c r="BL67" s="24"/>
      <c r="BM67" s="56">
        <f t="shared" si="65"/>
        <v>100</v>
      </c>
      <c r="BN67" s="48">
        <f t="shared" si="66"/>
        <v>10000</v>
      </c>
      <c r="BO67" s="48">
        <f t="shared" si="60"/>
        <v>10000</v>
      </c>
      <c r="BP67" s="48">
        <f t="shared" si="122"/>
        <v>12321.086174999999</v>
      </c>
      <c r="BQ67" s="59">
        <f t="shared" si="109"/>
        <v>6.5000000000000002E-2</v>
      </c>
      <c r="BR67" s="48">
        <f t="shared" si="110"/>
        <v>12387.825391781247</v>
      </c>
      <c r="BS67" s="48" t="str">
        <f t="shared" si="111"/>
        <v>nie</v>
      </c>
      <c r="BT67" s="48">
        <f t="shared" si="112"/>
        <v>200</v>
      </c>
      <c r="BU67" s="48">
        <f t="shared" si="45"/>
        <v>11772.13856734281</v>
      </c>
      <c r="BV67" s="48">
        <f t="shared" si="46"/>
        <v>0</v>
      </c>
      <c r="BW67" s="59">
        <f t="shared" si="113"/>
        <v>1.4999999999999999E-2</v>
      </c>
      <c r="BX67" s="48">
        <f t="shared" si="114"/>
        <v>0</v>
      </c>
      <c r="BY67" s="48">
        <f t="shared" si="115"/>
        <v>11772.13856734281</v>
      </c>
    </row>
    <row r="68" spans="1:77" s="25" customFormat="1" ht="14">
      <c r="A68" s="24"/>
      <c r="B68" s="172"/>
      <c r="C68" s="66">
        <f t="shared" si="130"/>
        <v>34</v>
      </c>
      <c r="D68" s="48">
        <f t="shared" si="131"/>
        <v>10909.5829256987</v>
      </c>
      <c r="E68" s="48">
        <f t="shared" si="132"/>
        <v>10906.560099999999</v>
      </c>
      <c r="F68" s="48">
        <f t="shared" si="133"/>
        <v>11033.609570312497</v>
      </c>
      <c r="G68" s="49">
        <f t="shared" si="134"/>
        <v>11013.644125000001</v>
      </c>
      <c r="H68" s="49">
        <f t="shared" si="135"/>
        <v>10350.063729091233</v>
      </c>
      <c r="I68" s="48">
        <f t="shared" si="136"/>
        <v>11484.375</v>
      </c>
      <c r="J68" s="24"/>
      <c r="K68" s="84"/>
      <c r="L68" s="64">
        <f t="shared" si="137"/>
        <v>34</v>
      </c>
      <c r="M68" s="51">
        <f t="shared" si="124"/>
        <v>9.0958292569869981E-2</v>
      </c>
      <c r="N68" s="51">
        <f t="shared" si="125"/>
        <v>9.0656009999999787E-2</v>
      </c>
      <c r="O68" s="51">
        <f t="shared" si="126"/>
        <v>0.1033609570312497</v>
      </c>
      <c r="P68" s="51">
        <f t="shared" si="127"/>
        <v>0.10136441250000017</v>
      </c>
      <c r="Q68" s="51">
        <f t="shared" si="128"/>
        <v>3.5006372909123229E-2</v>
      </c>
      <c r="R68" s="51">
        <f t="shared" si="129"/>
        <v>0.1484375</v>
      </c>
      <c r="S68" s="24"/>
      <c r="T68" s="45">
        <f t="shared" si="50"/>
        <v>50</v>
      </c>
      <c r="U68" s="59">
        <f t="shared" si="123"/>
        <v>0.05</v>
      </c>
      <c r="V68" s="48">
        <f t="shared" si="83"/>
        <v>12256.354687500001</v>
      </c>
      <c r="W68" s="56">
        <f t="shared" si="116"/>
        <v>104</v>
      </c>
      <c r="X68" s="48">
        <f t="shared" si="117"/>
        <v>10389.6</v>
      </c>
      <c r="Y68" s="48">
        <f t="shared" si="62"/>
        <v>10400</v>
      </c>
      <c r="Z68" s="48">
        <f t="shared" si="53"/>
        <v>10400</v>
      </c>
      <c r="AA68" s="59">
        <f t="shared" si="84"/>
        <v>1.2999999999999999E-2</v>
      </c>
      <c r="AB68" s="48">
        <f t="shared" si="85"/>
        <v>10422.533333333333</v>
      </c>
      <c r="AC68" s="48" t="str">
        <f t="shared" si="86"/>
        <v>nie</v>
      </c>
      <c r="AD68" s="48">
        <f t="shared" si="87"/>
        <v>22.533333333332848</v>
      </c>
      <c r="AE68" s="48">
        <f t="shared" si="88"/>
        <v>10400</v>
      </c>
      <c r="AF68" s="48">
        <f t="shared" si="89"/>
        <v>0</v>
      </c>
      <c r="AG68" s="59">
        <f t="shared" si="90"/>
        <v>1.4999999999999999E-2</v>
      </c>
      <c r="AH68" s="48">
        <f t="shared" si="91"/>
        <v>1136.295459511575</v>
      </c>
      <c r="AI68" s="48">
        <f t="shared" si="92"/>
        <v>11536.295459511575</v>
      </c>
      <c r="AJ68" s="24"/>
      <c r="AK68" s="56">
        <f t="shared" si="118"/>
        <v>100</v>
      </c>
      <c r="AL68" s="48">
        <f t="shared" si="119"/>
        <v>10000</v>
      </c>
      <c r="AM68" s="48">
        <f t="shared" si="56"/>
        <v>10000</v>
      </c>
      <c r="AN68" s="48">
        <f t="shared" si="120"/>
        <v>12112.63272</v>
      </c>
      <c r="AO68" s="59">
        <f t="shared" si="93"/>
        <v>6.0000000000000005E-2</v>
      </c>
      <c r="AP68" s="48">
        <f t="shared" si="94"/>
        <v>12233.759047199999</v>
      </c>
      <c r="AQ68" s="48" t="str">
        <f t="shared" si="95"/>
        <v>nie</v>
      </c>
      <c r="AR68" s="48">
        <f t="shared" si="96"/>
        <v>200</v>
      </c>
      <c r="AS68" s="48">
        <f t="shared" si="97"/>
        <v>11647.344828231999</v>
      </c>
      <c r="AT68" s="48">
        <f t="shared" si="28"/>
        <v>0</v>
      </c>
      <c r="AU68" s="59">
        <f t="shared" si="98"/>
        <v>1.4999999999999999E-2</v>
      </c>
      <c r="AV68" s="48">
        <f t="shared" si="99"/>
        <v>0</v>
      </c>
      <c r="AW68" s="48">
        <f t="shared" si="100"/>
        <v>11647.344828231999</v>
      </c>
      <c r="AY68" s="56">
        <f t="shared" si="63"/>
        <v>100</v>
      </c>
      <c r="AZ68" s="48">
        <f t="shared" si="64"/>
        <v>10000</v>
      </c>
      <c r="BA68" s="48">
        <f t="shared" si="58"/>
        <v>10000</v>
      </c>
      <c r="BB68" s="48">
        <f t="shared" si="121"/>
        <v>12174.548339843748</v>
      </c>
      <c r="BC68" s="59">
        <f t="shared" si="101"/>
        <v>6.25E-2</v>
      </c>
      <c r="BD68" s="48">
        <f t="shared" si="102"/>
        <v>12301.366551717121</v>
      </c>
      <c r="BE68" s="48" t="str">
        <f t="shared" si="103"/>
        <v>nie</v>
      </c>
      <c r="BF68" s="48">
        <f t="shared" si="104"/>
        <v>70</v>
      </c>
      <c r="BG68" s="48">
        <f t="shared" si="105"/>
        <v>11807.406906890868</v>
      </c>
      <c r="BH68" s="48">
        <f t="shared" si="37"/>
        <v>0</v>
      </c>
      <c r="BI68" s="59">
        <f t="shared" si="106"/>
        <v>1.4999999999999999E-2</v>
      </c>
      <c r="BJ68" s="48">
        <f t="shared" si="107"/>
        <v>0</v>
      </c>
      <c r="BK68" s="48">
        <f t="shared" si="108"/>
        <v>11807.406906890868</v>
      </c>
      <c r="BL68" s="24"/>
      <c r="BM68" s="56">
        <f t="shared" si="65"/>
        <v>100</v>
      </c>
      <c r="BN68" s="48">
        <f t="shared" si="66"/>
        <v>10000</v>
      </c>
      <c r="BO68" s="48">
        <f t="shared" si="60"/>
        <v>10000</v>
      </c>
      <c r="BP68" s="48">
        <f t="shared" si="122"/>
        <v>12321.086174999999</v>
      </c>
      <c r="BQ68" s="59">
        <f t="shared" si="109"/>
        <v>6.5000000000000002E-2</v>
      </c>
      <c r="BR68" s="48">
        <f t="shared" si="110"/>
        <v>12454.564608562498</v>
      </c>
      <c r="BS68" s="48" t="str">
        <f t="shared" si="111"/>
        <v>nie</v>
      </c>
      <c r="BT68" s="48">
        <f t="shared" si="112"/>
        <v>200</v>
      </c>
      <c r="BU68" s="48">
        <f t="shared" si="45"/>
        <v>11826.197332935622</v>
      </c>
      <c r="BV68" s="48">
        <f t="shared" si="46"/>
        <v>0</v>
      </c>
      <c r="BW68" s="59">
        <f t="shared" si="113"/>
        <v>1.4999999999999999E-2</v>
      </c>
      <c r="BX68" s="48">
        <f t="shared" si="114"/>
        <v>0</v>
      </c>
      <c r="BY68" s="48">
        <f t="shared" si="115"/>
        <v>11826.197332935622</v>
      </c>
    </row>
    <row r="69" spans="1:77" s="25" customFormat="1" ht="14" customHeight="1">
      <c r="A69" s="24"/>
      <c r="B69" s="172"/>
      <c r="C69" s="66">
        <f t="shared" si="130"/>
        <v>35</v>
      </c>
      <c r="D69" s="48">
        <f t="shared" si="131"/>
        <v>10948.980810598472</v>
      </c>
      <c r="E69" s="48">
        <f t="shared" si="132"/>
        <v>10950.21991</v>
      </c>
      <c r="F69" s="48">
        <f t="shared" si="133"/>
        <v>11079.106152343749</v>
      </c>
      <c r="G69" s="49">
        <f t="shared" si="134"/>
        <v>11061.3055375</v>
      </c>
      <c r="H69" s="49">
        <f t="shared" si="135"/>
        <v>10360.543168616938</v>
      </c>
      <c r="I69" s="48">
        <f t="shared" si="136"/>
        <v>11530.3125</v>
      </c>
      <c r="J69" s="24"/>
      <c r="K69" s="84"/>
      <c r="L69" s="64">
        <f t="shared" si="137"/>
        <v>35</v>
      </c>
      <c r="M69" s="51">
        <f t="shared" si="124"/>
        <v>9.4898081059847206E-2</v>
      </c>
      <c r="N69" s="51">
        <f t="shared" si="125"/>
        <v>9.5021991000000083E-2</v>
      </c>
      <c r="O69" s="51">
        <f t="shared" si="126"/>
        <v>0.10791061523437495</v>
      </c>
      <c r="P69" s="51">
        <f t="shared" si="127"/>
        <v>0.10613055375000013</v>
      </c>
      <c r="Q69" s="51">
        <f t="shared" si="128"/>
        <v>3.6054316861693803E-2</v>
      </c>
      <c r="R69" s="51">
        <f t="shared" si="129"/>
        <v>0.15303124999999995</v>
      </c>
      <c r="S69" s="24"/>
      <c r="T69" s="45">
        <f t="shared" si="50"/>
        <v>51</v>
      </c>
      <c r="U69" s="59">
        <f t="shared" si="123"/>
        <v>0.05</v>
      </c>
      <c r="V69" s="48">
        <f t="shared" si="83"/>
        <v>12307.000781250001</v>
      </c>
      <c r="W69" s="56">
        <f t="shared" si="116"/>
        <v>104</v>
      </c>
      <c r="X69" s="48">
        <f t="shared" si="117"/>
        <v>10389.6</v>
      </c>
      <c r="Y69" s="48">
        <f t="shared" si="62"/>
        <v>10400</v>
      </c>
      <c r="Z69" s="48">
        <f t="shared" si="53"/>
        <v>10400</v>
      </c>
      <c r="AA69" s="59">
        <f t="shared" si="84"/>
        <v>1.2999999999999999E-2</v>
      </c>
      <c r="AB69" s="48">
        <f t="shared" si="85"/>
        <v>10433.799999999999</v>
      </c>
      <c r="AC69" s="48" t="str">
        <f t="shared" si="86"/>
        <v>nie</v>
      </c>
      <c r="AD69" s="48">
        <f t="shared" si="87"/>
        <v>33.799999999999272</v>
      </c>
      <c r="AE69" s="48">
        <f t="shared" si="88"/>
        <v>10400</v>
      </c>
      <c r="AF69" s="48">
        <f t="shared" si="89"/>
        <v>0</v>
      </c>
      <c r="AG69" s="59">
        <f t="shared" si="90"/>
        <v>1.4999999999999999E-2</v>
      </c>
      <c r="AH69" s="48">
        <f t="shared" si="91"/>
        <v>1137.4459586643306</v>
      </c>
      <c r="AI69" s="48">
        <f t="shared" si="92"/>
        <v>11537.445958664332</v>
      </c>
      <c r="AJ69" s="24"/>
      <c r="AK69" s="56">
        <f t="shared" si="118"/>
        <v>100</v>
      </c>
      <c r="AL69" s="48">
        <f t="shared" si="119"/>
        <v>10000</v>
      </c>
      <c r="AM69" s="48">
        <f t="shared" si="56"/>
        <v>10000</v>
      </c>
      <c r="AN69" s="48">
        <f t="shared" si="120"/>
        <v>12112.63272</v>
      </c>
      <c r="AO69" s="59">
        <f t="shared" si="93"/>
        <v>6.0000000000000005E-2</v>
      </c>
      <c r="AP69" s="48">
        <f t="shared" si="94"/>
        <v>12294.322210799999</v>
      </c>
      <c r="AQ69" s="48" t="str">
        <f t="shared" si="95"/>
        <v>nie</v>
      </c>
      <c r="AR69" s="48">
        <f t="shared" si="96"/>
        <v>200</v>
      </c>
      <c r="AS69" s="48">
        <f t="shared" si="97"/>
        <v>11696.400990747999</v>
      </c>
      <c r="AT69" s="48">
        <f t="shared" si="28"/>
        <v>0</v>
      </c>
      <c r="AU69" s="59">
        <f t="shared" si="98"/>
        <v>1.4999999999999999E-2</v>
      </c>
      <c r="AV69" s="48">
        <f t="shared" si="99"/>
        <v>0</v>
      </c>
      <c r="AW69" s="48">
        <f t="shared" si="100"/>
        <v>11696.400990747999</v>
      </c>
      <c r="AY69" s="56">
        <f t="shared" si="63"/>
        <v>100</v>
      </c>
      <c r="AZ69" s="48">
        <f t="shared" si="64"/>
        <v>10000</v>
      </c>
      <c r="BA69" s="48">
        <f t="shared" si="58"/>
        <v>10000</v>
      </c>
      <c r="BB69" s="48">
        <f t="shared" si="121"/>
        <v>12174.548339843748</v>
      </c>
      <c r="BC69" s="59">
        <f t="shared" si="101"/>
        <v>6.25E-2</v>
      </c>
      <c r="BD69" s="48">
        <f t="shared" si="102"/>
        <v>12364.775657653807</v>
      </c>
      <c r="BE69" s="48" t="str">
        <f t="shared" si="103"/>
        <v>nie</v>
      </c>
      <c r="BF69" s="48">
        <f t="shared" si="104"/>
        <v>70</v>
      </c>
      <c r="BG69" s="48">
        <f t="shared" si="105"/>
        <v>11858.768282699584</v>
      </c>
      <c r="BH69" s="48">
        <f t="shared" si="37"/>
        <v>0</v>
      </c>
      <c r="BI69" s="59">
        <f t="shared" si="106"/>
        <v>1.4999999999999999E-2</v>
      </c>
      <c r="BJ69" s="48">
        <f t="shared" si="107"/>
        <v>0</v>
      </c>
      <c r="BK69" s="48">
        <f t="shared" si="108"/>
        <v>11858.768282699584</v>
      </c>
      <c r="BL69" s="24"/>
      <c r="BM69" s="56">
        <f t="shared" si="65"/>
        <v>100</v>
      </c>
      <c r="BN69" s="48">
        <f t="shared" si="66"/>
        <v>10000</v>
      </c>
      <c r="BO69" s="48">
        <f t="shared" si="60"/>
        <v>10000</v>
      </c>
      <c r="BP69" s="48">
        <f t="shared" si="122"/>
        <v>12321.086174999999</v>
      </c>
      <c r="BQ69" s="59">
        <f t="shared" si="109"/>
        <v>6.5000000000000002E-2</v>
      </c>
      <c r="BR69" s="48">
        <f t="shared" si="110"/>
        <v>12521.30382534375</v>
      </c>
      <c r="BS69" s="48" t="str">
        <f t="shared" si="111"/>
        <v>nie</v>
      </c>
      <c r="BT69" s="48">
        <f t="shared" si="112"/>
        <v>200</v>
      </c>
      <c r="BU69" s="48">
        <f t="shared" si="45"/>
        <v>11880.256098528438</v>
      </c>
      <c r="BV69" s="48">
        <f t="shared" si="46"/>
        <v>0</v>
      </c>
      <c r="BW69" s="59">
        <f t="shared" si="113"/>
        <v>1.4999999999999999E-2</v>
      </c>
      <c r="BX69" s="48">
        <f t="shared" si="114"/>
        <v>0</v>
      </c>
      <c r="BY69" s="48">
        <f t="shared" si="115"/>
        <v>11880.256098528438</v>
      </c>
    </row>
    <row r="70" spans="1:77" s="25" customFormat="1" ht="14">
      <c r="A70" s="24"/>
      <c r="B70" s="173"/>
      <c r="C70" s="66">
        <f t="shared" si="130"/>
        <v>36</v>
      </c>
      <c r="D70" s="48">
        <f t="shared" si="131"/>
        <v>10988.379288200453</v>
      </c>
      <c r="E70" s="48">
        <f t="shared" si="132"/>
        <v>10993.879719999999</v>
      </c>
      <c r="F70" s="48">
        <f t="shared" si="133"/>
        <v>11124.602734374999</v>
      </c>
      <c r="G70" s="49">
        <f t="shared" si="134"/>
        <v>11108.96695</v>
      </c>
      <c r="H70" s="49">
        <f t="shared" si="135"/>
        <v>10371.033218575163</v>
      </c>
      <c r="I70" s="48">
        <f t="shared" si="136"/>
        <v>11576.250000000002</v>
      </c>
      <c r="J70" s="24"/>
      <c r="K70" s="84"/>
      <c r="L70" s="64">
        <f t="shared" si="137"/>
        <v>36</v>
      </c>
      <c r="M70" s="51">
        <f t="shared" si="124"/>
        <v>9.8837928820045162E-2</v>
      </c>
      <c r="N70" s="51">
        <f t="shared" si="125"/>
        <v>9.9387971999999936E-2</v>
      </c>
      <c r="O70" s="51">
        <f t="shared" si="126"/>
        <v>0.11246027343749998</v>
      </c>
      <c r="P70" s="51">
        <f t="shared" si="127"/>
        <v>0.1108966950000001</v>
      </c>
      <c r="Q70" s="51">
        <f t="shared" si="128"/>
        <v>3.7103321857516303E-2</v>
      </c>
      <c r="R70" s="51">
        <f t="shared" si="129"/>
        <v>0.15762500000000013</v>
      </c>
      <c r="S70" s="24"/>
      <c r="T70" s="45">
        <f t="shared" si="50"/>
        <v>52</v>
      </c>
      <c r="U70" s="59">
        <f t="shared" si="123"/>
        <v>0.05</v>
      </c>
      <c r="V70" s="48">
        <f t="shared" si="83"/>
        <v>12357.646875</v>
      </c>
      <c r="W70" s="56">
        <f t="shared" si="116"/>
        <v>104</v>
      </c>
      <c r="X70" s="48">
        <f t="shared" si="117"/>
        <v>10389.6</v>
      </c>
      <c r="Y70" s="48">
        <f t="shared" si="62"/>
        <v>10400</v>
      </c>
      <c r="Z70" s="48">
        <f t="shared" si="53"/>
        <v>10400</v>
      </c>
      <c r="AA70" s="59">
        <f t="shared" si="84"/>
        <v>1.2999999999999999E-2</v>
      </c>
      <c r="AB70" s="48">
        <f t="shared" si="85"/>
        <v>10445.066666666666</v>
      </c>
      <c r="AC70" s="48" t="str">
        <f t="shared" si="86"/>
        <v>nie</v>
      </c>
      <c r="AD70" s="48">
        <f t="shared" si="87"/>
        <v>45.066666666665697</v>
      </c>
      <c r="AE70" s="48">
        <f t="shared" si="88"/>
        <v>10400</v>
      </c>
      <c r="AF70" s="48">
        <f t="shared" si="89"/>
        <v>0</v>
      </c>
      <c r="AG70" s="59">
        <f t="shared" si="90"/>
        <v>1.4999999999999999E-2</v>
      </c>
      <c r="AH70" s="48">
        <f t="shared" si="91"/>
        <v>1138.5976226974783</v>
      </c>
      <c r="AI70" s="48">
        <f t="shared" si="92"/>
        <v>11538.597622697478</v>
      </c>
      <c r="AJ70" s="24"/>
      <c r="AK70" s="56">
        <f t="shared" si="118"/>
        <v>100</v>
      </c>
      <c r="AL70" s="48">
        <f t="shared" si="119"/>
        <v>10000</v>
      </c>
      <c r="AM70" s="48">
        <f t="shared" si="56"/>
        <v>10000</v>
      </c>
      <c r="AN70" s="48">
        <f t="shared" si="120"/>
        <v>12112.63272</v>
      </c>
      <c r="AO70" s="59">
        <f t="shared" si="93"/>
        <v>6.0000000000000005E-2</v>
      </c>
      <c r="AP70" s="48">
        <f t="shared" si="94"/>
        <v>12354.885374399999</v>
      </c>
      <c r="AQ70" s="48" t="str">
        <f t="shared" si="95"/>
        <v>nie</v>
      </c>
      <c r="AR70" s="48">
        <f t="shared" si="96"/>
        <v>200</v>
      </c>
      <c r="AS70" s="48">
        <f t="shared" si="97"/>
        <v>11745.457153263998</v>
      </c>
      <c r="AT70" s="48">
        <f t="shared" si="28"/>
        <v>0</v>
      </c>
      <c r="AU70" s="59">
        <f t="shared" si="98"/>
        <v>1.4999999999999999E-2</v>
      </c>
      <c r="AV70" s="48">
        <f t="shared" si="99"/>
        <v>0</v>
      </c>
      <c r="AW70" s="48">
        <f t="shared" si="100"/>
        <v>11745.457153263998</v>
      </c>
      <c r="AY70" s="56">
        <f t="shared" si="63"/>
        <v>100</v>
      </c>
      <c r="AZ70" s="48">
        <f t="shared" si="64"/>
        <v>10000</v>
      </c>
      <c r="BA70" s="48">
        <f t="shared" si="58"/>
        <v>10000</v>
      </c>
      <c r="BB70" s="48">
        <f t="shared" si="121"/>
        <v>12174.548339843748</v>
      </c>
      <c r="BC70" s="59">
        <f t="shared" si="101"/>
        <v>6.25E-2</v>
      </c>
      <c r="BD70" s="48">
        <f t="shared" si="102"/>
        <v>12428.184763590492</v>
      </c>
      <c r="BE70" s="48" t="str">
        <f t="shared" si="103"/>
        <v>nie</v>
      </c>
      <c r="BF70" s="48">
        <f t="shared" si="104"/>
        <v>70</v>
      </c>
      <c r="BG70" s="48">
        <f t="shared" si="105"/>
        <v>11910.129658508298</v>
      </c>
      <c r="BH70" s="48">
        <f t="shared" si="37"/>
        <v>0</v>
      </c>
      <c r="BI70" s="59">
        <f t="shared" si="106"/>
        <v>1.4999999999999999E-2</v>
      </c>
      <c r="BJ70" s="48">
        <f t="shared" si="107"/>
        <v>0</v>
      </c>
      <c r="BK70" s="48">
        <f t="shared" si="108"/>
        <v>11910.129658508298</v>
      </c>
      <c r="BL70" s="24"/>
      <c r="BM70" s="56">
        <f t="shared" si="65"/>
        <v>100</v>
      </c>
      <c r="BN70" s="48">
        <f t="shared" si="66"/>
        <v>10000</v>
      </c>
      <c r="BO70" s="48">
        <f t="shared" si="60"/>
        <v>10000</v>
      </c>
      <c r="BP70" s="48">
        <f t="shared" si="122"/>
        <v>12321.086174999999</v>
      </c>
      <c r="BQ70" s="59">
        <f t="shared" si="109"/>
        <v>6.5000000000000002E-2</v>
      </c>
      <c r="BR70" s="48">
        <f t="shared" si="110"/>
        <v>12588.043042124998</v>
      </c>
      <c r="BS70" s="48" t="str">
        <f t="shared" si="111"/>
        <v>nie</v>
      </c>
      <c r="BT70" s="48">
        <f t="shared" si="112"/>
        <v>200</v>
      </c>
      <c r="BU70" s="48">
        <f t="shared" si="45"/>
        <v>11934.314864121248</v>
      </c>
      <c r="BV70" s="48">
        <f t="shared" si="46"/>
        <v>0</v>
      </c>
      <c r="BW70" s="59">
        <f t="shared" si="113"/>
        <v>1.4999999999999999E-2</v>
      </c>
      <c r="BX70" s="48">
        <f t="shared" si="114"/>
        <v>0</v>
      </c>
      <c r="BY70" s="48">
        <f t="shared" si="115"/>
        <v>11934.314864121248</v>
      </c>
    </row>
    <row r="71" spans="1:77" s="25" customFormat="1" ht="14">
      <c r="A71" s="24"/>
      <c r="B71" s="171">
        <f>ROUNDUP(C82/12,0)</f>
        <v>4</v>
      </c>
      <c r="C71" s="66">
        <f t="shared" si="130"/>
        <v>37</v>
      </c>
      <c r="D71" s="48">
        <f t="shared" si="131"/>
        <v>11028.249930979757</v>
      </c>
      <c r="E71" s="48">
        <f t="shared" si="132"/>
        <v>11040.159118599999</v>
      </c>
      <c r="F71" s="48">
        <f t="shared" si="133"/>
        <v>11172.942852783201</v>
      </c>
      <c r="G71" s="49">
        <f t="shared" si="134"/>
        <v>11159.726354312499</v>
      </c>
      <c r="H71" s="49">
        <f t="shared" si="135"/>
        <v>10381.533889708971</v>
      </c>
      <c r="I71" s="48">
        <f t="shared" si="136"/>
        <v>11624.484375000002</v>
      </c>
      <c r="J71" s="24"/>
      <c r="K71" s="84"/>
      <c r="L71" s="64">
        <f t="shared" si="137"/>
        <v>37</v>
      </c>
      <c r="M71" s="51">
        <f t="shared" si="124"/>
        <v>0.10282499309797566</v>
      </c>
      <c r="N71" s="51">
        <f t="shared" si="125"/>
        <v>0.10401591185999992</v>
      </c>
      <c r="O71" s="51">
        <f t="shared" si="126"/>
        <v>0.11729428527832009</v>
      </c>
      <c r="P71" s="51">
        <f t="shared" si="127"/>
        <v>0.1159726354312498</v>
      </c>
      <c r="Q71" s="51">
        <f t="shared" si="128"/>
        <v>3.8153388970897151E-2</v>
      </c>
      <c r="R71" s="51">
        <f t="shared" si="129"/>
        <v>0.16244843750000015</v>
      </c>
      <c r="S71" s="24"/>
      <c r="T71" s="45">
        <f t="shared" si="50"/>
        <v>53</v>
      </c>
      <c r="U71" s="59">
        <f t="shared" si="123"/>
        <v>0.05</v>
      </c>
      <c r="V71" s="48">
        <f t="shared" si="83"/>
        <v>12408.292968750002</v>
      </c>
      <c r="W71" s="56">
        <f t="shared" si="116"/>
        <v>104</v>
      </c>
      <c r="X71" s="48">
        <f t="shared" si="117"/>
        <v>10389.6</v>
      </c>
      <c r="Y71" s="48">
        <f t="shared" si="62"/>
        <v>10400</v>
      </c>
      <c r="Z71" s="48">
        <f t="shared" si="53"/>
        <v>10400</v>
      </c>
      <c r="AA71" s="59">
        <f t="shared" si="84"/>
        <v>1.2999999999999999E-2</v>
      </c>
      <c r="AB71" s="48">
        <f t="shared" si="85"/>
        <v>10456.333333333332</v>
      </c>
      <c r="AC71" s="48" t="str">
        <f t="shared" si="86"/>
        <v>nie</v>
      </c>
      <c r="AD71" s="48">
        <f t="shared" si="87"/>
        <v>56.333333333332121</v>
      </c>
      <c r="AE71" s="48">
        <f t="shared" si="88"/>
        <v>10400</v>
      </c>
      <c r="AF71" s="48">
        <f t="shared" si="89"/>
        <v>0</v>
      </c>
      <c r="AG71" s="59">
        <f t="shared" si="90"/>
        <v>1.4999999999999999E-2</v>
      </c>
      <c r="AH71" s="48">
        <f t="shared" si="91"/>
        <v>1139.7504527904596</v>
      </c>
      <c r="AI71" s="48">
        <f t="shared" si="92"/>
        <v>11539.75045279046</v>
      </c>
      <c r="AJ71" s="24"/>
      <c r="AK71" s="56">
        <f t="shared" si="118"/>
        <v>100</v>
      </c>
      <c r="AL71" s="48">
        <f t="shared" si="119"/>
        <v>10000</v>
      </c>
      <c r="AM71" s="48">
        <f t="shared" si="56"/>
        <v>10000</v>
      </c>
      <c r="AN71" s="48">
        <f t="shared" si="120"/>
        <v>12112.63272</v>
      </c>
      <c r="AO71" s="59">
        <f t="shared" si="93"/>
        <v>6.0000000000000005E-2</v>
      </c>
      <c r="AP71" s="48">
        <f t="shared" si="94"/>
        <v>12415.448537999999</v>
      </c>
      <c r="AQ71" s="48" t="str">
        <f t="shared" si="95"/>
        <v>nie</v>
      </c>
      <c r="AR71" s="48">
        <f t="shared" si="96"/>
        <v>200</v>
      </c>
      <c r="AS71" s="48">
        <f t="shared" si="97"/>
        <v>11794.513315779999</v>
      </c>
      <c r="AT71" s="48">
        <f t="shared" si="28"/>
        <v>0</v>
      </c>
      <c r="AU71" s="59">
        <f t="shared" si="98"/>
        <v>1.4999999999999999E-2</v>
      </c>
      <c r="AV71" s="48">
        <f t="shared" si="99"/>
        <v>0</v>
      </c>
      <c r="AW71" s="48">
        <f t="shared" si="100"/>
        <v>11794.513315779999</v>
      </c>
      <c r="AY71" s="56">
        <f t="shared" si="63"/>
        <v>100</v>
      </c>
      <c r="AZ71" s="48">
        <f t="shared" si="64"/>
        <v>10000</v>
      </c>
      <c r="BA71" s="48">
        <f t="shared" si="58"/>
        <v>10000</v>
      </c>
      <c r="BB71" s="48">
        <f t="shared" si="121"/>
        <v>12174.548339843748</v>
      </c>
      <c r="BC71" s="59">
        <f t="shared" si="101"/>
        <v>6.25E-2</v>
      </c>
      <c r="BD71" s="48">
        <f t="shared" si="102"/>
        <v>12491.59386952718</v>
      </c>
      <c r="BE71" s="48" t="str">
        <f t="shared" si="103"/>
        <v>nie</v>
      </c>
      <c r="BF71" s="48">
        <f t="shared" si="104"/>
        <v>70</v>
      </c>
      <c r="BG71" s="48">
        <f t="shared" si="105"/>
        <v>11961.491034317016</v>
      </c>
      <c r="BH71" s="48">
        <f t="shared" si="37"/>
        <v>0</v>
      </c>
      <c r="BI71" s="59">
        <f t="shared" si="106"/>
        <v>1.4999999999999999E-2</v>
      </c>
      <c r="BJ71" s="48">
        <f t="shared" si="107"/>
        <v>0</v>
      </c>
      <c r="BK71" s="48">
        <f t="shared" si="108"/>
        <v>11961.491034317016</v>
      </c>
      <c r="BL71" s="24"/>
      <c r="BM71" s="56">
        <f t="shared" si="65"/>
        <v>100</v>
      </c>
      <c r="BN71" s="48">
        <f t="shared" si="66"/>
        <v>10000</v>
      </c>
      <c r="BO71" s="48">
        <f t="shared" si="60"/>
        <v>10000</v>
      </c>
      <c r="BP71" s="48">
        <f t="shared" si="122"/>
        <v>12321.086174999999</v>
      </c>
      <c r="BQ71" s="59">
        <f t="shared" si="109"/>
        <v>6.5000000000000002E-2</v>
      </c>
      <c r="BR71" s="48">
        <f t="shared" si="110"/>
        <v>12654.782258906249</v>
      </c>
      <c r="BS71" s="48" t="str">
        <f t="shared" si="111"/>
        <v>nie</v>
      </c>
      <c r="BT71" s="48">
        <f t="shared" si="112"/>
        <v>200</v>
      </c>
      <c r="BU71" s="48">
        <f t="shared" si="45"/>
        <v>11988.373629714062</v>
      </c>
      <c r="BV71" s="48">
        <f t="shared" si="46"/>
        <v>0</v>
      </c>
      <c r="BW71" s="59">
        <f t="shared" si="113"/>
        <v>1.4999999999999999E-2</v>
      </c>
      <c r="BX71" s="48">
        <f t="shared" si="114"/>
        <v>0</v>
      </c>
      <c r="BY71" s="48">
        <f t="shared" si="115"/>
        <v>11988.373629714062</v>
      </c>
    </row>
    <row r="72" spans="1:77" s="25" customFormat="1" ht="14">
      <c r="A72" s="24"/>
      <c r="B72" s="172"/>
      <c r="C72" s="66">
        <f t="shared" si="130"/>
        <v>38</v>
      </c>
      <c r="D72" s="48">
        <f t="shared" si="131"/>
        <v>11068.121645128622</v>
      </c>
      <c r="E72" s="48">
        <f t="shared" si="132"/>
        <v>11086.438517199998</v>
      </c>
      <c r="F72" s="48">
        <f t="shared" si="133"/>
        <v>11221.282971191406</v>
      </c>
      <c r="G72" s="49">
        <f t="shared" si="134"/>
        <v>11210.485758624998</v>
      </c>
      <c r="H72" s="49">
        <f t="shared" si="135"/>
        <v>10392.045192772302</v>
      </c>
      <c r="I72" s="48">
        <f t="shared" si="136"/>
        <v>11672.718750000002</v>
      </c>
      <c r="J72" s="24"/>
      <c r="K72" s="84"/>
      <c r="L72" s="64">
        <f t="shared" si="137"/>
        <v>38</v>
      </c>
      <c r="M72" s="51">
        <f t="shared" si="124"/>
        <v>0.10681216451286213</v>
      </c>
      <c r="N72" s="51">
        <f t="shared" si="125"/>
        <v>0.10864385171999991</v>
      </c>
      <c r="O72" s="51">
        <f t="shared" si="126"/>
        <v>0.12212829711914064</v>
      </c>
      <c r="P72" s="51">
        <f t="shared" si="127"/>
        <v>0.12104857586249973</v>
      </c>
      <c r="Q72" s="51">
        <f t="shared" si="128"/>
        <v>3.9204519277230343E-2</v>
      </c>
      <c r="R72" s="51">
        <f t="shared" si="129"/>
        <v>0.16727187500000018</v>
      </c>
      <c r="S72" s="24"/>
      <c r="T72" s="45">
        <f t="shared" si="50"/>
        <v>54</v>
      </c>
      <c r="U72" s="59">
        <f t="shared" si="123"/>
        <v>0.05</v>
      </c>
      <c r="V72" s="48">
        <f t="shared" si="83"/>
        <v>12458.939062500001</v>
      </c>
      <c r="W72" s="56">
        <f t="shared" si="116"/>
        <v>104</v>
      </c>
      <c r="X72" s="48">
        <f t="shared" si="117"/>
        <v>10389.6</v>
      </c>
      <c r="Y72" s="48">
        <f t="shared" si="62"/>
        <v>10400</v>
      </c>
      <c r="Z72" s="48">
        <f t="shared" si="53"/>
        <v>10400</v>
      </c>
      <c r="AA72" s="59">
        <f t="shared" si="84"/>
        <v>1.2999999999999999E-2</v>
      </c>
      <c r="AB72" s="48">
        <f t="shared" si="85"/>
        <v>10467.6</v>
      </c>
      <c r="AC72" s="48" t="str">
        <f t="shared" si="86"/>
        <v>nie</v>
      </c>
      <c r="AD72" s="48">
        <f t="shared" si="87"/>
        <v>67.600000000000364</v>
      </c>
      <c r="AE72" s="48">
        <f t="shared" si="88"/>
        <v>10400</v>
      </c>
      <c r="AF72" s="48">
        <f t="shared" si="89"/>
        <v>0</v>
      </c>
      <c r="AG72" s="59">
        <f t="shared" si="90"/>
        <v>1.4999999999999999E-2</v>
      </c>
      <c r="AH72" s="48">
        <f t="shared" si="91"/>
        <v>1140.90445012391</v>
      </c>
      <c r="AI72" s="48">
        <f t="shared" si="92"/>
        <v>11540.90445012391</v>
      </c>
      <c r="AJ72" s="24"/>
      <c r="AK72" s="56">
        <f t="shared" si="118"/>
        <v>100</v>
      </c>
      <c r="AL72" s="48">
        <f t="shared" si="119"/>
        <v>10000</v>
      </c>
      <c r="AM72" s="48">
        <f t="shared" si="56"/>
        <v>10000</v>
      </c>
      <c r="AN72" s="48">
        <f t="shared" si="120"/>
        <v>12112.63272</v>
      </c>
      <c r="AO72" s="59">
        <f t="shared" si="93"/>
        <v>6.0000000000000005E-2</v>
      </c>
      <c r="AP72" s="48">
        <f t="shared" si="94"/>
        <v>12476.0117016</v>
      </c>
      <c r="AQ72" s="48" t="str">
        <f t="shared" si="95"/>
        <v>nie</v>
      </c>
      <c r="AR72" s="48">
        <f t="shared" si="96"/>
        <v>200</v>
      </c>
      <c r="AS72" s="48">
        <f t="shared" si="97"/>
        <v>11843.569478296</v>
      </c>
      <c r="AT72" s="48">
        <f t="shared" si="28"/>
        <v>0</v>
      </c>
      <c r="AU72" s="59">
        <f t="shared" si="98"/>
        <v>1.4999999999999999E-2</v>
      </c>
      <c r="AV72" s="48">
        <f t="shared" si="99"/>
        <v>0</v>
      </c>
      <c r="AW72" s="48">
        <f t="shared" si="100"/>
        <v>11843.569478296</v>
      </c>
      <c r="AY72" s="56">
        <f t="shared" si="63"/>
        <v>100</v>
      </c>
      <c r="AZ72" s="48">
        <f t="shared" si="64"/>
        <v>10000</v>
      </c>
      <c r="BA72" s="48">
        <f t="shared" si="58"/>
        <v>10000</v>
      </c>
      <c r="BB72" s="48">
        <f t="shared" si="121"/>
        <v>12174.548339843748</v>
      </c>
      <c r="BC72" s="59">
        <f t="shared" si="101"/>
        <v>6.25E-2</v>
      </c>
      <c r="BD72" s="48">
        <f t="shared" si="102"/>
        <v>12555.002975463865</v>
      </c>
      <c r="BE72" s="48" t="str">
        <f t="shared" si="103"/>
        <v>nie</v>
      </c>
      <c r="BF72" s="48">
        <f t="shared" si="104"/>
        <v>70</v>
      </c>
      <c r="BG72" s="48">
        <f t="shared" si="105"/>
        <v>12012.852410125732</v>
      </c>
      <c r="BH72" s="48">
        <f t="shared" si="37"/>
        <v>0</v>
      </c>
      <c r="BI72" s="59">
        <f t="shared" si="106"/>
        <v>1.4999999999999999E-2</v>
      </c>
      <c r="BJ72" s="48">
        <f t="shared" si="107"/>
        <v>0</v>
      </c>
      <c r="BK72" s="48">
        <f t="shared" si="108"/>
        <v>12012.852410125732</v>
      </c>
      <c r="BL72" s="24"/>
      <c r="BM72" s="56">
        <f t="shared" si="65"/>
        <v>100</v>
      </c>
      <c r="BN72" s="48">
        <f t="shared" si="66"/>
        <v>10000</v>
      </c>
      <c r="BO72" s="48">
        <f t="shared" si="60"/>
        <v>10000</v>
      </c>
      <c r="BP72" s="48">
        <f t="shared" si="122"/>
        <v>12321.086174999999</v>
      </c>
      <c r="BQ72" s="59">
        <f t="shared" si="109"/>
        <v>6.5000000000000002E-2</v>
      </c>
      <c r="BR72" s="48">
        <f t="shared" si="110"/>
        <v>12721.521475687498</v>
      </c>
      <c r="BS72" s="48" t="str">
        <f t="shared" si="111"/>
        <v>nie</v>
      </c>
      <c r="BT72" s="48">
        <f t="shared" si="112"/>
        <v>200</v>
      </c>
      <c r="BU72" s="48">
        <f t="shared" si="45"/>
        <v>12042.432395306872</v>
      </c>
      <c r="BV72" s="48">
        <f t="shared" si="46"/>
        <v>0</v>
      </c>
      <c r="BW72" s="59">
        <f t="shared" si="113"/>
        <v>1.4999999999999999E-2</v>
      </c>
      <c r="BX72" s="48">
        <f t="shared" si="114"/>
        <v>0</v>
      </c>
      <c r="BY72" s="48">
        <f t="shared" si="115"/>
        <v>12042.432395306872</v>
      </c>
    </row>
    <row r="73" spans="1:77" s="25" customFormat="1" ht="14">
      <c r="A73" s="24"/>
      <c r="B73" s="172"/>
      <c r="C73" s="66">
        <f t="shared" si="130"/>
        <v>39</v>
      </c>
      <c r="D73" s="48">
        <f t="shared" si="131"/>
        <v>11107.994431731815</v>
      </c>
      <c r="E73" s="48">
        <f t="shared" si="132"/>
        <v>11132.717915799998</v>
      </c>
      <c r="F73" s="48">
        <f t="shared" si="133"/>
        <v>11269.623089599609</v>
      </c>
      <c r="G73" s="49">
        <f t="shared" si="134"/>
        <v>11261.245162937499</v>
      </c>
      <c r="H73" s="49">
        <f t="shared" si="135"/>
        <v>10402.567138529985</v>
      </c>
      <c r="I73" s="48">
        <f t="shared" si="136"/>
        <v>11720.953125000002</v>
      </c>
      <c r="J73" s="24"/>
      <c r="K73" s="84"/>
      <c r="L73" s="64">
        <f t="shared" si="137"/>
        <v>39</v>
      </c>
      <c r="M73" s="51">
        <f t="shared" si="124"/>
        <v>0.11079944317318158</v>
      </c>
      <c r="N73" s="51">
        <f t="shared" si="125"/>
        <v>0.11327179157999989</v>
      </c>
      <c r="O73" s="51">
        <f t="shared" si="126"/>
        <v>0.12696230895996097</v>
      </c>
      <c r="P73" s="51">
        <f t="shared" si="127"/>
        <v>0.12612451629374988</v>
      </c>
      <c r="Q73" s="51">
        <f t="shared" si="128"/>
        <v>4.025671385299856E-2</v>
      </c>
      <c r="R73" s="51">
        <f t="shared" si="129"/>
        <v>0.17209531250000021</v>
      </c>
      <c r="S73" s="24"/>
      <c r="T73" s="45">
        <f t="shared" si="50"/>
        <v>55</v>
      </c>
      <c r="U73" s="59">
        <f t="shared" si="123"/>
        <v>0.05</v>
      </c>
      <c r="V73" s="48">
        <f t="shared" si="83"/>
        <v>12509.585156250001</v>
      </c>
      <c r="W73" s="56">
        <f t="shared" si="116"/>
        <v>104</v>
      </c>
      <c r="X73" s="48">
        <f t="shared" si="117"/>
        <v>10389.6</v>
      </c>
      <c r="Y73" s="48">
        <f t="shared" si="62"/>
        <v>10400</v>
      </c>
      <c r="Z73" s="48">
        <f t="shared" si="53"/>
        <v>10400</v>
      </c>
      <c r="AA73" s="59">
        <f t="shared" si="84"/>
        <v>1.2999999999999999E-2</v>
      </c>
      <c r="AB73" s="48">
        <f t="shared" si="85"/>
        <v>10478.866666666667</v>
      </c>
      <c r="AC73" s="48" t="str">
        <f t="shared" si="86"/>
        <v>nie</v>
      </c>
      <c r="AD73" s="48">
        <f t="shared" si="87"/>
        <v>72.8</v>
      </c>
      <c r="AE73" s="48">
        <f t="shared" si="88"/>
        <v>10404.914000000001</v>
      </c>
      <c r="AF73" s="48">
        <f t="shared" si="89"/>
        <v>0</v>
      </c>
      <c r="AG73" s="59">
        <f t="shared" si="90"/>
        <v>1.4999999999999999E-2</v>
      </c>
      <c r="AH73" s="48">
        <f t="shared" si="91"/>
        <v>1142.0596158796607</v>
      </c>
      <c r="AI73" s="48">
        <f t="shared" si="92"/>
        <v>11546.973615879662</v>
      </c>
      <c r="AJ73" s="24"/>
      <c r="AK73" s="56">
        <f t="shared" si="118"/>
        <v>100</v>
      </c>
      <c r="AL73" s="48">
        <f t="shared" si="119"/>
        <v>10000</v>
      </c>
      <c r="AM73" s="48">
        <f t="shared" si="56"/>
        <v>10000</v>
      </c>
      <c r="AN73" s="48">
        <f t="shared" si="120"/>
        <v>12112.63272</v>
      </c>
      <c r="AO73" s="59">
        <f t="shared" si="93"/>
        <v>6.0000000000000005E-2</v>
      </c>
      <c r="AP73" s="48">
        <f t="shared" si="94"/>
        <v>12536.574865199998</v>
      </c>
      <c r="AQ73" s="48" t="str">
        <f t="shared" si="95"/>
        <v>nie</v>
      </c>
      <c r="AR73" s="48">
        <f t="shared" si="96"/>
        <v>200</v>
      </c>
      <c r="AS73" s="48">
        <f t="shared" si="97"/>
        <v>11892.625640811999</v>
      </c>
      <c r="AT73" s="48">
        <f t="shared" si="28"/>
        <v>0</v>
      </c>
      <c r="AU73" s="59">
        <f t="shared" si="98"/>
        <v>1.4999999999999999E-2</v>
      </c>
      <c r="AV73" s="48">
        <f t="shared" si="99"/>
        <v>0</v>
      </c>
      <c r="AW73" s="48">
        <f t="shared" si="100"/>
        <v>11892.625640811999</v>
      </c>
      <c r="AY73" s="56">
        <f t="shared" si="63"/>
        <v>100</v>
      </c>
      <c r="AZ73" s="48">
        <f t="shared" si="64"/>
        <v>10000</v>
      </c>
      <c r="BA73" s="48">
        <f t="shared" si="58"/>
        <v>10000</v>
      </c>
      <c r="BB73" s="48">
        <f t="shared" si="121"/>
        <v>12174.548339843748</v>
      </c>
      <c r="BC73" s="59">
        <f t="shared" si="101"/>
        <v>6.25E-2</v>
      </c>
      <c r="BD73" s="48">
        <f t="shared" si="102"/>
        <v>12618.412081400551</v>
      </c>
      <c r="BE73" s="48" t="str">
        <f t="shared" si="103"/>
        <v>nie</v>
      </c>
      <c r="BF73" s="48">
        <f t="shared" si="104"/>
        <v>70</v>
      </c>
      <c r="BG73" s="48">
        <f t="shared" si="105"/>
        <v>12064.213785934446</v>
      </c>
      <c r="BH73" s="48">
        <f t="shared" si="37"/>
        <v>0</v>
      </c>
      <c r="BI73" s="59">
        <f t="shared" si="106"/>
        <v>1.4999999999999999E-2</v>
      </c>
      <c r="BJ73" s="48">
        <f t="shared" si="107"/>
        <v>0</v>
      </c>
      <c r="BK73" s="48">
        <f t="shared" si="108"/>
        <v>12064.213785934446</v>
      </c>
      <c r="BL73" s="24"/>
      <c r="BM73" s="56">
        <f t="shared" si="65"/>
        <v>100</v>
      </c>
      <c r="BN73" s="48">
        <f t="shared" si="66"/>
        <v>10000</v>
      </c>
      <c r="BO73" s="48">
        <f t="shared" si="60"/>
        <v>10000</v>
      </c>
      <c r="BP73" s="48">
        <f t="shared" si="122"/>
        <v>12321.086174999999</v>
      </c>
      <c r="BQ73" s="59">
        <f t="shared" si="109"/>
        <v>6.5000000000000002E-2</v>
      </c>
      <c r="BR73" s="48">
        <f t="shared" si="110"/>
        <v>12788.260692468748</v>
      </c>
      <c r="BS73" s="48" t="str">
        <f t="shared" si="111"/>
        <v>nie</v>
      </c>
      <c r="BT73" s="48">
        <f t="shared" si="112"/>
        <v>200</v>
      </c>
      <c r="BU73" s="48">
        <f t="shared" si="45"/>
        <v>12096.491160899686</v>
      </c>
      <c r="BV73" s="48">
        <f t="shared" si="46"/>
        <v>0</v>
      </c>
      <c r="BW73" s="59">
        <f t="shared" si="113"/>
        <v>1.4999999999999999E-2</v>
      </c>
      <c r="BX73" s="48">
        <f t="shared" si="114"/>
        <v>0</v>
      </c>
      <c r="BY73" s="48">
        <f t="shared" si="115"/>
        <v>12096.491160899686</v>
      </c>
    </row>
    <row r="74" spans="1:77" s="25" customFormat="1" ht="14">
      <c r="A74" s="24"/>
      <c r="B74" s="172"/>
      <c r="C74" s="66">
        <f t="shared" si="130"/>
        <v>40</v>
      </c>
      <c r="D74" s="48">
        <f t="shared" si="131"/>
        <v>11147.868291875195</v>
      </c>
      <c r="E74" s="48">
        <f t="shared" si="132"/>
        <v>11178.9973144</v>
      </c>
      <c r="F74" s="48">
        <f t="shared" si="133"/>
        <v>11317.96320800781</v>
      </c>
      <c r="G74" s="49">
        <f t="shared" si="134"/>
        <v>11312.00456725</v>
      </c>
      <c r="H74" s="49">
        <f t="shared" si="135"/>
        <v>10413.099737757748</v>
      </c>
      <c r="I74" s="48">
        <f t="shared" si="136"/>
        <v>11769.187500000002</v>
      </c>
      <c r="J74" s="24"/>
      <c r="K74" s="84"/>
      <c r="L74" s="64">
        <f t="shared" si="137"/>
        <v>40</v>
      </c>
      <c r="M74" s="51">
        <f t="shared" si="124"/>
        <v>0.11478682918751937</v>
      </c>
      <c r="N74" s="51">
        <f t="shared" si="125"/>
        <v>0.11789973143999988</v>
      </c>
      <c r="O74" s="51">
        <f t="shared" si="126"/>
        <v>0.13179632080078107</v>
      </c>
      <c r="P74" s="51">
        <f t="shared" si="127"/>
        <v>0.13120045672500003</v>
      </c>
      <c r="Q74" s="51">
        <f t="shared" si="128"/>
        <v>4.1309973775774722E-2</v>
      </c>
      <c r="R74" s="51">
        <f t="shared" si="129"/>
        <v>0.17691875000000024</v>
      </c>
      <c r="S74" s="24"/>
      <c r="T74" s="45">
        <f t="shared" si="50"/>
        <v>56</v>
      </c>
      <c r="U74" s="59">
        <f t="shared" si="123"/>
        <v>0.05</v>
      </c>
      <c r="V74" s="48">
        <f t="shared" si="83"/>
        <v>12560.231250000003</v>
      </c>
      <c r="W74" s="56">
        <f t="shared" si="116"/>
        <v>104</v>
      </c>
      <c r="X74" s="48">
        <f t="shared" si="117"/>
        <v>10389.6</v>
      </c>
      <c r="Y74" s="48">
        <f t="shared" si="62"/>
        <v>10400</v>
      </c>
      <c r="Z74" s="48">
        <f t="shared" si="53"/>
        <v>10400</v>
      </c>
      <c r="AA74" s="59">
        <f t="shared" si="84"/>
        <v>1.2999999999999999E-2</v>
      </c>
      <c r="AB74" s="48">
        <f t="shared" si="85"/>
        <v>10490.133333333333</v>
      </c>
      <c r="AC74" s="48" t="str">
        <f t="shared" si="86"/>
        <v>nie</v>
      </c>
      <c r="AD74" s="48">
        <f t="shared" si="87"/>
        <v>72.8</v>
      </c>
      <c r="AE74" s="48">
        <f t="shared" si="88"/>
        <v>10414.040000000001</v>
      </c>
      <c r="AF74" s="48">
        <f t="shared" si="89"/>
        <v>0</v>
      </c>
      <c r="AG74" s="59">
        <f t="shared" si="90"/>
        <v>1.4999999999999999E-2</v>
      </c>
      <c r="AH74" s="48">
        <f t="shared" si="91"/>
        <v>1143.2159512407388</v>
      </c>
      <c r="AI74" s="48">
        <f t="shared" si="92"/>
        <v>11557.255951240739</v>
      </c>
      <c r="AJ74" s="24"/>
      <c r="AK74" s="56">
        <f t="shared" si="118"/>
        <v>100</v>
      </c>
      <c r="AL74" s="48">
        <f t="shared" si="119"/>
        <v>10000</v>
      </c>
      <c r="AM74" s="48">
        <f t="shared" si="56"/>
        <v>10000</v>
      </c>
      <c r="AN74" s="48">
        <f t="shared" si="120"/>
        <v>12112.63272</v>
      </c>
      <c r="AO74" s="59">
        <f t="shared" si="93"/>
        <v>6.0000000000000005E-2</v>
      </c>
      <c r="AP74" s="48">
        <f t="shared" si="94"/>
        <v>12597.1380288</v>
      </c>
      <c r="AQ74" s="48" t="str">
        <f t="shared" si="95"/>
        <v>nie</v>
      </c>
      <c r="AR74" s="48">
        <f t="shared" si="96"/>
        <v>200</v>
      </c>
      <c r="AS74" s="48">
        <f t="shared" si="97"/>
        <v>11941.681803328</v>
      </c>
      <c r="AT74" s="48">
        <f t="shared" si="28"/>
        <v>0</v>
      </c>
      <c r="AU74" s="59">
        <f t="shared" si="98"/>
        <v>1.4999999999999999E-2</v>
      </c>
      <c r="AV74" s="48">
        <f t="shared" si="99"/>
        <v>0</v>
      </c>
      <c r="AW74" s="48">
        <f t="shared" si="100"/>
        <v>11941.681803328</v>
      </c>
      <c r="AY74" s="56">
        <f t="shared" si="63"/>
        <v>100</v>
      </c>
      <c r="AZ74" s="48">
        <f t="shared" si="64"/>
        <v>10000</v>
      </c>
      <c r="BA74" s="48">
        <f t="shared" si="58"/>
        <v>10000</v>
      </c>
      <c r="BB74" s="48">
        <f t="shared" si="121"/>
        <v>12174.548339843748</v>
      </c>
      <c r="BC74" s="59">
        <f t="shared" si="101"/>
        <v>6.25E-2</v>
      </c>
      <c r="BD74" s="48">
        <f t="shared" si="102"/>
        <v>12681.821187337238</v>
      </c>
      <c r="BE74" s="48" t="str">
        <f t="shared" si="103"/>
        <v>nie</v>
      </c>
      <c r="BF74" s="48">
        <f t="shared" si="104"/>
        <v>70</v>
      </c>
      <c r="BG74" s="48">
        <f t="shared" si="105"/>
        <v>12115.575161743163</v>
      </c>
      <c r="BH74" s="48">
        <f t="shared" si="37"/>
        <v>0</v>
      </c>
      <c r="BI74" s="59">
        <f t="shared" si="106"/>
        <v>1.4999999999999999E-2</v>
      </c>
      <c r="BJ74" s="48">
        <f t="shared" si="107"/>
        <v>0</v>
      </c>
      <c r="BK74" s="48">
        <f t="shared" si="108"/>
        <v>12115.575161743163</v>
      </c>
      <c r="BL74" s="24"/>
      <c r="BM74" s="56">
        <f t="shared" si="65"/>
        <v>100</v>
      </c>
      <c r="BN74" s="48">
        <f t="shared" si="66"/>
        <v>10000</v>
      </c>
      <c r="BO74" s="48">
        <f t="shared" si="60"/>
        <v>10000</v>
      </c>
      <c r="BP74" s="48">
        <f t="shared" si="122"/>
        <v>12321.086174999999</v>
      </c>
      <c r="BQ74" s="59">
        <f t="shared" si="109"/>
        <v>6.5000000000000002E-2</v>
      </c>
      <c r="BR74" s="48">
        <f t="shared" si="110"/>
        <v>12854.99990925</v>
      </c>
      <c r="BS74" s="48" t="str">
        <f t="shared" si="111"/>
        <v>nie</v>
      </c>
      <c r="BT74" s="48">
        <f t="shared" si="112"/>
        <v>200</v>
      </c>
      <c r="BU74" s="48">
        <f t="shared" si="45"/>
        <v>12150.5499264925</v>
      </c>
      <c r="BV74" s="48">
        <f t="shared" si="46"/>
        <v>0</v>
      </c>
      <c r="BW74" s="59">
        <f t="shared" si="113"/>
        <v>1.4999999999999999E-2</v>
      </c>
      <c r="BX74" s="48">
        <f t="shared" si="114"/>
        <v>0</v>
      </c>
      <c r="BY74" s="48">
        <f t="shared" si="115"/>
        <v>12150.5499264925</v>
      </c>
    </row>
    <row r="75" spans="1:77" s="25" customFormat="1" ht="14">
      <c r="A75" s="24"/>
      <c r="B75" s="172"/>
      <c r="C75" s="66">
        <f t="shared" si="130"/>
        <v>41</v>
      </c>
      <c r="D75" s="48">
        <f t="shared" si="131"/>
        <v>11187.74322664572</v>
      </c>
      <c r="E75" s="48">
        <f t="shared" si="132"/>
        <v>11225.276712999997</v>
      </c>
      <c r="F75" s="48">
        <f t="shared" si="133"/>
        <v>11366.303326416015</v>
      </c>
      <c r="G75" s="49">
        <f t="shared" si="134"/>
        <v>11362.763971562499</v>
      </c>
      <c r="H75" s="49">
        <f t="shared" si="135"/>
        <v>10423.643001242228</v>
      </c>
      <c r="I75" s="48">
        <f t="shared" si="136"/>
        <v>11817.421875000002</v>
      </c>
      <c r="J75" s="24"/>
      <c r="K75" s="84"/>
      <c r="L75" s="64">
        <f t="shared" si="137"/>
        <v>41</v>
      </c>
      <c r="M75" s="51">
        <f t="shared" si="124"/>
        <v>0.11877432266457189</v>
      </c>
      <c r="N75" s="51">
        <f t="shared" si="125"/>
        <v>0.12252767129999964</v>
      </c>
      <c r="O75" s="51">
        <f t="shared" si="126"/>
        <v>0.1366303326416014</v>
      </c>
      <c r="P75" s="51">
        <f t="shared" si="127"/>
        <v>0.13627639715624995</v>
      </c>
      <c r="Q75" s="51">
        <f t="shared" si="128"/>
        <v>4.2364300124222876E-2</v>
      </c>
      <c r="R75" s="51">
        <f t="shared" si="129"/>
        <v>0.18174218750000026</v>
      </c>
      <c r="S75" s="24"/>
      <c r="T75" s="45">
        <f t="shared" si="50"/>
        <v>57</v>
      </c>
      <c r="U75" s="59">
        <f t="shared" si="123"/>
        <v>0.05</v>
      </c>
      <c r="V75" s="48">
        <f t="shared" si="83"/>
        <v>12610.877343750002</v>
      </c>
      <c r="W75" s="56">
        <f t="shared" si="116"/>
        <v>104</v>
      </c>
      <c r="X75" s="48">
        <f t="shared" si="117"/>
        <v>10389.6</v>
      </c>
      <c r="Y75" s="48">
        <f t="shared" si="62"/>
        <v>10400</v>
      </c>
      <c r="Z75" s="48">
        <f t="shared" si="53"/>
        <v>10400</v>
      </c>
      <c r="AA75" s="59">
        <f t="shared" si="84"/>
        <v>1.2999999999999999E-2</v>
      </c>
      <c r="AB75" s="48">
        <f t="shared" si="85"/>
        <v>10501.4</v>
      </c>
      <c r="AC75" s="48" t="str">
        <f t="shared" si="86"/>
        <v>nie</v>
      </c>
      <c r="AD75" s="48">
        <f t="shared" si="87"/>
        <v>72.8</v>
      </c>
      <c r="AE75" s="48">
        <f t="shared" si="88"/>
        <v>10423.166000000001</v>
      </c>
      <c r="AF75" s="48">
        <f t="shared" si="89"/>
        <v>0</v>
      </c>
      <c r="AG75" s="59">
        <f t="shared" si="90"/>
        <v>1.4999999999999999E-2</v>
      </c>
      <c r="AH75" s="48">
        <f t="shared" si="91"/>
        <v>1144.3734573913703</v>
      </c>
      <c r="AI75" s="48">
        <f t="shared" si="92"/>
        <v>11567.539457391371</v>
      </c>
      <c r="AJ75" s="24"/>
      <c r="AK75" s="56">
        <f t="shared" si="118"/>
        <v>100</v>
      </c>
      <c r="AL75" s="48">
        <f t="shared" si="119"/>
        <v>10000</v>
      </c>
      <c r="AM75" s="48">
        <f t="shared" si="56"/>
        <v>10000</v>
      </c>
      <c r="AN75" s="48">
        <f t="shared" si="120"/>
        <v>12112.63272</v>
      </c>
      <c r="AO75" s="59">
        <f t="shared" si="93"/>
        <v>6.0000000000000005E-2</v>
      </c>
      <c r="AP75" s="48">
        <f t="shared" si="94"/>
        <v>12657.701192399998</v>
      </c>
      <c r="AQ75" s="48" t="str">
        <f t="shared" si="95"/>
        <v>nie</v>
      </c>
      <c r="AR75" s="48">
        <f t="shared" si="96"/>
        <v>200</v>
      </c>
      <c r="AS75" s="48">
        <f t="shared" si="97"/>
        <v>11990.737965843999</v>
      </c>
      <c r="AT75" s="48">
        <f t="shared" si="28"/>
        <v>0</v>
      </c>
      <c r="AU75" s="59">
        <f t="shared" si="98"/>
        <v>1.4999999999999999E-2</v>
      </c>
      <c r="AV75" s="48">
        <f t="shared" si="99"/>
        <v>0</v>
      </c>
      <c r="AW75" s="48">
        <f t="shared" si="100"/>
        <v>11990.737965843999</v>
      </c>
      <c r="AY75" s="56">
        <f t="shared" si="63"/>
        <v>100</v>
      </c>
      <c r="AZ75" s="48">
        <f t="shared" si="64"/>
        <v>10000</v>
      </c>
      <c r="BA75" s="48">
        <f t="shared" si="58"/>
        <v>10000</v>
      </c>
      <c r="BB75" s="48">
        <f t="shared" si="121"/>
        <v>12174.548339843748</v>
      </c>
      <c r="BC75" s="59">
        <f t="shared" si="101"/>
        <v>6.25E-2</v>
      </c>
      <c r="BD75" s="48">
        <f t="shared" si="102"/>
        <v>12745.230293273924</v>
      </c>
      <c r="BE75" s="48" t="str">
        <f t="shared" si="103"/>
        <v>nie</v>
      </c>
      <c r="BF75" s="48">
        <f t="shared" si="104"/>
        <v>70</v>
      </c>
      <c r="BG75" s="48">
        <f t="shared" si="105"/>
        <v>12166.936537551879</v>
      </c>
      <c r="BH75" s="48">
        <f t="shared" si="37"/>
        <v>0</v>
      </c>
      <c r="BI75" s="59">
        <f t="shared" si="106"/>
        <v>1.4999999999999999E-2</v>
      </c>
      <c r="BJ75" s="48">
        <f t="shared" si="107"/>
        <v>0</v>
      </c>
      <c r="BK75" s="48">
        <f t="shared" si="108"/>
        <v>12166.936537551879</v>
      </c>
      <c r="BL75" s="24"/>
      <c r="BM75" s="56">
        <f t="shared" si="65"/>
        <v>100</v>
      </c>
      <c r="BN75" s="48">
        <f t="shared" si="66"/>
        <v>10000</v>
      </c>
      <c r="BO75" s="48">
        <f t="shared" si="60"/>
        <v>10000</v>
      </c>
      <c r="BP75" s="48">
        <f t="shared" si="122"/>
        <v>12321.086174999999</v>
      </c>
      <c r="BQ75" s="59">
        <f t="shared" si="109"/>
        <v>6.5000000000000002E-2</v>
      </c>
      <c r="BR75" s="48">
        <f t="shared" si="110"/>
        <v>12921.739126031249</v>
      </c>
      <c r="BS75" s="48" t="str">
        <f t="shared" si="111"/>
        <v>nie</v>
      </c>
      <c r="BT75" s="48">
        <f t="shared" si="112"/>
        <v>200</v>
      </c>
      <c r="BU75" s="48">
        <f t="shared" si="45"/>
        <v>12204.608692085312</v>
      </c>
      <c r="BV75" s="48">
        <f t="shared" si="46"/>
        <v>0</v>
      </c>
      <c r="BW75" s="59">
        <f t="shared" si="113"/>
        <v>1.4999999999999999E-2</v>
      </c>
      <c r="BX75" s="48">
        <f t="shared" si="114"/>
        <v>0</v>
      </c>
      <c r="BY75" s="48">
        <f t="shared" si="115"/>
        <v>12204.608692085312</v>
      </c>
    </row>
    <row r="76" spans="1:77" s="25" customFormat="1" ht="14">
      <c r="A76" s="24"/>
      <c r="B76" s="172"/>
      <c r="C76" s="66">
        <f t="shared" si="130"/>
        <v>42</v>
      </c>
      <c r="D76" s="48">
        <f t="shared" si="131"/>
        <v>11227.619237131446</v>
      </c>
      <c r="E76" s="48">
        <f t="shared" si="132"/>
        <v>11271.556111599999</v>
      </c>
      <c r="F76" s="48">
        <f t="shared" si="133"/>
        <v>11414.643444824218</v>
      </c>
      <c r="G76" s="49">
        <f t="shared" si="134"/>
        <v>11413.523375875</v>
      </c>
      <c r="H76" s="49">
        <f t="shared" si="135"/>
        <v>10434.196939780986</v>
      </c>
      <c r="I76" s="48">
        <f t="shared" si="136"/>
        <v>11865.65625</v>
      </c>
      <c r="J76" s="24"/>
      <c r="K76" s="84"/>
      <c r="L76" s="64">
        <f t="shared" si="137"/>
        <v>42</v>
      </c>
      <c r="M76" s="51">
        <f t="shared" si="124"/>
        <v>0.12276192371314454</v>
      </c>
      <c r="N76" s="51">
        <f t="shared" si="125"/>
        <v>0.12715561115999985</v>
      </c>
      <c r="O76" s="51">
        <f t="shared" si="126"/>
        <v>0.14146434448242173</v>
      </c>
      <c r="P76" s="51">
        <f t="shared" si="127"/>
        <v>0.1413523375875001</v>
      </c>
      <c r="Q76" s="51">
        <f t="shared" si="128"/>
        <v>4.3419693978098639E-2</v>
      </c>
      <c r="R76" s="51">
        <f t="shared" si="129"/>
        <v>0.18656562500000007</v>
      </c>
      <c r="S76" s="24"/>
      <c r="T76" s="45">
        <f t="shared" si="50"/>
        <v>58</v>
      </c>
      <c r="U76" s="59">
        <f t="shared" si="123"/>
        <v>0.05</v>
      </c>
      <c r="V76" s="48">
        <f t="shared" si="83"/>
        <v>12661.523437500004</v>
      </c>
      <c r="W76" s="56">
        <f t="shared" si="116"/>
        <v>104</v>
      </c>
      <c r="X76" s="48">
        <f t="shared" si="117"/>
        <v>10389.6</v>
      </c>
      <c r="Y76" s="48">
        <f t="shared" si="62"/>
        <v>10400</v>
      </c>
      <c r="Z76" s="48">
        <f t="shared" si="53"/>
        <v>10400</v>
      </c>
      <c r="AA76" s="59">
        <f t="shared" si="84"/>
        <v>1.2999999999999999E-2</v>
      </c>
      <c r="AB76" s="48">
        <f t="shared" si="85"/>
        <v>10512.666666666666</v>
      </c>
      <c r="AC76" s="48" t="str">
        <f t="shared" si="86"/>
        <v>nie</v>
      </c>
      <c r="AD76" s="48">
        <f t="shared" si="87"/>
        <v>72.8</v>
      </c>
      <c r="AE76" s="48">
        <f t="shared" si="88"/>
        <v>10432.291999999999</v>
      </c>
      <c r="AF76" s="48">
        <f t="shared" si="89"/>
        <v>0</v>
      </c>
      <c r="AG76" s="59">
        <f t="shared" si="90"/>
        <v>1.4999999999999999E-2</v>
      </c>
      <c r="AH76" s="48">
        <f t="shared" si="91"/>
        <v>1145.5321355169792</v>
      </c>
      <c r="AI76" s="48">
        <f t="shared" si="92"/>
        <v>11577.824135516979</v>
      </c>
      <c r="AJ76" s="24"/>
      <c r="AK76" s="56">
        <f t="shared" si="118"/>
        <v>100</v>
      </c>
      <c r="AL76" s="48">
        <f t="shared" si="119"/>
        <v>10000</v>
      </c>
      <c r="AM76" s="48">
        <f t="shared" si="56"/>
        <v>10000</v>
      </c>
      <c r="AN76" s="48">
        <f t="shared" si="120"/>
        <v>12112.63272</v>
      </c>
      <c r="AO76" s="59">
        <f t="shared" si="93"/>
        <v>6.0000000000000005E-2</v>
      </c>
      <c r="AP76" s="48">
        <f t="shared" si="94"/>
        <v>12718.264356</v>
      </c>
      <c r="AQ76" s="48" t="str">
        <f t="shared" si="95"/>
        <v>nie</v>
      </c>
      <c r="AR76" s="48">
        <f t="shared" si="96"/>
        <v>200</v>
      </c>
      <c r="AS76" s="48">
        <f t="shared" si="97"/>
        <v>12039.794128359999</v>
      </c>
      <c r="AT76" s="48">
        <f t="shared" si="28"/>
        <v>0</v>
      </c>
      <c r="AU76" s="59">
        <f t="shared" si="98"/>
        <v>1.4999999999999999E-2</v>
      </c>
      <c r="AV76" s="48">
        <f t="shared" si="99"/>
        <v>0</v>
      </c>
      <c r="AW76" s="48">
        <f t="shared" si="100"/>
        <v>12039.794128359999</v>
      </c>
      <c r="AY76" s="56">
        <f t="shared" si="63"/>
        <v>100</v>
      </c>
      <c r="AZ76" s="48">
        <f t="shared" si="64"/>
        <v>10000</v>
      </c>
      <c r="BA76" s="48">
        <f t="shared" si="58"/>
        <v>10000</v>
      </c>
      <c r="BB76" s="48">
        <f t="shared" si="121"/>
        <v>12174.548339843748</v>
      </c>
      <c r="BC76" s="59">
        <f t="shared" si="101"/>
        <v>6.25E-2</v>
      </c>
      <c r="BD76" s="48">
        <f t="shared" si="102"/>
        <v>12808.63939921061</v>
      </c>
      <c r="BE76" s="48" t="str">
        <f t="shared" si="103"/>
        <v>nie</v>
      </c>
      <c r="BF76" s="48">
        <f t="shared" si="104"/>
        <v>70</v>
      </c>
      <c r="BG76" s="48">
        <f t="shared" si="105"/>
        <v>12218.297913360593</v>
      </c>
      <c r="BH76" s="48">
        <f t="shared" si="37"/>
        <v>0</v>
      </c>
      <c r="BI76" s="59">
        <f t="shared" si="106"/>
        <v>1.4999999999999999E-2</v>
      </c>
      <c r="BJ76" s="48">
        <f t="shared" si="107"/>
        <v>0</v>
      </c>
      <c r="BK76" s="48">
        <f t="shared" si="108"/>
        <v>12218.297913360593</v>
      </c>
      <c r="BL76" s="24"/>
      <c r="BM76" s="56">
        <f t="shared" si="65"/>
        <v>100</v>
      </c>
      <c r="BN76" s="48">
        <f t="shared" si="66"/>
        <v>10000</v>
      </c>
      <c r="BO76" s="48">
        <f t="shared" si="60"/>
        <v>10000</v>
      </c>
      <c r="BP76" s="48">
        <f t="shared" si="122"/>
        <v>12321.086174999999</v>
      </c>
      <c r="BQ76" s="59">
        <f t="shared" si="109"/>
        <v>6.5000000000000002E-2</v>
      </c>
      <c r="BR76" s="48">
        <f t="shared" si="110"/>
        <v>12988.478342812499</v>
      </c>
      <c r="BS76" s="48" t="str">
        <f t="shared" si="111"/>
        <v>nie</v>
      </c>
      <c r="BT76" s="48">
        <f t="shared" si="112"/>
        <v>200</v>
      </c>
      <c r="BU76" s="48">
        <f t="shared" si="45"/>
        <v>12258.667457678124</v>
      </c>
      <c r="BV76" s="48">
        <f t="shared" si="46"/>
        <v>0</v>
      </c>
      <c r="BW76" s="59">
        <f t="shared" si="113"/>
        <v>1.4999999999999999E-2</v>
      </c>
      <c r="BX76" s="48">
        <f t="shared" si="114"/>
        <v>0</v>
      </c>
      <c r="BY76" s="48">
        <f t="shared" si="115"/>
        <v>12258.667457678124</v>
      </c>
    </row>
    <row r="77" spans="1:77" s="25" customFormat="1" ht="14">
      <c r="A77" s="24"/>
      <c r="B77" s="172"/>
      <c r="C77" s="66">
        <f t="shared" si="130"/>
        <v>43</v>
      </c>
      <c r="D77" s="48">
        <f t="shared" si="131"/>
        <v>11267.496324421541</v>
      </c>
      <c r="E77" s="48">
        <f t="shared" si="132"/>
        <v>11317.835510199997</v>
      </c>
      <c r="F77" s="48">
        <f t="shared" si="133"/>
        <v>11462.983563232419</v>
      </c>
      <c r="G77" s="49">
        <f t="shared" si="134"/>
        <v>11464.282780187499</v>
      </c>
      <c r="H77" s="49">
        <f t="shared" si="135"/>
        <v>10444.761564182516</v>
      </c>
      <c r="I77" s="48">
        <f t="shared" si="136"/>
        <v>11913.890625</v>
      </c>
      <c r="J77" s="24"/>
      <c r="K77" s="84"/>
      <c r="L77" s="64">
        <f t="shared" si="137"/>
        <v>43</v>
      </c>
      <c r="M77" s="51">
        <f t="shared" si="124"/>
        <v>0.1267496324421542</v>
      </c>
      <c r="N77" s="51">
        <f t="shared" si="125"/>
        <v>0.13178355101999961</v>
      </c>
      <c r="O77" s="51">
        <f t="shared" si="126"/>
        <v>0.14629835632324184</v>
      </c>
      <c r="P77" s="51">
        <f t="shared" si="127"/>
        <v>0.14642827801875002</v>
      </c>
      <c r="Q77" s="51">
        <f t="shared" si="128"/>
        <v>4.4476156418251644E-2</v>
      </c>
      <c r="R77" s="51">
        <f t="shared" si="129"/>
        <v>0.1913890625000001</v>
      </c>
      <c r="S77" s="24"/>
      <c r="T77" s="45">
        <f t="shared" si="50"/>
        <v>59</v>
      </c>
      <c r="U77" s="59">
        <f t="shared" si="123"/>
        <v>0.05</v>
      </c>
      <c r="V77" s="48">
        <f t="shared" si="83"/>
        <v>12712.169531250003</v>
      </c>
      <c r="W77" s="56">
        <f t="shared" si="116"/>
        <v>104</v>
      </c>
      <c r="X77" s="48">
        <f t="shared" si="117"/>
        <v>10389.6</v>
      </c>
      <c r="Y77" s="48">
        <f t="shared" si="62"/>
        <v>10400</v>
      </c>
      <c r="Z77" s="48">
        <f t="shared" si="53"/>
        <v>10400</v>
      </c>
      <c r="AA77" s="59">
        <f t="shared" si="84"/>
        <v>1.2999999999999999E-2</v>
      </c>
      <c r="AB77" s="48">
        <f t="shared" si="85"/>
        <v>10523.933333333332</v>
      </c>
      <c r="AC77" s="48" t="str">
        <f t="shared" si="86"/>
        <v>nie</v>
      </c>
      <c r="AD77" s="48">
        <f t="shared" si="87"/>
        <v>72.8</v>
      </c>
      <c r="AE77" s="48">
        <f t="shared" si="88"/>
        <v>10441.418</v>
      </c>
      <c r="AF77" s="48">
        <f t="shared" si="89"/>
        <v>0</v>
      </c>
      <c r="AG77" s="59">
        <f t="shared" si="90"/>
        <v>1.4999999999999999E-2</v>
      </c>
      <c r="AH77" s="48">
        <f t="shared" si="91"/>
        <v>1146.6919868041903</v>
      </c>
      <c r="AI77" s="48">
        <f t="shared" si="92"/>
        <v>11588.109986804189</v>
      </c>
      <c r="AJ77" s="24"/>
      <c r="AK77" s="56">
        <f t="shared" si="118"/>
        <v>100</v>
      </c>
      <c r="AL77" s="48">
        <f t="shared" si="119"/>
        <v>10000</v>
      </c>
      <c r="AM77" s="48">
        <f t="shared" si="56"/>
        <v>10000</v>
      </c>
      <c r="AN77" s="48">
        <f t="shared" si="120"/>
        <v>12112.63272</v>
      </c>
      <c r="AO77" s="59">
        <f t="shared" si="93"/>
        <v>6.0000000000000005E-2</v>
      </c>
      <c r="AP77" s="48">
        <f t="shared" si="94"/>
        <v>12778.8275196</v>
      </c>
      <c r="AQ77" s="48" t="str">
        <f t="shared" si="95"/>
        <v>nie</v>
      </c>
      <c r="AR77" s="48">
        <f t="shared" si="96"/>
        <v>200</v>
      </c>
      <c r="AS77" s="48">
        <f t="shared" si="97"/>
        <v>12088.850290876</v>
      </c>
      <c r="AT77" s="48">
        <f t="shared" si="28"/>
        <v>0</v>
      </c>
      <c r="AU77" s="59">
        <f t="shared" si="98"/>
        <v>1.4999999999999999E-2</v>
      </c>
      <c r="AV77" s="48">
        <f t="shared" si="99"/>
        <v>0</v>
      </c>
      <c r="AW77" s="48">
        <f t="shared" si="100"/>
        <v>12088.850290876</v>
      </c>
      <c r="AY77" s="56">
        <f t="shared" si="63"/>
        <v>100</v>
      </c>
      <c r="AZ77" s="48">
        <f t="shared" si="64"/>
        <v>10000</v>
      </c>
      <c r="BA77" s="48">
        <f t="shared" si="58"/>
        <v>10000</v>
      </c>
      <c r="BB77" s="48">
        <f t="shared" si="121"/>
        <v>12174.548339843748</v>
      </c>
      <c r="BC77" s="59">
        <f t="shared" si="101"/>
        <v>6.25E-2</v>
      </c>
      <c r="BD77" s="48">
        <f t="shared" si="102"/>
        <v>12872.048505147297</v>
      </c>
      <c r="BE77" s="48" t="str">
        <f t="shared" si="103"/>
        <v>nie</v>
      </c>
      <c r="BF77" s="48">
        <f t="shared" si="104"/>
        <v>70</v>
      </c>
      <c r="BG77" s="48">
        <f t="shared" si="105"/>
        <v>12269.659289169311</v>
      </c>
      <c r="BH77" s="48">
        <f t="shared" si="37"/>
        <v>0</v>
      </c>
      <c r="BI77" s="59">
        <f t="shared" si="106"/>
        <v>1.4999999999999999E-2</v>
      </c>
      <c r="BJ77" s="48">
        <f t="shared" si="107"/>
        <v>0</v>
      </c>
      <c r="BK77" s="48">
        <f t="shared" si="108"/>
        <v>12269.659289169311</v>
      </c>
      <c r="BL77" s="24"/>
      <c r="BM77" s="56">
        <f t="shared" si="65"/>
        <v>100</v>
      </c>
      <c r="BN77" s="48">
        <f t="shared" si="66"/>
        <v>10000</v>
      </c>
      <c r="BO77" s="48">
        <f t="shared" si="60"/>
        <v>10000</v>
      </c>
      <c r="BP77" s="48">
        <f t="shared" si="122"/>
        <v>12321.086174999999</v>
      </c>
      <c r="BQ77" s="59">
        <f t="shared" si="109"/>
        <v>6.5000000000000002E-2</v>
      </c>
      <c r="BR77" s="48">
        <f t="shared" si="110"/>
        <v>13055.217559593748</v>
      </c>
      <c r="BS77" s="48" t="str">
        <f t="shared" si="111"/>
        <v>nie</v>
      </c>
      <c r="BT77" s="48">
        <f t="shared" si="112"/>
        <v>200</v>
      </c>
      <c r="BU77" s="48">
        <f t="shared" si="45"/>
        <v>12312.726223270936</v>
      </c>
      <c r="BV77" s="48">
        <f t="shared" si="46"/>
        <v>0</v>
      </c>
      <c r="BW77" s="59">
        <f t="shared" si="113"/>
        <v>1.4999999999999999E-2</v>
      </c>
      <c r="BX77" s="48">
        <f t="shared" si="114"/>
        <v>0</v>
      </c>
      <c r="BY77" s="48">
        <f t="shared" si="115"/>
        <v>12312.726223270936</v>
      </c>
    </row>
    <row r="78" spans="1:77" s="25" customFormat="1" ht="14">
      <c r="A78" s="24"/>
      <c r="B78" s="172"/>
      <c r="C78" s="66">
        <f t="shared" si="130"/>
        <v>44</v>
      </c>
      <c r="D78" s="48">
        <f t="shared" si="131"/>
        <v>11307.374489606271</v>
      </c>
      <c r="E78" s="48">
        <f t="shared" si="132"/>
        <v>11364.1149088</v>
      </c>
      <c r="F78" s="48">
        <f t="shared" si="133"/>
        <v>11511.323681640624</v>
      </c>
      <c r="G78" s="49">
        <f t="shared" si="134"/>
        <v>11515.0421845</v>
      </c>
      <c r="H78" s="49">
        <f t="shared" si="135"/>
        <v>10455.336885266252</v>
      </c>
      <c r="I78" s="48">
        <f t="shared" si="136"/>
        <v>11962.125000000004</v>
      </c>
      <c r="J78" s="24"/>
      <c r="K78" s="84"/>
      <c r="L78" s="64">
        <f t="shared" si="137"/>
        <v>44</v>
      </c>
      <c r="M78" s="51">
        <f t="shared" si="124"/>
        <v>0.130737448960627</v>
      </c>
      <c r="N78" s="51">
        <f t="shared" si="125"/>
        <v>0.13641149088000004</v>
      </c>
      <c r="O78" s="51">
        <f t="shared" si="126"/>
        <v>0.15113236816406239</v>
      </c>
      <c r="P78" s="51">
        <f t="shared" si="127"/>
        <v>0.15150421844999995</v>
      </c>
      <c r="Q78" s="51">
        <f t="shared" si="128"/>
        <v>4.5533688526625093E-2</v>
      </c>
      <c r="R78" s="51">
        <f t="shared" si="129"/>
        <v>0.19621250000000034</v>
      </c>
      <c r="S78" s="24"/>
      <c r="T78" s="45">
        <f t="shared" si="50"/>
        <v>60</v>
      </c>
      <c r="U78" s="59">
        <f t="shared" si="123"/>
        <v>0.05</v>
      </c>
      <c r="V78" s="48">
        <f t="shared" si="83"/>
        <v>12762.815625000003</v>
      </c>
      <c r="W78" s="56">
        <f t="shared" si="116"/>
        <v>104</v>
      </c>
      <c r="X78" s="48">
        <f t="shared" si="117"/>
        <v>10389.6</v>
      </c>
      <c r="Y78" s="48">
        <f t="shared" si="62"/>
        <v>10400</v>
      </c>
      <c r="Z78" s="48">
        <f t="shared" si="53"/>
        <v>10400</v>
      </c>
      <c r="AA78" s="59">
        <f t="shared" si="84"/>
        <v>1.2999999999999999E-2</v>
      </c>
      <c r="AB78" s="48">
        <f t="shared" si="85"/>
        <v>10535.199999999999</v>
      </c>
      <c r="AC78" s="48" t="str">
        <f t="shared" si="86"/>
        <v>nie</v>
      </c>
      <c r="AD78" s="48">
        <f t="shared" si="87"/>
        <v>72.8</v>
      </c>
      <c r="AE78" s="48">
        <f t="shared" si="88"/>
        <v>10450.544</v>
      </c>
      <c r="AF78" s="48">
        <f t="shared" si="89"/>
        <v>109.51199999999912</v>
      </c>
      <c r="AG78" s="59">
        <f t="shared" si="90"/>
        <v>1.4999999999999999E-2</v>
      </c>
      <c r="AH78" s="48">
        <f t="shared" si="91"/>
        <v>1257.3650124408287</v>
      </c>
      <c r="AI78" s="48">
        <f t="shared" si="92"/>
        <v>11598.39701244083</v>
      </c>
      <c r="AJ78" s="24"/>
      <c r="AK78" s="56">
        <f t="shared" si="118"/>
        <v>100</v>
      </c>
      <c r="AL78" s="48">
        <f t="shared" si="119"/>
        <v>10000</v>
      </c>
      <c r="AM78" s="48">
        <f t="shared" si="56"/>
        <v>10000</v>
      </c>
      <c r="AN78" s="48">
        <f t="shared" si="120"/>
        <v>12112.63272</v>
      </c>
      <c r="AO78" s="59">
        <f t="shared" si="93"/>
        <v>6.0000000000000005E-2</v>
      </c>
      <c r="AP78" s="48">
        <f t="shared" si="94"/>
        <v>12839.390683199999</v>
      </c>
      <c r="AQ78" s="48" t="str">
        <f t="shared" si="95"/>
        <v>nie</v>
      </c>
      <c r="AR78" s="48">
        <f t="shared" si="96"/>
        <v>200</v>
      </c>
      <c r="AS78" s="48">
        <f t="shared" si="97"/>
        <v>12137.906453391999</v>
      </c>
      <c r="AT78" s="48">
        <f t="shared" si="28"/>
        <v>0</v>
      </c>
      <c r="AU78" s="59">
        <f t="shared" si="98"/>
        <v>1.4999999999999999E-2</v>
      </c>
      <c r="AV78" s="48">
        <f t="shared" si="99"/>
        <v>0</v>
      </c>
      <c r="AW78" s="48">
        <f t="shared" si="100"/>
        <v>12137.906453391999</v>
      </c>
      <c r="AY78" s="56">
        <f t="shared" si="63"/>
        <v>100</v>
      </c>
      <c r="AZ78" s="48">
        <f t="shared" si="64"/>
        <v>10000</v>
      </c>
      <c r="BA78" s="48">
        <f t="shared" si="58"/>
        <v>10000</v>
      </c>
      <c r="BB78" s="48">
        <f t="shared" si="121"/>
        <v>12174.548339843748</v>
      </c>
      <c r="BC78" s="59">
        <f t="shared" si="101"/>
        <v>6.25E-2</v>
      </c>
      <c r="BD78" s="48">
        <f t="shared" si="102"/>
        <v>12935.457611083983</v>
      </c>
      <c r="BE78" s="48" t="str">
        <f t="shared" si="103"/>
        <v>nie</v>
      </c>
      <c r="BF78" s="48">
        <f t="shared" si="104"/>
        <v>70</v>
      </c>
      <c r="BG78" s="48">
        <f t="shared" si="105"/>
        <v>12321.020664978027</v>
      </c>
      <c r="BH78" s="48">
        <f t="shared" si="37"/>
        <v>0</v>
      </c>
      <c r="BI78" s="59">
        <f t="shared" si="106"/>
        <v>1.4999999999999999E-2</v>
      </c>
      <c r="BJ78" s="48">
        <f t="shared" si="107"/>
        <v>0</v>
      </c>
      <c r="BK78" s="48">
        <f t="shared" si="108"/>
        <v>12321.020664978027</v>
      </c>
      <c r="BL78" s="24"/>
      <c r="BM78" s="56">
        <f t="shared" si="65"/>
        <v>100</v>
      </c>
      <c r="BN78" s="48">
        <f t="shared" si="66"/>
        <v>10000</v>
      </c>
      <c r="BO78" s="48">
        <f t="shared" si="60"/>
        <v>10000</v>
      </c>
      <c r="BP78" s="48">
        <f t="shared" si="122"/>
        <v>12321.086174999999</v>
      </c>
      <c r="BQ78" s="59">
        <f t="shared" si="109"/>
        <v>6.5000000000000002E-2</v>
      </c>
      <c r="BR78" s="48">
        <f t="shared" si="110"/>
        <v>13121.956776374998</v>
      </c>
      <c r="BS78" s="48" t="str">
        <f t="shared" si="111"/>
        <v>nie</v>
      </c>
      <c r="BT78" s="48">
        <f t="shared" si="112"/>
        <v>200</v>
      </c>
      <c r="BU78" s="48">
        <f t="shared" si="45"/>
        <v>12366.784988863748</v>
      </c>
      <c r="BV78" s="48">
        <f t="shared" si="46"/>
        <v>0</v>
      </c>
      <c r="BW78" s="59">
        <f t="shared" si="113"/>
        <v>1.4999999999999999E-2</v>
      </c>
      <c r="BX78" s="48">
        <f t="shared" si="114"/>
        <v>0</v>
      </c>
      <c r="BY78" s="48">
        <f t="shared" si="115"/>
        <v>12366.784988863748</v>
      </c>
    </row>
    <row r="79" spans="1:77" s="25" customFormat="1" ht="14">
      <c r="A79" s="24"/>
      <c r="B79" s="172"/>
      <c r="C79" s="66">
        <f t="shared" si="130"/>
        <v>45</v>
      </c>
      <c r="D79" s="48">
        <f t="shared" si="131"/>
        <v>11347.253733776995</v>
      </c>
      <c r="E79" s="48">
        <f t="shared" si="132"/>
        <v>11410.394307399998</v>
      </c>
      <c r="F79" s="48">
        <f t="shared" si="133"/>
        <v>11559.663800048827</v>
      </c>
      <c r="G79" s="49">
        <f t="shared" si="134"/>
        <v>11565.801588812499</v>
      </c>
      <c r="H79" s="49">
        <f t="shared" si="135"/>
        <v>10465.922913862585</v>
      </c>
      <c r="I79" s="48">
        <f t="shared" si="136"/>
        <v>12010.359375000004</v>
      </c>
      <c r="J79" s="24"/>
      <c r="K79" s="84"/>
      <c r="L79" s="64">
        <f t="shared" si="137"/>
        <v>45</v>
      </c>
      <c r="M79" s="51">
        <f t="shared" si="124"/>
        <v>0.13472537337769963</v>
      </c>
      <c r="N79" s="51">
        <f t="shared" si="125"/>
        <v>0.1410394307399998</v>
      </c>
      <c r="O79" s="51">
        <f t="shared" si="126"/>
        <v>0.15596638000488272</v>
      </c>
      <c r="P79" s="51">
        <f t="shared" si="127"/>
        <v>0.15658015888124988</v>
      </c>
      <c r="Q79" s="51">
        <f t="shared" si="128"/>
        <v>4.6592291386258422E-2</v>
      </c>
      <c r="R79" s="51">
        <f t="shared" si="129"/>
        <v>0.20103593750000037</v>
      </c>
      <c r="S79" s="24"/>
      <c r="T79" s="45">
        <f t="shared" si="50"/>
        <v>61</v>
      </c>
      <c r="U79" s="59">
        <f t="shared" si="123"/>
        <v>0.05</v>
      </c>
      <c r="V79" s="48">
        <f t="shared" si="83"/>
        <v>12815.994023437503</v>
      </c>
      <c r="W79" s="56">
        <f t="shared" si="116"/>
        <v>104</v>
      </c>
      <c r="X79" s="48">
        <f t="shared" si="117"/>
        <v>10389.6</v>
      </c>
      <c r="Y79" s="48">
        <f t="shared" si="62"/>
        <v>10400</v>
      </c>
      <c r="Z79" s="48">
        <f t="shared" si="53"/>
        <v>10400</v>
      </c>
      <c r="AA79" s="59">
        <f t="shared" si="84"/>
        <v>5.7500000000000002E-2</v>
      </c>
      <c r="AB79" s="48">
        <f t="shared" si="85"/>
        <v>10449.833333333334</v>
      </c>
      <c r="AC79" s="48" t="str">
        <f t="shared" si="86"/>
        <v>nie</v>
      </c>
      <c r="AD79" s="48">
        <f t="shared" si="87"/>
        <v>72.8</v>
      </c>
      <c r="AE79" s="48">
        <f t="shared" si="88"/>
        <v>10381.397000000001</v>
      </c>
      <c r="AF79" s="48">
        <f t="shared" si="89"/>
        <v>0</v>
      </c>
      <c r="AG79" s="59">
        <f t="shared" si="90"/>
        <v>1.4999999999999999E-2</v>
      </c>
      <c r="AH79" s="48">
        <f t="shared" si="91"/>
        <v>1258.6380945159251</v>
      </c>
      <c r="AI79" s="48">
        <f t="shared" si="92"/>
        <v>11640.035094515926</v>
      </c>
      <c r="AJ79" s="24"/>
      <c r="AK79" s="56">
        <f t="shared" si="118"/>
        <v>100</v>
      </c>
      <c r="AL79" s="48">
        <f t="shared" si="119"/>
        <v>10000</v>
      </c>
      <c r="AM79" s="48">
        <f t="shared" si="56"/>
        <v>10000</v>
      </c>
      <c r="AN79" s="48">
        <f t="shared" si="120"/>
        <v>12839.390683199999</v>
      </c>
      <c r="AO79" s="59">
        <f t="shared" si="93"/>
        <v>6.0000000000000005E-2</v>
      </c>
      <c r="AP79" s="48">
        <f t="shared" si="94"/>
        <v>12903.587636615997</v>
      </c>
      <c r="AQ79" s="48" t="str">
        <f t="shared" si="95"/>
        <v>nie</v>
      </c>
      <c r="AR79" s="48">
        <f t="shared" si="96"/>
        <v>200</v>
      </c>
      <c r="AS79" s="48">
        <f t="shared" si="97"/>
        <v>12189.905985658957</v>
      </c>
      <c r="AT79" s="48">
        <f t="shared" si="28"/>
        <v>0</v>
      </c>
      <c r="AU79" s="59">
        <f t="shared" si="98"/>
        <v>1.4999999999999999E-2</v>
      </c>
      <c r="AV79" s="48">
        <f t="shared" si="99"/>
        <v>0</v>
      </c>
      <c r="AW79" s="48">
        <f t="shared" si="100"/>
        <v>12189.905985658957</v>
      </c>
      <c r="AY79" s="56">
        <f t="shared" si="63"/>
        <v>100</v>
      </c>
      <c r="AZ79" s="48">
        <f t="shared" si="64"/>
        <v>10000</v>
      </c>
      <c r="BA79" s="48">
        <f t="shared" si="58"/>
        <v>10000</v>
      </c>
      <c r="BB79" s="48">
        <f t="shared" si="121"/>
        <v>12935.457611083983</v>
      </c>
      <c r="BC79" s="59">
        <f t="shared" si="101"/>
        <v>6.25E-2</v>
      </c>
      <c r="BD79" s="48">
        <f t="shared" si="102"/>
        <v>13002.82978614171</v>
      </c>
      <c r="BE79" s="48" t="str">
        <f t="shared" si="103"/>
        <v>nie</v>
      </c>
      <c r="BF79" s="48">
        <f t="shared" si="104"/>
        <v>70</v>
      </c>
      <c r="BG79" s="48">
        <f t="shared" si="105"/>
        <v>12375.592126774785</v>
      </c>
      <c r="BH79" s="48">
        <f t="shared" si="37"/>
        <v>0</v>
      </c>
      <c r="BI79" s="59">
        <f t="shared" si="106"/>
        <v>1.4999999999999999E-2</v>
      </c>
      <c r="BJ79" s="48">
        <f t="shared" si="107"/>
        <v>0</v>
      </c>
      <c r="BK79" s="48">
        <f t="shared" si="108"/>
        <v>12375.592126774785</v>
      </c>
      <c r="BL79" s="24"/>
      <c r="BM79" s="56">
        <f t="shared" si="65"/>
        <v>100</v>
      </c>
      <c r="BN79" s="48">
        <f t="shared" si="66"/>
        <v>10000</v>
      </c>
      <c r="BO79" s="48">
        <f t="shared" si="60"/>
        <v>10000</v>
      </c>
      <c r="BP79" s="48">
        <f t="shared" si="122"/>
        <v>13121.956776374998</v>
      </c>
      <c r="BQ79" s="59">
        <f t="shared" si="109"/>
        <v>6.5000000000000002E-2</v>
      </c>
      <c r="BR79" s="48">
        <f t="shared" si="110"/>
        <v>13193.034042247029</v>
      </c>
      <c r="BS79" s="48" t="str">
        <f t="shared" si="111"/>
        <v>nie</v>
      </c>
      <c r="BT79" s="48">
        <f t="shared" si="112"/>
        <v>200</v>
      </c>
      <c r="BU79" s="48">
        <f t="shared" si="45"/>
        <v>12424.357574220094</v>
      </c>
      <c r="BV79" s="48">
        <f t="shared" si="46"/>
        <v>0</v>
      </c>
      <c r="BW79" s="59">
        <f t="shared" si="113"/>
        <v>1.4999999999999999E-2</v>
      </c>
      <c r="BX79" s="48">
        <f t="shared" si="114"/>
        <v>0</v>
      </c>
      <c r="BY79" s="48">
        <f t="shared" si="115"/>
        <v>12424.357574220094</v>
      </c>
    </row>
    <row r="80" spans="1:77" s="25" customFormat="1" ht="14">
      <c r="A80" s="24"/>
      <c r="B80" s="172"/>
      <c r="C80" s="66">
        <f t="shared" si="130"/>
        <v>46</v>
      </c>
      <c r="D80" s="48">
        <f t="shared" si="131"/>
        <v>11387.134058026195</v>
      </c>
      <c r="E80" s="48">
        <f t="shared" si="132"/>
        <v>11456.673706</v>
      </c>
      <c r="F80" s="48">
        <f t="shared" si="133"/>
        <v>11608.003918457029</v>
      </c>
      <c r="G80" s="49">
        <f t="shared" si="134"/>
        <v>11616.560993125</v>
      </c>
      <c r="H80" s="49">
        <f t="shared" si="135"/>
        <v>10476.519660812872</v>
      </c>
      <c r="I80" s="48">
        <f t="shared" si="136"/>
        <v>12058.593750000004</v>
      </c>
      <c r="J80" s="24"/>
      <c r="K80" s="84"/>
      <c r="L80" s="64">
        <f t="shared" si="137"/>
        <v>46</v>
      </c>
      <c r="M80" s="51">
        <f t="shared" si="124"/>
        <v>0.13871340580261959</v>
      </c>
      <c r="N80" s="51">
        <f t="shared" si="125"/>
        <v>0.14566737060000001</v>
      </c>
      <c r="O80" s="51">
        <f t="shared" si="126"/>
        <v>0.16080039184570283</v>
      </c>
      <c r="P80" s="51">
        <f t="shared" si="127"/>
        <v>0.16165609931250002</v>
      </c>
      <c r="Q80" s="51">
        <f t="shared" si="128"/>
        <v>4.7651966081287078E-2</v>
      </c>
      <c r="R80" s="51">
        <f t="shared" si="129"/>
        <v>0.2058593750000004</v>
      </c>
      <c r="S80" s="24"/>
      <c r="T80" s="45">
        <f t="shared" si="50"/>
        <v>62</v>
      </c>
      <c r="U80" s="59">
        <f t="shared" si="123"/>
        <v>0.05</v>
      </c>
      <c r="V80" s="48">
        <f t="shared" si="83"/>
        <v>12869.172421875002</v>
      </c>
      <c r="W80" s="56">
        <f t="shared" si="116"/>
        <v>104</v>
      </c>
      <c r="X80" s="48">
        <f t="shared" si="117"/>
        <v>10389.6</v>
      </c>
      <c r="Y80" s="48">
        <f t="shared" si="62"/>
        <v>10400</v>
      </c>
      <c r="Z80" s="48">
        <f t="shared" si="53"/>
        <v>10400</v>
      </c>
      <c r="AA80" s="59">
        <f t="shared" si="84"/>
        <v>5.7500000000000002E-2</v>
      </c>
      <c r="AB80" s="48">
        <f t="shared" si="85"/>
        <v>10499.666666666666</v>
      </c>
      <c r="AC80" s="48" t="str">
        <f t="shared" si="86"/>
        <v>nie</v>
      </c>
      <c r="AD80" s="48">
        <f t="shared" si="87"/>
        <v>72.8</v>
      </c>
      <c r="AE80" s="48">
        <f t="shared" si="88"/>
        <v>10421.762000000001</v>
      </c>
      <c r="AF80" s="48">
        <f t="shared" si="89"/>
        <v>0</v>
      </c>
      <c r="AG80" s="59">
        <f t="shared" si="90"/>
        <v>1.4999999999999999E-2</v>
      </c>
      <c r="AH80" s="48">
        <f t="shared" si="91"/>
        <v>1259.9124655866226</v>
      </c>
      <c r="AI80" s="48">
        <f t="shared" si="92"/>
        <v>11681.674465586624</v>
      </c>
      <c r="AJ80" s="24"/>
      <c r="AK80" s="56">
        <f t="shared" si="118"/>
        <v>100</v>
      </c>
      <c r="AL80" s="48">
        <f t="shared" si="119"/>
        <v>10000</v>
      </c>
      <c r="AM80" s="48">
        <f t="shared" si="56"/>
        <v>10000</v>
      </c>
      <c r="AN80" s="48">
        <f t="shared" si="120"/>
        <v>12839.390683199999</v>
      </c>
      <c r="AO80" s="59">
        <f t="shared" si="93"/>
        <v>6.0000000000000005E-2</v>
      </c>
      <c r="AP80" s="48">
        <f t="shared" si="94"/>
        <v>12967.784590031999</v>
      </c>
      <c r="AQ80" s="48" t="str">
        <f t="shared" si="95"/>
        <v>nie</v>
      </c>
      <c r="AR80" s="48">
        <f t="shared" si="96"/>
        <v>200</v>
      </c>
      <c r="AS80" s="48">
        <f t="shared" si="97"/>
        <v>12241.905517925919</v>
      </c>
      <c r="AT80" s="48">
        <f t="shared" si="28"/>
        <v>0</v>
      </c>
      <c r="AU80" s="59">
        <f t="shared" si="98"/>
        <v>1.4999999999999999E-2</v>
      </c>
      <c r="AV80" s="48">
        <f t="shared" si="99"/>
        <v>0</v>
      </c>
      <c r="AW80" s="48">
        <f t="shared" si="100"/>
        <v>12241.905517925919</v>
      </c>
      <c r="AY80" s="56">
        <f t="shared" si="63"/>
        <v>100</v>
      </c>
      <c r="AZ80" s="48">
        <f t="shared" si="64"/>
        <v>10000</v>
      </c>
      <c r="BA80" s="48">
        <f t="shared" si="58"/>
        <v>10000</v>
      </c>
      <c r="BB80" s="48">
        <f t="shared" si="121"/>
        <v>12935.457611083983</v>
      </c>
      <c r="BC80" s="59">
        <f t="shared" si="101"/>
        <v>6.25E-2</v>
      </c>
      <c r="BD80" s="48">
        <f t="shared" si="102"/>
        <v>13070.201961199442</v>
      </c>
      <c r="BE80" s="48" t="str">
        <f t="shared" si="103"/>
        <v>nie</v>
      </c>
      <c r="BF80" s="48">
        <f t="shared" si="104"/>
        <v>70</v>
      </c>
      <c r="BG80" s="48">
        <f t="shared" si="105"/>
        <v>12430.163588571548</v>
      </c>
      <c r="BH80" s="48">
        <f t="shared" si="37"/>
        <v>0</v>
      </c>
      <c r="BI80" s="59">
        <f t="shared" si="106"/>
        <v>1.4999999999999999E-2</v>
      </c>
      <c r="BJ80" s="48">
        <f t="shared" si="107"/>
        <v>0</v>
      </c>
      <c r="BK80" s="48">
        <f t="shared" si="108"/>
        <v>12430.163588571548</v>
      </c>
      <c r="BL80" s="24"/>
      <c r="BM80" s="56">
        <f t="shared" si="65"/>
        <v>100</v>
      </c>
      <c r="BN80" s="48">
        <f t="shared" si="66"/>
        <v>10000</v>
      </c>
      <c r="BO80" s="48">
        <f t="shared" si="60"/>
        <v>10000</v>
      </c>
      <c r="BP80" s="48">
        <f t="shared" si="122"/>
        <v>13121.956776374998</v>
      </c>
      <c r="BQ80" s="59">
        <f t="shared" si="109"/>
        <v>6.5000000000000002E-2</v>
      </c>
      <c r="BR80" s="48">
        <f t="shared" si="110"/>
        <v>13264.11130811906</v>
      </c>
      <c r="BS80" s="48" t="str">
        <f t="shared" si="111"/>
        <v>nie</v>
      </c>
      <c r="BT80" s="48">
        <f t="shared" si="112"/>
        <v>200</v>
      </c>
      <c r="BU80" s="48">
        <f t="shared" si="45"/>
        <v>12481.930159576439</v>
      </c>
      <c r="BV80" s="48">
        <f t="shared" si="46"/>
        <v>0</v>
      </c>
      <c r="BW80" s="59">
        <f t="shared" si="113"/>
        <v>1.4999999999999999E-2</v>
      </c>
      <c r="BX80" s="48">
        <f t="shared" si="114"/>
        <v>0</v>
      </c>
      <c r="BY80" s="48">
        <f t="shared" si="115"/>
        <v>12481.930159576439</v>
      </c>
    </row>
    <row r="81" spans="1:77" s="25" customFormat="1" ht="14" customHeight="1">
      <c r="A81" s="24"/>
      <c r="B81" s="172"/>
      <c r="C81" s="66">
        <f t="shared" si="130"/>
        <v>47</v>
      </c>
      <c r="D81" s="48">
        <f t="shared" si="131"/>
        <v>11427.015463447447</v>
      </c>
      <c r="E81" s="48">
        <f t="shared" si="132"/>
        <v>11502.953104599997</v>
      </c>
      <c r="F81" s="48">
        <f t="shared" si="133"/>
        <v>11656.344036865234</v>
      </c>
      <c r="G81" s="49">
        <f t="shared" si="134"/>
        <v>11667.320397437499</v>
      </c>
      <c r="H81" s="49">
        <f t="shared" si="135"/>
        <v>10487.127136969446</v>
      </c>
      <c r="I81" s="48">
        <f t="shared" si="136"/>
        <v>12106.828125000002</v>
      </c>
      <c r="J81" s="24"/>
      <c r="K81" s="84"/>
      <c r="L81" s="64">
        <f t="shared" si="137"/>
        <v>47</v>
      </c>
      <c r="M81" s="51">
        <f t="shared" si="124"/>
        <v>0.14270154634474475</v>
      </c>
      <c r="N81" s="51">
        <f t="shared" si="125"/>
        <v>0.15029531045999978</v>
      </c>
      <c r="O81" s="51">
        <f t="shared" si="126"/>
        <v>0.16563440368652338</v>
      </c>
      <c r="P81" s="51">
        <f t="shared" si="127"/>
        <v>0.16673203974374995</v>
      </c>
      <c r="Q81" s="51">
        <f t="shared" si="128"/>
        <v>4.8712713696944521E-2</v>
      </c>
      <c r="R81" s="51">
        <f t="shared" si="129"/>
        <v>0.2106828125000002</v>
      </c>
      <c r="S81" s="24"/>
      <c r="T81" s="45">
        <f t="shared" si="50"/>
        <v>63</v>
      </c>
      <c r="U81" s="59">
        <f t="shared" si="123"/>
        <v>0.05</v>
      </c>
      <c r="V81" s="48">
        <f t="shared" si="83"/>
        <v>12922.350820312502</v>
      </c>
      <c r="W81" s="56">
        <f t="shared" si="116"/>
        <v>104</v>
      </c>
      <c r="X81" s="48">
        <f t="shared" si="117"/>
        <v>10389.6</v>
      </c>
      <c r="Y81" s="48">
        <f t="shared" si="62"/>
        <v>10400</v>
      </c>
      <c r="Z81" s="48">
        <f t="shared" si="53"/>
        <v>10400</v>
      </c>
      <c r="AA81" s="59">
        <f t="shared" si="84"/>
        <v>5.7500000000000002E-2</v>
      </c>
      <c r="AB81" s="48">
        <f t="shared" si="85"/>
        <v>10549.5</v>
      </c>
      <c r="AC81" s="48" t="str">
        <f t="shared" si="86"/>
        <v>nie</v>
      </c>
      <c r="AD81" s="48">
        <f t="shared" si="87"/>
        <v>72.8</v>
      </c>
      <c r="AE81" s="48">
        <f t="shared" si="88"/>
        <v>10462.127</v>
      </c>
      <c r="AF81" s="48">
        <f t="shared" si="89"/>
        <v>0</v>
      </c>
      <c r="AG81" s="59">
        <f t="shared" si="90"/>
        <v>1.4999999999999999E-2</v>
      </c>
      <c r="AH81" s="48">
        <f t="shared" si="91"/>
        <v>1261.1881269580292</v>
      </c>
      <c r="AI81" s="48">
        <f t="shared" si="92"/>
        <v>11723.31512695803</v>
      </c>
      <c r="AJ81" s="24"/>
      <c r="AK81" s="56">
        <f t="shared" si="118"/>
        <v>100</v>
      </c>
      <c r="AL81" s="48">
        <f t="shared" si="119"/>
        <v>10000</v>
      </c>
      <c r="AM81" s="48">
        <f t="shared" si="56"/>
        <v>10000</v>
      </c>
      <c r="AN81" s="48">
        <f t="shared" si="120"/>
        <v>12839.390683199999</v>
      </c>
      <c r="AO81" s="59">
        <f t="shared" si="93"/>
        <v>6.0000000000000005E-2</v>
      </c>
      <c r="AP81" s="48">
        <f t="shared" si="94"/>
        <v>13031.981543447999</v>
      </c>
      <c r="AQ81" s="48" t="str">
        <f t="shared" si="95"/>
        <v>nie</v>
      </c>
      <c r="AR81" s="48">
        <f t="shared" si="96"/>
        <v>200</v>
      </c>
      <c r="AS81" s="48">
        <f t="shared" si="97"/>
        <v>12293.90505019288</v>
      </c>
      <c r="AT81" s="48">
        <f t="shared" si="28"/>
        <v>0</v>
      </c>
      <c r="AU81" s="59">
        <f t="shared" si="98"/>
        <v>1.4999999999999999E-2</v>
      </c>
      <c r="AV81" s="48">
        <f t="shared" si="99"/>
        <v>0</v>
      </c>
      <c r="AW81" s="48">
        <f t="shared" si="100"/>
        <v>12293.90505019288</v>
      </c>
      <c r="AY81" s="56">
        <f t="shared" si="63"/>
        <v>100</v>
      </c>
      <c r="AZ81" s="48">
        <f t="shared" si="64"/>
        <v>10000</v>
      </c>
      <c r="BA81" s="48">
        <f t="shared" si="58"/>
        <v>10000</v>
      </c>
      <c r="BB81" s="48">
        <f t="shared" si="121"/>
        <v>12935.457611083983</v>
      </c>
      <c r="BC81" s="59">
        <f t="shared" si="101"/>
        <v>6.25E-2</v>
      </c>
      <c r="BD81" s="48">
        <f t="shared" si="102"/>
        <v>13137.57413625717</v>
      </c>
      <c r="BE81" s="48" t="str">
        <f t="shared" si="103"/>
        <v>nie</v>
      </c>
      <c r="BF81" s="48">
        <f t="shared" si="104"/>
        <v>70</v>
      </c>
      <c r="BG81" s="48">
        <f t="shared" si="105"/>
        <v>12484.735050368308</v>
      </c>
      <c r="BH81" s="48">
        <f t="shared" si="37"/>
        <v>0</v>
      </c>
      <c r="BI81" s="59">
        <f t="shared" si="106"/>
        <v>1.4999999999999999E-2</v>
      </c>
      <c r="BJ81" s="48">
        <f t="shared" si="107"/>
        <v>0</v>
      </c>
      <c r="BK81" s="48">
        <f t="shared" si="108"/>
        <v>12484.735050368308</v>
      </c>
      <c r="BL81" s="24"/>
      <c r="BM81" s="56">
        <f t="shared" si="65"/>
        <v>100</v>
      </c>
      <c r="BN81" s="48">
        <f t="shared" si="66"/>
        <v>10000</v>
      </c>
      <c r="BO81" s="48">
        <f t="shared" si="60"/>
        <v>10000</v>
      </c>
      <c r="BP81" s="48">
        <f t="shared" si="122"/>
        <v>13121.956776374998</v>
      </c>
      <c r="BQ81" s="59">
        <f t="shared" si="109"/>
        <v>6.5000000000000002E-2</v>
      </c>
      <c r="BR81" s="48">
        <f t="shared" si="110"/>
        <v>13335.188573991094</v>
      </c>
      <c r="BS81" s="48" t="str">
        <f t="shared" si="111"/>
        <v>nie</v>
      </c>
      <c r="BT81" s="48">
        <f t="shared" si="112"/>
        <v>200</v>
      </c>
      <c r="BU81" s="48">
        <f t="shared" si="45"/>
        <v>12539.502744932786</v>
      </c>
      <c r="BV81" s="48">
        <f t="shared" si="46"/>
        <v>0</v>
      </c>
      <c r="BW81" s="59">
        <f t="shared" si="113"/>
        <v>1.4999999999999999E-2</v>
      </c>
      <c r="BX81" s="48">
        <f t="shared" si="114"/>
        <v>0</v>
      </c>
      <c r="BY81" s="48">
        <f t="shared" si="115"/>
        <v>12539.502744932786</v>
      </c>
    </row>
    <row r="82" spans="1:77" s="25" customFormat="1" ht="14">
      <c r="A82" s="24"/>
      <c r="B82" s="173"/>
      <c r="C82" s="66">
        <f t="shared" si="130"/>
        <v>48</v>
      </c>
      <c r="D82" s="48">
        <f t="shared" si="131"/>
        <v>11523.59795113544</v>
      </c>
      <c r="E82" s="48">
        <f t="shared" si="132"/>
        <v>11549.232503199999</v>
      </c>
      <c r="F82" s="48">
        <f t="shared" si="133"/>
        <v>11704.684155273437</v>
      </c>
      <c r="G82" s="49">
        <f t="shared" si="134"/>
        <v>11718.079801749998</v>
      </c>
      <c r="H82" s="49">
        <f t="shared" si="135"/>
        <v>10497.745353195629</v>
      </c>
      <c r="I82" s="48">
        <f t="shared" si="136"/>
        <v>12155.062500000002</v>
      </c>
      <c r="J82" s="24"/>
      <c r="K82" s="84"/>
      <c r="L82" s="64">
        <f t="shared" si="137"/>
        <v>48</v>
      </c>
      <c r="M82" s="51">
        <f t="shared" si="124"/>
        <v>0.15235979511354403</v>
      </c>
      <c r="N82" s="51">
        <f t="shared" si="125"/>
        <v>0.15492325031999998</v>
      </c>
      <c r="O82" s="51">
        <f t="shared" si="126"/>
        <v>0.17046841552734371</v>
      </c>
      <c r="P82" s="51">
        <f t="shared" si="127"/>
        <v>0.17180798017499987</v>
      </c>
      <c r="Q82" s="51">
        <f t="shared" si="128"/>
        <v>4.9774535319562885E-2</v>
      </c>
      <c r="R82" s="51">
        <f t="shared" si="129"/>
        <v>0.21550625000000023</v>
      </c>
      <c r="S82" s="24"/>
      <c r="T82" s="45">
        <f t="shared" si="50"/>
        <v>64</v>
      </c>
      <c r="U82" s="59">
        <f t="shared" si="123"/>
        <v>0.05</v>
      </c>
      <c r="V82" s="48">
        <f t="shared" si="83"/>
        <v>12975.529218750002</v>
      </c>
      <c r="W82" s="56">
        <f t="shared" si="116"/>
        <v>104</v>
      </c>
      <c r="X82" s="48">
        <f t="shared" si="117"/>
        <v>10389.6</v>
      </c>
      <c r="Y82" s="48">
        <f t="shared" si="62"/>
        <v>10400</v>
      </c>
      <c r="Z82" s="48">
        <f t="shared" si="53"/>
        <v>10400</v>
      </c>
      <c r="AA82" s="59">
        <f t="shared" si="84"/>
        <v>5.7500000000000002E-2</v>
      </c>
      <c r="AB82" s="48">
        <f t="shared" si="85"/>
        <v>10599.333333333334</v>
      </c>
      <c r="AC82" s="48" t="str">
        <f t="shared" si="86"/>
        <v>nie</v>
      </c>
      <c r="AD82" s="48">
        <f t="shared" si="87"/>
        <v>72.8</v>
      </c>
      <c r="AE82" s="48">
        <f t="shared" si="88"/>
        <v>10502.492000000002</v>
      </c>
      <c r="AF82" s="48">
        <f t="shared" si="89"/>
        <v>0</v>
      </c>
      <c r="AG82" s="59">
        <f t="shared" si="90"/>
        <v>1.4999999999999999E-2</v>
      </c>
      <c r="AH82" s="48">
        <f t="shared" si="91"/>
        <v>1262.4650799365743</v>
      </c>
      <c r="AI82" s="48">
        <f t="shared" si="92"/>
        <v>11764.957079936576</v>
      </c>
      <c r="AJ82" s="24"/>
      <c r="AK82" s="56">
        <f t="shared" si="118"/>
        <v>100</v>
      </c>
      <c r="AL82" s="48">
        <f t="shared" si="119"/>
        <v>10000</v>
      </c>
      <c r="AM82" s="48">
        <f t="shared" si="56"/>
        <v>10000</v>
      </c>
      <c r="AN82" s="48">
        <f t="shared" si="120"/>
        <v>12839.390683199999</v>
      </c>
      <c r="AO82" s="59">
        <f t="shared" si="93"/>
        <v>6.0000000000000005E-2</v>
      </c>
      <c r="AP82" s="48">
        <f t="shared" si="94"/>
        <v>13096.178496864</v>
      </c>
      <c r="AQ82" s="48" t="str">
        <f t="shared" si="95"/>
        <v>nie</v>
      </c>
      <c r="AR82" s="48">
        <f t="shared" si="96"/>
        <v>200</v>
      </c>
      <c r="AS82" s="48">
        <f t="shared" si="97"/>
        <v>12345.90458245984</v>
      </c>
      <c r="AT82" s="48">
        <f t="shared" si="28"/>
        <v>0</v>
      </c>
      <c r="AU82" s="59">
        <f t="shared" si="98"/>
        <v>1.4999999999999999E-2</v>
      </c>
      <c r="AV82" s="48">
        <f t="shared" si="99"/>
        <v>0</v>
      </c>
      <c r="AW82" s="48">
        <f t="shared" si="100"/>
        <v>12345.90458245984</v>
      </c>
      <c r="AY82" s="56">
        <f t="shared" si="63"/>
        <v>100</v>
      </c>
      <c r="AZ82" s="48">
        <f t="shared" si="64"/>
        <v>10000</v>
      </c>
      <c r="BA82" s="48">
        <f t="shared" si="58"/>
        <v>10000</v>
      </c>
      <c r="BB82" s="48">
        <f t="shared" si="121"/>
        <v>12935.457611083983</v>
      </c>
      <c r="BC82" s="59">
        <f t="shared" si="101"/>
        <v>6.25E-2</v>
      </c>
      <c r="BD82" s="48">
        <f t="shared" si="102"/>
        <v>13204.946311314898</v>
      </c>
      <c r="BE82" s="48" t="str">
        <f t="shared" si="103"/>
        <v>nie</v>
      </c>
      <c r="BF82" s="48">
        <f t="shared" si="104"/>
        <v>70</v>
      </c>
      <c r="BG82" s="48">
        <f t="shared" si="105"/>
        <v>12539.306512165067</v>
      </c>
      <c r="BH82" s="48">
        <f t="shared" si="37"/>
        <v>0</v>
      </c>
      <c r="BI82" s="59">
        <f t="shared" si="106"/>
        <v>1.4999999999999999E-2</v>
      </c>
      <c r="BJ82" s="48">
        <f t="shared" si="107"/>
        <v>0</v>
      </c>
      <c r="BK82" s="48">
        <f t="shared" si="108"/>
        <v>12539.306512165067</v>
      </c>
      <c r="BL82" s="24"/>
      <c r="BM82" s="56">
        <f t="shared" si="65"/>
        <v>100</v>
      </c>
      <c r="BN82" s="48">
        <f t="shared" si="66"/>
        <v>10000</v>
      </c>
      <c r="BO82" s="48">
        <f t="shared" si="60"/>
        <v>10000</v>
      </c>
      <c r="BP82" s="48">
        <f t="shared" si="122"/>
        <v>13121.956776374998</v>
      </c>
      <c r="BQ82" s="59">
        <f t="shared" si="109"/>
        <v>6.5000000000000002E-2</v>
      </c>
      <c r="BR82" s="48">
        <f t="shared" si="110"/>
        <v>13406.265839863125</v>
      </c>
      <c r="BS82" s="48" t="str">
        <f t="shared" si="111"/>
        <v>nie</v>
      </c>
      <c r="BT82" s="48">
        <f t="shared" si="112"/>
        <v>200</v>
      </c>
      <c r="BU82" s="48">
        <f t="shared" si="45"/>
        <v>12597.075330289132</v>
      </c>
      <c r="BV82" s="48">
        <f t="shared" si="46"/>
        <v>0</v>
      </c>
      <c r="BW82" s="59">
        <f t="shared" si="113"/>
        <v>1.4999999999999999E-2</v>
      </c>
      <c r="BX82" s="48">
        <f t="shared" si="114"/>
        <v>0</v>
      </c>
      <c r="BY82" s="48">
        <f t="shared" si="115"/>
        <v>12597.075330289132</v>
      </c>
    </row>
    <row r="83" spans="1:77" s="25" customFormat="1" ht="14">
      <c r="A83" s="24"/>
      <c r="B83" s="171">
        <f>ROUNDUP(C94/12,0)</f>
        <v>5</v>
      </c>
      <c r="C83" s="66">
        <f t="shared" si="130"/>
        <v>49</v>
      </c>
      <c r="D83" s="48">
        <f t="shared" si="131"/>
        <v>11535.146124060964</v>
      </c>
      <c r="E83" s="48">
        <f t="shared" si="132"/>
        <v>11598.288665715998</v>
      </c>
      <c r="F83" s="48">
        <f t="shared" si="133"/>
        <v>11756.045531082151</v>
      </c>
      <c r="G83" s="49">
        <f t="shared" si="134"/>
        <v>11772.13856734281</v>
      </c>
      <c r="H83" s="49">
        <f t="shared" si="135"/>
        <v>10508.37432036574</v>
      </c>
      <c r="I83" s="48">
        <f t="shared" si="136"/>
        <v>12205.708593750001</v>
      </c>
      <c r="J83" s="24"/>
      <c r="K83" s="84"/>
      <c r="L83" s="64">
        <f t="shared" si="137"/>
        <v>49</v>
      </c>
      <c r="M83" s="51">
        <f t="shared" si="124"/>
        <v>0.15351461240609643</v>
      </c>
      <c r="N83" s="51">
        <f t="shared" si="125"/>
        <v>0.15982886657159989</v>
      </c>
      <c r="O83" s="51">
        <f t="shared" si="126"/>
        <v>0.1756045531082151</v>
      </c>
      <c r="P83" s="51">
        <f t="shared" si="127"/>
        <v>0.17721385673428114</v>
      </c>
      <c r="Q83" s="51">
        <f t="shared" si="128"/>
        <v>5.0837432036573871E-2</v>
      </c>
      <c r="R83" s="51">
        <f t="shared" si="129"/>
        <v>0.22057085937500021</v>
      </c>
      <c r="S83" s="24"/>
      <c r="T83" s="45">
        <f t="shared" si="50"/>
        <v>65</v>
      </c>
      <c r="U83" s="59">
        <f t="shared" si="123"/>
        <v>0.05</v>
      </c>
      <c r="V83" s="48">
        <f t="shared" ref="V83:V114" si="138">zakup_domyslny_wartosc*IFERROR((INDEX(scenariusz_I_inflacja_skumulowana,MATCH(ROUNDDOWN(T83/12,0),scenariusz_I_rok,0))+1),1)
*(1+MOD(T83,12)*INDEX(scenariusz_I_inflacja,MATCH(ROUNDUP(T83/12,0),scenariusz_I_rok,0))/12)</f>
        <v>13028.707617187501</v>
      </c>
      <c r="W83" s="56">
        <f t="shared" si="116"/>
        <v>104</v>
      </c>
      <c r="X83" s="48">
        <f t="shared" si="117"/>
        <v>10389.6</v>
      </c>
      <c r="Y83" s="48">
        <f t="shared" si="62"/>
        <v>10400</v>
      </c>
      <c r="Z83" s="48">
        <f t="shared" si="53"/>
        <v>10400</v>
      </c>
      <c r="AA83" s="59">
        <f t="shared" ref="AA83:AA114" si="139">IF(AND(MOD($T83,zapadalnosc_COI)&lt;=12,MOD($T83,zapadalnosc_COI)&lt;&gt;0),proc_I_okres_COI,(marza_COI+$U83))</f>
        <v>5.7500000000000002E-2</v>
      </c>
      <c r="AB83" s="48">
        <f t="shared" ref="AB83:AB114" si="140">Z83*(1+AA83*IF(MOD($T83,12)&lt;&gt;0,MOD($T83,12),12)/12)</f>
        <v>10649.166666666666</v>
      </c>
      <c r="AC83" s="48" t="str">
        <f t="shared" ref="AC83:AC114" si="141">IF(MOD($T83,zapadalnosc_COI)=0,"tak","nie")</f>
        <v>nie</v>
      </c>
      <c r="AD83" s="48">
        <f t="shared" ref="AD83:AD114" si="142">IF(MOD($T83,zapadalnosc_COI)=0,0,
IF(AND(MOD($T83,zapadalnosc_COI)&lt;zapadalnosc_COI,MOD($T83,zapadalnosc_COI)&lt;=12),
MIN(AB83-Y83,W83*koszt_wczesniejszy_wykup_COI),W83*koszt_wczesniejszy_wykup_COI))</f>
        <v>72.8</v>
      </c>
      <c r="AE83" s="48">
        <f t="shared" ref="AE83:AE114" si="143">AB83-AD83
-(AB83-Y83-AD83)*podatek_Belki</f>
        <v>10542.857</v>
      </c>
      <c r="AF83" s="48">
        <f t="shared" ref="AF83:AF114" si="144">IF(MOD(T83,wyplata_odsetek_COI)=0, (AB83-Y83)*(1-podatek_Belki),0)
-IF(AND(AC83="tak",X84&lt;&gt;""),X84-Y83,0)</f>
        <v>0</v>
      </c>
      <c r="AG83" s="59">
        <f t="shared" ref="AG83:AG114" si="145">INDEX(scenariusz_I_konto,MATCH(ROUNDUP($T83/12,0),scenariusz_I_rok,0))</f>
        <v>1.4999999999999999E-2</v>
      </c>
      <c r="AH83" s="48">
        <f t="shared" ref="AH83:AH114" si="146">AH82*(1+AG83/12*(1-podatek_Belki))+AF83</f>
        <v>1263.7433258300102</v>
      </c>
      <c r="AI83" s="48">
        <f t="shared" ref="AI83:AI114" si="147">AH82*(1+AG83/12*(1-podatek_Belki))+AE83</f>
        <v>11806.60032583001</v>
      </c>
      <c r="AJ83" s="24"/>
      <c r="AK83" s="56">
        <f t="shared" si="118"/>
        <v>100</v>
      </c>
      <c r="AL83" s="48">
        <f t="shared" si="119"/>
        <v>10000</v>
      </c>
      <c r="AM83" s="48">
        <f t="shared" si="56"/>
        <v>10000</v>
      </c>
      <c r="AN83" s="48">
        <f t="shared" si="120"/>
        <v>12839.390683199999</v>
      </c>
      <c r="AO83" s="59">
        <f t="shared" ref="AO83:AO114" si="148">IF(AND(MOD($T83,zapadalnosc_EDO)&lt;=12,MOD($T83,zapadalnosc_EDO)&lt;&gt;0),proc_I_okres_EDO,(marza_EDO+$U83))</f>
        <v>6.0000000000000005E-2</v>
      </c>
      <c r="AP83" s="48">
        <f t="shared" ref="AP83:AP114" si="149">AN83*(1+AO83*IF(MOD($T83,12)&lt;&gt;0,MOD($T83,12),12)/12)</f>
        <v>13160.375450279998</v>
      </c>
      <c r="AQ83" s="48" t="str">
        <f t="shared" ref="AQ83:AQ114" si="150">IF(MOD($T83,zapadalnosc_EDO)=0,"tak","nie")</f>
        <v>nie</v>
      </c>
      <c r="AR83" s="48">
        <f t="shared" ref="AR83:AR114" si="151">IF(AND(MOD($T83,zapadalnosc_EDO)&lt;zapadalnosc_EDO,MOD($T83,zapadalnosc_EDO)&lt;&gt;0),MIN(AP83-AM83,AK83*koszt_wczesniejszy_wykup_EDO),0)</f>
        <v>200</v>
      </c>
      <c r="AS83" s="48">
        <f t="shared" ref="AS83:AS114" si="152">AP83-AR83
-(AP83-AM83-AR83)*podatek_Belki</f>
        <v>12397.904114726798</v>
      </c>
      <c r="AT83" s="48">
        <f t="shared" ref="AT83:AT137" si="153">IF(AND(AQ83="tak",AL84&lt;&gt;""),
 AS83-AL84,
0)</f>
        <v>0</v>
      </c>
      <c r="AU83" s="59">
        <f t="shared" ref="AU83:AU114" si="154">INDEX(scenariusz_I_konto,MATCH(ROUNDUP($T83/12,0),scenariusz_I_rok,0))</f>
        <v>1.4999999999999999E-2</v>
      </c>
      <c r="AV83" s="48">
        <f t="shared" ref="AV83:AV114" si="155">AV82*(1+AU83/12*(1-podatek_Belki))+AT83</f>
        <v>0</v>
      </c>
      <c r="AW83" s="48">
        <f t="shared" ref="AW83:AW114" si="156">AV82*(1+AU83/12*(1-podatek_Belki))+AS83</f>
        <v>12397.904114726798</v>
      </c>
      <c r="AY83" s="56">
        <f t="shared" si="63"/>
        <v>100</v>
      </c>
      <c r="AZ83" s="48">
        <f t="shared" si="64"/>
        <v>10000</v>
      </c>
      <c r="BA83" s="48">
        <f t="shared" si="58"/>
        <v>10000</v>
      </c>
      <c r="BB83" s="48">
        <f t="shared" si="121"/>
        <v>12935.457611083983</v>
      </c>
      <c r="BC83" s="59">
        <f t="shared" ref="BC83:BC114" si="157">IF(AND(MOD($T83,zapadalnosc_ROS)&lt;=12,MOD($T83,zapadalnosc_ROS)&lt;&gt;0),proc_I_okres_ROS,(marza_ROS+$U83))</f>
        <v>6.25E-2</v>
      </c>
      <c r="BD83" s="48">
        <f t="shared" ref="BD83:BD114" si="158">BB83*(1+BC83*IF(MOD($T83,12)&lt;&gt;0,MOD($T83,12),12)/12)</f>
        <v>13272.318486372629</v>
      </c>
      <c r="BE83" s="48" t="str">
        <f t="shared" ref="BE83:BE114" si="159">IF(MOD($T83,zapadalnosc_ROS)=0,"tak","nie")</f>
        <v>nie</v>
      </c>
      <c r="BF83" s="48">
        <f t="shared" ref="BF83:BF114" si="160">IF(AND(MOD($T83,zapadalnosc_ROS)&lt;zapadalnosc_ROS,MOD($T83,zapadalnosc_ROS)&lt;&gt;0),MIN(BD83-BA83,AY83*koszt_wczesniejszy_wykup_ROS),0)</f>
        <v>70</v>
      </c>
      <c r="BG83" s="48">
        <f t="shared" ref="BG83:BG90" si="161">BD83-BF83
-(BD83-BA83-BF83)*podatek_Belki</f>
        <v>12593.877973961829</v>
      </c>
      <c r="BH83" s="48">
        <f t="shared" ref="BH83:BH137" si="162">IF(AND(BE83="tak",AZ84&lt;&gt;""),
 BG83-AZ84,
0)</f>
        <v>0</v>
      </c>
      <c r="BI83" s="59">
        <f t="shared" ref="BI83:BI114" si="163">INDEX(scenariusz_I_konto,MATCH(ROUNDUP($T83/12,0),scenariusz_I_rok,0))</f>
        <v>1.4999999999999999E-2</v>
      </c>
      <c r="BJ83" s="48">
        <f t="shared" ref="BJ83:BJ114" si="164">BJ82*(1+BI83/12*(1-podatek_Belki))+BH83</f>
        <v>0</v>
      </c>
      <c r="BK83" s="48">
        <f t="shared" ref="BK83:BK114" si="165">BJ82*(1+BI83/12*(1-podatek_Belki))+BG83</f>
        <v>12593.877973961829</v>
      </c>
      <c r="BL83" s="24"/>
      <c r="BM83" s="56">
        <f t="shared" si="65"/>
        <v>100</v>
      </c>
      <c r="BN83" s="48">
        <f t="shared" si="66"/>
        <v>10000</v>
      </c>
      <c r="BO83" s="48">
        <f t="shared" si="60"/>
        <v>10000</v>
      </c>
      <c r="BP83" s="48">
        <f t="shared" si="122"/>
        <v>13121.956776374998</v>
      </c>
      <c r="BQ83" s="59">
        <f t="shared" ref="BQ83:BQ114" si="166">IF(AND(MOD($T83,zapadalnosc_ROD)&lt;=12,MOD($T83,zapadalnosc_ROD)&lt;&gt;0),proc_I_okres_ROD,(marza_ROD+$U83))</f>
        <v>6.5000000000000002E-2</v>
      </c>
      <c r="BR83" s="48">
        <f t="shared" ref="BR83:BR114" si="167">BP83*(1+BQ83*IF(MOD($T83,12)&lt;&gt;0,MOD($T83,12),12)/12)</f>
        <v>13477.343105735155</v>
      </c>
      <c r="BS83" s="48" t="str">
        <f t="shared" ref="BS83:BS114" si="168">IF(MOD($T83,zapadalnosc_ROD)=0,"tak","nie")</f>
        <v>nie</v>
      </c>
      <c r="BT83" s="48">
        <f t="shared" ref="BT83:BT114" si="169">IF(AND(MOD($T83,zapadalnosc_ROD)&lt;zapadalnosc_ROD,MOD($T83,zapadalnosc_ROD)&lt;&gt;0),MIN(BR83-BO83,BM83*koszt_wczesniejszy_wykup_ROD),0)</f>
        <v>200</v>
      </c>
      <c r="BU83" s="48">
        <f t="shared" ref="BU83:BU146" si="170">BR83-BT83
-(BR83-BO83-BT83)*podatek_Belki</f>
        <v>12654.647915645475</v>
      </c>
      <c r="BV83" s="48">
        <f t="shared" ref="BV83:BV137" si="171">IF(AND(BS83="tak",BN84&lt;&gt;""),
 BU83-BN84,
0)</f>
        <v>0</v>
      </c>
      <c r="BW83" s="59">
        <f t="shared" ref="BW83:BW114" si="172">INDEX(scenariusz_I_konto,MATCH(ROUNDUP($T83/12,0),scenariusz_I_rok,0))</f>
        <v>1.4999999999999999E-2</v>
      </c>
      <c r="BX83" s="48">
        <f t="shared" ref="BX83:BX114" si="173">BX82*(1+BW83/12*(1-podatek_Belki))+BV83</f>
        <v>0</v>
      </c>
      <c r="BY83" s="48">
        <f t="shared" ref="BY83:BY114" si="174">BX82*(1+BW83/12*(1-podatek_Belki))+BU83</f>
        <v>12654.647915645475</v>
      </c>
    </row>
    <row r="84" spans="1:77" s="25" customFormat="1" ht="14">
      <c r="A84" s="24"/>
      <c r="B84" s="172"/>
      <c r="C84" s="66">
        <f t="shared" si="130"/>
        <v>50</v>
      </c>
      <c r="D84" s="48">
        <f t="shared" si="131"/>
        <v>11536.295459511575</v>
      </c>
      <c r="E84" s="48">
        <f t="shared" si="132"/>
        <v>11647.344828231999</v>
      </c>
      <c r="F84" s="48">
        <f t="shared" si="133"/>
        <v>11807.406906890868</v>
      </c>
      <c r="G84" s="49">
        <f t="shared" si="134"/>
        <v>11826.197332935622</v>
      </c>
      <c r="H84" s="49">
        <f t="shared" si="135"/>
        <v>10519.014049365111</v>
      </c>
      <c r="I84" s="48">
        <f t="shared" si="136"/>
        <v>12256.354687500001</v>
      </c>
      <c r="J84" s="24"/>
      <c r="K84" s="84"/>
      <c r="L84" s="64">
        <f t="shared" si="137"/>
        <v>50</v>
      </c>
      <c r="M84" s="51">
        <f t="shared" si="124"/>
        <v>0.15362954595115763</v>
      </c>
      <c r="N84" s="51">
        <f t="shared" si="125"/>
        <v>0.1647344828231998</v>
      </c>
      <c r="O84" s="51">
        <f t="shared" si="126"/>
        <v>0.18074069068908694</v>
      </c>
      <c r="P84" s="51">
        <f t="shared" si="127"/>
        <v>0.18261973329356218</v>
      </c>
      <c r="Q84" s="51">
        <f t="shared" si="128"/>
        <v>5.1901404936510964E-2</v>
      </c>
      <c r="R84" s="51">
        <f t="shared" si="129"/>
        <v>0.22563546875000018</v>
      </c>
      <c r="S84" s="24"/>
      <c r="T84" s="45">
        <f t="shared" ref="T84:T147" si="175">T83+1</f>
        <v>66</v>
      </c>
      <c r="U84" s="59">
        <f t="shared" si="123"/>
        <v>0.05</v>
      </c>
      <c r="V84" s="48">
        <f t="shared" si="138"/>
        <v>13081.886015625001</v>
      </c>
      <c r="W84" s="56">
        <f t="shared" ref="W84:W115" si="176">IF(AC83="tak",
ROUNDDOWN(AE83/zamiana_COI,0),
W83)</f>
        <v>104</v>
      </c>
      <c r="X84" s="48">
        <f t="shared" ref="X84:X115" si="177">IF(AC83="tak",
W84*zamiana_COI,
X83)</f>
        <v>10389.6</v>
      </c>
      <c r="Y84" s="48">
        <f t="shared" si="62"/>
        <v>10400</v>
      </c>
      <c r="Z84" s="48">
        <f t="shared" ref="Z84:Z147" si="178">Y84</f>
        <v>10400</v>
      </c>
      <c r="AA84" s="59">
        <f t="shared" si="139"/>
        <v>5.7500000000000002E-2</v>
      </c>
      <c r="AB84" s="48">
        <f t="shared" si="140"/>
        <v>10699</v>
      </c>
      <c r="AC84" s="48" t="str">
        <f t="shared" si="141"/>
        <v>nie</v>
      </c>
      <c r="AD84" s="48">
        <f t="shared" si="142"/>
        <v>72.8</v>
      </c>
      <c r="AE84" s="48">
        <f t="shared" si="143"/>
        <v>10583.222000000002</v>
      </c>
      <c r="AF84" s="48">
        <f t="shared" si="144"/>
        <v>0</v>
      </c>
      <c r="AG84" s="59">
        <f t="shared" si="145"/>
        <v>1.4999999999999999E-2</v>
      </c>
      <c r="AH84" s="48">
        <f t="shared" si="146"/>
        <v>1265.0228659474133</v>
      </c>
      <c r="AI84" s="48">
        <f t="shared" si="147"/>
        <v>11848.244865947414</v>
      </c>
      <c r="AJ84" s="24"/>
      <c r="AK84" s="56">
        <f t="shared" ref="AK84:AK115" si="179">IF(AQ83="tak",
ROUNDDOWN(AS83/zamiana_EDO,0),
AK83)</f>
        <v>100</v>
      </c>
      <c r="AL84" s="48">
        <f t="shared" ref="AL84:AL115" si="180">IF(AQ83="tak",
AK84*zamiana_EDO,
AL83)</f>
        <v>10000</v>
      </c>
      <c r="AM84" s="48">
        <f t="shared" ref="AM84:AM147" si="181">IF(AQ83="tak",
AK84*100,
AM83)</f>
        <v>10000</v>
      </c>
      <c r="AN84" s="48">
        <f t="shared" ref="AN84:AN115" si="182">IF(AQ83="tak",
 AM84,
IF(MOD($T84,kapitalizacja_odsetek_mc_EDO)&lt;&gt;1,AN83,AP83))</f>
        <v>12839.390683199999</v>
      </c>
      <c r="AO84" s="59">
        <f t="shared" si="148"/>
        <v>6.0000000000000005E-2</v>
      </c>
      <c r="AP84" s="48">
        <f t="shared" si="149"/>
        <v>13224.572403696</v>
      </c>
      <c r="AQ84" s="48" t="str">
        <f t="shared" si="150"/>
        <v>nie</v>
      </c>
      <c r="AR84" s="48">
        <f t="shared" si="151"/>
        <v>200</v>
      </c>
      <c r="AS84" s="48">
        <f t="shared" si="152"/>
        <v>12449.90364699376</v>
      </c>
      <c r="AT84" s="48">
        <f t="shared" si="153"/>
        <v>0</v>
      </c>
      <c r="AU84" s="59">
        <f t="shared" si="154"/>
        <v>1.4999999999999999E-2</v>
      </c>
      <c r="AV84" s="48">
        <f t="shared" si="155"/>
        <v>0</v>
      </c>
      <c r="AW84" s="48">
        <f t="shared" si="156"/>
        <v>12449.90364699376</v>
      </c>
      <c r="AY84" s="56">
        <f t="shared" si="63"/>
        <v>100</v>
      </c>
      <c r="AZ84" s="48">
        <f t="shared" si="64"/>
        <v>10000</v>
      </c>
      <c r="BA84" s="48">
        <f t="shared" ref="BA84:BA147" si="183">IF(BE83="tak",
AY84*100,
BA83)</f>
        <v>10000</v>
      </c>
      <c r="BB84" s="48">
        <f t="shared" ref="BB84:BB115" si="184">IF(BE83="tak",
 BA84,
IF(MOD($T84,kapitalizacja_odsetek_mc_ROS)&lt;&gt;1,BB83,BD83))</f>
        <v>12935.457611083983</v>
      </c>
      <c r="BC84" s="59">
        <f t="shared" si="157"/>
        <v>6.25E-2</v>
      </c>
      <c r="BD84" s="48">
        <f t="shared" si="158"/>
        <v>13339.690661430357</v>
      </c>
      <c r="BE84" s="48" t="str">
        <f t="shared" si="159"/>
        <v>nie</v>
      </c>
      <c r="BF84" s="48">
        <f t="shared" si="160"/>
        <v>70</v>
      </c>
      <c r="BG84" s="48">
        <f t="shared" si="161"/>
        <v>12648.44943575859</v>
      </c>
      <c r="BH84" s="48">
        <f t="shared" si="162"/>
        <v>0</v>
      </c>
      <c r="BI84" s="59">
        <f t="shared" si="163"/>
        <v>1.4999999999999999E-2</v>
      </c>
      <c r="BJ84" s="48">
        <f t="shared" si="164"/>
        <v>0</v>
      </c>
      <c r="BK84" s="48">
        <f t="shared" si="165"/>
        <v>12648.44943575859</v>
      </c>
      <c r="BL84" s="24"/>
      <c r="BM84" s="56">
        <f t="shared" si="65"/>
        <v>100</v>
      </c>
      <c r="BN84" s="48">
        <f t="shared" si="66"/>
        <v>10000</v>
      </c>
      <c r="BO84" s="48">
        <f t="shared" ref="BO84:BO147" si="185">IF(BS83="tak",
BM84*100,
BO83)</f>
        <v>10000</v>
      </c>
      <c r="BP84" s="48">
        <f t="shared" ref="BP84:BP115" si="186">IF(BS83="tak",
 BO84,
IF(MOD($T84,kapitalizacja_odsetek_mc_ROD)&lt;&gt;1,BP83,BR83))</f>
        <v>13121.956776374998</v>
      </c>
      <c r="BQ84" s="59">
        <f t="shared" si="166"/>
        <v>6.5000000000000002E-2</v>
      </c>
      <c r="BR84" s="48">
        <f t="shared" si="167"/>
        <v>13548.420371607186</v>
      </c>
      <c r="BS84" s="48" t="str">
        <f t="shared" si="168"/>
        <v>nie</v>
      </c>
      <c r="BT84" s="48">
        <f t="shared" si="169"/>
        <v>200</v>
      </c>
      <c r="BU84" s="48">
        <f t="shared" si="170"/>
        <v>12712.220501001821</v>
      </c>
      <c r="BV84" s="48">
        <f t="shared" si="171"/>
        <v>0</v>
      </c>
      <c r="BW84" s="59">
        <f t="shared" si="172"/>
        <v>1.4999999999999999E-2</v>
      </c>
      <c r="BX84" s="48">
        <f t="shared" si="173"/>
        <v>0</v>
      </c>
      <c r="BY84" s="48">
        <f t="shared" si="174"/>
        <v>12712.220501001821</v>
      </c>
    </row>
    <row r="85" spans="1:77" s="25" customFormat="1" ht="14">
      <c r="A85" s="24"/>
      <c r="B85" s="172"/>
      <c r="C85" s="66">
        <f t="shared" si="130"/>
        <v>51</v>
      </c>
      <c r="D85" s="48">
        <f t="shared" si="131"/>
        <v>11537.445958664332</v>
      </c>
      <c r="E85" s="48">
        <f t="shared" si="132"/>
        <v>11696.400990747999</v>
      </c>
      <c r="F85" s="48">
        <f t="shared" si="133"/>
        <v>11858.768282699584</v>
      </c>
      <c r="G85" s="49">
        <f t="shared" si="134"/>
        <v>11880.256098528438</v>
      </c>
      <c r="H85" s="49">
        <f t="shared" si="135"/>
        <v>10529.664551090094</v>
      </c>
      <c r="I85" s="48">
        <f t="shared" si="136"/>
        <v>12307.000781250001</v>
      </c>
      <c r="J85" s="24"/>
      <c r="K85" s="84"/>
      <c r="L85" s="64">
        <f t="shared" si="137"/>
        <v>51</v>
      </c>
      <c r="M85" s="51">
        <f t="shared" si="124"/>
        <v>0.15374459586643319</v>
      </c>
      <c r="N85" s="51">
        <f t="shared" si="125"/>
        <v>0.16964009907479993</v>
      </c>
      <c r="O85" s="51">
        <f t="shared" si="126"/>
        <v>0.18587682826995833</v>
      </c>
      <c r="P85" s="51">
        <f t="shared" si="127"/>
        <v>0.18802560985284389</v>
      </c>
      <c r="Q85" s="51">
        <f t="shared" si="128"/>
        <v>5.2966455109009436E-2</v>
      </c>
      <c r="R85" s="51">
        <f t="shared" si="129"/>
        <v>0.23070007812500015</v>
      </c>
      <c r="S85" s="24"/>
      <c r="T85" s="45">
        <f t="shared" si="175"/>
        <v>67</v>
      </c>
      <c r="U85" s="59">
        <f t="shared" si="123"/>
        <v>0.05</v>
      </c>
      <c r="V85" s="48">
        <f t="shared" si="138"/>
        <v>13135.064414062501</v>
      </c>
      <c r="W85" s="56">
        <f t="shared" si="176"/>
        <v>104</v>
      </c>
      <c r="X85" s="48">
        <f t="shared" si="177"/>
        <v>10389.6</v>
      </c>
      <c r="Y85" s="48">
        <f t="shared" ref="Y85:Y148" si="187">IF(AC84="tak",
W85*100,
Y84)</f>
        <v>10400</v>
      </c>
      <c r="Z85" s="48">
        <f t="shared" si="178"/>
        <v>10400</v>
      </c>
      <c r="AA85" s="59">
        <f t="shared" si="139"/>
        <v>5.7500000000000002E-2</v>
      </c>
      <c r="AB85" s="48">
        <f t="shared" si="140"/>
        <v>10748.833333333332</v>
      </c>
      <c r="AC85" s="48" t="str">
        <f t="shared" si="141"/>
        <v>nie</v>
      </c>
      <c r="AD85" s="48">
        <f t="shared" si="142"/>
        <v>72.8</v>
      </c>
      <c r="AE85" s="48">
        <f t="shared" si="143"/>
        <v>10623.587</v>
      </c>
      <c r="AF85" s="48">
        <f t="shared" si="144"/>
        <v>0</v>
      </c>
      <c r="AG85" s="59">
        <f t="shared" si="145"/>
        <v>1.4999999999999999E-2</v>
      </c>
      <c r="AH85" s="48">
        <f t="shared" si="146"/>
        <v>1266.3037015991852</v>
      </c>
      <c r="AI85" s="48">
        <f t="shared" si="147"/>
        <v>11889.890701599184</v>
      </c>
      <c r="AJ85" s="24"/>
      <c r="AK85" s="56">
        <f t="shared" si="179"/>
        <v>100</v>
      </c>
      <c r="AL85" s="48">
        <f t="shared" si="180"/>
        <v>10000</v>
      </c>
      <c r="AM85" s="48">
        <f t="shared" si="181"/>
        <v>10000</v>
      </c>
      <c r="AN85" s="48">
        <f t="shared" si="182"/>
        <v>12839.390683199999</v>
      </c>
      <c r="AO85" s="59">
        <f t="shared" si="148"/>
        <v>6.0000000000000005E-2</v>
      </c>
      <c r="AP85" s="48">
        <f t="shared" si="149"/>
        <v>13288.769357111998</v>
      </c>
      <c r="AQ85" s="48" t="str">
        <f t="shared" si="150"/>
        <v>nie</v>
      </c>
      <c r="AR85" s="48">
        <f t="shared" si="151"/>
        <v>200</v>
      </c>
      <c r="AS85" s="48">
        <f t="shared" si="152"/>
        <v>12501.903179260718</v>
      </c>
      <c r="AT85" s="48">
        <f t="shared" si="153"/>
        <v>0</v>
      </c>
      <c r="AU85" s="59">
        <f t="shared" si="154"/>
        <v>1.4999999999999999E-2</v>
      </c>
      <c r="AV85" s="48">
        <f t="shared" si="155"/>
        <v>0</v>
      </c>
      <c r="AW85" s="48">
        <f t="shared" si="156"/>
        <v>12501.903179260718</v>
      </c>
      <c r="AY85" s="56">
        <f t="shared" ref="AY85:AY148" si="188">IF(BE84="tak",
ROUNDDOWN(BG84/100,0),
AY84)</f>
        <v>100</v>
      </c>
      <c r="AZ85" s="48">
        <f t="shared" ref="AZ85:AZ148" si="189">IF(BE84="tak",
AY85*100,
AZ84)</f>
        <v>10000</v>
      </c>
      <c r="BA85" s="48">
        <f t="shared" si="183"/>
        <v>10000</v>
      </c>
      <c r="BB85" s="48">
        <f t="shared" si="184"/>
        <v>12935.457611083983</v>
      </c>
      <c r="BC85" s="59">
        <f t="shared" si="157"/>
        <v>6.25E-2</v>
      </c>
      <c r="BD85" s="48">
        <f t="shared" si="158"/>
        <v>13407.062836488085</v>
      </c>
      <c r="BE85" s="48" t="str">
        <f t="shared" si="159"/>
        <v>nie</v>
      </c>
      <c r="BF85" s="48">
        <f t="shared" si="160"/>
        <v>70</v>
      </c>
      <c r="BG85" s="48">
        <f t="shared" si="161"/>
        <v>12703.020897555349</v>
      </c>
      <c r="BH85" s="48">
        <f t="shared" si="162"/>
        <v>0</v>
      </c>
      <c r="BI85" s="59">
        <f t="shared" si="163"/>
        <v>1.4999999999999999E-2</v>
      </c>
      <c r="BJ85" s="48">
        <f t="shared" si="164"/>
        <v>0</v>
      </c>
      <c r="BK85" s="48">
        <f t="shared" si="165"/>
        <v>12703.020897555349</v>
      </c>
      <c r="BL85" s="24"/>
      <c r="BM85" s="56">
        <f t="shared" ref="BM85:BM148" si="190">IF(BS84="tak",
ROUNDDOWN(BU84/100,0),
BM84)</f>
        <v>100</v>
      </c>
      <c r="BN85" s="48">
        <f t="shared" ref="BN85:BN148" si="191">IF(BS84="tak",
BM85*100,
BN84)</f>
        <v>10000</v>
      </c>
      <c r="BO85" s="48">
        <f t="shared" si="185"/>
        <v>10000</v>
      </c>
      <c r="BP85" s="48">
        <f t="shared" si="186"/>
        <v>13121.956776374998</v>
      </c>
      <c r="BQ85" s="59">
        <f t="shared" si="166"/>
        <v>6.5000000000000002E-2</v>
      </c>
      <c r="BR85" s="48">
        <f t="shared" si="167"/>
        <v>13619.497637479217</v>
      </c>
      <c r="BS85" s="48" t="str">
        <f t="shared" si="168"/>
        <v>nie</v>
      </c>
      <c r="BT85" s="48">
        <f t="shared" si="169"/>
        <v>200</v>
      </c>
      <c r="BU85" s="48">
        <f t="shared" si="170"/>
        <v>12769.793086358166</v>
      </c>
      <c r="BV85" s="48">
        <f t="shared" si="171"/>
        <v>0</v>
      </c>
      <c r="BW85" s="59">
        <f t="shared" si="172"/>
        <v>1.4999999999999999E-2</v>
      </c>
      <c r="BX85" s="48">
        <f t="shared" si="173"/>
        <v>0</v>
      </c>
      <c r="BY85" s="48">
        <f t="shared" si="174"/>
        <v>12769.793086358166</v>
      </c>
    </row>
    <row r="86" spans="1:77" s="25" customFormat="1" ht="14">
      <c r="A86" s="24"/>
      <c r="B86" s="172"/>
      <c r="C86" s="66">
        <f t="shared" si="130"/>
        <v>52</v>
      </c>
      <c r="D86" s="48">
        <f t="shared" si="131"/>
        <v>11538.597622697478</v>
      </c>
      <c r="E86" s="48">
        <f t="shared" si="132"/>
        <v>11745.457153263998</v>
      </c>
      <c r="F86" s="48">
        <f t="shared" si="133"/>
        <v>11910.129658508298</v>
      </c>
      <c r="G86" s="49">
        <f t="shared" si="134"/>
        <v>11934.314864121248</v>
      </c>
      <c r="H86" s="49">
        <f t="shared" si="135"/>
        <v>10540.325836448073</v>
      </c>
      <c r="I86" s="48">
        <f t="shared" si="136"/>
        <v>12357.646875</v>
      </c>
      <c r="J86" s="24"/>
      <c r="K86" s="84"/>
      <c r="L86" s="64">
        <f t="shared" si="137"/>
        <v>52</v>
      </c>
      <c r="M86" s="51">
        <f t="shared" si="124"/>
        <v>0.15385976226974774</v>
      </c>
      <c r="N86" s="51">
        <f t="shared" si="125"/>
        <v>0.17454571532639984</v>
      </c>
      <c r="O86" s="51">
        <f t="shared" si="126"/>
        <v>0.19101296585082972</v>
      </c>
      <c r="P86" s="51">
        <f t="shared" si="127"/>
        <v>0.19343148641212493</v>
      </c>
      <c r="Q86" s="51">
        <f t="shared" si="128"/>
        <v>5.4032583644807453E-2</v>
      </c>
      <c r="R86" s="51">
        <f t="shared" si="129"/>
        <v>0.23576468750000013</v>
      </c>
      <c r="S86" s="24"/>
      <c r="T86" s="45">
        <f t="shared" si="175"/>
        <v>68</v>
      </c>
      <c r="U86" s="59">
        <f t="shared" si="123"/>
        <v>0.05</v>
      </c>
      <c r="V86" s="48">
        <f t="shared" si="138"/>
        <v>13188.242812500004</v>
      </c>
      <c r="W86" s="56">
        <f t="shared" si="176"/>
        <v>104</v>
      </c>
      <c r="X86" s="48">
        <f t="shared" si="177"/>
        <v>10389.6</v>
      </c>
      <c r="Y86" s="48">
        <f t="shared" si="187"/>
        <v>10400</v>
      </c>
      <c r="Z86" s="48">
        <f t="shared" si="178"/>
        <v>10400</v>
      </c>
      <c r="AA86" s="59">
        <f t="shared" si="139"/>
        <v>5.7500000000000002E-2</v>
      </c>
      <c r="AB86" s="48">
        <f t="shared" si="140"/>
        <v>10798.666666666666</v>
      </c>
      <c r="AC86" s="48" t="str">
        <f t="shared" si="141"/>
        <v>nie</v>
      </c>
      <c r="AD86" s="48">
        <f t="shared" si="142"/>
        <v>72.8</v>
      </c>
      <c r="AE86" s="48">
        <f t="shared" si="143"/>
        <v>10663.952000000001</v>
      </c>
      <c r="AF86" s="48">
        <f t="shared" si="144"/>
        <v>0</v>
      </c>
      <c r="AG86" s="59">
        <f t="shared" si="145"/>
        <v>1.4999999999999999E-2</v>
      </c>
      <c r="AH86" s="48">
        <f t="shared" si="146"/>
        <v>1267.5858340970544</v>
      </c>
      <c r="AI86" s="48">
        <f t="shared" si="147"/>
        <v>11931.537834097056</v>
      </c>
      <c r="AJ86" s="24"/>
      <c r="AK86" s="56">
        <f t="shared" si="179"/>
        <v>100</v>
      </c>
      <c r="AL86" s="48">
        <f t="shared" si="180"/>
        <v>10000</v>
      </c>
      <c r="AM86" s="48">
        <f t="shared" si="181"/>
        <v>10000</v>
      </c>
      <c r="AN86" s="48">
        <f t="shared" si="182"/>
        <v>12839.390683199999</v>
      </c>
      <c r="AO86" s="59">
        <f t="shared" si="148"/>
        <v>6.0000000000000005E-2</v>
      </c>
      <c r="AP86" s="48">
        <f t="shared" si="149"/>
        <v>13352.966310528</v>
      </c>
      <c r="AQ86" s="48" t="str">
        <f t="shared" si="150"/>
        <v>nie</v>
      </c>
      <c r="AR86" s="48">
        <f t="shared" si="151"/>
        <v>200</v>
      </c>
      <c r="AS86" s="48">
        <f t="shared" si="152"/>
        <v>12553.90271152768</v>
      </c>
      <c r="AT86" s="48">
        <f t="shared" si="153"/>
        <v>0</v>
      </c>
      <c r="AU86" s="59">
        <f t="shared" si="154"/>
        <v>1.4999999999999999E-2</v>
      </c>
      <c r="AV86" s="48">
        <f t="shared" si="155"/>
        <v>0</v>
      </c>
      <c r="AW86" s="48">
        <f t="shared" si="156"/>
        <v>12553.90271152768</v>
      </c>
      <c r="AY86" s="56">
        <f t="shared" si="188"/>
        <v>100</v>
      </c>
      <c r="AZ86" s="48">
        <f t="shared" si="189"/>
        <v>10000</v>
      </c>
      <c r="BA86" s="48">
        <f t="shared" si="183"/>
        <v>10000</v>
      </c>
      <c r="BB86" s="48">
        <f t="shared" si="184"/>
        <v>12935.457611083983</v>
      </c>
      <c r="BC86" s="59">
        <f t="shared" si="157"/>
        <v>6.25E-2</v>
      </c>
      <c r="BD86" s="48">
        <f t="shared" si="158"/>
        <v>13474.435011545816</v>
      </c>
      <c r="BE86" s="48" t="str">
        <f t="shared" si="159"/>
        <v>nie</v>
      </c>
      <c r="BF86" s="48">
        <f t="shared" si="160"/>
        <v>70</v>
      </c>
      <c r="BG86" s="48">
        <f t="shared" si="161"/>
        <v>12757.592359352111</v>
      </c>
      <c r="BH86" s="48">
        <f t="shared" si="162"/>
        <v>0</v>
      </c>
      <c r="BI86" s="59">
        <f t="shared" si="163"/>
        <v>1.4999999999999999E-2</v>
      </c>
      <c r="BJ86" s="48">
        <f t="shared" si="164"/>
        <v>0</v>
      </c>
      <c r="BK86" s="48">
        <f t="shared" si="165"/>
        <v>12757.592359352111</v>
      </c>
      <c r="BL86" s="24"/>
      <c r="BM86" s="56">
        <f t="shared" si="190"/>
        <v>100</v>
      </c>
      <c r="BN86" s="48">
        <f t="shared" si="191"/>
        <v>10000</v>
      </c>
      <c r="BO86" s="48">
        <f t="shared" si="185"/>
        <v>10000</v>
      </c>
      <c r="BP86" s="48">
        <f t="shared" si="186"/>
        <v>13121.956776374998</v>
      </c>
      <c r="BQ86" s="59">
        <f t="shared" si="166"/>
        <v>6.5000000000000002E-2</v>
      </c>
      <c r="BR86" s="48">
        <f t="shared" si="167"/>
        <v>13690.574903351249</v>
      </c>
      <c r="BS86" s="48" t="str">
        <f t="shared" si="168"/>
        <v>nie</v>
      </c>
      <c r="BT86" s="48">
        <f t="shared" si="169"/>
        <v>200</v>
      </c>
      <c r="BU86" s="48">
        <f t="shared" si="170"/>
        <v>12827.365671714511</v>
      </c>
      <c r="BV86" s="48">
        <f t="shared" si="171"/>
        <v>0</v>
      </c>
      <c r="BW86" s="59">
        <f t="shared" si="172"/>
        <v>1.4999999999999999E-2</v>
      </c>
      <c r="BX86" s="48">
        <f t="shared" si="173"/>
        <v>0</v>
      </c>
      <c r="BY86" s="48">
        <f t="shared" si="174"/>
        <v>12827.365671714511</v>
      </c>
    </row>
    <row r="87" spans="1:77" s="25" customFormat="1" ht="14">
      <c r="A87" s="24"/>
      <c r="B87" s="172"/>
      <c r="C87" s="66">
        <f t="shared" si="130"/>
        <v>53</v>
      </c>
      <c r="D87" s="48">
        <f t="shared" si="131"/>
        <v>11539.75045279046</v>
      </c>
      <c r="E87" s="48">
        <f t="shared" si="132"/>
        <v>11794.513315779999</v>
      </c>
      <c r="F87" s="48">
        <f t="shared" si="133"/>
        <v>11961.491034317016</v>
      </c>
      <c r="G87" s="49">
        <f t="shared" si="134"/>
        <v>11988.373629714062</v>
      </c>
      <c r="H87" s="49">
        <f t="shared" si="135"/>
        <v>10550.997916357477</v>
      </c>
      <c r="I87" s="48">
        <f t="shared" si="136"/>
        <v>12408.292968750002</v>
      </c>
      <c r="J87" s="24"/>
      <c r="K87" s="84"/>
      <c r="L87" s="64">
        <f t="shared" si="137"/>
        <v>53</v>
      </c>
      <c r="M87" s="51">
        <f t="shared" si="124"/>
        <v>0.15397504527904604</v>
      </c>
      <c r="N87" s="51">
        <f t="shared" si="125"/>
        <v>0.17945133157799997</v>
      </c>
      <c r="O87" s="51">
        <f t="shared" si="126"/>
        <v>0.19614910343170155</v>
      </c>
      <c r="P87" s="51">
        <f t="shared" si="127"/>
        <v>0.1988373629714062</v>
      </c>
      <c r="Q87" s="51">
        <f t="shared" si="128"/>
        <v>5.509979163574763E-2</v>
      </c>
      <c r="R87" s="51">
        <f t="shared" si="129"/>
        <v>0.2408292968750001</v>
      </c>
      <c r="S87" s="24"/>
      <c r="T87" s="45">
        <f t="shared" si="175"/>
        <v>69</v>
      </c>
      <c r="U87" s="59">
        <f t="shared" si="123"/>
        <v>0.05</v>
      </c>
      <c r="V87" s="48">
        <f t="shared" si="138"/>
        <v>13241.421210937504</v>
      </c>
      <c r="W87" s="56">
        <f t="shared" si="176"/>
        <v>104</v>
      </c>
      <c r="X87" s="48">
        <f t="shared" si="177"/>
        <v>10389.6</v>
      </c>
      <c r="Y87" s="48">
        <f t="shared" si="187"/>
        <v>10400</v>
      </c>
      <c r="Z87" s="48">
        <f t="shared" si="178"/>
        <v>10400</v>
      </c>
      <c r="AA87" s="59">
        <f t="shared" si="139"/>
        <v>5.7500000000000002E-2</v>
      </c>
      <c r="AB87" s="48">
        <f t="shared" si="140"/>
        <v>10848.5</v>
      </c>
      <c r="AC87" s="48" t="str">
        <f t="shared" si="141"/>
        <v>nie</v>
      </c>
      <c r="AD87" s="48">
        <f t="shared" si="142"/>
        <v>72.8</v>
      </c>
      <c r="AE87" s="48">
        <f t="shared" si="143"/>
        <v>10704.317000000001</v>
      </c>
      <c r="AF87" s="48">
        <f t="shared" si="144"/>
        <v>0</v>
      </c>
      <c r="AG87" s="59">
        <f t="shared" si="145"/>
        <v>1.4999999999999999E-2</v>
      </c>
      <c r="AH87" s="48">
        <f t="shared" si="146"/>
        <v>1268.8692647540779</v>
      </c>
      <c r="AI87" s="48">
        <f t="shared" si="147"/>
        <v>11973.186264754078</v>
      </c>
      <c r="AJ87" s="24"/>
      <c r="AK87" s="56">
        <f t="shared" si="179"/>
        <v>100</v>
      </c>
      <c r="AL87" s="48">
        <f t="shared" si="180"/>
        <v>10000</v>
      </c>
      <c r="AM87" s="48">
        <f t="shared" si="181"/>
        <v>10000</v>
      </c>
      <c r="AN87" s="48">
        <f t="shared" si="182"/>
        <v>12839.390683199999</v>
      </c>
      <c r="AO87" s="59">
        <f t="shared" si="148"/>
        <v>6.0000000000000005E-2</v>
      </c>
      <c r="AP87" s="48">
        <f t="shared" si="149"/>
        <v>13417.163263943998</v>
      </c>
      <c r="AQ87" s="48" t="str">
        <f t="shared" si="150"/>
        <v>nie</v>
      </c>
      <c r="AR87" s="48">
        <f t="shared" si="151"/>
        <v>200</v>
      </c>
      <c r="AS87" s="48">
        <f t="shared" si="152"/>
        <v>12605.902243794639</v>
      </c>
      <c r="AT87" s="48">
        <f t="shared" si="153"/>
        <v>0</v>
      </c>
      <c r="AU87" s="59">
        <f t="shared" si="154"/>
        <v>1.4999999999999999E-2</v>
      </c>
      <c r="AV87" s="48">
        <f t="shared" si="155"/>
        <v>0</v>
      </c>
      <c r="AW87" s="48">
        <f t="shared" si="156"/>
        <v>12605.902243794639</v>
      </c>
      <c r="AY87" s="56">
        <f t="shared" si="188"/>
        <v>100</v>
      </c>
      <c r="AZ87" s="48">
        <f t="shared" si="189"/>
        <v>10000</v>
      </c>
      <c r="BA87" s="48">
        <f t="shared" si="183"/>
        <v>10000</v>
      </c>
      <c r="BB87" s="48">
        <f t="shared" si="184"/>
        <v>12935.457611083983</v>
      </c>
      <c r="BC87" s="59">
        <f t="shared" si="157"/>
        <v>6.25E-2</v>
      </c>
      <c r="BD87" s="48">
        <f t="shared" si="158"/>
        <v>13541.807186603544</v>
      </c>
      <c r="BE87" s="48" t="str">
        <f t="shared" si="159"/>
        <v>nie</v>
      </c>
      <c r="BF87" s="48">
        <f t="shared" si="160"/>
        <v>70</v>
      </c>
      <c r="BG87" s="48">
        <f t="shared" si="161"/>
        <v>12812.163821148872</v>
      </c>
      <c r="BH87" s="48">
        <f t="shared" si="162"/>
        <v>0</v>
      </c>
      <c r="BI87" s="59">
        <f t="shared" si="163"/>
        <v>1.4999999999999999E-2</v>
      </c>
      <c r="BJ87" s="48">
        <f t="shared" si="164"/>
        <v>0</v>
      </c>
      <c r="BK87" s="48">
        <f t="shared" si="165"/>
        <v>12812.163821148872</v>
      </c>
      <c r="BL87" s="24"/>
      <c r="BM87" s="56">
        <f t="shared" si="190"/>
        <v>100</v>
      </c>
      <c r="BN87" s="48">
        <f t="shared" si="191"/>
        <v>10000</v>
      </c>
      <c r="BO87" s="48">
        <f t="shared" si="185"/>
        <v>10000</v>
      </c>
      <c r="BP87" s="48">
        <f t="shared" si="186"/>
        <v>13121.956776374998</v>
      </c>
      <c r="BQ87" s="59">
        <f t="shared" si="166"/>
        <v>6.5000000000000002E-2</v>
      </c>
      <c r="BR87" s="48">
        <f t="shared" si="167"/>
        <v>13761.65216922328</v>
      </c>
      <c r="BS87" s="48" t="str">
        <f t="shared" si="168"/>
        <v>nie</v>
      </c>
      <c r="BT87" s="48">
        <f t="shared" si="169"/>
        <v>200</v>
      </c>
      <c r="BU87" s="48">
        <f t="shared" si="170"/>
        <v>12884.938257070857</v>
      </c>
      <c r="BV87" s="48">
        <f t="shared" si="171"/>
        <v>0</v>
      </c>
      <c r="BW87" s="59">
        <f t="shared" si="172"/>
        <v>1.4999999999999999E-2</v>
      </c>
      <c r="BX87" s="48">
        <f t="shared" si="173"/>
        <v>0</v>
      </c>
      <c r="BY87" s="48">
        <f t="shared" si="174"/>
        <v>12884.938257070857</v>
      </c>
    </row>
    <row r="88" spans="1:77" s="25" customFormat="1" ht="14">
      <c r="A88" s="24"/>
      <c r="B88" s="172"/>
      <c r="C88" s="66">
        <f t="shared" si="130"/>
        <v>54</v>
      </c>
      <c r="D88" s="48">
        <f t="shared" si="131"/>
        <v>11540.90445012391</v>
      </c>
      <c r="E88" s="48">
        <f t="shared" si="132"/>
        <v>11843.569478296</v>
      </c>
      <c r="F88" s="48">
        <f t="shared" si="133"/>
        <v>12012.852410125732</v>
      </c>
      <c r="G88" s="49">
        <f t="shared" si="134"/>
        <v>12042.432395306872</v>
      </c>
      <c r="H88" s="49">
        <f t="shared" si="135"/>
        <v>10561.680801747791</v>
      </c>
      <c r="I88" s="48">
        <f t="shared" si="136"/>
        <v>12458.939062500001</v>
      </c>
      <c r="J88" s="24"/>
      <c r="K88" s="84"/>
      <c r="L88" s="64">
        <f t="shared" si="137"/>
        <v>54</v>
      </c>
      <c r="M88" s="51">
        <f t="shared" si="124"/>
        <v>0.154090445012391</v>
      </c>
      <c r="N88" s="51">
        <f t="shared" si="125"/>
        <v>0.1843569478296001</v>
      </c>
      <c r="O88" s="51">
        <f t="shared" si="126"/>
        <v>0.20128524101257317</v>
      </c>
      <c r="P88" s="51">
        <f t="shared" si="127"/>
        <v>0.20424323953068724</v>
      </c>
      <c r="Q88" s="51">
        <f t="shared" si="128"/>
        <v>5.6168080174779034E-2</v>
      </c>
      <c r="R88" s="51">
        <f t="shared" si="129"/>
        <v>0.24589390625000007</v>
      </c>
      <c r="S88" s="24"/>
      <c r="T88" s="45">
        <f t="shared" si="175"/>
        <v>70</v>
      </c>
      <c r="U88" s="59">
        <f t="shared" si="123"/>
        <v>0.05</v>
      </c>
      <c r="V88" s="48">
        <f t="shared" si="138"/>
        <v>13294.599609375004</v>
      </c>
      <c r="W88" s="56">
        <f t="shared" si="176"/>
        <v>104</v>
      </c>
      <c r="X88" s="48">
        <f t="shared" si="177"/>
        <v>10389.6</v>
      </c>
      <c r="Y88" s="48">
        <f t="shared" si="187"/>
        <v>10400</v>
      </c>
      <c r="Z88" s="48">
        <f t="shared" si="178"/>
        <v>10400</v>
      </c>
      <c r="AA88" s="59">
        <f t="shared" si="139"/>
        <v>5.7500000000000002E-2</v>
      </c>
      <c r="AB88" s="48">
        <f t="shared" si="140"/>
        <v>10898.333333333332</v>
      </c>
      <c r="AC88" s="48" t="str">
        <f t="shared" si="141"/>
        <v>nie</v>
      </c>
      <c r="AD88" s="48">
        <f t="shared" si="142"/>
        <v>72.8</v>
      </c>
      <c r="AE88" s="48">
        <f t="shared" si="143"/>
        <v>10744.681999999999</v>
      </c>
      <c r="AF88" s="48">
        <f t="shared" si="144"/>
        <v>0</v>
      </c>
      <c r="AG88" s="59">
        <f t="shared" si="145"/>
        <v>1.4999999999999999E-2</v>
      </c>
      <c r="AH88" s="48">
        <f t="shared" si="146"/>
        <v>1270.1539948846414</v>
      </c>
      <c r="AI88" s="48">
        <f t="shared" si="147"/>
        <v>12014.835994884641</v>
      </c>
      <c r="AJ88" s="24"/>
      <c r="AK88" s="56">
        <f t="shared" si="179"/>
        <v>100</v>
      </c>
      <c r="AL88" s="48">
        <f t="shared" si="180"/>
        <v>10000</v>
      </c>
      <c r="AM88" s="48">
        <f t="shared" si="181"/>
        <v>10000</v>
      </c>
      <c r="AN88" s="48">
        <f t="shared" si="182"/>
        <v>12839.390683199999</v>
      </c>
      <c r="AO88" s="59">
        <f t="shared" si="148"/>
        <v>6.0000000000000005E-2</v>
      </c>
      <c r="AP88" s="48">
        <f t="shared" si="149"/>
        <v>13481.360217359999</v>
      </c>
      <c r="AQ88" s="48" t="str">
        <f t="shared" si="150"/>
        <v>nie</v>
      </c>
      <c r="AR88" s="48">
        <f t="shared" si="151"/>
        <v>200</v>
      </c>
      <c r="AS88" s="48">
        <f t="shared" si="152"/>
        <v>12657.901776061599</v>
      </c>
      <c r="AT88" s="48">
        <f t="shared" si="153"/>
        <v>0</v>
      </c>
      <c r="AU88" s="59">
        <f t="shared" si="154"/>
        <v>1.4999999999999999E-2</v>
      </c>
      <c r="AV88" s="48">
        <f t="shared" si="155"/>
        <v>0</v>
      </c>
      <c r="AW88" s="48">
        <f t="shared" si="156"/>
        <v>12657.901776061599</v>
      </c>
      <c r="AY88" s="56">
        <f t="shared" si="188"/>
        <v>100</v>
      </c>
      <c r="AZ88" s="48">
        <f t="shared" si="189"/>
        <v>10000</v>
      </c>
      <c r="BA88" s="48">
        <f t="shared" si="183"/>
        <v>10000</v>
      </c>
      <c r="BB88" s="48">
        <f t="shared" si="184"/>
        <v>12935.457611083983</v>
      </c>
      <c r="BC88" s="59">
        <f t="shared" si="157"/>
        <v>6.25E-2</v>
      </c>
      <c r="BD88" s="48">
        <f t="shared" si="158"/>
        <v>13609.179361661272</v>
      </c>
      <c r="BE88" s="48" t="str">
        <f t="shared" si="159"/>
        <v>nie</v>
      </c>
      <c r="BF88" s="48">
        <f t="shared" si="160"/>
        <v>70</v>
      </c>
      <c r="BG88" s="48">
        <f t="shared" si="161"/>
        <v>12866.73528294563</v>
      </c>
      <c r="BH88" s="48">
        <f t="shared" si="162"/>
        <v>0</v>
      </c>
      <c r="BI88" s="59">
        <f t="shared" si="163"/>
        <v>1.4999999999999999E-2</v>
      </c>
      <c r="BJ88" s="48">
        <f t="shared" si="164"/>
        <v>0</v>
      </c>
      <c r="BK88" s="48">
        <f t="shared" si="165"/>
        <v>12866.73528294563</v>
      </c>
      <c r="BL88" s="24"/>
      <c r="BM88" s="56">
        <f t="shared" si="190"/>
        <v>100</v>
      </c>
      <c r="BN88" s="48">
        <f t="shared" si="191"/>
        <v>10000</v>
      </c>
      <c r="BO88" s="48">
        <f t="shared" si="185"/>
        <v>10000</v>
      </c>
      <c r="BP88" s="48">
        <f t="shared" si="186"/>
        <v>13121.956776374998</v>
      </c>
      <c r="BQ88" s="59">
        <f t="shared" si="166"/>
        <v>6.5000000000000002E-2</v>
      </c>
      <c r="BR88" s="48">
        <f t="shared" si="167"/>
        <v>13832.729435095311</v>
      </c>
      <c r="BS88" s="48" t="str">
        <f t="shared" si="168"/>
        <v>nie</v>
      </c>
      <c r="BT88" s="48">
        <f t="shared" si="169"/>
        <v>200</v>
      </c>
      <c r="BU88" s="48">
        <f t="shared" si="170"/>
        <v>12942.510842427202</v>
      </c>
      <c r="BV88" s="48">
        <f t="shared" si="171"/>
        <v>0</v>
      </c>
      <c r="BW88" s="59">
        <f t="shared" si="172"/>
        <v>1.4999999999999999E-2</v>
      </c>
      <c r="BX88" s="48">
        <f t="shared" si="173"/>
        <v>0</v>
      </c>
      <c r="BY88" s="48">
        <f t="shared" si="174"/>
        <v>12942.510842427202</v>
      </c>
    </row>
    <row r="89" spans="1:77" s="25" customFormat="1" ht="14">
      <c r="A89" s="24"/>
      <c r="B89" s="172"/>
      <c r="C89" s="66">
        <f t="shared" si="130"/>
        <v>55</v>
      </c>
      <c r="D89" s="48">
        <f t="shared" si="131"/>
        <v>11546.973615879662</v>
      </c>
      <c r="E89" s="48">
        <f t="shared" si="132"/>
        <v>11892.625640811999</v>
      </c>
      <c r="F89" s="48">
        <f t="shared" si="133"/>
        <v>12064.213785934446</v>
      </c>
      <c r="G89" s="49">
        <f t="shared" si="134"/>
        <v>12096.491160899686</v>
      </c>
      <c r="H89" s="49">
        <f t="shared" si="135"/>
        <v>10572.37450355956</v>
      </c>
      <c r="I89" s="48">
        <f t="shared" si="136"/>
        <v>12509.585156250001</v>
      </c>
      <c r="J89" s="24"/>
      <c r="K89" s="84"/>
      <c r="L89" s="64">
        <f t="shared" si="137"/>
        <v>55</v>
      </c>
      <c r="M89" s="51">
        <f t="shared" si="124"/>
        <v>0.15469736158796632</v>
      </c>
      <c r="N89" s="51">
        <f t="shared" si="125"/>
        <v>0.18926256408119979</v>
      </c>
      <c r="O89" s="51">
        <f t="shared" si="126"/>
        <v>0.20642137859344456</v>
      </c>
      <c r="P89" s="51">
        <f t="shared" si="127"/>
        <v>0.20964911608996872</v>
      </c>
      <c r="Q89" s="51">
        <f t="shared" si="128"/>
        <v>5.7237450355956065E-2</v>
      </c>
      <c r="R89" s="51">
        <f t="shared" si="129"/>
        <v>0.25095851562500004</v>
      </c>
      <c r="S89" s="24"/>
      <c r="T89" s="45">
        <f t="shared" si="175"/>
        <v>71</v>
      </c>
      <c r="U89" s="59">
        <f t="shared" si="123"/>
        <v>0.05</v>
      </c>
      <c r="V89" s="48">
        <f t="shared" si="138"/>
        <v>13347.778007812503</v>
      </c>
      <c r="W89" s="56">
        <f t="shared" si="176"/>
        <v>104</v>
      </c>
      <c r="X89" s="48">
        <f t="shared" si="177"/>
        <v>10389.6</v>
      </c>
      <c r="Y89" s="48">
        <f t="shared" si="187"/>
        <v>10400</v>
      </c>
      <c r="Z89" s="48">
        <f t="shared" si="178"/>
        <v>10400</v>
      </c>
      <c r="AA89" s="59">
        <f t="shared" si="139"/>
        <v>5.7500000000000002E-2</v>
      </c>
      <c r="AB89" s="48">
        <f t="shared" si="140"/>
        <v>10948.166666666666</v>
      </c>
      <c r="AC89" s="48" t="str">
        <f t="shared" si="141"/>
        <v>nie</v>
      </c>
      <c r="AD89" s="48">
        <f t="shared" si="142"/>
        <v>72.8</v>
      </c>
      <c r="AE89" s="48">
        <f t="shared" si="143"/>
        <v>10785.047</v>
      </c>
      <c r="AF89" s="48">
        <f t="shared" si="144"/>
        <v>0</v>
      </c>
      <c r="AG89" s="59">
        <f t="shared" si="145"/>
        <v>1.4999999999999999E-2</v>
      </c>
      <c r="AH89" s="48">
        <f t="shared" si="146"/>
        <v>1271.4400258044623</v>
      </c>
      <c r="AI89" s="48">
        <f t="shared" si="147"/>
        <v>12056.487025804463</v>
      </c>
      <c r="AJ89" s="24"/>
      <c r="AK89" s="56">
        <f t="shared" si="179"/>
        <v>100</v>
      </c>
      <c r="AL89" s="48">
        <f t="shared" si="180"/>
        <v>10000</v>
      </c>
      <c r="AM89" s="48">
        <f t="shared" si="181"/>
        <v>10000</v>
      </c>
      <c r="AN89" s="48">
        <f t="shared" si="182"/>
        <v>12839.390683199999</v>
      </c>
      <c r="AO89" s="59">
        <f t="shared" si="148"/>
        <v>6.0000000000000005E-2</v>
      </c>
      <c r="AP89" s="48">
        <f t="shared" si="149"/>
        <v>13545.557170775999</v>
      </c>
      <c r="AQ89" s="48" t="str">
        <f t="shared" si="150"/>
        <v>nie</v>
      </c>
      <c r="AR89" s="48">
        <f t="shared" si="151"/>
        <v>200</v>
      </c>
      <c r="AS89" s="48">
        <f t="shared" si="152"/>
        <v>12709.901308328559</v>
      </c>
      <c r="AT89" s="48">
        <f t="shared" si="153"/>
        <v>0</v>
      </c>
      <c r="AU89" s="59">
        <f t="shared" si="154"/>
        <v>1.4999999999999999E-2</v>
      </c>
      <c r="AV89" s="48">
        <f t="shared" si="155"/>
        <v>0</v>
      </c>
      <c r="AW89" s="48">
        <f t="shared" si="156"/>
        <v>12709.901308328559</v>
      </c>
      <c r="AY89" s="56">
        <f t="shared" si="188"/>
        <v>100</v>
      </c>
      <c r="AZ89" s="48">
        <f t="shared" si="189"/>
        <v>10000</v>
      </c>
      <c r="BA89" s="48">
        <f t="shared" si="183"/>
        <v>10000</v>
      </c>
      <c r="BB89" s="48">
        <f t="shared" si="184"/>
        <v>12935.457611083983</v>
      </c>
      <c r="BC89" s="59">
        <f t="shared" si="157"/>
        <v>6.25E-2</v>
      </c>
      <c r="BD89" s="48">
        <f t="shared" si="158"/>
        <v>13676.551536719004</v>
      </c>
      <c r="BE89" s="48" t="str">
        <f t="shared" si="159"/>
        <v>nie</v>
      </c>
      <c r="BF89" s="48">
        <f t="shared" si="160"/>
        <v>70</v>
      </c>
      <c r="BG89" s="48">
        <f t="shared" si="161"/>
        <v>12921.306744742393</v>
      </c>
      <c r="BH89" s="48">
        <f t="shared" si="162"/>
        <v>0</v>
      </c>
      <c r="BI89" s="59">
        <f t="shared" si="163"/>
        <v>1.4999999999999999E-2</v>
      </c>
      <c r="BJ89" s="48">
        <f t="shared" si="164"/>
        <v>0</v>
      </c>
      <c r="BK89" s="48">
        <f t="shared" si="165"/>
        <v>12921.306744742393</v>
      </c>
      <c r="BL89" s="24"/>
      <c r="BM89" s="56">
        <f t="shared" si="190"/>
        <v>100</v>
      </c>
      <c r="BN89" s="48">
        <f t="shared" si="191"/>
        <v>10000</v>
      </c>
      <c r="BO89" s="48">
        <f t="shared" si="185"/>
        <v>10000</v>
      </c>
      <c r="BP89" s="48">
        <f t="shared" si="186"/>
        <v>13121.956776374998</v>
      </c>
      <c r="BQ89" s="59">
        <f t="shared" si="166"/>
        <v>6.5000000000000002E-2</v>
      </c>
      <c r="BR89" s="48">
        <f t="shared" si="167"/>
        <v>13903.806700967341</v>
      </c>
      <c r="BS89" s="48" t="str">
        <f t="shared" si="168"/>
        <v>nie</v>
      </c>
      <c r="BT89" s="48">
        <f t="shared" si="169"/>
        <v>200</v>
      </c>
      <c r="BU89" s="48">
        <f t="shared" si="170"/>
        <v>13000.083427783546</v>
      </c>
      <c r="BV89" s="48">
        <f t="shared" si="171"/>
        <v>0</v>
      </c>
      <c r="BW89" s="59">
        <f t="shared" si="172"/>
        <v>1.4999999999999999E-2</v>
      </c>
      <c r="BX89" s="48">
        <f t="shared" si="173"/>
        <v>0</v>
      </c>
      <c r="BY89" s="48">
        <f t="shared" si="174"/>
        <v>13000.083427783546</v>
      </c>
    </row>
    <row r="90" spans="1:77" s="25" customFormat="1" ht="14">
      <c r="A90" s="24"/>
      <c r="B90" s="172"/>
      <c r="C90" s="66">
        <f t="shared" si="130"/>
        <v>56</v>
      </c>
      <c r="D90" s="48">
        <f t="shared" si="131"/>
        <v>11557.255951240739</v>
      </c>
      <c r="E90" s="48">
        <f t="shared" si="132"/>
        <v>11941.681803328</v>
      </c>
      <c r="F90" s="48">
        <f t="shared" si="133"/>
        <v>12115.575161743163</v>
      </c>
      <c r="G90" s="49">
        <f t="shared" si="134"/>
        <v>12150.5499264925</v>
      </c>
      <c r="H90" s="49">
        <f t="shared" si="135"/>
        <v>10583.079032744416</v>
      </c>
      <c r="I90" s="48">
        <f t="shared" si="136"/>
        <v>12560.231250000003</v>
      </c>
      <c r="J90" s="24"/>
      <c r="K90" s="84"/>
      <c r="L90" s="64">
        <f t="shared" si="137"/>
        <v>56</v>
      </c>
      <c r="M90" s="51">
        <f t="shared" si="124"/>
        <v>0.15572559512407391</v>
      </c>
      <c r="N90" s="51">
        <f t="shared" si="125"/>
        <v>0.19416818033279992</v>
      </c>
      <c r="O90" s="51">
        <f t="shared" si="126"/>
        <v>0.2115575161743164</v>
      </c>
      <c r="P90" s="51">
        <f t="shared" si="127"/>
        <v>0.21505499264924999</v>
      </c>
      <c r="Q90" s="51">
        <f t="shared" si="128"/>
        <v>5.8307903274441575E-2</v>
      </c>
      <c r="R90" s="51">
        <f t="shared" si="129"/>
        <v>0.25602312500000024</v>
      </c>
      <c r="S90" s="24"/>
      <c r="T90" s="45">
        <f t="shared" si="175"/>
        <v>72</v>
      </c>
      <c r="U90" s="59">
        <f t="shared" si="123"/>
        <v>0.05</v>
      </c>
      <c r="V90" s="48">
        <f t="shared" si="138"/>
        <v>13400.956406250005</v>
      </c>
      <c r="W90" s="56">
        <f t="shared" si="176"/>
        <v>104</v>
      </c>
      <c r="X90" s="48">
        <f t="shared" si="177"/>
        <v>10389.6</v>
      </c>
      <c r="Y90" s="48">
        <f t="shared" si="187"/>
        <v>10400</v>
      </c>
      <c r="Z90" s="48">
        <f t="shared" si="178"/>
        <v>10400</v>
      </c>
      <c r="AA90" s="59">
        <f t="shared" si="139"/>
        <v>5.7500000000000002E-2</v>
      </c>
      <c r="AB90" s="48">
        <f t="shared" si="140"/>
        <v>10998.000000000002</v>
      </c>
      <c r="AC90" s="48" t="str">
        <f t="shared" si="141"/>
        <v>nie</v>
      </c>
      <c r="AD90" s="48">
        <f t="shared" si="142"/>
        <v>72.8</v>
      </c>
      <c r="AE90" s="48">
        <f t="shared" si="143"/>
        <v>10825.412000000002</v>
      </c>
      <c r="AF90" s="48">
        <f t="shared" si="144"/>
        <v>484.38000000000153</v>
      </c>
      <c r="AG90" s="59">
        <f t="shared" si="145"/>
        <v>1.4999999999999999E-2</v>
      </c>
      <c r="AH90" s="48">
        <f t="shared" si="146"/>
        <v>1757.1073588305908</v>
      </c>
      <c r="AI90" s="48">
        <f t="shared" si="147"/>
        <v>12098.139358830591</v>
      </c>
      <c r="AJ90" s="24"/>
      <c r="AK90" s="56">
        <f t="shared" si="179"/>
        <v>100</v>
      </c>
      <c r="AL90" s="48">
        <f t="shared" si="180"/>
        <v>10000</v>
      </c>
      <c r="AM90" s="48">
        <f t="shared" si="181"/>
        <v>10000</v>
      </c>
      <c r="AN90" s="48">
        <f t="shared" si="182"/>
        <v>12839.390683199999</v>
      </c>
      <c r="AO90" s="59">
        <f t="shared" si="148"/>
        <v>6.0000000000000005E-2</v>
      </c>
      <c r="AP90" s="48">
        <f t="shared" si="149"/>
        <v>13609.754124192001</v>
      </c>
      <c r="AQ90" s="48" t="str">
        <f t="shared" si="150"/>
        <v>nie</v>
      </c>
      <c r="AR90" s="48">
        <f t="shared" si="151"/>
        <v>200</v>
      </c>
      <c r="AS90" s="48">
        <f t="shared" si="152"/>
        <v>12761.900840595521</v>
      </c>
      <c r="AT90" s="48">
        <f t="shared" si="153"/>
        <v>0</v>
      </c>
      <c r="AU90" s="59">
        <f t="shared" si="154"/>
        <v>1.4999999999999999E-2</v>
      </c>
      <c r="AV90" s="48">
        <f t="shared" si="155"/>
        <v>0</v>
      </c>
      <c r="AW90" s="48">
        <f t="shared" si="156"/>
        <v>12761.900840595521</v>
      </c>
      <c r="AY90" s="56">
        <f t="shared" si="188"/>
        <v>100</v>
      </c>
      <c r="AZ90" s="48">
        <f t="shared" si="189"/>
        <v>10000</v>
      </c>
      <c r="BA90" s="48">
        <f t="shared" si="183"/>
        <v>10000</v>
      </c>
      <c r="BB90" s="48">
        <f t="shared" si="184"/>
        <v>12935.457611083983</v>
      </c>
      <c r="BC90" s="59">
        <f t="shared" si="157"/>
        <v>6.25E-2</v>
      </c>
      <c r="BD90" s="48">
        <f t="shared" si="158"/>
        <v>13743.923711776732</v>
      </c>
      <c r="BE90" s="48" t="str">
        <f t="shared" si="159"/>
        <v>tak</v>
      </c>
      <c r="BF90" s="48">
        <f t="shared" si="160"/>
        <v>0</v>
      </c>
      <c r="BG90" s="48">
        <f t="shared" si="161"/>
        <v>13032.578206539152</v>
      </c>
      <c r="BH90" s="48">
        <f t="shared" si="162"/>
        <v>32.578206539152234</v>
      </c>
      <c r="BI90" s="59">
        <f t="shared" si="163"/>
        <v>1.4999999999999999E-2</v>
      </c>
      <c r="BJ90" s="48">
        <f t="shared" si="164"/>
        <v>32.578206539152234</v>
      </c>
      <c r="BK90" s="48">
        <f t="shared" si="165"/>
        <v>13032.578206539152</v>
      </c>
      <c r="BL90" s="24"/>
      <c r="BM90" s="56">
        <f t="shared" si="190"/>
        <v>100</v>
      </c>
      <c r="BN90" s="48">
        <f t="shared" si="191"/>
        <v>10000</v>
      </c>
      <c r="BO90" s="48">
        <f t="shared" si="185"/>
        <v>10000</v>
      </c>
      <c r="BP90" s="48">
        <f t="shared" si="186"/>
        <v>13121.956776374998</v>
      </c>
      <c r="BQ90" s="59">
        <f t="shared" si="166"/>
        <v>6.5000000000000002E-2</v>
      </c>
      <c r="BR90" s="48">
        <f t="shared" si="167"/>
        <v>13974.883966839372</v>
      </c>
      <c r="BS90" s="48" t="str">
        <f t="shared" si="168"/>
        <v>nie</v>
      </c>
      <c r="BT90" s="48">
        <f t="shared" si="169"/>
        <v>200</v>
      </c>
      <c r="BU90" s="48">
        <f t="shared" si="170"/>
        <v>13057.656013139891</v>
      </c>
      <c r="BV90" s="48">
        <f t="shared" si="171"/>
        <v>0</v>
      </c>
      <c r="BW90" s="59">
        <f t="shared" si="172"/>
        <v>1.4999999999999999E-2</v>
      </c>
      <c r="BX90" s="48">
        <f t="shared" si="173"/>
        <v>0</v>
      </c>
      <c r="BY90" s="48">
        <f t="shared" si="174"/>
        <v>13057.656013139891</v>
      </c>
    </row>
    <row r="91" spans="1:77" s="25" customFormat="1" ht="14">
      <c r="A91" s="24"/>
      <c r="B91" s="172"/>
      <c r="C91" s="66">
        <f t="shared" si="130"/>
        <v>57</v>
      </c>
      <c r="D91" s="48">
        <f t="shared" si="131"/>
        <v>11567.539457391371</v>
      </c>
      <c r="E91" s="48">
        <f t="shared" si="132"/>
        <v>11990.737965843999</v>
      </c>
      <c r="F91" s="48">
        <f t="shared" si="133"/>
        <v>12166.936537551879</v>
      </c>
      <c r="G91" s="49">
        <f t="shared" si="134"/>
        <v>12204.608692085312</v>
      </c>
      <c r="H91" s="49">
        <f t="shared" si="135"/>
        <v>10593.794400265071</v>
      </c>
      <c r="I91" s="48">
        <f t="shared" si="136"/>
        <v>12610.877343750002</v>
      </c>
      <c r="J91" s="24"/>
      <c r="K91" s="84"/>
      <c r="L91" s="64">
        <f t="shared" si="137"/>
        <v>57</v>
      </c>
      <c r="M91" s="51">
        <f t="shared" si="124"/>
        <v>0.15675394573913715</v>
      </c>
      <c r="N91" s="51">
        <f t="shared" si="125"/>
        <v>0.19907379658439983</v>
      </c>
      <c r="O91" s="51">
        <f t="shared" si="126"/>
        <v>0.21669365375518801</v>
      </c>
      <c r="P91" s="51">
        <f t="shared" si="127"/>
        <v>0.22046086920853125</v>
      </c>
      <c r="Q91" s="51">
        <f t="shared" si="128"/>
        <v>5.937944002650708E-2</v>
      </c>
      <c r="R91" s="51">
        <f t="shared" si="129"/>
        <v>0.26108773437500021</v>
      </c>
      <c r="S91" s="24"/>
      <c r="T91" s="45">
        <f t="shared" si="175"/>
        <v>73</v>
      </c>
      <c r="U91" s="59">
        <f t="shared" si="123"/>
        <v>0.05</v>
      </c>
      <c r="V91" s="48">
        <f t="shared" si="138"/>
        <v>13456.793724609379</v>
      </c>
      <c r="W91" s="56">
        <f t="shared" si="176"/>
        <v>104</v>
      </c>
      <c r="X91" s="48">
        <f t="shared" si="177"/>
        <v>10389.6</v>
      </c>
      <c r="Y91" s="48">
        <f t="shared" si="187"/>
        <v>10400</v>
      </c>
      <c r="Z91" s="48">
        <f t="shared" si="178"/>
        <v>10400</v>
      </c>
      <c r="AA91" s="59">
        <f t="shared" si="139"/>
        <v>5.7500000000000002E-2</v>
      </c>
      <c r="AB91" s="48">
        <f t="shared" si="140"/>
        <v>10449.833333333334</v>
      </c>
      <c r="AC91" s="48" t="str">
        <f t="shared" si="141"/>
        <v>nie</v>
      </c>
      <c r="AD91" s="48">
        <f t="shared" si="142"/>
        <v>72.8</v>
      </c>
      <c r="AE91" s="48">
        <f t="shared" si="143"/>
        <v>10381.397000000001</v>
      </c>
      <c r="AF91" s="48">
        <f t="shared" si="144"/>
        <v>0</v>
      </c>
      <c r="AG91" s="59">
        <f t="shared" si="145"/>
        <v>1.4999999999999999E-2</v>
      </c>
      <c r="AH91" s="48">
        <f t="shared" si="146"/>
        <v>1758.8864300314069</v>
      </c>
      <c r="AI91" s="48">
        <f t="shared" si="147"/>
        <v>12140.283430031408</v>
      </c>
      <c r="AJ91" s="24"/>
      <c r="AK91" s="56">
        <f t="shared" si="179"/>
        <v>100</v>
      </c>
      <c r="AL91" s="48">
        <f t="shared" si="180"/>
        <v>10000</v>
      </c>
      <c r="AM91" s="48">
        <f t="shared" si="181"/>
        <v>10000</v>
      </c>
      <c r="AN91" s="48">
        <f t="shared" si="182"/>
        <v>13609.754124192001</v>
      </c>
      <c r="AO91" s="59">
        <f t="shared" si="148"/>
        <v>6.0000000000000005E-2</v>
      </c>
      <c r="AP91" s="48">
        <f t="shared" si="149"/>
        <v>13677.802894812959</v>
      </c>
      <c r="AQ91" s="48" t="str">
        <f t="shared" si="150"/>
        <v>nie</v>
      </c>
      <c r="AR91" s="48">
        <f t="shared" si="151"/>
        <v>200</v>
      </c>
      <c r="AS91" s="48">
        <f t="shared" si="152"/>
        <v>12817.020344798497</v>
      </c>
      <c r="AT91" s="48">
        <f t="shared" si="153"/>
        <v>0</v>
      </c>
      <c r="AU91" s="59">
        <f t="shared" si="154"/>
        <v>1.4999999999999999E-2</v>
      </c>
      <c r="AV91" s="48">
        <f t="shared" si="155"/>
        <v>0</v>
      </c>
      <c r="AW91" s="48">
        <f t="shared" si="156"/>
        <v>12817.020344798497</v>
      </c>
      <c r="AY91" s="56">
        <f t="shared" si="188"/>
        <v>130</v>
      </c>
      <c r="AZ91" s="48">
        <f t="shared" si="189"/>
        <v>13000</v>
      </c>
      <c r="BA91" s="48">
        <f t="shared" si="183"/>
        <v>13000</v>
      </c>
      <c r="BB91" s="48">
        <f t="shared" si="184"/>
        <v>13000</v>
      </c>
      <c r="BC91" s="59">
        <f t="shared" si="157"/>
        <v>1.4999999999999999E-2</v>
      </c>
      <c r="BD91" s="48">
        <f t="shared" si="158"/>
        <v>13016.25</v>
      </c>
      <c r="BE91" s="48" t="str">
        <f t="shared" si="159"/>
        <v>nie</v>
      </c>
      <c r="BF91" s="48">
        <f t="shared" si="160"/>
        <v>16.25</v>
      </c>
      <c r="BG91" s="48">
        <f t="shared" ref="BG91:BG154" si="192">BD91-BF91
-(BD91-BA91-BF91)*podatek_Belki</f>
        <v>13000</v>
      </c>
      <c r="BH91" s="48">
        <f t="shared" si="162"/>
        <v>0</v>
      </c>
      <c r="BI91" s="59">
        <f t="shared" si="163"/>
        <v>1.4999999999999999E-2</v>
      </c>
      <c r="BJ91" s="48">
        <f t="shared" si="164"/>
        <v>32.611191973273129</v>
      </c>
      <c r="BK91" s="48">
        <f t="shared" si="165"/>
        <v>13032.611191973274</v>
      </c>
      <c r="BL91" s="24"/>
      <c r="BM91" s="56">
        <f t="shared" si="190"/>
        <v>100</v>
      </c>
      <c r="BN91" s="48">
        <f t="shared" si="191"/>
        <v>10000</v>
      </c>
      <c r="BO91" s="48">
        <f t="shared" si="185"/>
        <v>10000</v>
      </c>
      <c r="BP91" s="48">
        <f t="shared" si="186"/>
        <v>13974.883966839372</v>
      </c>
      <c r="BQ91" s="59">
        <f t="shared" si="166"/>
        <v>6.5000000000000002E-2</v>
      </c>
      <c r="BR91" s="48">
        <f t="shared" si="167"/>
        <v>14050.581254993085</v>
      </c>
      <c r="BS91" s="48" t="str">
        <f t="shared" si="168"/>
        <v>nie</v>
      </c>
      <c r="BT91" s="48">
        <f t="shared" si="169"/>
        <v>200</v>
      </c>
      <c r="BU91" s="48">
        <f t="shared" si="170"/>
        <v>13118.970816544399</v>
      </c>
      <c r="BV91" s="48">
        <f t="shared" si="171"/>
        <v>0</v>
      </c>
      <c r="BW91" s="59">
        <f t="shared" si="172"/>
        <v>1.4999999999999999E-2</v>
      </c>
      <c r="BX91" s="48">
        <f t="shared" si="173"/>
        <v>0</v>
      </c>
      <c r="BY91" s="48">
        <f t="shared" si="174"/>
        <v>13118.970816544399</v>
      </c>
    </row>
    <row r="92" spans="1:77" s="25" customFormat="1" ht="14">
      <c r="A92" s="24"/>
      <c r="B92" s="172"/>
      <c r="C92" s="66">
        <f t="shared" si="130"/>
        <v>58</v>
      </c>
      <c r="D92" s="48">
        <f t="shared" si="131"/>
        <v>11577.824135516979</v>
      </c>
      <c r="E92" s="48">
        <f t="shared" si="132"/>
        <v>12039.794128359999</v>
      </c>
      <c r="F92" s="48">
        <f t="shared" si="133"/>
        <v>12218.297913360593</v>
      </c>
      <c r="G92" s="49">
        <f t="shared" si="134"/>
        <v>12258.667457678124</v>
      </c>
      <c r="H92" s="49">
        <f t="shared" si="135"/>
        <v>10604.520617095341</v>
      </c>
      <c r="I92" s="48">
        <f t="shared" si="136"/>
        <v>12661.523437500004</v>
      </c>
      <c r="J92" s="24"/>
      <c r="K92" s="84"/>
      <c r="L92" s="64">
        <f t="shared" si="137"/>
        <v>58</v>
      </c>
      <c r="M92" s="51">
        <f t="shared" si="124"/>
        <v>0.15778241355169786</v>
      </c>
      <c r="N92" s="51">
        <f t="shared" si="125"/>
        <v>0.20397941283599996</v>
      </c>
      <c r="O92" s="51">
        <f t="shared" si="126"/>
        <v>0.2218297913360594</v>
      </c>
      <c r="P92" s="51">
        <f t="shared" si="127"/>
        <v>0.22586674576781252</v>
      </c>
      <c r="Q92" s="51">
        <f t="shared" si="128"/>
        <v>6.04520617095341E-2</v>
      </c>
      <c r="R92" s="51">
        <f t="shared" si="129"/>
        <v>0.26615234375000041</v>
      </c>
      <c r="S92" s="24"/>
      <c r="T92" s="45">
        <f t="shared" si="175"/>
        <v>74</v>
      </c>
      <c r="U92" s="59">
        <f t="shared" si="123"/>
        <v>0.05</v>
      </c>
      <c r="V92" s="48">
        <f t="shared" si="138"/>
        <v>13512.631042968755</v>
      </c>
      <c r="W92" s="56">
        <f t="shared" si="176"/>
        <v>104</v>
      </c>
      <c r="X92" s="48">
        <f t="shared" si="177"/>
        <v>10389.6</v>
      </c>
      <c r="Y92" s="48">
        <f t="shared" si="187"/>
        <v>10400</v>
      </c>
      <c r="Z92" s="48">
        <f>Y92</f>
        <v>10400</v>
      </c>
      <c r="AA92" s="59">
        <f t="shared" si="139"/>
        <v>5.7500000000000002E-2</v>
      </c>
      <c r="AB92" s="48">
        <f t="shared" si="140"/>
        <v>10499.666666666666</v>
      </c>
      <c r="AC92" s="48" t="str">
        <f t="shared" si="141"/>
        <v>nie</v>
      </c>
      <c r="AD92" s="48">
        <f t="shared" si="142"/>
        <v>72.8</v>
      </c>
      <c r="AE92" s="48">
        <f t="shared" si="143"/>
        <v>10421.762000000001</v>
      </c>
      <c r="AF92" s="48">
        <f t="shared" si="144"/>
        <v>0</v>
      </c>
      <c r="AG92" s="59">
        <f t="shared" si="145"/>
        <v>1.4999999999999999E-2</v>
      </c>
      <c r="AH92" s="48">
        <f t="shared" si="146"/>
        <v>1760.6673025418138</v>
      </c>
      <c r="AI92" s="48">
        <f t="shared" si="147"/>
        <v>12182.429302541814</v>
      </c>
      <c r="AJ92" s="24"/>
      <c r="AK92" s="56">
        <f t="shared" si="179"/>
        <v>100</v>
      </c>
      <c r="AL92" s="48">
        <f t="shared" si="180"/>
        <v>10000</v>
      </c>
      <c r="AM92" s="48">
        <f t="shared" si="181"/>
        <v>10000</v>
      </c>
      <c r="AN92" s="48">
        <f t="shared" si="182"/>
        <v>13609.754124192001</v>
      </c>
      <c r="AO92" s="59">
        <f t="shared" si="148"/>
        <v>6.0000000000000005E-2</v>
      </c>
      <c r="AP92" s="48">
        <f t="shared" si="149"/>
        <v>13745.85166543392</v>
      </c>
      <c r="AQ92" s="48" t="str">
        <f t="shared" si="150"/>
        <v>nie</v>
      </c>
      <c r="AR92" s="48">
        <f t="shared" si="151"/>
        <v>200</v>
      </c>
      <c r="AS92" s="48">
        <f t="shared" si="152"/>
        <v>12872.139849001474</v>
      </c>
      <c r="AT92" s="48">
        <f t="shared" si="153"/>
        <v>0</v>
      </c>
      <c r="AU92" s="59">
        <f t="shared" si="154"/>
        <v>1.4999999999999999E-2</v>
      </c>
      <c r="AV92" s="48">
        <f t="shared" si="155"/>
        <v>0</v>
      </c>
      <c r="AW92" s="48">
        <f t="shared" si="156"/>
        <v>12872.139849001474</v>
      </c>
      <c r="AY92" s="56">
        <f t="shared" si="188"/>
        <v>130</v>
      </c>
      <c r="AZ92" s="48">
        <f t="shared" si="189"/>
        <v>13000</v>
      </c>
      <c r="BA92" s="48">
        <f t="shared" si="183"/>
        <v>13000</v>
      </c>
      <c r="BB92" s="48">
        <f t="shared" si="184"/>
        <v>13000</v>
      </c>
      <c r="BC92" s="59">
        <f t="shared" si="157"/>
        <v>1.4999999999999999E-2</v>
      </c>
      <c r="BD92" s="48">
        <f t="shared" si="158"/>
        <v>13032.5</v>
      </c>
      <c r="BE92" s="48" t="str">
        <f t="shared" si="159"/>
        <v>nie</v>
      </c>
      <c r="BF92" s="48">
        <f t="shared" si="160"/>
        <v>32.5</v>
      </c>
      <c r="BG92" s="48">
        <f t="shared" si="192"/>
        <v>13000</v>
      </c>
      <c r="BH92" s="48">
        <f t="shared" si="162"/>
        <v>0</v>
      </c>
      <c r="BI92" s="59">
        <f t="shared" si="163"/>
        <v>1.4999999999999999E-2</v>
      </c>
      <c r="BJ92" s="48">
        <f t="shared" si="164"/>
        <v>32.644210805146074</v>
      </c>
      <c r="BK92" s="48">
        <f t="shared" si="165"/>
        <v>13032.644210805147</v>
      </c>
      <c r="BL92" s="24"/>
      <c r="BM92" s="56">
        <f t="shared" si="190"/>
        <v>100</v>
      </c>
      <c r="BN92" s="48">
        <f t="shared" si="191"/>
        <v>10000</v>
      </c>
      <c r="BO92" s="48">
        <f t="shared" si="185"/>
        <v>10000</v>
      </c>
      <c r="BP92" s="48">
        <f t="shared" si="186"/>
        <v>13974.883966839372</v>
      </c>
      <c r="BQ92" s="59">
        <f t="shared" si="166"/>
        <v>6.5000000000000002E-2</v>
      </c>
      <c r="BR92" s="48">
        <f t="shared" si="167"/>
        <v>14126.278543146798</v>
      </c>
      <c r="BS92" s="48" t="str">
        <f t="shared" si="168"/>
        <v>nie</v>
      </c>
      <c r="BT92" s="48">
        <f t="shared" si="169"/>
        <v>200</v>
      </c>
      <c r="BU92" s="48">
        <f t="shared" si="170"/>
        <v>13180.285619948907</v>
      </c>
      <c r="BV92" s="48">
        <f t="shared" si="171"/>
        <v>0</v>
      </c>
      <c r="BW92" s="59">
        <f t="shared" si="172"/>
        <v>1.4999999999999999E-2</v>
      </c>
      <c r="BX92" s="48">
        <f t="shared" si="173"/>
        <v>0</v>
      </c>
      <c r="BY92" s="48">
        <f t="shared" si="174"/>
        <v>13180.285619948907</v>
      </c>
    </row>
    <row r="93" spans="1:77" s="25" customFormat="1" ht="14" customHeight="1">
      <c r="A93" s="24"/>
      <c r="B93" s="172"/>
      <c r="C93" s="66">
        <f t="shared" si="130"/>
        <v>59</v>
      </c>
      <c r="D93" s="48">
        <f t="shared" si="131"/>
        <v>11588.109986804189</v>
      </c>
      <c r="E93" s="48">
        <f t="shared" si="132"/>
        <v>12088.850290876</v>
      </c>
      <c r="F93" s="48">
        <f t="shared" si="133"/>
        <v>12269.659289169311</v>
      </c>
      <c r="G93" s="49">
        <f t="shared" si="134"/>
        <v>12312.726223270936</v>
      </c>
      <c r="H93" s="49">
        <f t="shared" si="135"/>
        <v>10615.25769422015</v>
      </c>
      <c r="I93" s="48">
        <f t="shared" si="136"/>
        <v>12712.169531250003</v>
      </c>
      <c r="J93" s="24"/>
      <c r="K93" s="84"/>
      <c r="L93" s="64">
        <f t="shared" si="137"/>
        <v>59</v>
      </c>
      <c r="M93" s="51">
        <f t="shared" si="124"/>
        <v>0.15881099868041892</v>
      </c>
      <c r="N93" s="51">
        <f t="shared" si="125"/>
        <v>0.20888502908760009</v>
      </c>
      <c r="O93" s="51">
        <f t="shared" si="126"/>
        <v>0.22696592891693101</v>
      </c>
      <c r="P93" s="51">
        <f t="shared" si="127"/>
        <v>0.23127262232709356</v>
      </c>
      <c r="Q93" s="51">
        <f t="shared" si="128"/>
        <v>6.1525769422015042E-2</v>
      </c>
      <c r="R93" s="51">
        <f t="shared" si="129"/>
        <v>0.27121695312500038</v>
      </c>
      <c r="S93" s="24"/>
      <c r="T93" s="45">
        <f t="shared" si="175"/>
        <v>75</v>
      </c>
      <c r="U93" s="59">
        <f t="shared" si="123"/>
        <v>0.05</v>
      </c>
      <c r="V93" s="48">
        <f t="shared" si="138"/>
        <v>13568.468361328129</v>
      </c>
      <c r="W93" s="56">
        <f t="shared" si="176"/>
        <v>104</v>
      </c>
      <c r="X93" s="48">
        <f t="shared" si="177"/>
        <v>10389.6</v>
      </c>
      <c r="Y93" s="48">
        <f t="shared" si="187"/>
        <v>10400</v>
      </c>
      <c r="Z93" s="48">
        <f t="shared" si="178"/>
        <v>10400</v>
      </c>
      <c r="AA93" s="59">
        <f t="shared" si="139"/>
        <v>5.7500000000000002E-2</v>
      </c>
      <c r="AB93" s="48">
        <f t="shared" si="140"/>
        <v>10549.5</v>
      </c>
      <c r="AC93" s="48" t="str">
        <f t="shared" si="141"/>
        <v>nie</v>
      </c>
      <c r="AD93" s="48">
        <f t="shared" si="142"/>
        <v>72.8</v>
      </c>
      <c r="AE93" s="48">
        <f t="shared" si="143"/>
        <v>10462.127</v>
      </c>
      <c r="AF93" s="48">
        <f t="shared" si="144"/>
        <v>0</v>
      </c>
      <c r="AG93" s="59">
        <f t="shared" si="145"/>
        <v>1.4999999999999999E-2</v>
      </c>
      <c r="AH93" s="48">
        <f t="shared" si="146"/>
        <v>1762.4499781856375</v>
      </c>
      <c r="AI93" s="48">
        <f t="shared" si="147"/>
        <v>12224.576978185638</v>
      </c>
      <c r="AJ93" s="24"/>
      <c r="AK93" s="56">
        <f t="shared" si="179"/>
        <v>100</v>
      </c>
      <c r="AL93" s="48">
        <f t="shared" si="180"/>
        <v>10000</v>
      </c>
      <c r="AM93" s="48">
        <f t="shared" si="181"/>
        <v>10000</v>
      </c>
      <c r="AN93" s="48">
        <f t="shared" si="182"/>
        <v>13609.754124192001</v>
      </c>
      <c r="AO93" s="59">
        <f t="shared" si="148"/>
        <v>6.0000000000000005E-2</v>
      </c>
      <c r="AP93" s="48">
        <f t="shared" si="149"/>
        <v>13813.900436054879</v>
      </c>
      <c r="AQ93" s="48" t="str">
        <f t="shared" si="150"/>
        <v>nie</v>
      </c>
      <c r="AR93" s="48">
        <f t="shared" si="151"/>
        <v>200</v>
      </c>
      <c r="AS93" s="48">
        <f t="shared" si="152"/>
        <v>12927.259353204452</v>
      </c>
      <c r="AT93" s="48">
        <f t="shared" si="153"/>
        <v>0</v>
      </c>
      <c r="AU93" s="59">
        <f t="shared" si="154"/>
        <v>1.4999999999999999E-2</v>
      </c>
      <c r="AV93" s="48">
        <f t="shared" si="155"/>
        <v>0</v>
      </c>
      <c r="AW93" s="48">
        <f t="shared" si="156"/>
        <v>12927.259353204452</v>
      </c>
      <c r="AY93" s="56">
        <f t="shared" si="188"/>
        <v>130</v>
      </c>
      <c r="AZ93" s="48">
        <f t="shared" si="189"/>
        <v>13000</v>
      </c>
      <c r="BA93" s="48">
        <f t="shared" si="183"/>
        <v>13000</v>
      </c>
      <c r="BB93" s="48">
        <f t="shared" si="184"/>
        <v>13000</v>
      </c>
      <c r="BC93" s="59">
        <f t="shared" si="157"/>
        <v>1.4999999999999999E-2</v>
      </c>
      <c r="BD93" s="48">
        <f t="shared" si="158"/>
        <v>13048.749999999998</v>
      </c>
      <c r="BE93" s="48" t="str">
        <f t="shared" si="159"/>
        <v>nie</v>
      </c>
      <c r="BF93" s="48">
        <f t="shared" si="160"/>
        <v>48.749999999998181</v>
      </c>
      <c r="BG93" s="48">
        <f t="shared" si="192"/>
        <v>13000</v>
      </c>
      <c r="BH93" s="48">
        <f t="shared" si="162"/>
        <v>0</v>
      </c>
      <c r="BI93" s="59">
        <f t="shared" si="163"/>
        <v>1.4999999999999999E-2</v>
      </c>
      <c r="BJ93" s="48">
        <f t="shared" si="164"/>
        <v>32.677263068586285</v>
      </c>
      <c r="BK93" s="48">
        <f t="shared" si="165"/>
        <v>13032.677263068586</v>
      </c>
      <c r="BL93" s="24"/>
      <c r="BM93" s="56">
        <f t="shared" si="190"/>
        <v>100</v>
      </c>
      <c r="BN93" s="48">
        <f t="shared" si="191"/>
        <v>10000</v>
      </c>
      <c r="BO93" s="48">
        <f t="shared" si="185"/>
        <v>10000</v>
      </c>
      <c r="BP93" s="48">
        <f t="shared" si="186"/>
        <v>13974.883966839372</v>
      </c>
      <c r="BQ93" s="59">
        <f t="shared" si="166"/>
        <v>6.5000000000000002E-2</v>
      </c>
      <c r="BR93" s="48">
        <f t="shared" si="167"/>
        <v>14201.975831300513</v>
      </c>
      <c r="BS93" s="48" t="str">
        <f t="shared" si="168"/>
        <v>nie</v>
      </c>
      <c r="BT93" s="48">
        <f t="shared" si="169"/>
        <v>200</v>
      </c>
      <c r="BU93" s="48">
        <f t="shared" si="170"/>
        <v>13241.600423353415</v>
      </c>
      <c r="BV93" s="48">
        <f t="shared" si="171"/>
        <v>0</v>
      </c>
      <c r="BW93" s="59">
        <f t="shared" si="172"/>
        <v>1.4999999999999999E-2</v>
      </c>
      <c r="BX93" s="48">
        <f t="shared" si="173"/>
        <v>0</v>
      </c>
      <c r="BY93" s="48">
        <f t="shared" si="174"/>
        <v>13241.600423353415</v>
      </c>
    </row>
    <row r="94" spans="1:77" s="25" customFormat="1" ht="14">
      <c r="A94" s="24"/>
      <c r="B94" s="173"/>
      <c r="C94" s="66">
        <f t="shared" si="130"/>
        <v>60</v>
      </c>
      <c r="D94" s="48">
        <f t="shared" si="131"/>
        <v>11598.39701244083</v>
      </c>
      <c r="E94" s="48">
        <f t="shared" si="132"/>
        <v>12137.906453391999</v>
      </c>
      <c r="F94" s="48">
        <f t="shared" si="133"/>
        <v>12321.020664978027</v>
      </c>
      <c r="G94" s="49">
        <f t="shared" si="134"/>
        <v>12366.784988863748</v>
      </c>
      <c r="H94" s="49">
        <f t="shared" si="135"/>
        <v>10626.00564263555</v>
      </c>
      <c r="I94" s="48">
        <f t="shared" si="136"/>
        <v>12762.815625000003</v>
      </c>
      <c r="J94" s="24"/>
      <c r="K94" s="84"/>
      <c r="L94" s="64">
        <f t="shared" si="137"/>
        <v>60</v>
      </c>
      <c r="M94" s="51">
        <f t="shared" si="124"/>
        <v>0.15983970124408287</v>
      </c>
      <c r="N94" s="51">
        <f t="shared" si="125"/>
        <v>0.2137906453392</v>
      </c>
      <c r="O94" s="51">
        <f t="shared" si="126"/>
        <v>0.23210206649780263</v>
      </c>
      <c r="P94" s="51">
        <f t="shared" si="127"/>
        <v>0.23667849888637482</v>
      </c>
      <c r="Q94" s="51">
        <f t="shared" si="128"/>
        <v>6.2600564263554981E-2</v>
      </c>
      <c r="R94" s="51">
        <f t="shared" si="129"/>
        <v>0.27628156250000035</v>
      </c>
      <c r="S94" s="24"/>
      <c r="T94" s="45">
        <f t="shared" si="175"/>
        <v>76</v>
      </c>
      <c r="U94" s="59">
        <f t="shared" si="123"/>
        <v>0.05</v>
      </c>
      <c r="V94" s="48">
        <f t="shared" si="138"/>
        <v>13624.305679687504</v>
      </c>
      <c r="W94" s="56">
        <f t="shared" si="176"/>
        <v>104</v>
      </c>
      <c r="X94" s="48">
        <f t="shared" si="177"/>
        <v>10389.6</v>
      </c>
      <c r="Y94" s="48">
        <f t="shared" si="187"/>
        <v>10400</v>
      </c>
      <c r="Z94" s="48">
        <f t="shared" si="178"/>
        <v>10400</v>
      </c>
      <c r="AA94" s="59">
        <f t="shared" si="139"/>
        <v>5.7500000000000002E-2</v>
      </c>
      <c r="AB94" s="48">
        <f t="shared" si="140"/>
        <v>10599.333333333334</v>
      </c>
      <c r="AC94" s="48" t="str">
        <f t="shared" si="141"/>
        <v>nie</v>
      </c>
      <c r="AD94" s="48">
        <f t="shared" si="142"/>
        <v>72.8</v>
      </c>
      <c r="AE94" s="48">
        <f t="shared" si="143"/>
        <v>10502.492000000002</v>
      </c>
      <c r="AF94" s="48">
        <f t="shared" si="144"/>
        <v>0</v>
      </c>
      <c r="AG94" s="59">
        <f t="shared" si="145"/>
        <v>1.4999999999999999E-2</v>
      </c>
      <c r="AH94" s="48">
        <f t="shared" si="146"/>
        <v>1764.2344587885507</v>
      </c>
      <c r="AI94" s="48">
        <f t="shared" si="147"/>
        <v>12266.726458788553</v>
      </c>
      <c r="AJ94" s="24"/>
      <c r="AK94" s="56">
        <f t="shared" si="179"/>
        <v>100</v>
      </c>
      <c r="AL94" s="48">
        <f t="shared" si="180"/>
        <v>10000</v>
      </c>
      <c r="AM94" s="48">
        <f t="shared" si="181"/>
        <v>10000</v>
      </c>
      <c r="AN94" s="48">
        <f t="shared" si="182"/>
        <v>13609.754124192001</v>
      </c>
      <c r="AO94" s="59">
        <f t="shared" si="148"/>
        <v>6.0000000000000005E-2</v>
      </c>
      <c r="AP94" s="48">
        <f t="shared" si="149"/>
        <v>13881.949206675841</v>
      </c>
      <c r="AQ94" s="48" t="str">
        <f t="shared" si="150"/>
        <v>nie</v>
      </c>
      <c r="AR94" s="48">
        <f t="shared" si="151"/>
        <v>200</v>
      </c>
      <c r="AS94" s="48">
        <f t="shared" si="152"/>
        <v>12982.378857407431</v>
      </c>
      <c r="AT94" s="48">
        <f t="shared" si="153"/>
        <v>0</v>
      </c>
      <c r="AU94" s="59">
        <f t="shared" si="154"/>
        <v>1.4999999999999999E-2</v>
      </c>
      <c r="AV94" s="48">
        <f t="shared" si="155"/>
        <v>0</v>
      </c>
      <c r="AW94" s="48">
        <f t="shared" si="156"/>
        <v>12982.378857407431</v>
      </c>
      <c r="AY94" s="56">
        <f t="shared" si="188"/>
        <v>130</v>
      </c>
      <c r="AZ94" s="48">
        <f t="shared" si="189"/>
        <v>13000</v>
      </c>
      <c r="BA94" s="48">
        <f t="shared" si="183"/>
        <v>13000</v>
      </c>
      <c r="BB94" s="48">
        <f t="shared" si="184"/>
        <v>13000</v>
      </c>
      <c r="BC94" s="59">
        <f t="shared" si="157"/>
        <v>1.4999999999999999E-2</v>
      </c>
      <c r="BD94" s="48">
        <f t="shared" si="158"/>
        <v>13064.999999999998</v>
      </c>
      <c r="BE94" s="48" t="str">
        <f t="shared" si="159"/>
        <v>nie</v>
      </c>
      <c r="BF94" s="48">
        <f t="shared" si="160"/>
        <v>64.999999999998181</v>
      </c>
      <c r="BG94" s="48">
        <f t="shared" si="192"/>
        <v>13000</v>
      </c>
      <c r="BH94" s="48">
        <f t="shared" si="162"/>
        <v>0</v>
      </c>
      <c r="BI94" s="59">
        <f t="shared" si="163"/>
        <v>1.4999999999999999E-2</v>
      </c>
      <c r="BJ94" s="48">
        <f t="shared" si="164"/>
        <v>32.710348797443231</v>
      </c>
      <c r="BK94" s="48">
        <f t="shared" si="165"/>
        <v>13032.710348797444</v>
      </c>
      <c r="BL94" s="24"/>
      <c r="BM94" s="56">
        <f t="shared" si="190"/>
        <v>100</v>
      </c>
      <c r="BN94" s="48">
        <f t="shared" si="191"/>
        <v>10000</v>
      </c>
      <c r="BO94" s="48">
        <f t="shared" si="185"/>
        <v>10000</v>
      </c>
      <c r="BP94" s="48">
        <f t="shared" si="186"/>
        <v>13974.883966839372</v>
      </c>
      <c r="BQ94" s="59">
        <f t="shared" si="166"/>
        <v>6.5000000000000002E-2</v>
      </c>
      <c r="BR94" s="48">
        <f t="shared" si="167"/>
        <v>14277.673119454226</v>
      </c>
      <c r="BS94" s="48" t="str">
        <f t="shared" si="168"/>
        <v>nie</v>
      </c>
      <c r="BT94" s="48">
        <f t="shared" si="169"/>
        <v>200</v>
      </c>
      <c r="BU94" s="48">
        <f t="shared" si="170"/>
        <v>13302.915226757923</v>
      </c>
      <c r="BV94" s="48">
        <f t="shared" si="171"/>
        <v>0</v>
      </c>
      <c r="BW94" s="59">
        <f t="shared" si="172"/>
        <v>1.4999999999999999E-2</v>
      </c>
      <c r="BX94" s="48">
        <f t="shared" si="173"/>
        <v>0</v>
      </c>
      <c r="BY94" s="48">
        <f t="shared" si="174"/>
        <v>13302.915226757923</v>
      </c>
    </row>
    <row r="95" spans="1:77" s="25" customFormat="1" ht="14">
      <c r="A95" s="24"/>
      <c r="B95" s="171">
        <f>ROUNDUP(C106/12,0)</f>
        <v>6</v>
      </c>
      <c r="C95" s="66">
        <f t="shared" si="130"/>
        <v>61</v>
      </c>
      <c r="D95" s="48">
        <f t="shared" si="131"/>
        <v>11640.035094515926</v>
      </c>
      <c r="E95" s="48">
        <f t="shared" si="132"/>
        <v>12189.905985658957</v>
      </c>
      <c r="F95" s="48">
        <f t="shared" si="133"/>
        <v>12375.592126774785</v>
      </c>
      <c r="G95" s="49">
        <f t="shared" si="134"/>
        <v>12424.357574220094</v>
      </c>
      <c r="H95" s="49">
        <f t="shared" si="135"/>
        <v>10636.76447334872</v>
      </c>
      <c r="I95" s="48">
        <f t="shared" si="136"/>
        <v>12815.994023437503</v>
      </c>
      <c r="J95" s="24"/>
      <c r="K95" s="84"/>
      <c r="L95" s="64">
        <f t="shared" si="137"/>
        <v>61</v>
      </c>
      <c r="M95" s="51">
        <f t="shared" si="124"/>
        <v>0.16400350945159259</v>
      </c>
      <c r="N95" s="51">
        <f t="shared" si="125"/>
        <v>0.21899059856589576</v>
      </c>
      <c r="O95" s="51">
        <f t="shared" si="126"/>
        <v>0.23755921267747859</v>
      </c>
      <c r="P95" s="51">
        <f t="shared" si="127"/>
        <v>0.24243575742200929</v>
      </c>
      <c r="Q95" s="51">
        <f t="shared" si="128"/>
        <v>6.3676447334871877E-2</v>
      </c>
      <c r="R95" s="51">
        <f t="shared" si="129"/>
        <v>0.28159940234375025</v>
      </c>
      <c r="S95" s="24"/>
      <c r="T95" s="45">
        <f t="shared" si="175"/>
        <v>77</v>
      </c>
      <c r="U95" s="59">
        <f t="shared" ref="U95:U126" si="193">MAX(INDEX(scenariusz_I_inflacja,MATCH(ROUNDUP(T95/12,0)-1,scenariusz_I_rok,0)),0)</f>
        <v>0.05</v>
      </c>
      <c r="V95" s="48">
        <f t="shared" si="138"/>
        <v>13680.142998046878</v>
      </c>
      <c r="W95" s="56">
        <f t="shared" si="176"/>
        <v>104</v>
      </c>
      <c r="X95" s="48">
        <f t="shared" si="177"/>
        <v>10389.6</v>
      </c>
      <c r="Y95" s="48">
        <f t="shared" si="187"/>
        <v>10400</v>
      </c>
      <c r="Z95" s="48">
        <f t="shared" si="178"/>
        <v>10400</v>
      </c>
      <c r="AA95" s="59">
        <f t="shared" si="139"/>
        <v>5.7500000000000002E-2</v>
      </c>
      <c r="AB95" s="48">
        <f t="shared" si="140"/>
        <v>10649.166666666666</v>
      </c>
      <c r="AC95" s="48" t="str">
        <f t="shared" si="141"/>
        <v>nie</v>
      </c>
      <c r="AD95" s="48">
        <f t="shared" si="142"/>
        <v>72.8</v>
      </c>
      <c r="AE95" s="48">
        <f t="shared" si="143"/>
        <v>10542.857</v>
      </c>
      <c r="AF95" s="48">
        <f t="shared" si="144"/>
        <v>0</v>
      </c>
      <c r="AG95" s="59">
        <f t="shared" si="145"/>
        <v>1.4999999999999999E-2</v>
      </c>
      <c r="AH95" s="48">
        <f t="shared" si="146"/>
        <v>1766.0207461780742</v>
      </c>
      <c r="AI95" s="48">
        <f t="shared" si="147"/>
        <v>12308.877746178074</v>
      </c>
      <c r="AJ95" s="24"/>
      <c r="AK95" s="56">
        <f t="shared" si="179"/>
        <v>100</v>
      </c>
      <c r="AL95" s="48">
        <f t="shared" si="180"/>
        <v>10000</v>
      </c>
      <c r="AM95" s="48">
        <f t="shared" si="181"/>
        <v>10000</v>
      </c>
      <c r="AN95" s="48">
        <f t="shared" si="182"/>
        <v>13609.754124192001</v>
      </c>
      <c r="AO95" s="59">
        <f t="shared" si="148"/>
        <v>6.0000000000000005E-2</v>
      </c>
      <c r="AP95" s="48">
        <f t="shared" si="149"/>
        <v>13949.9979772968</v>
      </c>
      <c r="AQ95" s="48" t="str">
        <f t="shared" si="150"/>
        <v>nie</v>
      </c>
      <c r="AR95" s="48">
        <f t="shared" si="151"/>
        <v>200</v>
      </c>
      <c r="AS95" s="48">
        <f t="shared" si="152"/>
        <v>13037.498361610407</v>
      </c>
      <c r="AT95" s="48">
        <f t="shared" si="153"/>
        <v>0</v>
      </c>
      <c r="AU95" s="59">
        <f t="shared" si="154"/>
        <v>1.4999999999999999E-2</v>
      </c>
      <c r="AV95" s="48">
        <f t="shared" si="155"/>
        <v>0</v>
      </c>
      <c r="AW95" s="48">
        <f t="shared" si="156"/>
        <v>13037.498361610407</v>
      </c>
      <c r="AY95" s="56">
        <f t="shared" si="188"/>
        <v>130</v>
      </c>
      <c r="AZ95" s="48">
        <f t="shared" si="189"/>
        <v>13000</v>
      </c>
      <c r="BA95" s="48">
        <f t="shared" si="183"/>
        <v>13000</v>
      </c>
      <c r="BB95" s="48">
        <f t="shared" si="184"/>
        <v>13000</v>
      </c>
      <c r="BC95" s="59">
        <f t="shared" si="157"/>
        <v>1.4999999999999999E-2</v>
      </c>
      <c r="BD95" s="48">
        <f t="shared" si="158"/>
        <v>13081.250000000002</v>
      </c>
      <c r="BE95" s="48" t="str">
        <f t="shared" si="159"/>
        <v>nie</v>
      </c>
      <c r="BF95" s="48">
        <f t="shared" si="160"/>
        <v>81.250000000001819</v>
      </c>
      <c r="BG95" s="48">
        <f t="shared" si="192"/>
        <v>13000</v>
      </c>
      <c r="BH95" s="48">
        <f t="shared" si="162"/>
        <v>0</v>
      </c>
      <c r="BI95" s="59">
        <f t="shared" si="163"/>
        <v>1.4999999999999999E-2</v>
      </c>
      <c r="BJ95" s="48">
        <f t="shared" si="164"/>
        <v>32.743468025600649</v>
      </c>
      <c r="BK95" s="48">
        <f t="shared" si="165"/>
        <v>13032.743468025601</v>
      </c>
      <c r="BL95" s="24"/>
      <c r="BM95" s="56">
        <f t="shared" si="190"/>
        <v>100</v>
      </c>
      <c r="BN95" s="48">
        <f t="shared" si="191"/>
        <v>10000</v>
      </c>
      <c r="BO95" s="48">
        <f t="shared" si="185"/>
        <v>10000</v>
      </c>
      <c r="BP95" s="48">
        <f t="shared" si="186"/>
        <v>13974.883966839372</v>
      </c>
      <c r="BQ95" s="59">
        <f t="shared" si="166"/>
        <v>6.5000000000000002E-2</v>
      </c>
      <c r="BR95" s="48">
        <f t="shared" si="167"/>
        <v>14353.370407607939</v>
      </c>
      <c r="BS95" s="48" t="str">
        <f t="shared" si="168"/>
        <v>nie</v>
      </c>
      <c r="BT95" s="48">
        <f t="shared" si="169"/>
        <v>200</v>
      </c>
      <c r="BU95" s="48">
        <f t="shared" si="170"/>
        <v>13364.230030162431</v>
      </c>
      <c r="BV95" s="48">
        <f t="shared" si="171"/>
        <v>0</v>
      </c>
      <c r="BW95" s="59">
        <f t="shared" si="172"/>
        <v>1.4999999999999999E-2</v>
      </c>
      <c r="BX95" s="48">
        <f t="shared" si="173"/>
        <v>0</v>
      </c>
      <c r="BY95" s="48">
        <f t="shared" si="174"/>
        <v>13364.230030162431</v>
      </c>
    </row>
    <row r="96" spans="1:77" s="25" customFormat="1" ht="14">
      <c r="A96" s="24"/>
      <c r="B96" s="172"/>
      <c r="C96" s="66">
        <f t="shared" si="130"/>
        <v>62</v>
      </c>
      <c r="D96" s="48">
        <f t="shared" si="131"/>
        <v>11681.674465586624</v>
      </c>
      <c r="E96" s="48">
        <f t="shared" si="132"/>
        <v>12241.905517925919</v>
      </c>
      <c r="F96" s="48">
        <f t="shared" si="133"/>
        <v>12430.163588571548</v>
      </c>
      <c r="G96" s="49">
        <f t="shared" si="134"/>
        <v>12481.930159576439</v>
      </c>
      <c r="H96" s="49">
        <f t="shared" si="135"/>
        <v>10647.534197377987</v>
      </c>
      <c r="I96" s="48">
        <f t="shared" si="136"/>
        <v>12869.172421875002</v>
      </c>
      <c r="J96" s="24"/>
      <c r="K96" s="84"/>
      <c r="L96" s="64">
        <f t="shared" si="137"/>
        <v>62</v>
      </c>
      <c r="M96" s="51">
        <f t="shared" si="124"/>
        <v>0.16816744655866245</v>
      </c>
      <c r="N96" s="51">
        <f t="shared" si="125"/>
        <v>0.22419055179259195</v>
      </c>
      <c r="O96" s="51">
        <f t="shared" si="126"/>
        <v>0.24301635885715478</v>
      </c>
      <c r="P96" s="51">
        <f t="shared" si="127"/>
        <v>0.24819301595764398</v>
      </c>
      <c r="Q96" s="51">
        <f t="shared" si="128"/>
        <v>6.4753419737798579E-2</v>
      </c>
      <c r="R96" s="51">
        <f t="shared" si="129"/>
        <v>0.28691724218750014</v>
      </c>
      <c r="S96" s="24"/>
      <c r="T96" s="45">
        <f t="shared" si="175"/>
        <v>78</v>
      </c>
      <c r="U96" s="59">
        <f t="shared" si="193"/>
        <v>0.05</v>
      </c>
      <c r="V96" s="48">
        <f t="shared" si="138"/>
        <v>13735.980316406254</v>
      </c>
      <c r="W96" s="56">
        <f t="shared" si="176"/>
        <v>104</v>
      </c>
      <c r="X96" s="48">
        <f t="shared" si="177"/>
        <v>10389.6</v>
      </c>
      <c r="Y96" s="48">
        <f t="shared" si="187"/>
        <v>10400</v>
      </c>
      <c r="Z96" s="48">
        <f t="shared" si="178"/>
        <v>10400</v>
      </c>
      <c r="AA96" s="59">
        <f t="shared" si="139"/>
        <v>5.7500000000000002E-2</v>
      </c>
      <c r="AB96" s="48">
        <f t="shared" si="140"/>
        <v>10699</v>
      </c>
      <c r="AC96" s="48" t="str">
        <f t="shared" si="141"/>
        <v>nie</v>
      </c>
      <c r="AD96" s="48">
        <f t="shared" si="142"/>
        <v>72.8</v>
      </c>
      <c r="AE96" s="48">
        <f t="shared" si="143"/>
        <v>10583.222000000002</v>
      </c>
      <c r="AF96" s="48">
        <f t="shared" si="144"/>
        <v>0</v>
      </c>
      <c r="AG96" s="59">
        <f t="shared" si="145"/>
        <v>1.4999999999999999E-2</v>
      </c>
      <c r="AH96" s="48">
        <f t="shared" si="146"/>
        <v>1767.8088421835796</v>
      </c>
      <c r="AI96" s="48">
        <f t="shared" si="147"/>
        <v>12351.030842183582</v>
      </c>
      <c r="AJ96" s="24"/>
      <c r="AK96" s="56">
        <f t="shared" si="179"/>
        <v>100</v>
      </c>
      <c r="AL96" s="48">
        <f t="shared" si="180"/>
        <v>10000</v>
      </c>
      <c r="AM96" s="48">
        <f t="shared" si="181"/>
        <v>10000</v>
      </c>
      <c r="AN96" s="48">
        <f t="shared" si="182"/>
        <v>13609.754124192001</v>
      </c>
      <c r="AO96" s="59">
        <f t="shared" si="148"/>
        <v>6.0000000000000005E-2</v>
      </c>
      <c r="AP96" s="48">
        <f t="shared" si="149"/>
        <v>14018.046747917761</v>
      </c>
      <c r="AQ96" s="48" t="str">
        <f t="shared" si="150"/>
        <v>nie</v>
      </c>
      <c r="AR96" s="48">
        <f t="shared" si="151"/>
        <v>200</v>
      </c>
      <c r="AS96" s="48">
        <f t="shared" si="152"/>
        <v>13092.617865813387</v>
      </c>
      <c r="AT96" s="48">
        <f t="shared" si="153"/>
        <v>0</v>
      </c>
      <c r="AU96" s="59">
        <f t="shared" si="154"/>
        <v>1.4999999999999999E-2</v>
      </c>
      <c r="AV96" s="48">
        <f t="shared" si="155"/>
        <v>0</v>
      </c>
      <c r="AW96" s="48">
        <f t="shared" si="156"/>
        <v>13092.617865813387</v>
      </c>
      <c r="AY96" s="56">
        <f t="shared" si="188"/>
        <v>130</v>
      </c>
      <c r="AZ96" s="48">
        <f t="shared" si="189"/>
        <v>13000</v>
      </c>
      <c r="BA96" s="48">
        <f t="shared" si="183"/>
        <v>13000</v>
      </c>
      <c r="BB96" s="48">
        <f t="shared" si="184"/>
        <v>13000</v>
      </c>
      <c r="BC96" s="59">
        <f t="shared" si="157"/>
        <v>1.4999999999999999E-2</v>
      </c>
      <c r="BD96" s="48">
        <f t="shared" si="158"/>
        <v>13097.5</v>
      </c>
      <c r="BE96" s="48" t="str">
        <f t="shared" si="159"/>
        <v>nie</v>
      </c>
      <c r="BF96" s="48">
        <f t="shared" si="160"/>
        <v>91</v>
      </c>
      <c r="BG96" s="48">
        <f t="shared" si="192"/>
        <v>13005.264999999999</v>
      </c>
      <c r="BH96" s="48">
        <f t="shared" si="162"/>
        <v>0</v>
      </c>
      <c r="BI96" s="59">
        <f t="shared" si="163"/>
        <v>1.4999999999999999E-2</v>
      </c>
      <c r="BJ96" s="48">
        <f t="shared" si="164"/>
        <v>32.776620786976572</v>
      </c>
      <c r="BK96" s="48">
        <f t="shared" si="165"/>
        <v>13038.041620786977</v>
      </c>
      <c r="BL96" s="24"/>
      <c r="BM96" s="56">
        <f t="shared" si="190"/>
        <v>100</v>
      </c>
      <c r="BN96" s="48">
        <f t="shared" si="191"/>
        <v>10000</v>
      </c>
      <c r="BO96" s="48">
        <f t="shared" si="185"/>
        <v>10000</v>
      </c>
      <c r="BP96" s="48">
        <f t="shared" si="186"/>
        <v>13974.883966839372</v>
      </c>
      <c r="BQ96" s="59">
        <f t="shared" si="166"/>
        <v>6.5000000000000002E-2</v>
      </c>
      <c r="BR96" s="48">
        <f t="shared" si="167"/>
        <v>14429.067695761651</v>
      </c>
      <c r="BS96" s="48" t="str">
        <f t="shared" si="168"/>
        <v>nie</v>
      </c>
      <c r="BT96" s="48">
        <f t="shared" si="169"/>
        <v>200</v>
      </c>
      <c r="BU96" s="48">
        <f t="shared" si="170"/>
        <v>13425.544833566937</v>
      </c>
      <c r="BV96" s="48">
        <f t="shared" si="171"/>
        <v>0</v>
      </c>
      <c r="BW96" s="59">
        <f t="shared" si="172"/>
        <v>1.4999999999999999E-2</v>
      </c>
      <c r="BX96" s="48">
        <f t="shared" si="173"/>
        <v>0</v>
      </c>
      <c r="BY96" s="48">
        <f t="shared" si="174"/>
        <v>13425.544833566937</v>
      </c>
    </row>
    <row r="97" spans="1:77" s="25" customFormat="1" ht="14">
      <c r="A97" s="24"/>
      <c r="B97" s="172"/>
      <c r="C97" s="66">
        <f t="shared" si="130"/>
        <v>63</v>
      </c>
      <c r="D97" s="48">
        <f t="shared" si="131"/>
        <v>11723.31512695803</v>
      </c>
      <c r="E97" s="48">
        <f t="shared" si="132"/>
        <v>12293.90505019288</v>
      </c>
      <c r="F97" s="48">
        <f t="shared" si="133"/>
        <v>12484.735050368308</v>
      </c>
      <c r="G97" s="49">
        <f t="shared" si="134"/>
        <v>12539.502744932786</v>
      </c>
      <c r="H97" s="49">
        <f t="shared" si="135"/>
        <v>10658.314825752834</v>
      </c>
      <c r="I97" s="48">
        <f t="shared" si="136"/>
        <v>12922.350820312502</v>
      </c>
      <c r="J97" s="24"/>
      <c r="K97" s="84"/>
      <c r="L97" s="64">
        <f t="shared" si="137"/>
        <v>63</v>
      </c>
      <c r="M97" s="51">
        <f t="shared" si="124"/>
        <v>0.17233151269580294</v>
      </c>
      <c r="N97" s="51">
        <f t="shared" si="125"/>
        <v>0.22939050501928793</v>
      </c>
      <c r="O97" s="51">
        <f t="shared" si="126"/>
        <v>0.24847350503683074</v>
      </c>
      <c r="P97" s="51">
        <f t="shared" si="127"/>
        <v>0.25395027449327867</v>
      </c>
      <c r="Q97" s="51">
        <f t="shared" si="128"/>
        <v>6.5831482575283262E-2</v>
      </c>
      <c r="R97" s="51">
        <f t="shared" si="129"/>
        <v>0.29223508203125026</v>
      </c>
      <c r="S97" s="24"/>
      <c r="T97" s="45">
        <f t="shared" si="175"/>
        <v>79</v>
      </c>
      <c r="U97" s="59">
        <f t="shared" si="193"/>
        <v>0.05</v>
      </c>
      <c r="V97" s="48">
        <f t="shared" si="138"/>
        <v>13791.817634765628</v>
      </c>
      <c r="W97" s="56">
        <f t="shared" si="176"/>
        <v>104</v>
      </c>
      <c r="X97" s="48">
        <f t="shared" si="177"/>
        <v>10389.6</v>
      </c>
      <c r="Y97" s="48">
        <f t="shared" si="187"/>
        <v>10400</v>
      </c>
      <c r="Z97" s="48">
        <f t="shared" si="178"/>
        <v>10400</v>
      </c>
      <c r="AA97" s="59">
        <f t="shared" si="139"/>
        <v>5.7500000000000002E-2</v>
      </c>
      <c r="AB97" s="48">
        <f t="shared" si="140"/>
        <v>10748.833333333332</v>
      </c>
      <c r="AC97" s="48" t="str">
        <f t="shared" si="141"/>
        <v>nie</v>
      </c>
      <c r="AD97" s="48">
        <f t="shared" si="142"/>
        <v>72.8</v>
      </c>
      <c r="AE97" s="48">
        <f t="shared" si="143"/>
        <v>10623.587</v>
      </c>
      <c r="AF97" s="48">
        <f t="shared" si="144"/>
        <v>0</v>
      </c>
      <c r="AG97" s="59">
        <f t="shared" si="145"/>
        <v>1.4999999999999999E-2</v>
      </c>
      <c r="AH97" s="48">
        <f t="shared" si="146"/>
        <v>1769.5987486362906</v>
      </c>
      <c r="AI97" s="48">
        <f t="shared" si="147"/>
        <v>12393.18574863629</v>
      </c>
      <c r="AJ97" s="24"/>
      <c r="AK97" s="56">
        <f t="shared" si="179"/>
        <v>100</v>
      </c>
      <c r="AL97" s="48">
        <f t="shared" si="180"/>
        <v>10000</v>
      </c>
      <c r="AM97" s="48">
        <f t="shared" si="181"/>
        <v>10000</v>
      </c>
      <c r="AN97" s="48">
        <f t="shared" si="182"/>
        <v>13609.754124192001</v>
      </c>
      <c r="AO97" s="59">
        <f t="shared" si="148"/>
        <v>6.0000000000000005E-2</v>
      </c>
      <c r="AP97" s="48">
        <f t="shared" si="149"/>
        <v>14086.095518538719</v>
      </c>
      <c r="AQ97" s="48" t="str">
        <f t="shared" si="150"/>
        <v>nie</v>
      </c>
      <c r="AR97" s="48">
        <f t="shared" si="151"/>
        <v>200</v>
      </c>
      <c r="AS97" s="48">
        <f t="shared" si="152"/>
        <v>13147.737370016363</v>
      </c>
      <c r="AT97" s="48">
        <f t="shared" si="153"/>
        <v>0</v>
      </c>
      <c r="AU97" s="59">
        <f t="shared" si="154"/>
        <v>1.4999999999999999E-2</v>
      </c>
      <c r="AV97" s="48">
        <f t="shared" si="155"/>
        <v>0</v>
      </c>
      <c r="AW97" s="48">
        <f t="shared" si="156"/>
        <v>13147.737370016363</v>
      </c>
      <c r="AY97" s="56">
        <f t="shared" si="188"/>
        <v>130</v>
      </c>
      <c r="AZ97" s="48">
        <f t="shared" si="189"/>
        <v>13000</v>
      </c>
      <c r="BA97" s="48">
        <f t="shared" si="183"/>
        <v>13000</v>
      </c>
      <c r="BB97" s="48">
        <f t="shared" si="184"/>
        <v>13000</v>
      </c>
      <c r="BC97" s="59">
        <f t="shared" si="157"/>
        <v>1.4999999999999999E-2</v>
      </c>
      <c r="BD97" s="48">
        <f t="shared" si="158"/>
        <v>13113.75</v>
      </c>
      <c r="BE97" s="48" t="str">
        <f t="shared" si="159"/>
        <v>nie</v>
      </c>
      <c r="BF97" s="48">
        <f t="shared" si="160"/>
        <v>91</v>
      </c>
      <c r="BG97" s="48">
        <f t="shared" si="192"/>
        <v>13018.4275</v>
      </c>
      <c r="BH97" s="48">
        <f t="shared" si="162"/>
        <v>0</v>
      </c>
      <c r="BI97" s="59">
        <f t="shared" si="163"/>
        <v>1.4999999999999999E-2</v>
      </c>
      <c r="BJ97" s="48">
        <f t="shared" si="164"/>
        <v>32.809807115523391</v>
      </c>
      <c r="BK97" s="48">
        <f t="shared" si="165"/>
        <v>13051.237307115523</v>
      </c>
      <c r="BL97" s="24"/>
      <c r="BM97" s="56">
        <f t="shared" si="190"/>
        <v>100</v>
      </c>
      <c r="BN97" s="48">
        <f t="shared" si="191"/>
        <v>10000</v>
      </c>
      <c r="BO97" s="48">
        <f t="shared" si="185"/>
        <v>10000</v>
      </c>
      <c r="BP97" s="48">
        <f t="shared" si="186"/>
        <v>13974.883966839372</v>
      </c>
      <c r="BQ97" s="59">
        <f t="shared" si="166"/>
        <v>6.5000000000000002E-2</v>
      </c>
      <c r="BR97" s="48">
        <f t="shared" si="167"/>
        <v>14504.764983915364</v>
      </c>
      <c r="BS97" s="48" t="str">
        <f t="shared" si="168"/>
        <v>nie</v>
      </c>
      <c r="BT97" s="48">
        <f t="shared" si="169"/>
        <v>200</v>
      </c>
      <c r="BU97" s="48">
        <f t="shared" si="170"/>
        <v>13486.859636971445</v>
      </c>
      <c r="BV97" s="48">
        <f t="shared" si="171"/>
        <v>0</v>
      </c>
      <c r="BW97" s="59">
        <f t="shared" si="172"/>
        <v>1.4999999999999999E-2</v>
      </c>
      <c r="BX97" s="48">
        <f t="shared" si="173"/>
        <v>0</v>
      </c>
      <c r="BY97" s="48">
        <f t="shared" si="174"/>
        <v>13486.859636971445</v>
      </c>
    </row>
    <row r="98" spans="1:77" s="25" customFormat="1" ht="14">
      <c r="A98" s="24"/>
      <c r="B98" s="172"/>
      <c r="C98" s="66">
        <f t="shared" si="130"/>
        <v>64</v>
      </c>
      <c r="D98" s="48">
        <f t="shared" si="131"/>
        <v>11764.957079936576</v>
      </c>
      <c r="E98" s="48">
        <f t="shared" si="132"/>
        <v>12345.90458245984</v>
      </c>
      <c r="F98" s="48">
        <f t="shared" si="133"/>
        <v>12539.306512165067</v>
      </c>
      <c r="G98" s="49">
        <f t="shared" si="134"/>
        <v>12597.075330289132</v>
      </c>
      <c r="H98" s="49">
        <f t="shared" si="135"/>
        <v>10669.106369513909</v>
      </c>
      <c r="I98" s="48">
        <f t="shared" si="136"/>
        <v>12975.529218750002</v>
      </c>
      <c r="J98" s="24"/>
      <c r="K98" s="84"/>
      <c r="L98" s="64">
        <f t="shared" si="137"/>
        <v>64</v>
      </c>
      <c r="M98" s="51">
        <f t="shared" ref="M98:M129" si="194">D98/zakup_domyslny_wartosc-1</f>
        <v>0.17649570799365755</v>
      </c>
      <c r="N98" s="51">
        <f t="shared" ref="N98:N129" si="195">E98/zakup_domyslny_wartosc-1</f>
        <v>0.2345904582459839</v>
      </c>
      <c r="O98" s="51">
        <f t="shared" ref="O98:O129" si="196">F98/zakup_domyslny_wartosc-1</f>
        <v>0.25393065121650671</v>
      </c>
      <c r="P98" s="51">
        <f t="shared" ref="P98:P129" si="197">G98/zakup_domyslny_wartosc-1</f>
        <v>0.25970753302891314</v>
      </c>
      <c r="Q98" s="51">
        <f t="shared" ref="Q98:Q129" si="198">H98/zakup_domyslny_wartosc-1</f>
        <v>6.6910636951390989E-2</v>
      </c>
      <c r="R98" s="51">
        <f t="shared" ref="R98:R129" si="199">I98/zakup_domyslny_wartosc-1</f>
        <v>0.29755292187500015</v>
      </c>
      <c r="S98" s="24"/>
      <c r="T98" s="45">
        <f t="shared" si="175"/>
        <v>80</v>
      </c>
      <c r="U98" s="59">
        <f t="shared" si="193"/>
        <v>0.05</v>
      </c>
      <c r="V98" s="48">
        <f t="shared" si="138"/>
        <v>13847.654953125006</v>
      </c>
      <c r="W98" s="56">
        <f t="shared" si="176"/>
        <v>104</v>
      </c>
      <c r="X98" s="48">
        <f t="shared" si="177"/>
        <v>10389.6</v>
      </c>
      <c r="Y98" s="48">
        <f t="shared" si="187"/>
        <v>10400</v>
      </c>
      <c r="Z98" s="48">
        <f t="shared" si="178"/>
        <v>10400</v>
      </c>
      <c r="AA98" s="59">
        <f t="shared" si="139"/>
        <v>5.7500000000000002E-2</v>
      </c>
      <c r="AB98" s="48">
        <f t="shared" si="140"/>
        <v>10798.666666666666</v>
      </c>
      <c r="AC98" s="48" t="str">
        <f t="shared" si="141"/>
        <v>nie</v>
      </c>
      <c r="AD98" s="48">
        <f t="shared" si="142"/>
        <v>72.8</v>
      </c>
      <c r="AE98" s="48">
        <f t="shared" si="143"/>
        <v>10663.952000000001</v>
      </c>
      <c r="AF98" s="48">
        <f t="shared" si="144"/>
        <v>0</v>
      </c>
      <c r="AG98" s="59">
        <f t="shared" si="145"/>
        <v>1.4999999999999999E-2</v>
      </c>
      <c r="AH98" s="48">
        <f t="shared" si="146"/>
        <v>1771.390467369285</v>
      </c>
      <c r="AI98" s="48">
        <f t="shared" si="147"/>
        <v>12435.342467369286</v>
      </c>
      <c r="AJ98" s="24"/>
      <c r="AK98" s="56">
        <f t="shared" si="179"/>
        <v>100</v>
      </c>
      <c r="AL98" s="48">
        <f t="shared" si="180"/>
        <v>10000</v>
      </c>
      <c r="AM98" s="48">
        <f t="shared" si="181"/>
        <v>10000</v>
      </c>
      <c r="AN98" s="48">
        <f t="shared" si="182"/>
        <v>13609.754124192001</v>
      </c>
      <c r="AO98" s="59">
        <f t="shared" si="148"/>
        <v>6.0000000000000005E-2</v>
      </c>
      <c r="AP98" s="48">
        <f t="shared" si="149"/>
        <v>14154.144289159682</v>
      </c>
      <c r="AQ98" s="48" t="str">
        <f t="shared" si="150"/>
        <v>nie</v>
      </c>
      <c r="AR98" s="48">
        <f t="shared" si="151"/>
        <v>200</v>
      </c>
      <c r="AS98" s="48">
        <f t="shared" si="152"/>
        <v>13202.856874219342</v>
      </c>
      <c r="AT98" s="48">
        <f t="shared" si="153"/>
        <v>0</v>
      </c>
      <c r="AU98" s="59">
        <f t="shared" si="154"/>
        <v>1.4999999999999999E-2</v>
      </c>
      <c r="AV98" s="48">
        <f t="shared" si="155"/>
        <v>0</v>
      </c>
      <c r="AW98" s="48">
        <f t="shared" si="156"/>
        <v>13202.856874219342</v>
      </c>
      <c r="AY98" s="56">
        <f t="shared" si="188"/>
        <v>130</v>
      </c>
      <c r="AZ98" s="48">
        <f t="shared" si="189"/>
        <v>13000</v>
      </c>
      <c r="BA98" s="48">
        <f t="shared" si="183"/>
        <v>13000</v>
      </c>
      <c r="BB98" s="48">
        <f t="shared" si="184"/>
        <v>13000</v>
      </c>
      <c r="BC98" s="59">
        <f t="shared" si="157"/>
        <v>1.4999999999999999E-2</v>
      </c>
      <c r="BD98" s="48">
        <f t="shared" si="158"/>
        <v>13130</v>
      </c>
      <c r="BE98" s="48" t="str">
        <f t="shared" si="159"/>
        <v>nie</v>
      </c>
      <c r="BF98" s="48">
        <f t="shared" si="160"/>
        <v>91</v>
      </c>
      <c r="BG98" s="48">
        <f t="shared" si="192"/>
        <v>13031.59</v>
      </c>
      <c r="BH98" s="48">
        <f t="shared" si="162"/>
        <v>0</v>
      </c>
      <c r="BI98" s="59">
        <f t="shared" si="163"/>
        <v>1.4999999999999999E-2</v>
      </c>
      <c r="BJ98" s="48">
        <f t="shared" si="164"/>
        <v>32.843027045227863</v>
      </c>
      <c r="BK98" s="48">
        <f t="shared" si="165"/>
        <v>13064.433027045228</v>
      </c>
      <c r="BL98" s="24"/>
      <c r="BM98" s="56">
        <f t="shared" si="190"/>
        <v>100</v>
      </c>
      <c r="BN98" s="48">
        <f t="shared" si="191"/>
        <v>10000</v>
      </c>
      <c r="BO98" s="48">
        <f t="shared" si="185"/>
        <v>10000</v>
      </c>
      <c r="BP98" s="48">
        <f t="shared" si="186"/>
        <v>13974.883966839372</v>
      </c>
      <c r="BQ98" s="59">
        <f t="shared" si="166"/>
        <v>6.5000000000000002E-2</v>
      </c>
      <c r="BR98" s="48">
        <f t="shared" si="167"/>
        <v>14580.46227206908</v>
      </c>
      <c r="BS98" s="48" t="str">
        <f t="shared" si="168"/>
        <v>nie</v>
      </c>
      <c r="BT98" s="48">
        <f t="shared" si="169"/>
        <v>200</v>
      </c>
      <c r="BU98" s="48">
        <f t="shared" si="170"/>
        <v>13548.174440375955</v>
      </c>
      <c r="BV98" s="48">
        <f t="shared" si="171"/>
        <v>0</v>
      </c>
      <c r="BW98" s="59">
        <f t="shared" si="172"/>
        <v>1.4999999999999999E-2</v>
      </c>
      <c r="BX98" s="48">
        <f t="shared" si="173"/>
        <v>0</v>
      </c>
      <c r="BY98" s="48">
        <f t="shared" si="174"/>
        <v>13548.174440375955</v>
      </c>
    </row>
    <row r="99" spans="1:77" s="25" customFormat="1" ht="14">
      <c r="A99" s="24"/>
      <c r="B99" s="172"/>
      <c r="C99" s="66">
        <f t="shared" ref="C99:C130" si="200">T83</f>
        <v>65</v>
      </c>
      <c r="D99" s="48">
        <f t="shared" ref="D99:D130" si="201">AI83</f>
        <v>11806.60032583001</v>
      </c>
      <c r="E99" s="48">
        <f t="shared" ref="E99:E130" si="202">AW83</f>
        <v>12397.904114726798</v>
      </c>
      <c r="F99" s="48">
        <f t="shared" ref="F99:F130" si="203">BK83</f>
        <v>12593.877973961829</v>
      </c>
      <c r="G99" s="49">
        <f t="shared" ref="G99:G130" si="204">BY83</f>
        <v>12654.647915645475</v>
      </c>
      <c r="H99" s="49">
        <f t="shared" ref="H99:H130" si="205">FV(INDEX(scenariusz_I_konto,MATCH(ROUNDUP(C99/12,0),scenariusz_I_rok,0))/12*(1-podatek_Belki),1,0,-H98,1)</f>
        <v>10679.908839713044</v>
      </c>
      <c r="I99" s="48">
        <f t="shared" ref="I99:I130" si="206">V83</f>
        <v>13028.707617187501</v>
      </c>
      <c r="J99" s="24"/>
      <c r="K99" s="84"/>
      <c r="L99" s="64">
        <f t="shared" ref="L99:L130" si="207">C99</f>
        <v>65</v>
      </c>
      <c r="M99" s="51">
        <f t="shared" si="194"/>
        <v>0.18066003258300101</v>
      </c>
      <c r="N99" s="51">
        <f t="shared" si="195"/>
        <v>0.23979041147267988</v>
      </c>
      <c r="O99" s="51">
        <f t="shared" si="196"/>
        <v>0.2593877973961829</v>
      </c>
      <c r="P99" s="51">
        <f t="shared" si="197"/>
        <v>0.26546479156454761</v>
      </c>
      <c r="Q99" s="51">
        <f t="shared" si="198"/>
        <v>6.7990883971304372E-2</v>
      </c>
      <c r="R99" s="51">
        <f t="shared" si="199"/>
        <v>0.30287076171875005</v>
      </c>
      <c r="S99" s="24"/>
      <c r="T99" s="45">
        <f t="shared" si="175"/>
        <v>81</v>
      </c>
      <c r="U99" s="59">
        <f t="shared" si="193"/>
        <v>0.05</v>
      </c>
      <c r="V99" s="48">
        <f t="shared" si="138"/>
        <v>13903.492271484381</v>
      </c>
      <c r="W99" s="56">
        <f t="shared" si="176"/>
        <v>104</v>
      </c>
      <c r="X99" s="48">
        <f t="shared" si="177"/>
        <v>10389.6</v>
      </c>
      <c r="Y99" s="48">
        <f t="shared" si="187"/>
        <v>10400</v>
      </c>
      <c r="Z99" s="48">
        <f t="shared" si="178"/>
        <v>10400</v>
      </c>
      <c r="AA99" s="59">
        <f t="shared" si="139"/>
        <v>5.7500000000000002E-2</v>
      </c>
      <c r="AB99" s="48">
        <f t="shared" si="140"/>
        <v>10848.5</v>
      </c>
      <c r="AC99" s="48" t="str">
        <f t="shared" si="141"/>
        <v>nie</v>
      </c>
      <c r="AD99" s="48">
        <f t="shared" si="142"/>
        <v>72.8</v>
      </c>
      <c r="AE99" s="48">
        <f t="shared" si="143"/>
        <v>10704.317000000001</v>
      </c>
      <c r="AF99" s="48">
        <f t="shared" si="144"/>
        <v>0</v>
      </c>
      <c r="AG99" s="59">
        <f t="shared" si="145"/>
        <v>1.4999999999999999E-2</v>
      </c>
      <c r="AH99" s="48">
        <f t="shared" si="146"/>
        <v>1773.1840002174965</v>
      </c>
      <c r="AI99" s="48">
        <f t="shared" si="147"/>
        <v>12477.501000217497</v>
      </c>
      <c r="AJ99" s="24"/>
      <c r="AK99" s="56">
        <f t="shared" si="179"/>
        <v>100</v>
      </c>
      <c r="AL99" s="48">
        <f t="shared" si="180"/>
        <v>10000</v>
      </c>
      <c r="AM99" s="48">
        <f t="shared" si="181"/>
        <v>10000</v>
      </c>
      <c r="AN99" s="48">
        <f t="shared" si="182"/>
        <v>13609.754124192001</v>
      </c>
      <c r="AO99" s="59">
        <f t="shared" si="148"/>
        <v>6.0000000000000005E-2</v>
      </c>
      <c r="AP99" s="48">
        <f t="shared" si="149"/>
        <v>14222.19305978064</v>
      </c>
      <c r="AQ99" s="48" t="str">
        <f t="shared" si="150"/>
        <v>nie</v>
      </c>
      <c r="AR99" s="48">
        <f t="shared" si="151"/>
        <v>200</v>
      </c>
      <c r="AS99" s="48">
        <f t="shared" si="152"/>
        <v>13257.976378422318</v>
      </c>
      <c r="AT99" s="48">
        <f t="shared" si="153"/>
        <v>0</v>
      </c>
      <c r="AU99" s="59">
        <f t="shared" si="154"/>
        <v>1.4999999999999999E-2</v>
      </c>
      <c r="AV99" s="48">
        <f t="shared" si="155"/>
        <v>0</v>
      </c>
      <c r="AW99" s="48">
        <f t="shared" si="156"/>
        <v>13257.976378422318</v>
      </c>
      <c r="AY99" s="56">
        <f t="shared" si="188"/>
        <v>130</v>
      </c>
      <c r="AZ99" s="48">
        <f t="shared" si="189"/>
        <v>13000</v>
      </c>
      <c r="BA99" s="48">
        <f t="shared" si="183"/>
        <v>13000</v>
      </c>
      <c r="BB99" s="48">
        <f t="shared" si="184"/>
        <v>13000</v>
      </c>
      <c r="BC99" s="59">
        <f t="shared" si="157"/>
        <v>1.4999999999999999E-2</v>
      </c>
      <c r="BD99" s="48">
        <f t="shared" si="158"/>
        <v>13146.25</v>
      </c>
      <c r="BE99" s="48" t="str">
        <f t="shared" si="159"/>
        <v>nie</v>
      </c>
      <c r="BF99" s="48">
        <f t="shared" si="160"/>
        <v>91</v>
      </c>
      <c r="BG99" s="48">
        <f t="shared" si="192"/>
        <v>13044.752500000001</v>
      </c>
      <c r="BH99" s="48">
        <f t="shared" si="162"/>
        <v>0</v>
      </c>
      <c r="BI99" s="59">
        <f t="shared" si="163"/>
        <v>1.4999999999999999E-2</v>
      </c>
      <c r="BJ99" s="48">
        <f t="shared" si="164"/>
        <v>32.876280610111159</v>
      </c>
      <c r="BK99" s="48">
        <f t="shared" si="165"/>
        <v>13077.628780610112</v>
      </c>
      <c r="BL99" s="24"/>
      <c r="BM99" s="56">
        <f t="shared" si="190"/>
        <v>100</v>
      </c>
      <c r="BN99" s="48">
        <f t="shared" si="191"/>
        <v>10000</v>
      </c>
      <c r="BO99" s="48">
        <f t="shared" si="185"/>
        <v>10000</v>
      </c>
      <c r="BP99" s="48">
        <f t="shared" si="186"/>
        <v>13974.883966839372</v>
      </c>
      <c r="BQ99" s="59">
        <f t="shared" si="166"/>
        <v>6.5000000000000002E-2</v>
      </c>
      <c r="BR99" s="48">
        <f t="shared" si="167"/>
        <v>14656.159560222792</v>
      </c>
      <c r="BS99" s="48" t="str">
        <f t="shared" si="168"/>
        <v>nie</v>
      </c>
      <c r="BT99" s="48">
        <f t="shared" si="169"/>
        <v>200</v>
      </c>
      <c r="BU99" s="48">
        <f t="shared" si="170"/>
        <v>13609.489243780461</v>
      </c>
      <c r="BV99" s="48">
        <f t="shared" si="171"/>
        <v>0</v>
      </c>
      <c r="BW99" s="59">
        <f t="shared" si="172"/>
        <v>1.4999999999999999E-2</v>
      </c>
      <c r="BX99" s="48">
        <f t="shared" si="173"/>
        <v>0</v>
      </c>
      <c r="BY99" s="48">
        <f t="shared" si="174"/>
        <v>13609.489243780461</v>
      </c>
    </row>
    <row r="100" spans="1:77" s="25" customFormat="1" ht="14">
      <c r="A100" s="24"/>
      <c r="B100" s="172"/>
      <c r="C100" s="66">
        <f t="shared" si="200"/>
        <v>66</v>
      </c>
      <c r="D100" s="48">
        <f t="shared" si="201"/>
        <v>11848.244865947414</v>
      </c>
      <c r="E100" s="48">
        <f t="shared" si="202"/>
        <v>12449.90364699376</v>
      </c>
      <c r="F100" s="48">
        <f t="shared" si="203"/>
        <v>12648.44943575859</v>
      </c>
      <c r="G100" s="49">
        <f t="shared" si="204"/>
        <v>12712.220501001821</v>
      </c>
      <c r="H100" s="49">
        <f t="shared" si="205"/>
        <v>10690.722247413254</v>
      </c>
      <c r="I100" s="48">
        <f t="shared" si="206"/>
        <v>13081.886015625001</v>
      </c>
      <c r="J100" s="24"/>
      <c r="K100" s="84"/>
      <c r="L100" s="64">
        <f t="shared" si="207"/>
        <v>66</v>
      </c>
      <c r="M100" s="51">
        <f t="shared" si="194"/>
        <v>0.18482448659474149</v>
      </c>
      <c r="N100" s="51">
        <f t="shared" si="195"/>
        <v>0.24499036469937607</v>
      </c>
      <c r="O100" s="51">
        <f t="shared" si="196"/>
        <v>0.26484494357585908</v>
      </c>
      <c r="P100" s="51">
        <f t="shared" si="197"/>
        <v>0.27122205010018208</v>
      </c>
      <c r="Q100" s="51">
        <f t="shared" si="198"/>
        <v>6.907222474132535E-2</v>
      </c>
      <c r="R100" s="51">
        <f t="shared" si="199"/>
        <v>0.30818860156250016</v>
      </c>
      <c r="S100" s="24"/>
      <c r="T100" s="45">
        <f t="shared" si="175"/>
        <v>82</v>
      </c>
      <c r="U100" s="59">
        <f t="shared" si="193"/>
        <v>0.05</v>
      </c>
      <c r="V100" s="48">
        <f t="shared" si="138"/>
        <v>13959.329589843755</v>
      </c>
      <c r="W100" s="56">
        <f t="shared" si="176"/>
        <v>104</v>
      </c>
      <c r="X100" s="48">
        <f t="shared" si="177"/>
        <v>10389.6</v>
      </c>
      <c r="Y100" s="48">
        <f t="shared" si="187"/>
        <v>10400</v>
      </c>
      <c r="Z100" s="48">
        <f t="shared" si="178"/>
        <v>10400</v>
      </c>
      <c r="AA100" s="59">
        <f t="shared" si="139"/>
        <v>5.7500000000000002E-2</v>
      </c>
      <c r="AB100" s="48">
        <f t="shared" si="140"/>
        <v>10898.333333333332</v>
      </c>
      <c r="AC100" s="48" t="str">
        <f t="shared" si="141"/>
        <v>nie</v>
      </c>
      <c r="AD100" s="48">
        <f t="shared" si="142"/>
        <v>72.8</v>
      </c>
      <c r="AE100" s="48">
        <f t="shared" si="143"/>
        <v>10744.681999999999</v>
      </c>
      <c r="AF100" s="48">
        <f t="shared" si="144"/>
        <v>0</v>
      </c>
      <c r="AG100" s="59">
        <f t="shared" si="145"/>
        <v>1.4999999999999999E-2</v>
      </c>
      <c r="AH100" s="48">
        <f t="shared" si="146"/>
        <v>1774.9793490177169</v>
      </c>
      <c r="AI100" s="48">
        <f t="shared" si="147"/>
        <v>12519.661349017715</v>
      </c>
      <c r="AJ100" s="24"/>
      <c r="AK100" s="56">
        <f t="shared" si="179"/>
        <v>100</v>
      </c>
      <c r="AL100" s="48">
        <f t="shared" si="180"/>
        <v>10000</v>
      </c>
      <c r="AM100" s="48">
        <f t="shared" si="181"/>
        <v>10000</v>
      </c>
      <c r="AN100" s="48">
        <f t="shared" si="182"/>
        <v>13609.754124192001</v>
      </c>
      <c r="AO100" s="59">
        <f t="shared" si="148"/>
        <v>6.0000000000000005E-2</v>
      </c>
      <c r="AP100" s="48">
        <f t="shared" si="149"/>
        <v>14290.241830401601</v>
      </c>
      <c r="AQ100" s="48" t="str">
        <f t="shared" si="150"/>
        <v>nie</v>
      </c>
      <c r="AR100" s="48">
        <f t="shared" si="151"/>
        <v>200</v>
      </c>
      <c r="AS100" s="48">
        <f t="shared" si="152"/>
        <v>13313.095882625297</v>
      </c>
      <c r="AT100" s="48">
        <f t="shared" si="153"/>
        <v>0</v>
      </c>
      <c r="AU100" s="59">
        <f t="shared" si="154"/>
        <v>1.4999999999999999E-2</v>
      </c>
      <c r="AV100" s="48">
        <f t="shared" si="155"/>
        <v>0</v>
      </c>
      <c r="AW100" s="48">
        <f t="shared" si="156"/>
        <v>13313.095882625297</v>
      </c>
      <c r="AY100" s="56">
        <f t="shared" si="188"/>
        <v>130</v>
      </c>
      <c r="AZ100" s="48">
        <f t="shared" si="189"/>
        <v>13000</v>
      </c>
      <c r="BA100" s="48">
        <f t="shared" si="183"/>
        <v>13000</v>
      </c>
      <c r="BB100" s="48">
        <f t="shared" si="184"/>
        <v>13000</v>
      </c>
      <c r="BC100" s="59">
        <f t="shared" si="157"/>
        <v>1.4999999999999999E-2</v>
      </c>
      <c r="BD100" s="48">
        <f t="shared" si="158"/>
        <v>13162.5</v>
      </c>
      <c r="BE100" s="48" t="str">
        <f t="shared" si="159"/>
        <v>nie</v>
      </c>
      <c r="BF100" s="48">
        <f t="shared" si="160"/>
        <v>91</v>
      </c>
      <c r="BG100" s="48">
        <f t="shared" si="192"/>
        <v>13057.915000000001</v>
      </c>
      <c r="BH100" s="48">
        <f t="shared" si="162"/>
        <v>0</v>
      </c>
      <c r="BI100" s="59">
        <f t="shared" si="163"/>
        <v>1.4999999999999999E-2</v>
      </c>
      <c r="BJ100" s="48">
        <f t="shared" si="164"/>
        <v>32.909567844228903</v>
      </c>
      <c r="BK100" s="48">
        <f t="shared" si="165"/>
        <v>13090.824567844229</v>
      </c>
      <c r="BL100" s="24"/>
      <c r="BM100" s="56">
        <f t="shared" si="190"/>
        <v>100</v>
      </c>
      <c r="BN100" s="48">
        <f t="shared" si="191"/>
        <v>10000</v>
      </c>
      <c r="BO100" s="48">
        <f t="shared" si="185"/>
        <v>10000</v>
      </c>
      <c r="BP100" s="48">
        <f t="shared" si="186"/>
        <v>13974.883966839372</v>
      </c>
      <c r="BQ100" s="59">
        <f t="shared" si="166"/>
        <v>6.5000000000000002E-2</v>
      </c>
      <c r="BR100" s="48">
        <f t="shared" si="167"/>
        <v>14731.856848376505</v>
      </c>
      <c r="BS100" s="48" t="str">
        <f t="shared" si="168"/>
        <v>nie</v>
      </c>
      <c r="BT100" s="48">
        <f t="shared" si="169"/>
        <v>200</v>
      </c>
      <c r="BU100" s="48">
        <f t="shared" si="170"/>
        <v>13670.804047184969</v>
      </c>
      <c r="BV100" s="48">
        <f t="shared" si="171"/>
        <v>0</v>
      </c>
      <c r="BW100" s="59">
        <f t="shared" si="172"/>
        <v>1.4999999999999999E-2</v>
      </c>
      <c r="BX100" s="48">
        <f t="shared" si="173"/>
        <v>0</v>
      </c>
      <c r="BY100" s="48">
        <f t="shared" si="174"/>
        <v>13670.804047184969</v>
      </c>
    </row>
    <row r="101" spans="1:77" s="25" customFormat="1" ht="14">
      <c r="A101" s="24"/>
      <c r="B101" s="172"/>
      <c r="C101" s="66">
        <f t="shared" si="200"/>
        <v>67</v>
      </c>
      <c r="D101" s="48">
        <f t="shared" si="201"/>
        <v>11889.890701599184</v>
      </c>
      <c r="E101" s="48">
        <f t="shared" si="202"/>
        <v>12501.903179260718</v>
      </c>
      <c r="F101" s="48">
        <f t="shared" si="203"/>
        <v>12703.020897555349</v>
      </c>
      <c r="G101" s="49">
        <f t="shared" si="204"/>
        <v>12769.793086358166</v>
      </c>
      <c r="H101" s="49">
        <f t="shared" si="205"/>
        <v>10701.546603688761</v>
      </c>
      <c r="I101" s="48">
        <f t="shared" si="206"/>
        <v>13135.064414062501</v>
      </c>
      <c r="J101" s="24"/>
      <c r="K101" s="84"/>
      <c r="L101" s="64">
        <f t="shared" si="207"/>
        <v>67</v>
      </c>
      <c r="M101" s="51">
        <f t="shared" si="194"/>
        <v>0.18898907015991839</v>
      </c>
      <c r="N101" s="51">
        <f t="shared" si="195"/>
        <v>0.25019031792607183</v>
      </c>
      <c r="O101" s="51">
        <f t="shared" si="196"/>
        <v>0.27030208975553482</v>
      </c>
      <c r="P101" s="51">
        <f t="shared" si="197"/>
        <v>0.27697930863581655</v>
      </c>
      <c r="Q101" s="51">
        <f t="shared" si="198"/>
        <v>7.0154660368876076E-2</v>
      </c>
      <c r="R101" s="51">
        <f t="shared" si="199"/>
        <v>0.31350644140625006</v>
      </c>
      <c r="S101" s="24"/>
      <c r="T101" s="45">
        <f t="shared" si="175"/>
        <v>83</v>
      </c>
      <c r="U101" s="59">
        <f t="shared" si="193"/>
        <v>0.05</v>
      </c>
      <c r="V101" s="48">
        <f t="shared" si="138"/>
        <v>14015.166908203131</v>
      </c>
      <c r="W101" s="56">
        <f t="shared" si="176"/>
        <v>104</v>
      </c>
      <c r="X101" s="48">
        <f t="shared" si="177"/>
        <v>10389.6</v>
      </c>
      <c r="Y101" s="48">
        <f t="shared" si="187"/>
        <v>10400</v>
      </c>
      <c r="Z101" s="48">
        <f t="shared" si="178"/>
        <v>10400</v>
      </c>
      <c r="AA101" s="59">
        <f t="shared" si="139"/>
        <v>5.7500000000000002E-2</v>
      </c>
      <c r="AB101" s="48">
        <f t="shared" si="140"/>
        <v>10948.166666666666</v>
      </c>
      <c r="AC101" s="48" t="str">
        <f t="shared" si="141"/>
        <v>nie</v>
      </c>
      <c r="AD101" s="48">
        <f t="shared" si="142"/>
        <v>72.8</v>
      </c>
      <c r="AE101" s="48">
        <f t="shared" si="143"/>
        <v>10785.047</v>
      </c>
      <c r="AF101" s="48">
        <f t="shared" si="144"/>
        <v>0</v>
      </c>
      <c r="AG101" s="59">
        <f t="shared" si="145"/>
        <v>1.4999999999999999E-2</v>
      </c>
      <c r="AH101" s="48">
        <f t="shared" si="146"/>
        <v>1776.7765156085975</v>
      </c>
      <c r="AI101" s="48">
        <f t="shared" si="147"/>
        <v>12561.823515608598</v>
      </c>
      <c r="AJ101" s="24"/>
      <c r="AK101" s="56">
        <f t="shared" si="179"/>
        <v>100</v>
      </c>
      <c r="AL101" s="48">
        <f t="shared" si="180"/>
        <v>10000</v>
      </c>
      <c r="AM101" s="48">
        <f t="shared" si="181"/>
        <v>10000</v>
      </c>
      <c r="AN101" s="48">
        <f t="shared" si="182"/>
        <v>13609.754124192001</v>
      </c>
      <c r="AO101" s="59">
        <f t="shared" si="148"/>
        <v>6.0000000000000005E-2</v>
      </c>
      <c r="AP101" s="48">
        <f t="shared" si="149"/>
        <v>14358.29060102256</v>
      </c>
      <c r="AQ101" s="48" t="str">
        <f t="shared" si="150"/>
        <v>nie</v>
      </c>
      <c r="AR101" s="48">
        <f t="shared" si="151"/>
        <v>200</v>
      </c>
      <c r="AS101" s="48">
        <f t="shared" si="152"/>
        <v>13368.215386828273</v>
      </c>
      <c r="AT101" s="48">
        <f t="shared" si="153"/>
        <v>0</v>
      </c>
      <c r="AU101" s="59">
        <f t="shared" si="154"/>
        <v>1.4999999999999999E-2</v>
      </c>
      <c r="AV101" s="48">
        <f t="shared" si="155"/>
        <v>0</v>
      </c>
      <c r="AW101" s="48">
        <f t="shared" si="156"/>
        <v>13368.215386828273</v>
      </c>
      <c r="AY101" s="56">
        <f t="shared" si="188"/>
        <v>130</v>
      </c>
      <c r="AZ101" s="48">
        <f t="shared" si="189"/>
        <v>13000</v>
      </c>
      <c r="BA101" s="48">
        <f t="shared" si="183"/>
        <v>13000</v>
      </c>
      <c r="BB101" s="48">
        <f t="shared" si="184"/>
        <v>13000</v>
      </c>
      <c r="BC101" s="59">
        <f t="shared" si="157"/>
        <v>1.4999999999999999E-2</v>
      </c>
      <c r="BD101" s="48">
        <f t="shared" si="158"/>
        <v>13178.749999999998</v>
      </c>
      <c r="BE101" s="48" t="str">
        <f t="shared" si="159"/>
        <v>nie</v>
      </c>
      <c r="BF101" s="48">
        <f t="shared" si="160"/>
        <v>91</v>
      </c>
      <c r="BG101" s="48">
        <f t="shared" si="192"/>
        <v>13071.077499999999</v>
      </c>
      <c r="BH101" s="48">
        <f t="shared" si="162"/>
        <v>0</v>
      </c>
      <c r="BI101" s="59">
        <f t="shared" si="163"/>
        <v>1.4999999999999999E-2</v>
      </c>
      <c r="BJ101" s="48">
        <f t="shared" si="164"/>
        <v>32.942888781671186</v>
      </c>
      <c r="BK101" s="48">
        <f t="shared" si="165"/>
        <v>13104.020388781671</v>
      </c>
      <c r="BL101" s="24"/>
      <c r="BM101" s="56">
        <f t="shared" si="190"/>
        <v>100</v>
      </c>
      <c r="BN101" s="48">
        <f t="shared" si="191"/>
        <v>10000</v>
      </c>
      <c r="BO101" s="48">
        <f t="shared" si="185"/>
        <v>10000</v>
      </c>
      <c r="BP101" s="48">
        <f t="shared" si="186"/>
        <v>13974.883966839372</v>
      </c>
      <c r="BQ101" s="59">
        <f t="shared" si="166"/>
        <v>6.5000000000000002E-2</v>
      </c>
      <c r="BR101" s="48">
        <f t="shared" si="167"/>
        <v>14807.554136530218</v>
      </c>
      <c r="BS101" s="48" t="str">
        <f t="shared" si="168"/>
        <v>nie</v>
      </c>
      <c r="BT101" s="48">
        <f t="shared" si="169"/>
        <v>200</v>
      </c>
      <c r="BU101" s="48">
        <f t="shared" si="170"/>
        <v>13732.118850589477</v>
      </c>
      <c r="BV101" s="48">
        <f t="shared" si="171"/>
        <v>0</v>
      </c>
      <c r="BW101" s="59">
        <f t="shared" si="172"/>
        <v>1.4999999999999999E-2</v>
      </c>
      <c r="BX101" s="48">
        <f t="shared" si="173"/>
        <v>0</v>
      </c>
      <c r="BY101" s="48">
        <f t="shared" si="174"/>
        <v>13732.118850589477</v>
      </c>
    </row>
    <row r="102" spans="1:77" s="25" customFormat="1" ht="14">
      <c r="A102" s="24"/>
      <c r="B102" s="172"/>
      <c r="C102" s="66">
        <f t="shared" si="200"/>
        <v>68</v>
      </c>
      <c r="D102" s="48">
        <f t="shared" si="201"/>
        <v>11931.537834097056</v>
      </c>
      <c r="E102" s="48">
        <f t="shared" si="202"/>
        <v>12553.90271152768</v>
      </c>
      <c r="F102" s="48">
        <f t="shared" si="203"/>
        <v>12757.592359352111</v>
      </c>
      <c r="G102" s="49">
        <f t="shared" si="204"/>
        <v>12827.365671714511</v>
      </c>
      <c r="H102" s="49">
        <f t="shared" si="205"/>
        <v>10712.381919624997</v>
      </c>
      <c r="I102" s="48">
        <f t="shared" si="206"/>
        <v>13188.242812500004</v>
      </c>
      <c r="J102" s="24"/>
      <c r="K102" s="84"/>
      <c r="L102" s="64">
        <f t="shared" si="207"/>
        <v>68</v>
      </c>
      <c r="M102" s="51">
        <f t="shared" si="194"/>
        <v>0.19315378340970568</v>
      </c>
      <c r="N102" s="51">
        <f t="shared" si="195"/>
        <v>0.25539027115276802</v>
      </c>
      <c r="O102" s="51">
        <f t="shared" si="196"/>
        <v>0.27575923593521101</v>
      </c>
      <c r="P102" s="51">
        <f t="shared" si="197"/>
        <v>0.28273656717145124</v>
      </c>
      <c r="Q102" s="51">
        <f t="shared" si="198"/>
        <v>7.1238191962499586E-2</v>
      </c>
      <c r="R102" s="51">
        <f t="shared" si="199"/>
        <v>0.3188242812500004</v>
      </c>
      <c r="S102" s="24"/>
      <c r="T102" s="45">
        <f t="shared" si="175"/>
        <v>84</v>
      </c>
      <c r="U102" s="59">
        <f t="shared" si="193"/>
        <v>0.05</v>
      </c>
      <c r="V102" s="48">
        <f t="shared" si="138"/>
        <v>14071.004226562505</v>
      </c>
      <c r="W102" s="56">
        <f t="shared" si="176"/>
        <v>104</v>
      </c>
      <c r="X102" s="48">
        <f t="shared" si="177"/>
        <v>10389.6</v>
      </c>
      <c r="Y102" s="48">
        <f t="shared" si="187"/>
        <v>10400</v>
      </c>
      <c r="Z102" s="48">
        <f t="shared" si="178"/>
        <v>10400</v>
      </c>
      <c r="AA102" s="59">
        <f t="shared" si="139"/>
        <v>5.7500000000000002E-2</v>
      </c>
      <c r="AB102" s="48">
        <f t="shared" si="140"/>
        <v>10998.000000000002</v>
      </c>
      <c r="AC102" s="48" t="str">
        <f t="shared" si="141"/>
        <v>nie</v>
      </c>
      <c r="AD102" s="48">
        <f t="shared" si="142"/>
        <v>72.8</v>
      </c>
      <c r="AE102" s="48">
        <f t="shared" si="143"/>
        <v>10825.412000000002</v>
      </c>
      <c r="AF102" s="48">
        <f t="shared" si="144"/>
        <v>484.38000000000153</v>
      </c>
      <c r="AG102" s="59">
        <f t="shared" si="145"/>
        <v>1.4999999999999999E-2</v>
      </c>
      <c r="AH102" s="48">
        <f t="shared" si="146"/>
        <v>2262.9555018306528</v>
      </c>
      <c r="AI102" s="48">
        <f t="shared" si="147"/>
        <v>12603.987501830654</v>
      </c>
      <c r="AJ102" s="24"/>
      <c r="AK102" s="56">
        <f t="shared" si="179"/>
        <v>100</v>
      </c>
      <c r="AL102" s="48">
        <f t="shared" si="180"/>
        <v>10000</v>
      </c>
      <c r="AM102" s="48">
        <f t="shared" si="181"/>
        <v>10000</v>
      </c>
      <c r="AN102" s="48">
        <f t="shared" si="182"/>
        <v>13609.754124192001</v>
      </c>
      <c r="AO102" s="59">
        <f t="shared" si="148"/>
        <v>6.0000000000000005E-2</v>
      </c>
      <c r="AP102" s="48">
        <f t="shared" si="149"/>
        <v>14426.339371643522</v>
      </c>
      <c r="AQ102" s="48" t="str">
        <f t="shared" si="150"/>
        <v>nie</v>
      </c>
      <c r="AR102" s="48">
        <f t="shared" si="151"/>
        <v>200</v>
      </c>
      <c r="AS102" s="48">
        <f t="shared" si="152"/>
        <v>13423.334891031252</v>
      </c>
      <c r="AT102" s="48">
        <f t="shared" si="153"/>
        <v>0</v>
      </c>
      <c r="AU102" s="59">
        <f t="shared" si="154"/>
        <v>1.4999999999999999E-2</v>
      </c>
      <c r="AV102" s="48">
        <f t="shared" si="155"/>
        <v>0</v>
      </c>
      <c r="AW102" s="48">
        <f t="shared" si="156"/>
        <v>13423.334891031252</v>
      </c>
      <c r="AY102" s="56">
        <f t="shared" si="188"/>
        <v>130</v>
      </c>
      <c r="AZ102" s="48">
        <f t="shared" si="189"/>
        <v>13000</v>
      </c>
      <c r="BA102" s="48">
        <f t="shared" si="183"/>
        <v>13000</v>
      </c>
      <c r="BB102" s="48">
        <f t="shared" si="184"/>
        <v>13000</v>
      </c>
      <c r="BC102" s="59">
        <f t="shared" si="157"/>
        <v>1.4999999999999999E-2</v>
      </c>
      <c r="BD102" s="48">
        <f t="shared" si="158"/>
        <v>13194.999999999998</v>
      </c>
      <c r="BE102" s="48" t="str">
        <f t="shared" si="159"/>
        <v>nie</v>
      </c>
      <c r="BF102" s="48">
        <f t="shared" si="160"/>
        <v>91</v>
      </c>
      <c r="BG102" s="48">
        <f t="shared" si="192"/>
        <v>13084.239999999998</v>
      </c>
      <c r="BH102" s="48">
        <f t="shared" si="162"/>
        <v>0</v>
      </c>
      <c r="BI102" s="59">
        <f t="shared" si="163"/>
        <v>1.4999999999999999E-2</v>
      </c>
      <c r="BJ102" s="48">
        <f t="shared" si="164"/>
        <v>32.976243456562628</v>
      </c>
      <c r="BK102" s="48">
        <f t="shared" si="165"/>
        <v>13117.21624345656</v>
      </c>
      <c r="BL102" s="24"/>
      <c r="BM102" s="56">
        <f t="shared" si="190"/>
        <v>100</v>
      </c>
      <c r="BN102" s="48">
        <f t="shared" si="191"/>
        <v>10000</v>
      </c>
      <c r="BO102" s="48">
        <f t="shared" si="185"/>
        <v>10000</v>
      </c>
      <c r="BP102" s="48">
        <f t="shared" si="186"/>
        <v>13974.883966839372</v>
      </c>
      <c r="BQ102" s="59">
        <f t="shared" si="166"/>
        <v>6.5000000000000002E-2</v>
      </c>
      <c r="BR102" s="48">
        <f t="shared" si="167"/>
        <v>14883.251424683931</v>
      </c>
      <c r="BS102" s="48" t="str">
        <f t="shared" si="168"/>
        <v>nie</v>
      </c>
      <c r="BT102" s="48">
        <f t="shared" si="169"/>
        <v>200</v>
      </c>
      <c r="BU102" s="48">
        <f t="shared" si="170"/>
        <v>13793.433653993983</v>
      </c>
      <c r="BV102" s="48">
        <f t="shared" si="171"/>
        <v>0</v>
      </c>
      <c r="BW102" s="59">
        <f t="shared" si="172"/>
        <v>1.4999999999999999E-2</v>
      </c>
      <c r="BX102" s="48">
        <f t="shared" si="173"/>
        <v>0</v>
      </c>
      <c r="BY102" s="48">
        <f t="shared" si="174"/>
        <v>13793.433653993983</v>
      </c>
    </row>
    <row r="103" spans="1:77" s="25" customFormat="1" ht="14">
      <c r="A103" s="24"/>
      <c r="B103" s="172"/>
      <c r="C103" s="66">
        <f t="shared" si="200"/>
        <v>69</v>
      </c>
      <c r="D103" s="48">
        <f t="shared" si="201"/>
        <v>11973.186264754078</v>
      </c>
      <c r="E103" s="48">
        <f t="shared" si="202"/>
        <v>12605.902243794639</v>
      </c>
      <c r="F103" s="48">
        <f t="shared" si="203"/>
        <v>12812.163821148872</v>
      </c>
      <c r="G103" s="49">
        <f t="shared" si="204"/>
        <v>12884.938257070857</v>
      </c>
      <c r="H103" s="49">
        <f t="shared" si="205"/>
        <v>10723.228206318618</v>
      </c>
      <c r="I103" s="48">
        <f t="shared" si="206"/>
        <v>13241.421210937504</v>
      </c>
      <c r="J103" s="24"/>
      <c r="K103" s="84"/>
      <c r="L103" s="64">
        <f t="shared" si="207"/>
        <v>69</v>
      </c>
      <c r="M103" s="51">
        <f t="shared" si="194"/>
        <v>0.19731862647540788</v>
      </c>
      <c r="N103" s="51">
        <f t="shared" si="195"/>
        <v>0.26059022437946378</v>
      </c>
      <c r="O103" s="51">
        <f t="shared" si="196"/>
        <v>0.2812163821148872</v>
      </c>
      <c r="P103" s="51">
        <f t="shared" si="197"/>
        <v>0.2884938257070857</v>
      </c>
      <c r="Q103" s="51">
        <f t="shared" si="198"/>
        <v>7.2322820631861795E-2</v>
      </c>
      <c r="R103" s="51">
        <f t="shared" si="199"/>
        <v>0.32414212109375029</v>
      </c>
      <c r="S103" s="24"/>
      <c r="T103" s="45">
        <f t="shared" si="175"/>
        <v>85</v>
      </c>
      <c r="U103" s="59">
        <f t="shared" si="193"/>
        <v>0.05</v>
      </c>
      <c r="V103" s="48">
        <f t="shared" si="138"/>
        <v>14129.63341083985</v>
      </c>
      <c r="W103" s="56">
        <f t="shared" si="176"/>
        <v>104</v>
      </c>
      <c r="X103" s="48">
        <f t="shared" si="177"/>
        <v>10389.6</v>
      </c>
      <c r="Y103" s="48">
        <f t="shared" si="187"/>
        <v>10400</v>
      </c>
      <c r="Z103" s="48">
        <f t="shared" si="178"/>
        <v>10400</v>
      </c>
      <c r="AA103" s="59">
        <f t="shared" si="139"/>
        <v>5.7500000000000002E-2</v>
      </c>
      <c r="AB103" s="48">
        <f t="shared" si="140"/>
        <v>10449.833333333334</v>
      </c>
      <c r="AC103" s="48" t="str">
        <f t="shared" si="141"/>
        <v>nie</v>
      </c>
      <c r="AD103" s="48">
        <f t="shared" si="142"/>
        <v>72.8</v>
      </c>
      <c r="AE103" s="48">
        <f t="shared" si="143"/>
        <v>10381.397000000001</v>
      </c>
      <c r="AF103" s="48">
        <f t="shared" si="144"/>
        <v>0</v>
      </c>
      <c r="AG103" s="59">
        <f t="shared" si="145"/>
        <v>1.4999999999999999E-2</v>
      </c>
      <c r="AH103" s="48">
        <f t="shared" si="146"/>
        <v>2265.2467442762563</v>
      </c>
      <c r="AI103" s="48">
        <f t="shared" si="147"/>
        <v>12646.643744276258</v>
      </c>
      <c r="AJ103" s="24"/>
      <c r="AK103" s="56">
        <f t="shared" si="179"/>
        <v>100</v>
      </c>
      <c r="AL103" s="48">
        <f t="shared" si="180"/>
        <v>10000</v>
      </c>
      <c r="AM103" s="48">
        <f t="shared" si="181"/>
        <v>10000</v>
      </c>
      <c r="AN103" s="48">
        <f t="shared" si="182"/>
        <v>14426.339371643522</v>
      </c>
      <c r="AO103" s="59">
        <f t="shared" si="148"/>
        <v>6.0000000000000005E-2</v>
      </c>
      <c r="AP103" s="48">
        <f t="shared" si="149"/>
        <v>14498.471068501738</v>
      </c>
      <c r="AQ103" s="48" t="str">
        <f t="shared" si="150"/>
        <v>nie</v>
      </c>
      <c r="AR103" s="48">
        <f t="shared" si="151"/>
        <v>200</v>
      </c>
      <c r="AS103" s="48">
        <f t="shared" si="152"/>
        <v>13481.761565486408</v>
      </c>
      <c r="AT103" s="48">
        <f t="shared" si="153"/>
        <v>0</v>
      </c>
      <c r="AU103" s="59">
        <f t="shared" si="154"/>
        <v>1.4999999999999999E-2</v>
      </c>
      <c r="AV103" s="48">
        <f t="shared" si="155"/>
        <v>0</v>
      </c>
      <c r="AW103" s="48">
        <f t="shared" si="156"/>
        <v>13481.761565486408</v>
      </c>
      <c r="AY103" s="56">
        <f t="shared" si="188"/>
        <v>130</v>
      </c>
      <c r="AZ103" s="48">
        <f t="shared" si="189"/>
        <v>13000</v>
      </c>
      <c r="BA103" s="48">
        <f t="shared" si="183"/>
        <v>13000</v>
      </c>
      <c r="BB103" s="48">
        <f t="shared" si="184"/>
        <v>13194.999999999998</v>
      </c>
      <c r="BC103" s="59">
        <f t="shared" si="157"/>
        <v>6.25E-2</v>
      </c>
      <c r="BD103" s="48">
        <f t="shared" si="158"/>
        <v>13263.72395833333</v>
      </c>
      <c r="BE103" s="48" t="str">
        <f t="shared" si="159"/>
        <v>nie</v>
      </c>
      <c r="BF103" s="48">
        <f t="shared" si="160"/>
        <v>91</v>
      </c>
      <c r="BG103" s="48">
        <f t="shared" si="192"/>
        <v>13139.906406249998</v>
      </c>
      <c r="BH103" s="48">
        <f t="shared" si="162"/>
        <v>0</v>
      </c>
      <c r="BI103" s="59">
        <f t="shared" si="163"/>
        <v>1.4999999999999999E-2</v>
      </c>
      <c r="BJ103" s="48">
        <f t="shared" si="164"/>
        <v>33.009631903062399</v>
      </c>
      <c r="BK103" s="48">
        <f t="shared" si="165"/>
        <v>13172.91603815306</v>
      </c>
      <c r="BL103" s="24"/>
      <c r="BM103" s="56">
        <f t="shared" si="190"/>
        <v>100</v>
      </c>
      <c r="BN103" s="48">
        <f t="shared" si="191"/>
        <v>10000</v>
      </c>
      <c r="BO103" s="48">
        <f t="shared" si="185"/>
        <v>10000</v>
      </c>
      <c r="BP103" s="48">
        <f t="shared" si="186"/>
        <v>14883.251424683931</v>
      </c>
      <c r="BQ103" s="59">
        <f t="shared" si="166"/>
        <v>6.5000000000000002E-2</v>
      </c>
      <c r="BR103" s="48">
        <f t="shared" si="167"/>
        <v>14963.869036567636</v>
      </c>
      <c r="BS103" s="48" t="str">
        <f t="shared" si="168"/>
        <v>nie</v>
      </c>
      <c r="BT103" s="48">
        <f t="shared" si="169"/>
        <v>200</v>
      </c>
      <c r="BU103" s="48">
        <f t="shared" si="170"/>
        <v>13858.733919619785</v>
      </c>
      <c r="BV103" s="48">
        <f t="shared" si="171"/>
        <v>0</v>
      </c>
      <c r="BW103" s="59">
        <f t="shared" si="172"/>
        <v>1.4999999999999999E-2</v>
      </c>
      <c r="BX103" s="48">
        <f t="shared" si="173"/>
        <v>0</v>
      </c>
      <c r="BY103" s="48">
        <f t="shared" si="174"/>
        <v>13858.733919619785</v>
      </c>
    </row>
    <row r="104" spans="1:77" s="25" customFormat="1" ht="14">
      <c r="A104" s="24"/>
      <c r="B104" s="172"/>
      <c r="C104" s="66">
        <f t="shared" si="200"/>
        <v>70</v>
      </c>
      <c r="D104" s="48">
        <f t="shared" si="201"/>
        <v>12014.835994884641</v>
      </c>
      <c r="E104" s="48">
        <f t="shared" si="202"/>
        <v>12657.901776061599</v>
      </c>
      <c r="F104" s="48">
        <f t="shared" si="203"/>
        <v>12866.73528294563</v>
      </c>
      <c r="G104" s="49">
        <f t="shared" si="204"/>
        <v>12942.510842427202</v>
      </c>
      <c r="H104" s="49">
        <f t="shared" si="205"/>
        <v>10734.085474877516</v>
      </c>
      <c r="I104" s="48">
        <f t="shared" si="206"/>
        <v>13294.599609375004</v>
      </c>
      <c r="J104" s="24"/>
      <c r="K104" s="84"/>
      <c r="L104" s="64">
        <f t="shared" si="207"/>
        <v>70</v>
      </c>
      <c r="M104" s="51">
        <f t="shared" si="194"/>
        <v>0.20148359948846406</v>
      </c>
      <c r="N104" s="51">
        <f t="shared" si="195"/>
        <v>0.26579017760615997</v>
      </c>
      <c r="O104" s="51">
        <f t="shared" si="196"/>
        <v>0.28667352829456294</v>
      </c>
      <c r="P104" s="51">
        <f t="shared" si="197"/>
        <v>0.29425108424272017</v>
      </c>
      <c r="Q104" s="51">
        <f t="shared" si="198"/>
        <v>7.3408547487751719E-2</v>
      </c>
      <c r="R104" s="51">
        <f t="shared" si="199"/>
        <v>0.32945996093750041</v>
      </c>
      <c r="S104" s="24"/>
      <c r="T104" s="45">
        <f t="shared" si="175"/>
        <v>86</v>
      </c>
      <c r="U104" s="59">
        <f t="shared" si="193"/>
        <v>0.05</v>
      </c>
      <c r="V104" s="48">
        <f t="shared" si="138"/>
        <v>14188.262595117192</v>
      </c>
      <c r="W104" s="56">
        <f t="shared" si="176"/>
        <v>104</v>
      </c>
      <c r="X104" s="48">
        <f t="shared" si="177"/>
        <v>10389.6</v>
      </c>
      <c r="Y104" s="48">
        <f t="shared" si="187"/>
        <v>10400</v>
      </c>
      <c r="Z104" s="48">
        <f t="shared" si="178"/>
        <v>10400</v>
      </c>
      <c r="AA104" s="59">
        <f t="shared" si="139"/>
        <v>5.7500000000000002E-2</v>
      </c>
      <c r="AB104" s="48">
        <f t="shared" si="140"/>
        <v>10499.666666666666</v>
      </c>
      <c r="AC104" s="48" t="str">
        <f t="shared" si="141"/>
        <v>nie</v>
      </c>
      <c r="AD104" s="48">
        <f t="shared" si="142"/>
        <v>72.8</v>
      </c>
      <c r="AE104" s="48">
        <f t="shared" si="143"/>
        <v>10421.762000000001</v>
      </c>
      <c r="AF104" s="48">
        <f t="shared" si="144"/>
        <v>0</v>
      </c>
      <c r="AG104" s="59">
        <f t="shared" si="145"/>
        <v>1.4999999999999999E-2</v>
      </c>
      <c r="AH104" s="48">
        <f t="shared" si="146"/>
        <v>2267.5403066048361</v>
      </c>
      <c r="AI104" s="48">
        <f t="shared" si="147"/>
        <v>12689.302306604837</v>
      </c>
      <c r="AJ104" s="24"/>
      <c r="AK104" s="56">
        <f t="shared" si="179"/>
        <v>100</v>
      </c>
      <c r="AL104" s="48">
        <f t="shared" si="180"/>
        <v>10000</v>
      </c>
      <c r="AM104" s="48">
        <f t="shared" si="181"/>
        <v>10000</v>
      </c>
      <c r="AN104" s="48">
        <f t="shared" si="182"/>
        <v>14426.339371643522</v>
      </c>
      <c r="AO104" s="59">
        <f t="shared" si="148"/>
        <v>6.0000000000000005E-2</v>
      </c>
      <c r="AP104" s="48">
        <f t="shared" si="149"/>
        <v>14570.602765359958</v>
      </c>
      <c r="AQ104" s="48" t="str">
        <f t="shared" si="150"/>
        <v>nie</v>
      </c>
      <c r="AR104" s="48">
        <f t="shared" si="151"/>
        <v>200</v>
      </c>
      <c r="AS104" s="48">
        <f t="shared" si="152"/>
        <v>13540.188239941566</v>
      </c>
      <c r="AT104" s="48">
        <f t="shared" si="153"/>
        <v>0</v>
      </c>
      <c r="AU104" s="59">
        <f t="shared" si="154"/>
        <v>1.4999999999999999E-2</v>
      </c>
      <c r="AV104" s="48">
        <f t="shared" si="155"/>
        <v>0</v>
      </c>
      <c r="AW104" s="48">
        <f t="shared" si="156"/>
        <v>13540.188239941566</v>
      </c>
      <c r="AY104" s="56">
        <f t="shared" si="188"/>
        <v>130</v>
      </c>
      <c r="AZ104" s="48">
        <f t="shared" si="189"/>
        <v>13000</v>
      </c>
      <c r="BA104" s="48">
        <f t="shared" si="183"/>
        <v>13000</v>
      </c>
      <c r="BB104" s="48">
        <f t="shared" si="184"/>
        <v>13194.999999999998</v>
      </c>
      <c r="BC104" s="59">
        <f t="shared" si="157"/>
        <v>6.25E-2</v>
      </c>
      <c r="BD104" s="48">
        <f t="shared" si="158"/>
        <v>13332.447916666666</v>
      </c>
      <c r="BE104" s="48" t="str">
        <f t="shared" si="159"/>
        <v>nie</v>
      </c>
      <c r="BF104" s="48">
        <f t="shared" si="160"/>
        <v>91</v>
      </c>
      <c r="BG104" s="48">
        <f t="shared" si="192"/>
        <v>13195.572812499999</v>
      </c>
      <c r="BH104" s="48">
        <f t="shared" si="162"/>
        <v>0</v>
      </c>
      <c r="BI104" s="59">
        <f t="shared" si="163"/>
        <v>1.4999999999999999E-2</v>
      </c>
      <c r="BJ104" s="48">
        <f t="shared" si="164"/>
        <v>33.043054155364253</v>
      </c>
      <c r="BK104" s="48">
        <f t="shared" si="165"/>
        <v>13228.615866655364</v>
      </c>
      <c r="BL104" s="24"/>
      <c r="BM104" s="56">
        <f t="shared" si="190"/>
        <v>100</v>
      </c>
      <c r="BN104" s="48">
        <f t="shared" si="191"/>
        <v>10000</v>
      </c>
      <c r="BO104" s="48">
        <f t="shared" si="185"/>
        <v>10000</v>
      </c>
      <c r="BP104" s="48">
        <f t="shared" si="186"/>
        <v>14883.251424683931</v>
      </c>
      <c r="BQ104" s="59">
        <f t="shared" si="166"/>
        <v>6.5000000000000002E-2</v>
      </c>
      <c r="BR104" s="48">
        <f t="shared" si="167"/>
        <v>15044.486648451339</v>
      </c>
      <c r="BS104" s="48" t="str">
        <f t="shared" si="168"/>
        <v>nie</v>
      </c>
      <c r="BT104" s="48">
        <f t="shared" si="169"/>
        <v>200</v>
      </c>
      <c r="BU104" s="48">
        <f t="shared" si="170"/>
        <v>13924.034185245584</v>
      </c>
      <c r="BV104" s="48">
        <f t="shared" si="171"/>
        <v>0</v>
      </c>
      <c r="BW104" s="59">
        <f t="shared" si="172"/>
        <v>1.4999999999999999E-2</v>
      </c>
      <c r="BX104" s="48">
        <f t="shared" si="173"/>
        <v>0</v>
      </c>
      <c r="BY104" s="48">
        <f t="shared" si="174"/>
        <v>13924.034185245584</v>
      </c>
    </row>
    <row r="105" spans="1:77" s="25" customFormat="1" ht="14" customHeight="1">
      <c r="A105" s="24"/>
      <c r="B105" s="172"/>
      <c r="C105" s="66">
        <f t="shared" si="200"/>
        <v>71</v>
      </c>
      <c r="D105" s="48">
        <f t="shared" si="201"/>
        <v>12056.487025804463</v>
      </c>
      <c r="E105" s="48">
        <f t="shared" si="202"/>
        <v>12709.901308328559</v>
      </c>
      <c r="F105" s="48">
        <f t="shared" si="203"/>
        <v>12921.306744742393</v>
      </c>
      <c r="G105" s="49">
        <f t="shared" si="204"/>
        <v>13000.083427783546</v>
      </c>
      <c r="H105" s="49">
        <f t="shared" si="205"/>
        <v>10744.95373642083</v>
      </c>
      <c r="I105" s="48">
        <f t="shared" si="206"/>
        <v>13347.778007812503</v>
      </c>
      <c r="J105" s="24"/>
      <c r="K105" s="84"/>
      <c r="L105" s="64">
        <f t="shared" si="207"/>
        <v>71</v>
      </c>
      <c r="M105" s="51">
        <f t="shared" si="194"/>
        <v>0.20564870258044632</v>
      </c>
      <c r="N105" s="51">
        <f t="shared" si="195"/>
        <v>0.27099013083285595</v>
      </c>
      <c r="O105" s="51">
        <f t="shared" si="196"/>
        <v>0.29213067447423935</v>
      </c>
      <c r="P105" s="51">
        <f t="shared" si="197"/>
        <v>0.30000834277835464</v>
      </c>
      <c r="Q105" s="51">
        <f t="shared" si="198"/>
        <v>7.4495373642083029E-2</v>
      </c>
      <c r="R105" s="51">
        <f t="shared" si="199"/>
        <v>0.3347778007812503</v>
      </c>
      <c r="S105" s="24"/>
      <c r="T105" s="45">
        <f t="shared" si="175"/>
        <v>87</v>
      </c>
      <c r="U105" s="59">
        <f t="shared" si="193"/>
        <v>0.05</v>
      </c>
      <c r="V105" s="48">
        <f t="shared" si="138"/>
        <v>14246.891779394537</v>
      </c>
      <c r="W105" s="56">
        <f t="shared" si="176"/>
        <v>104</v>
      </c>
      <c r="X105" s="48">
        <f t="shared" si="177"/>
        <v>10389.6</v>
      </c>
      <c r="Y105" s="48">
        <f t="shared" si="187"/>
        <v>10400</v>
      </c>
      <c r="Z105" s="48">
        <f t="shared" si="178"/>
        <v>10400</v>
      </c>
      <c r="AA105" s="59">
        <f t="shared" si="139"/>
        <v>5.7500000000000002E-2</v>
      </c>
      <c r="AB105" s="48">
        <f t="shared" si="140"/>
        <v>10549.5</v>
      </c>
      <c r="AC105" s="48" t="str">
        <f t="shared" si="141"/>
        <v>nie</v>
      </c>
      <c r="AD105" s="48">
        <f t="shared" si="142"/>
        <v>72.8</v>
      </c>
      <c r="AE105" s="48">
        <f t="shared" si="143"/>
        <v>10462.127</v>
      </c>
      <c r="AF105" s="48">
        <f t="shared" si="144"/>
        <v>0</v>
      </c>
      <c r="AG105" s="59">
        <f t="shared" si="145"/>
        <v>1.4999999999999999E-2</v>
      </c>
      <c r="AH105" s="48">
        <f t="shared" si="146"/>
        <v>2269.8361911652737</v>
      </c>
      <c r="AI105" s="48">
        <f t="shared" si="147"/>
        <v>12731.963191165274</v>
      </c>
      <c r="AJ105" s="24"/>
      <c r="AK105" s="56">
        <f t="shared" si="179"/>
        <v>100</v>
      </c>
      <c r="AL105" s="48">
        <f t="shared" si="180"/>
        <v>10000</v>
      </c>
      <c r="AM105" s="48">
        <f t="shared" si="181"/>
        <v>10000</v>
      </c>
      <c r="AN105" s="48">
        <f t="shared" si="182"/>
        <v>14426.339371643522</v>
      </c>
      <c r="AO105" s="59">
        <f t="shared" si="148"/>
        <v>6.0000000000000005E-2</v>
      </c>
      <c r="AP105" s="48">
        <f t="shared" si="149"/>
        <v>14642.734462218174</v>
      </c>
      <c r="AQ105" s="48" t="str">
        <f t="shared" si="150"/>
        <v>nie</v>
      </c>
      <c r="AR105" s="48">
        <f t="shared" si="151"/>
        <v>200</v>
      </c>
      <c r="AS105" s="48">
        <f t="shared" si="152"/>
        <v>13598.614914396721</v>
      </c>
      <c r="AT105" s="48">
        <f t="shared" si="153"/>
        <v>0</v>
      </c>
      <c r="AU105" s="59">
        <f t="shared" si="154"/>
        <v>1.4999999999999999E-2</v>
      </c>
      <c r="AV105" s="48">
        <f t="shared" si="155"/>
        <v>0</v>
      </c>
      <c r="AW105" s="48">
        <f t="shared" si="156"/>
        <v>13598.614914396721</v>
      </c>
      <c r="AY105" s="56">
        <f t="shared" si="188"/>
        <v>130</v>
      </c>
      <c r="AZ105" s="48">
        <f t="shared" si="189"/>
        <v>13000</v>
      </c>
      <c r="BA105" s="48">
        <f t="shared" si="183"/>
        <v>13000</v>
      </c>
      <c r="BB105" s="48">
        <f t="shared" si="184"/>
        <v>13194.999999999998</v>
      </c>
      <c r="BC105" s="59">
        <f t="shared" si="157"/>
        <v>6.25E-2</v>
      </c>
      <c r="BD105" s="48">
        <f t="shared" si="158"/>
        <v>13401.171874999998</v>
      </c>
      <c r="BE105" s="48" t="str">
        <f t="shared" si="159"/>
        <v>nie</v>
      </c>
      <c r="BF105" s="48">
        <f t="shared" si="160"/>
        <v>91</v>
      </c>
      <c r="BG105" s="48">
        <f t="shared" si="192"/>
        <v>13251.239218749999</v>
      </c>
      <c r="BH105" s="48">
        <f t="shared" si="162"/>
        <v>0</v>
      </c>
      <c r="BI105" s="59">
        <f t="shared" si="163"/>
        <v>1.4999999999999999E-2</v>
      </c>
      <c r="BJ105" s="48">
        <f t="shared" si="164"/>
        <v>33.076510247696561</v>
      </c>
      <c r="BK105" s="48">
        <f t="shared" si="165"/>
        <v>13284.315728997695</v>
      </c>
      <c r="BL105" s="24"/>
      <c r="BM105" s="56">
        <f t="shared" si="190"/>
        <v>100</v>
      </c>
      <c r="BN105" s="48">
        <f t="shared" si="191"/>
        <v>10000</v>
      </c>
      <c r="BO105" s="48">
        <f t="shared" si="185"/>
        <v>10000</v>
      </c>
      <c r="BP105" s="48">
        <f t="shared" si="186"/>
        <v>14883.251424683931</v>
      </c>
      <c r="BQ105" s="59">
        <f t="shared" si="166"/>
        <v>6.5000000000000002E-2</v>
      </c>
      <c r="BR105" s="48">
        <f t="shared" si="167"/>
        <v>15125.104260335047</v>
      </c>
      <c r="BS105" s="48" t="str">
        <f t="shared" si="168"/>
        <v>nie</v>
      </c>
      <c r="BT105" s="48">
        <f t="shared" si="169"/>
        <v>200</v>
      </c>
      <c r="BU105" s="48">
        <f t="shared" si="170"/>
        <v>13989.334450871389</v>
      </c>
      <c r="BV105" s="48">
        <f t="shared" si="171"/>
        <v>0</v>
      </c>
      <c r="BW105" s="59">
        <f t="shared" si="172"/>
        <v>1.4999999999999999E-2</v>
      </c>
      <c r="BX105" s="48">
        <f t="shared" si="173"/>
        <v>0</v>
      </c>
      <c r="BY105" s="48">
        <f t="shared" si="174"/>
        <v>13989.334450871389</v>
      </c>
    </row>
    <row r="106" spans="1:77" s="25" customFormat="1" ht="14">
      <c r="A106" s="24"/>
      <c r="B106" s="173"/>
      <c r="C106" s="66">
        <f t="shared" si="200"/>
        <v>72</v>
      </c>
      <c r="D106" s="48">
        <f t="shared" si="201"/>
        <v>12098.139358830591</v>
      </c>
      <c r="E106" s="48">
        <f t="shared" si="202"/>
        <v>12761.900840595521</v>
      </c>
      <c r="F106" s="48">
        <f t="shared" si="203"/>
        <v>13032.578206539152</v>
      </c>
      <c r="G106" s="49">
        <f t="shared" si="204"/>
        <v>13057.656013139891</v>
      </c>
      <c r="H106" s="49">
        <f t="shared" si="205"/>
        <v>10755.833002078956</v>
      </c>
      <c r="I106" s="48">
        <f t="shared" si="206"/>
        <v>13400.956406250005</v>
      </c>
      <c r="J106" s="24"/>
      <c r="K106" s="84"/>
      <c r="L106" s="64">
        <f t="shared" si="207"/>
        <v>72</v>
      </c>
      <c r="M106" s="51">
        <f t="shared" si="194"/>
        <v>0.20981393588305908</v>
      </c>
      <c r="N106" s="51">
        <f t="shared" si="195"/>
        <v>0.27619008405955214</v>
      </c>
      <c r="O106" s="51">
        <f t="shared" si="196"/>
        <v>0.30325782065391516</v>
      </c>
      <c r="P106" s="51">
        <f t="shared" si="197"/>
        <v>0.30576560131398911</v>
      </c>
      <c r="Q106" s="51">
        <f t="shared" si="198"/>
        <v>7.558330020789561E-2</v>
      </c>
      <c r="R106" s="51">
        <f t="shared" si="199"/>
        <v>0.34009564062500042</v>
      </c>
      <c r="S106" s="24"/>
      <c r="T106" s="45">
        <f t="shared" si="175"/>
        <v>88</v>
      </c>
      <c r="U106" s="59">
        <f t="shared" si="193"/>
        <v>0.05</v>
      </c>
      <c r="V106" s="48">
        <f t="shared" si="138"/>
        <v>14305.520963671879</v>
      </c>
      <c r="W106" s="56">
        <f t="shared" si="176"/>
        <v>104</v>
      </c>
      <c r="X106" s="48">
        <f t="shared" si="177"/>
        <v>10389.6</v>
      </c>
      <c r="Y106" s="48">
        <f t="shared" si="187"/>
        <v>10400</v>
      </c>
      <c r="Z106" s="48">
        <f t="shared" si="178"/>
        <v>10400</v>
      </c>
      <c r="AA106" s="59">
        <f t="shared" si="139"/>
        <v>5.7500000000000002E-2</v>
      </c>
      <c r="AB106" s="48">
        <f t="shared" si="140"/>
        <v>10599.333333333334</v>
      </c>
      <c r="AC106" s="48" t="str">
        <f t="shared" si="141"/>
        <v>nie</v>
      </c>
      <c r="AD106" s="48">
        <f t="shared" si="142"/>
        <v>72.8</v>
      </c>
      <c r="AE106" s="48">
        <f t="shared" si="143"/>
        <v>10502.492000000002</v>
      </c>
      <c r="AF106" s="48">
        <f t="shared" si="144"/>
        <v>0</v>
      </c>
      <c r="AG106" s="59">
        <f t="shared" si="145"/>
        <v>1.4999999999999999E-2</v>
      </c>
      <c r="AH106" s="48">
        <f t="shared" si="146"/>
        <v>2272.1344003088288</v>
      </c>
      <c r="AI106" s="48">
        <f t="shared" si="147"/>
        <v>12774.626400308831</v>
      </c>
      <c r="AJ106" s="24"/>
      <c r="AK106" s="56">
        <f t="shared" si="179"/>
        <v>100</v>
      </c>
      <c r="AL106" s="48">
        <f t="shared" si="180"/>
        <v>10000</v>
      </c>
      <c r="AM106" s="48">
        <f t="shared" si="181"/>
        <v>10000</v>
      </c>
      <c r="AN106" s="48">
        <f t="shared" si="182"/>
        <v>14426.339371643522</v>
      </c>
      <c r="AO106" s="59">
        <f t="shared" si="148"/>
        <v>6.0000000000000005E-2</v>
      </c>
      <c r="AP106" s="48">
        <f t="shared" si="149"/>
        <v>14714.866159076393</v>
      </c>
      <c r="AQ106" s="48" t="str">
        <f t="shared" si="150"/>
        <v>nie</v>
      </c>
      <c r="AR106" s="48">
        <f t="shared" si="151"/>
        <v>200</v>
      </c>
      <c r="AS106" s="48">
        <f t="shared" si="152"/>
        <v>13657.041588851878</v>
      </c>
      <c r="AT106" s="48">
        <f t="shared" si="153"/>
        <v>0</v>
      </c>
      <c r="AU106" s="59">
        <f t="shared" si="154"/>
        <v>1.4999999999999999E-2</v>
      </c>
      <c r="AV106" s="48">
        <f t="shared" si="155"/>
        <v>0</v>
      </c>
      <c r="AW106" s="48">
        <f t="shared" si="156"/>
        <v>13657.041588851878</v>
      </c>
      <c r="AY106" s="56">
        <f t="shared" si="188"/>
        <v>130</v>
      </c>
      <c r="AZ106" s="48">
        <f t="shared" si="189"/>
        <v>13000</v>
      </c>
      <c r="BA106" s="48">
        <f t="shared" si="183"/>
        <v>13000</v>
      </c>
      <c r="BB106" s="48">
        <f t="shared" si="184"/>
        <v>13194.999999999998</v>
      </c>
      <c r="BC106" s="59">
        <f t="shared" si="157"/>
        <v>6.25E-2</v>
      </c>
      <c r="BD106" s="48">
        <f t="shared" si="158"/>
        <v>13469.89583333333</v>
      </c>
      <c r="BE106" s="48" t="str">
        <f t="shared" si="159"/>
        <v>nie</v>
      </c>
      <c r="BF106" s="48">
        <f t="shared" si="160"/>
        <v>91</v>
      </c>
      <c r="BG106" s="48">
        <f t="shared" si="192"/>
        <v>13306.905624999998</v>
      </c>
      <c r="BH106" s="48">
        <f t="shared" si="162"/>
        <v>0</v>
      </c>
      <c r="BI106" s="59">
        <f t="shared" si="163"/>
        <v>1.4999999999999999E-2</v>
      </c>
      <c r="BJ106" s="48">
        <f t="shared" si="164"/>
        <v>33.110000214322355</v>
      </c>
      <c r="BK106" s="48">
        <f t="shared" si="165"/>
        <v>13340.015625214321</v>
      </c>
      <c r="BL106" s="24"/>
      <c r="BM106" s="56">
        <f t="shared" si="190"/>
        <v>100</v>
      </c>
      <c r="BN106" s="48">
        <f t="shared" si="191"/>
        <v>10000</v>
      </c>
      <c r="BO106" s="48">
        <f t="shared" si="185"/>
        <v>10000</v>
      </c>
      <c r="BP106" s="48">
        <f t="shared" si="186"/>
        <v>14883.251424683931</v>
      </c>
      <c r="BQ106" s="59">
        <f t="shared" si="166"/>
        <v>6.5000000000000002E-2</v>
      </c>
      <c r="BR106" s="48">
        <f t="shared" si="167"/>
        <v>15205.72187221875</v>
      </c>
      <c r="BS106" s="48" t="str">
        <f t="shared" si="168"/>
        <v>nie</v>
      </c>
      <c r="BT106" s="48">
        <f t="shared" si="169"/>
        <v>200</v>
      </c>
      <c r="BU106" s="48">
        <f t="shared" si="170"/>
        <v>14054.634716497187</v>
      </c>
      <c r="BV106" s="48">
        <f t="shared" si="171"/>
        <v>0</v>
      </c>
      <c r="BW106" s="59">
        <f t="shared" si="172"/>
        <v>1.4999999999999999E-2</v>
      </c>
      <c r="BX106" s="48">
        <f t="shared" si="173"/>
        <v>0</v>
      </c>
      <c r="BY106" s="48">
        <f t="shared" si="174"/>
        <v>14054.634716497187</v>
      </c>
    </row>
    <row r="107" spans="1:77" s="25" customFormat="1" ht="14">
      <c r="A107" s="24"/>
      <c r="B107" s="171">
        <f>ROUNDUP(C118/12,0)</f>
        <v>7</v>
      </c>
      <c r="C107" s="66">
        <f t="shared" si="200"/>
        <v>73</v>
      </c>
      <c r="D107" s="48">
        <f t="shared" si="201"/>
        <v>12140.283430031408</v>
      </c>
      <c r="E107" s="48">
        <f t="shared" si="202"/>
        <v>12817.020344798497</v>
      </c>
      <c r="F107" s="48">
        <f t="shared" si="203"/>
        <v>13032.611191973274</v>
      </c>
      <c r="G107" s="49">
        <f t="shared" si="204"/>
        <v>13118.970816544399</v>
      </c>
      <c r="H107" s="49">
        <f t="shared" si="205"/>
        <v>10766.723282993562</v>
      </c>
      <c r="I107" s="48">
        <f t="shared" si="206"/>
        <v>13456.793724609379</v>
      </c>
      <c r="J107" s="24"/>
      <c r="K107" s="84"/>
      <c r="L107" s="64">
        <f t="shared" si="207"/>
        <v>73</v>
      </c>
      <c r="M107" s="51">
        <f t="shared" si="194"/>
        <v>0.21402834300314089</v>
      </c>
      <c r="N107" s="51">
        <f t="shared" si="195"/>
        <v>0.28170203447984976</v>
      </c>
      <c r="O107" s="51">
        <f t="shared" si="196"/>
        <v>0.30326111919732734</v>
      </c>
      <c r="P107" s="51">
        <f t="shared" si="197"/>
        <v>0.31189708165443997</v>
      </c>
      <c r="Q107" s="51">
        <f t="shared" si="198"/>
        <v>7.6672328299356218E-2</v>
      </c>
      <c r="R107" s="51">
        <f t="shared" si="199"/>
        <v>0.34567937246093794</v>
      </c>
      <c r="S107" s="24"/>
      <c r="T107" s="45">
        <f t="shared" si="175"/>
        <v>89</v>
      </c>
      <c r="U107" s="59">
        <f t="shared" si="193"/>
        <v>0.05</v>
      </c>
      <c r="V107" s="48">
        <f t="shared" si="138"/>
        <v>14364.150147949224</v>
      </c>
      <c r="W107" s="56">
        <f t="shared" si="176"/>
        <v>104</v>
      </c>
      <c r="X107" s="48">
        <f t="shared" si="177"/>
        <v>10389.6</v>
      </c>
      <c r="Y107" s="48">
        <f t="shared" si="187"/>
        <v>10400</v>
      </c>
      <c r="Z107" s="48">
        <f t="shared" si="178"/>
        <v>10400</v>
      </c>
      <c r="AA107" s="59">
        <f t="shared" si="139"/>
        <v>5.7500000000000002E-2</v>
      </c>
      <c r="AB107" s="48">
        <f t="shared" si="140"/>
        <v>10649.166666666666</v>
      </c>
      <c r="AC107" s="48" t="str">
        <f t="shared" si="141"/>
        <v>nie</v>
      </c>
      <c r="AD107" s="48">
        <f t="shared" si="142"/>
        <v>72.8</v>
      </c>
      <c r="AE107" s="48">
        <f t="shared" si="143"/>
        <v>10542.857</v>
      </c>
      <c r="AF107" s="48">
        <f t="shared" si="144"/>
        <v>0</v>
      </c>
      <c r="AG107" s="59">
        <f t="shared" si="145"/>
        <v>1.4999999999999999E-2</v>
      </c>
      <c r="AH107" s="48">
        <f t="shared" si="146"/>
        <v>2274.4349363891415</v>
      </c>
      <c r="AI107" s="48">
        <f t="shared" si="147"/>
        <v>12817.291936389141</v>
      </c>
      <c r="AJ107" s="24"/>
      <c r="AK107" s="56">
        <f t="shared" si="179"/>
        <v>100</v>
      </c>
      <c r="AL107" s="48">
        <f t="shared" si="180"/>
        <v>10000</v>
      </c>
      <c r="AM107" s="48">
        <f t="shared" si="181"/>
        <v>10000</v>
      </c>
      <c r="AN107" s="48">
        <f t="shared" si="182"/>
        <v>14426.339371643522</v>
      </c>
      <c r="AO107" s="59">
        <f t="shared" si="148"/>
        <v>6.0000000000000005E-2</v>
      </c>
      <c r="AP107" s="48">
        <f t="shared" si="149"/>
        <v>14786.997855934609</v>
      </c>
      <c r="AQ107" s="48" t="str">
        <f t="shared" si="150"/>
        <v>nie</v>
      </c>
      <c r="AR107" s="48">
        <f t="shared" si="151"/>
        <v>200</v>
      </c>
      <c r="AS107" s="48">
        <f t="shared" si="152"/>
        <v>13715.468263307033</v>
      </c>
      <c r="AT107" s="48">
        <f t="shared" si="153"/>
        <v>0</v>
      </c>
      <c r="AU107" s="59">
        <f t="shared" si="154"/>
        <v>1.4999999999999999E-2</v>
      </c>
      <c r="AV107" s="48">
        <f t="shared" si="155"/>
        <v>0</v>
      </c>
      <c r="AW107" s="48">
        <f t="shared" si="156"/>
        <v>13715.468263307033</v>
      </c>
      <c r="AY107" s="56">
        <f t="shared" si="188"/>
        <v>130</v>
      </c>
      <c r="AZ107" s="48">
        <f t="shared" si="189"/>
        <v>13000</v>
      </c>
      <c r="BA107" s="48">
        <f t="shared" si="183"/>
        <v>13000</v>
      </c>
      <c r="BB107" s="48">
        <f t="shared" si="184"/>
        <v>13194.999999999998</v>
      </c>
      <c r="BC107" s="59">
        <f t="shared" si="157"/>
        <v>6.25E-2</v>
      </c>
      <c r="BD107" s="48">
        <f t="shared" si="158"/>
        <v>13538.619791666666</v>
      </c>
      <c r="BE107" s="48" t="str">
        <f t="shared" si="159"/>
        <v>nie</v>
      </c>
      <c r="BF107" s="48">
        <f t="shared" si="160"/>
        <v>91</v>
      </c>
      <c r="BG107" s="48">
        <f t="shared" si="192"/>
        <v>13362.57203125</v>
      </c>
      <c r="BH107" s="48">
        <f t="shared" si="162"/>
        <v>0</v>
      </c>
      <c r="BI107" s="59">
        <f t="shared" si="163"/>
        <v>1.4999999999999999E-2</v>
      </c>
      <c r="BJ107" s="48">
        <f t="shared" si="164"/>
        <v>33.143524089539362</v>
      </c>
      <c r="BK107" s="48">
        <f t="shared" si="165"/>
        <v>13395.715555339539</v>
      </c>
      <c r="BL107" s="24"/>
      <c r="BM107" s="56">
        <f t="shared" si="190"/>
        <v>100</v>
      </c>
      <c r="BN107" s="48">
        <f t="shared" si="191"/>
        <v>10000</v>
      </c>
      <c r="BO107" s="48">
        <f t="shared" si="185"/>
        <v>10000</v>
      </c>
      <c r="BP107" s="48">
        <f t="shared" si="186"/>
        <v>14883.251424683931</v>
      </c>
      <c r="BQ107" s="59">
        <f t="shared" si="166"/>
        <v>6.5000000000000002E-2</v>
      </c>
      <c r="BR107" s="48">
        <f t="shared" si="167"/>
        <v>15286.339484102455</v>
      </c>
      <c r="BS107" s="48" t="str">
        <f t="shared" si="168"/>
        <v>nie</v>
      </c>
      <c r="BT107" s="48">
        <f t="shared" si="169"/>
        <v>200</v>
      </c>
      <c r="BU107" s="48">
        <f t="shared" si="170"/>
        <v>14119.934982122988</v>
      </c>
      <c r="BV107" s="48">
        <f t="shared" si="171"/>
        <v>0</v>
      </c>
      <c r="BW107" s="59">
        <f t="shared" si="172"/>
        <v>1.4999999999999999E-2</v>
      </c>
      <c r="BX107" s="48">
        <f t="shared" si="173"/>
        <v>0</v>
      </c>
      <c r="BY107" s="48">
        <f t="shared" si="174"/>
        <v>14119.934982122988</v>
      </c>
    </row>
    <row r="108" spans="1:77" s="25" customFormat="1" ht="14">
      <c r="A108" s="24"/>
      <c r="B108" s="172"/>
      <c r="C108" s="66">
        <f t="shared" si="200"/>
        <v>74</v>
      </c>
      <c r="D108" s="48">
        <f t="shared" si="201"/>
        <v>12182.429302541814</v>
      </c>
      <c r="E108" s="48">
        <f t="shared" si="202"/>
        <v>12872.139849001474</v>
      </c>
      <c r="F108" s="48">
        <f t="shared" si="203"/>
        <v>13032.644210805147</v>
      </c>
      <c r="G108" s="49">
        <f t="shared" si="204"/>
        <v>13180.285619948907</v>
      </c>
      <c r="H108" s="49">
        <f t="shared" si="205"/>
        <v>10777.624590317593</v>
      </c>
      <c r="I108" s="48">
        <f t="shared" si="206"/>
        <v>13512.631042968755</v>
      </c>
      <c r="J108" s="24"/>
      <c r="K108" s="84"/>
      <c r="L108" s="64">
        <f t="shared" si="207"/>
        <v>74</v>
      </c>
      <c r="M108" s="51">
        <f t="shared" si="194"/>
        <v>0.21824293025418129</v>
      </c>
      <c r="N108" s="51">
        <f t="shared" si="195"/>
        <v>0.28721398490014738</v>
      </c>
      <c r="O108" s="51">
        <f t="shared" si="196"/>
        <v>0.30326442108051466</v>
      </c>
      <c r="P108" s="51">
        <f t="shared" si="197"/>
        <v>0.3180285619948906</v>
      </c>
      <c r="Q108" s="51">
        <f t="shared" si="198"/>
        <v>7.7762459031759379E-2</v>
      </c>
      <c r="R108" s="51">
        <f t="shared" si="199"/>
        <v>0.35126310429687546</v>
      </c>
      <c r="S108" s="24"/>
      <c r="T108" s="45">
        <f t="shared" si="175"/>
        <v>90</v>
      </c>
      <c r="U108" s="59">
        <f t="shared" si="193"/>
        <v>0.05</v>
      </c>
      <c r="V108" s="48">
        <f t="shared" si="138"/>
        <v>14422.779332226566</v>
      </c>
      <c r="W108" s="56">
        <f t="shared" si="176"/>
        <v>104</v>
      </c>
      <c r="X108" s="48">
        <f t="shared" si="177"/>
        <v>10389.6</v>
      </c>
      <c r="Y108" s="48">
        <f t="shared" si="187"/>
        <v>10400</v>
      </c>
      <c r="Z108" s="48">
        <f t="shared" si="178"/>
        <v>10400</v>
      </c>
      <c r="AA108" s="59">
        <f t="shared" si="139"/>
        <v>5.7500000000000002E-2</v>
      </c>
      <c r="AB108" s="48">
        <f t="shared" si="140"/>
        <v>10699</v>
      </c>
      <c r="AC108" s="48" t="str">
        <f t="shared" si="141"/>
        <v>nie</v>
      </c>
      <c r="AD108" s="48">
        <f t="shared" si="142"/>
        <v>72.8</v>
      </c>
      <c r="AE108" s="48">
        <f t="shared" si="143"/>
        <v>10583.222000000002</v>
      </c>
      <c r="AF108" s="48">
        <f t="shared" si="144"/>
        <v>0</v>
      </c>
      <c r="AG108" s="59">
        <f t="shared" si="145"/>
        <v>1.4999999999999999E-2</v>
      </c>
      <c r="AH108" s="48">
        <f t="shared" si="146"/>
        <v>2276.7378017622359</v>
      </c>
      <c r="AI108" s="48">
        <f t="shared" si="147"/>
        <v>12859.959801762237</v>
      </c>
      <c r="AJ108" s="24"/>
      <c r="AK108" s="56">
        <f t="shared" si="179"/>
        <v>100</v>
      </c>
      <c r="AL108" s="48">
        <f t="shared" si="180"/>
        <v>10000</v>
      </c>
      <c r="AM108" s="48">
        <f t="shared" si="181"/>
        <v>10000</v>
      </c>
      <c r="AN108" s="48">
        <f t="shared" si="182"/>
        <v>14426.339371643522</v>
      </c>
      <c r="AO108" s="59">
        <f t="shared" si="148"/>
        <v>6.0000000000000005E-2</v>
      </c>
      <c r="AP108" s="48">
        <f t="shared" si="149"/>
        <v>14859.129552792829</v>
      </c>
      <c r="AQ108" s="48" t="str">
        <f t="shared" si="150"/>
        <v>nie</v>
      </c>
      <c r="AR108" s="48">
        <f t="shared" si="151"/>
        <v>200</v>
      </c>
      <c r="AS108" s="48">
        <f t="shared" si="152"/>
        <v>13773.894937762192</v>
      </c>
      <c r="AT108" s="48">
        <f t="shared" si="153"/>
        <v>0</v>
      </c>
      <c r="AU108" s="59">
        <f t="shared" si="154"/>
        <v>1.4999999999999999E-2</v>
      </c>
      <c r="AV108" s="48">
        <f t="shared" si="155"/>
        <v>0</v>
      </c>
      <c r="AW108" s="48">
        <f t="shared" si="156"/>
        <v>13773.894937762192</v>
      </c>
      <c r="AY108" s="56">
        <f t="shared" si="188"/>
        <v>130</v>
      </c>
      <c r="AZ108" s="48">
        <f t="shared" si="189"/>
        <v>13000</v>
      </c>
      <c r="BA108" s="48">
        <f t="shared" si="183"/>
        <v>13000</v>
      </c>
      <c r="BB108" s="48">
        <f t="shared" si="184"/>
        <v>13194.999999999998</v>
      </c>
      <c r="BC108" s="59">
        <f t="shared" si="157"/>
        <v>6.25E-2</v>
      </c>
      <c r="BD108" s="48">
        <f t="shared" si="158"/>
        <v>13607.343749999998</v>
      </c>
      <c r="BE108" s="48" t="str">
        <f t="shared" si="159"/>
        <v>nie</v>
      </c>
      <c r="BF108" s="48">
        <f t="shared" si="160"/>
        <v>91</v>
      </c>
      <c r="BG108" s="48">
        <f t="shared" si="192"/>
        <v>13418.238437499998</v>
      </c>
      <c r="BH108" s="48">
        <f t="shared" si="162"/>
        <v>0</v>
      </c>
      <c r="BI108" s="59">
        <f t="shared" si="163"/>
        <v>1.4999999999999999E-2</v>
      </c>
      <c r="BJ108" s="48">
        <f t="shared" si="164"/>
        <v>33.177081907680027</v>
      </c>
      <c r="BK108" s="48">
        <f t="shared" si="165"/>
        <v>13451.415519407677</v>
      </c>
      <c r="BL108" s="24"/>
      <c r="BM108" s="56">
        <f t="shared" si="190"/>
        <v>100</v>
      </c>
      <c r="BN108" s="48">
        <f t="shared" si="191"/>
        <v>10000</v>
      </c>
      <c r="BO108" s="48">
        <f t="shared" si="185"/>
        <v>10000</v>
      </c>
      <c r="BP108" s="48">
        <f t="shared" si="186"/>
        <v>14883.251424683931</v>
      </c>
      <c r="BQ108" s="59">
        <f t="shared" si="166"/>
        <v>6.5000000000000002E-2</v>
      </c>
      <c r="BR108" s="48">
        <f t="shared" si="167"/>
        <v>15366.957095986158</v>
      </c>
      <c r="BS108" s="48" t="str">
        <f t="shared" si="168"/>
        <v>nie</v>
      </c>
      <c r="BT108" s="48">
        <f t="shared" si="169"/>
        <v>200</v>
      </c>
      <c r="BU108" s="48">
        <f t="shared" si="170"/>
        <v>14185.235247748788</v>
      </c>
      <c r="BV108" s="48">
        <f t="shared" si="171"/>
        <v>0</v>
      </c>
      <c r="BW108" s="59">
        <f t="shared" si="172"/>
        <v>1.4999999999999999E-2</v>
      </c>
      <c r="BX108" s="48">
        <f t="shared" si="173"/>
        <v>0</v>
      </c>
      <c r="BY108" s="48">
        <f t="shared" si="174"/>
        <v>14185.235247748788</v>
      </c>
    </row>
    <row r="109" spans="1:77" s="25" customFormat="1" ht="14">
      <c r="A109" s="24"/>
      <c r="B109" s="172"/>
      <c r="C109" s="66">
        <f t="shared" si="200"/>
        <v>75</v>
      </c>
      <c r="D109" s="48">
        <f t="shared" si="201"/>
        <v>12224.576978185638</v>
      </c>
      <c r="E109" s="48">
        <f t="shared" si="202"/>
        <v>12927.259353204452</v>
      </c>
      <c r="F109" s="48">
        <f t="shared" si="203"/>
        <v>13032.677263068586</v>
      </c>
      <c r="G109" s="49">
        <f t="shared" si="204"/>
        <v>13241.600423353415</v>
      </c>
      <c r="H109" s="49">
        <f t="shared" si="205"/>
        <v>10788.53693521529</v>
      </c>
      <c r="I109" s="48">
        <f t="shared" si="206"/>
        <v>13568.468361328129</v>
      </c>
      <c r="J109" s="24"/>
      <c r="K109" s="84"/>
      <c r="L109" s="64">
        <f t="shared" si="207"/>
        <v>75</v>
      </c>
      <c r="M109" s="51">
        <f t="shared" si="194"/>
        <v>0.22245769781856373</v>
      </c>
      <c r="N109" s="51">
        <f t="shared" si="195"/>
        <v>0.29272593532044522</v>
      </c>
      <c r="O109" s="51">
        <f t="shared" si="196"/>
        <v>0.30326772630685861</v>
      </c>
      <c r="P109" s="51">
        <f t="shared" si="197"/>
        <v>0.32416004233534146</v>
      </c>
      <c r="Q109" s="51">
        <f t="shared" si="198"/>
        <v>7.8853693521528934E-2</v>
      </c>
      <c r="R109" s="51">
        <f t="shared" si="199"/>
        <v>0.35684683613281276</v>
      </c>
      <c r="S109" s="24"/>
      <c r="T109" s="45">
        <f t="shared" si="175"/>
        <v>91</v>
      </c>
      <c r="U109" s="59">
        <f t="shared" si="193"/>
        <v>0.05</v>
      </c>
      <c r="V109" s="48">
        <f t="shared" si="138"/>
        <v>14481.408516503911</v>
      </c>
      <c r="W109" s="56">
        <f t="shared" si="176"/>
        <v>104</v>
      </c>
      <c r="X109" s="48">
        <f t="shared" si="177"/>
        <v>10389.6</v>
      </c>
      <c r="Y109" s="48">
        <f t="shared" si="187"/>
        <v>10400</v>
      </c>
      <c r="Z109" s="48">
        <f t="shared" si="178"/>
        <v>10400</v>
      </c>
      <c r="AA109" s="59">
        <f t="shared" si="139"/>
        <v>5.7500000000000002E-2</v>
      </c>
      <c r="AB109" s="48">
        <f t="shared" si="140"/>
        <v>10748.833333333332</v>
      </c>
      <c r="AC109" s="48" t="str">
        <f t="shared" si="141"/>
        <v>nie</v>
      </c>
      <c r="AD109" s="48">
        <f t="shared" si="142"/>
        <v>72.8</v>
      </c>
      <c r="AE109" s="48">
        <f t="shared" si="143"/>
        <v>10623.587</v>
      </c>
      <c r="AF109" s="48">
        <f t="shared" si="144"/>
        <v>0</v>
      </c>
      <c r="AG109" s="59">
        <f t="shared" si="145"/>
        <v>1.4999999999999999E-2</v>
      </c>
      <c r="AH109" s="48">
        <f t="shared" si="146"/>
        <v>2279.0429987865205</v>
      </c>
      <c r="AI109" s="48">
        <f t="shared" si="147"/>
        <v>12902.62999878652</v>
      </c>
      <c r="AJ109" s="24"/>
      <c r="AK109" s="56">
        <f t="shared" si="179"/>
        <v>100</v>
      </c>
      <c r="AL109" s="48">
        <f t="shared" si="180"/>
        <v>10000</v>
      </c>
      <c r="AM109" s="48">
        <f t="shared" si="181"/>
        <v>10000</v>
      </c>
      <c r="AN109" s="48">
        <f t="shared" si="182"/>
        <v>14426.339371643522</v>
      </c>
      <c r="AO109" s="59">
        <f t="shared" si="148"/>
        <v>6.0000000000000005E-2</v>
      </c>
      <c r="AP109" s="48">
        <f t="shared" si="149"/>
        <v>14931.261249651045</v>
      </c>
      <c r="AQ109" s="48" t="str">
        <f t="shared" si="150"/>
        <v>nie</v>
      </c>
      <c r="AR109" s="48">
        <f t="shared" si="151"/>
        <v>200</v>
      </c>
      <c r="AS109" s="48">
        <f t="shared" si="152"/>
        <v>13832.321612217345</v>
      </c>
      <c r="AT109" s="48">
        <f t="shared" si="153"/>
        <v>0</v>
      </c>
      <c r="AU109" s="59">
        <f t="shared" si="154"/>
        <v>1.4999999999999999E-2</v>
      </c>
      <c r="AV109" s="48">
        <f t="shared" si="155"/>
        <v>0</v>
      </c>
      <c r="AW109" s="48">
        <f t="shared" si="156"/>
        <v>13832.321612217345</v>
      </c>
      <c r="AY109" s="56">
        <f t="shared" si="188"/>
        <v>130</v>
      </c>
      <c r="AZ109" s="48">
        <f t="shared" si="189"/>
        <v>13000</v>
      </c>
      <c r="BA109" s="48">
        <f t="shared" si="183"/>
        <v>13000</v>
      </c>
      <c r="BB109" s="48">
        <f t="shared" si="184"/>
        <v>13194.999999999998</v>
      </c>
      <c r="BC109" s="59">
        <f t="shared" si="157"/>
        <v>6.25E-2</v>
      </c>
      <c r="BD109" s="48">
        <f t="shared" si="158"/>
        <v>13676.06770833333</v>
      </c>
      <c r="BE109" s="48" t="str">
        <f t="shared" si="159"/>
        <v>nie</v>
      </c>
      <c r="BF109" s="48">
        <f t="shared" si="160"/>
        <v>91</v>
      </c>
      <c r="BG109" s="48">
        <f t="shared" si="192"/>
        <v>13473.904843749997</v>
      </c>
      <c r="BH109" s="48">
        <f t="shared" si="162"/>
        <v>0</v>
      </c>
      <c r="BI109" s="59">
        <f t="shared" si="163"/>
        <v>1.4999999999999999E-2</v>
      </c>
      <c r="BJ109" s="48">
        <f t="shared" si="164"/>
        <v>33.210673703111553</v>
      </c>
      <c r="BK109" s="48">
        <f t="shared" si="165"/>
        <v>13507.115517453109</v>
      </c>
      <c r="BL109" s="24"/>
      <c r="BM109" s="56">
        <f t="shared" si="190"/>
        <v>100</v>
      </c>
      <c r="BN109" s="48">
        <f t="shared" si="191"/>
        <v>10000</v>
      </c>
      <c r="BO109" s="48">
        <f t="shared" si="185"/>
        <v>10000</v>
      </c>
      <c r="BP109" s="48">
        <f t="shared" si="186"/>
        <v>14883.251424683931</v>
      </c>
      <c r="BQ109" s="59">
        <f t="shared" si="166"/>
        <v>6.5000000000000002E-2</v>
      </c>
      <c r="BR109" s="48">
        <f t="shared" si="167"/>
        <v>15447.574707869862</v>
      </c>
      <c r="BS109" s="48" t="str">
        <f t="shared" si="168"/>
        <v>nie</v>
      </c>
      <c r="BT109" s="48">
        <f t="shared" si="169"/>
        <v>200</v>
      </c>
      <c r="BU109" s="48">
        <f t="shared" si="170"/>
        <v>14250.535513374589</v>
      </c>
      <c r="BV109" s="48">
        <f t="shared" si="171"/>
        <v>0</v>
      </c>
      <c r="BW109" s="59">
        <f t="shared" si="172"/>
        <v>1.4999999999999999E-2</v>
      </c>
      <c r="BX109" s="48">
        <f t="shared" si="173"/>
        <v>0</v>
      </c>
      <c r="BY109" s="48">
        <f t="shared" si="174"/>
        <v>14250.535513374589</v>
      </c>
    </row>
    <row r="110" spans="1:77" s="25" customFormat="1" ht="14">
      <c r="A110" s="24"/>
      <c r="B110" s="172"/>
      <c r="C110" s="66">
        <f t="shared" si="200"/>
        <v>76</v>
      </c>
      <c r="D110" s="48">
        <f t="shared" si="201"/>
        <v>12266.726458788553</v>
      </c>
      <c r="E110" s="48">
        <f t="shared" si="202"/>
        <v>12982.378857407431</v>
      </c>
      <c r="F110" s="48">
        <f t="shared" si="203"/>
        <v>13032.710348797444</v>
      </c>
      <c r="G110" s="49">
        <f t="shared" si="204"/>
        <v>13302.915226757923</v>
      </c>
      <c r="H110" s="49">
        <f t="shared" si="205"/>
        <v>10799.460328862197</v>
      </c>
      <c r="I110" s="48">
        <f t="shared" si="206"/>
        <v>13624.305679687504</v>
      </c>
      <c r="J110" s="24"/>
      <c r="K110" s="84"/>
      <c r="L110" s="64">
        <f t="shared" si="207"/>
        <v>76</v>
      </c>
      <c r="M110" s="51">
        <f t="shared" si="194"/>
        <v>0.22667264587885527</v>
      </c>
      <c r="N110" s="51">
        <f t="shared" si="195"/>
        <v>0.29823788574074306</v>
      </c>
      <c r="O110" s="51">
        <f t="shared" si="196"/>
        <v>0.30327103487974427</v>
      </c>
      <c r="P110" s="51">
        <f t="shared" si="197"/>
        <v>0.33029152267579232</v>
      </c>
      <c r="Q110" s="51">
        <f t="shared" si="198"/>
        <v>7.9946032886219598E-2</v>
      </c>
      <c r="R110" s="51">
        <f t="shared" si="199"/>
        <v>0.36243056796875051</v>
      </c>
      <c r="S110" s="24"/>
      <c r="T110" s="45">
        <f t="shared" si="175"/>
        <v>92</v>
      </c>
      <c r="U110" s="59">
        <f t="shared" si="193"/>
        <v>0.05</v>
      </c>
      <c r="V110" s="48">
        <f t="shared" si="138"/>
        <v>14540.037700781257</v>
      </c>
      <c r="W110" s="56">
        <f t="shared" si="176"/>
        <v>104</v>
      </c>
      <c r="X110" s="48">
        <f t="shared" si="177"/>
        <v>10389.6</v>
      </c>
      <c r="Y110" s="48">
        <f t="shared" si="187"/>
        <v>10400</v>
      </c>
      <c r="Z110" s="48">
        <f t="shared" si="178"/>
        <v>10400</v>
      </c>
      <c r="AA110" s="59">
        <f t="shared" si="139"/>
        <v>5.7500000000000002E-2</v>
      </c>
      <c r="AB110" s="48">
        <f t="shared" si="140"/>
        <v>10798.666666666666</v>
      </c>
      <c r="AC110" s="48" t="str">
        <f t="shared" si="141"/>
        <v>nie</v>
      </c>
      <c r="AD110" s="48">
        <f t="shared" si="142"/>
        <v>72.8</v>
      </c>
      <c r="AE110" s="48">
        <f t="shared" si="143"/>
        <v>10663.952000000001</v>
      </c>
      <c r="AF110" s="48">
        <f t="shared" si="144"/>
        <v>0</v>
      </c>
      <c r="AG110" s="59">
        <f t="shared" si="145"/>
        <v>1.4999999999999999E-2</v>
      </c>
      <c r="AH110" s="48">
        <f t="shared" si="146"/>
        <v>2281.3505298227919</v>
      </c>
      <c r="AI110" s="48">
        <f t="shared" si="147"/>
        <v>12945.302529822793</v>
      </c>
      <c r="AJ110" s="24"/>
      <c r="AK110" s="56">
        <f t="shared" si="179"/>
        <v>100</v>
      </c>
      <c r="AL110" s="48">
        <f t="shared" si="180"/>
        <v>10000</v>
      </c>
      <c r="AM110" s="48">
        <f t="shared" si="181"/>
        <v>10000</v>
      </c>
      <c r="AN110" s="48">
        <f t="shared" si="182"/>
        <v>14426.339371643522</v>
      </c>
      <c r="AO110" s="59">
        <f t="shared" si="148"/>
        <v>6.0000000000000005E-2</v>
      </c>
      <c r="AP110" s="48">
        <f t="shared" si="149"/>
        <v>15003.392946509264</v>
      </c>
      <c r="AQ110" s="48" t="str">
        <f t="shared" si="150"/>
        <v>nie</v>
      </c>
      <c r="AR110" s="48">
        <f t="shared" si="151"/>
        <v>200</v>
      </c>
      <c r="AS110" s="48">
        <f t="shared" si="152"/>
        <v>13890.748286672504</v>
      </c>
      <c r="AT110" s="48">
        <f t="shared" si="153"/>
        <v>0</v>
      </c>
      <c r="AU110" s="59">
        <f t="shared" si="154"/>
        <v>1.4999999999999999E-2</v>
      </c>
      <c r="AV110" s="48">
        <f t="shared" si="155"/>
        <v>0</v>
      </c>
      <c r="AW110" s="48">
        <f t="shared" si="156"/>
        <v>13890.748286672504</v>
      </c>
      <c r="AY110" s="56">
        <f t="shared" si="188"/>
        <v>130</v>
      </c>
      <c r="AZ110" s="48">
        <f t="shared" si="189"/>
        <v>13000</v>
      </c>
      <c r="BA110" s="48">
        <f t="shared" si="183"/>
        <v>13000</v>
      </c>
      <c r="BB110" s="48">
        <f t="shared" si="184"/>
        <v>13194.999999999998</v>
      </c>
      <c r="BC110" s="59">
        <f t="shared" si="157"/>
        <v>6.25E-2</v>
      </c>
      <c r="BD110" s="48">
        <f t="shared" si="158"/>
        <v>13744.791666666666</v>
      </c>
      <c r="BE110" s="48" t="str">
        <f t="shared" si="159"/>
        <v>nie</v>
      </c>
      <c r="BF110" s="48">
        <f t="shared" si="160"/>
        <v>91</v>
      </c>
      <c r="BG110" s="48">
        <f t="shared" si="192"/>
        <v>13529.571249999999</v>
      </c>
      <c r="BH110" s="48">
        <f t="shared" si="162"/>
        <v>0</v>
      </c>
      <c r="BI110" s="59">
        <f t="shared" si="163"/>
        <v>1.4999999999999999E-2</v>
      </c>
      <c r="BJ110" s="48">
        <f t="shared" si="164"/>
        <v>33.244299510235955</v>
      </c>
      <c r="BK110" s="48">
        <f t="shared" si="165"/>
        <v>13562.815549510235</v>
      </c>
      <c r="BL110" s="24"/>
      <c r="BM110" s="56">
        <f t="shared" si="190"/>
        <v>100</v>
      </c>
      <c r="BN110" s="48">
        <f t="shared" si="191"/>
        <v>10000</v>
      </c>
      <c r="BO110" s="48">
        <f t="shared" si="185"/>
        <v>10000</v>
      </c>
      <c r="BP110" s="48">
        <f t="shared" si="186"/>
        <v>14883.251424683931</v>
      </c>
      <c r="BQ110" s="59">
        <f t="shared" si="166"/>
        <v>6.5000000000000002E-2</v>
      </c>
      <c r="BR110" s="48">
        <f t="shared" si="167"/>
        <v>15528.192319753569</v>
      </c>
      <c r="BS110" s="48" t="str">
        <f t="shared" si="168"/>
        <v>nie</v>
      </c>
      <c r="BT110" s="48">
        <f t="shared" si="169"/>
        <v>200</v>
      </c>
      <c r="BU110" s="48">
        <f t="shared" si="170"/>
        <v>14315.83577900039</v>
      </c>
      <c r="BV110" s="48">
        <f t="shared" si="171"/>
        <v>0</v>
      </c>
      <c r="BW110" s="59">
        <f t="shared" si="172"/>
        <v>1.4999999999999999E-2</v>
      </c>
      <c r="BX110" s="48">
        <f t="shared" si="173"/>
        <v>0</v>
      </c>
      <c r="BY110" s="48">
        <f t="shared" si="174"/>
        <v>14315.83577900039</v>
      </c>
    </row>
    <row r="111" spans="1:77" s="25" customFormat="1" ht="14">
      <c r="A111" s="24"/>
      <c r="B111" s="172"/>
      <c r="C111" s="66">
        <f t="shared" si="200"/>
        <v>77</v>
      </c>
      <c r="D111" s="48">
        <f t="shared" si="201"/>
        <v>12308.877746178074</v>
      </c>
      <c r="E111" s="48">
        <f t="shared" si="202"/>
        <v>13037.498361610407</v>
      </c>
      <c r="F111" s="48">
        <f t="shared" si="203"/>
        <v>13032.743468025601</v>
      </c>
      <c r="G111" s="49">
        <f t="shared" si="204"/>
        <v>13364.230030162431</v>
      </c>
      <c r="H111" s="49">
        <f t="shared" si="205"/>
        <v>10810.39478244517</v>
      </c>
      <c r="I111" s="48">
        <f t="shared" si="206"/>
        <v>13680.142998046878</v>
      </c>
      <c r="J111" s="24"/>
      <c r="K111" s="84"/>
      <c r="L111" s="64">
        <f t="shared" si="207"/>
        <v>77</v>
      </c>
      <c r="M111" s="51">
        <f t="shared" si="194"/>
        <v>0.2308877746178073</v>
      </c>
      <c r="N111" s="51">
        <f t="shared" si="195"/>
        <v>0.30374983616104068</v>
      </c>
      <c r="O111" s="51">
        <f t="shared" si="196"/>
        <v>0.30327434680256005</v>
      </c>
      <c r="P111" s="51">
        <f t="shared" si="197"/>
        <v>0.33642300301624317</v>
      </c>
      <c r="Q111" s="51">
        <f t="shared" si="198"/>
        <v>8.103947824451696E-2</v>
      </c>
      <c r="R111" s="51">
        <f t="shared" si="199"/>
        <v>0.36801429980468781</v>
      </c>
      <c r="S111" s="24"/>
      <c r="T111" s="45">
        <f t="shared" si="175"/>
        <v>93</v>
      </c>
      <c r="U111" s="59">
        <f t="shared" si="193"/>
        <v>0.05</v>
      </c>
      <c r="V111" s="48">
        <f t="shared" si="138"/>
        <v>14598.666885058601</v>
      </c>
      <c r="W111" s="56">
        <f t="shared" si="176"/>
        <v>104</v>
      </c>
      <c r="X111" s="48">
        <f t="shared" si="177"/>
        <v>10389.6</v>
      </c>
      <c r="Y111" s="48">
        <f t="shared" si="187"/>
        <v>10400</v>
      </c>
      <c r="Z111" s="48">
        <f t="shared" si="178"/>
        <v>10400</v>
      </c>
      <c r="AA111" s="59">
        <f t="shared" si="139"/>
        <v>5.7500000000000002E-2</v>
      </c>
      <c r="AB111" s="48">
        <f t="shared" si="140"/>
        <v>10848.5</v>
      </c>
      <c r="AC111" s="48" t="str">
        <f t="shared" si="141"/>
        <v>nie</v>
      </c>
      <c r="AD111" s="48">
        <f t="shared" si="142"/>
        <v>72.8</v>
      </c>
      <c r="AE111" s="48">
        <f t="shared" si="143"/>
        <v>10704.317000000001</v>
      </c>
      <c r="AF111" s="48">
        <f t="shared" si="144"/>
        <v>0</v>
      </c>
      <c r="AG111" s="59">
        <f t="shared" si="145"/>
        <v>1.4999999999999999E-2</v>
      </c>
      <c r="AH111" s="48">
        <f t="shared" si="146"/>
        <v>2283.6603972342377</v>
      </c>
      <c r="AI111" s="48">
        <f t="shared" si="147"/>
        <v>12987.977397234239</v>
      </c>
      <c r="AJ111" s="24"/>
      <c r="AK111" s="56">
        <f t="shared" si="179"/>
        <v>100</v>
      </c>
      <c r="AL111" s="48">
        <f t="shared" si="180"/>
        <v>10000</v>
      </c>
      <c r="AM111" s="48">
        <f t="shared" si="181"/>
        <v>10000</v>
      </c>
      <c r="AN111" s="48">
        <f t="shared" si="182"/>
        <v>14426.339371643522</v>
      </c>
      <c r="AO111" s="59">
        <f t="shared" si="148"/>
        <v>6.0000000000000005E-2</v>
      </c>
      <c r="AP111" s="48">
        <f t="shared" si="149"/>
        <v>15075.52464336748</v>
      </c>
      <c r="AQ111" s="48" t="str">
        <f t="shared" si="150"/>
        <v>nie</v>
      </c>
      <c r="AR111" s="48">
        <f t="shared" si="151"/>
        <v>200</v>
      </c>
      <c r="AS111" s="48">
        <f t="shared" si="152"/>
        <v>13949.174961127659</v>
      </c>
      <c r="AT111" s="48">
        <f t="shared" si="153"/>
        <v>0</v>
      </c>
      <c r="AU111" s="59">
        <f t="shared" si="154"/>
        <v>1.4999999999999999E-2</v>
      </c>
      <c r="AV111" s="48">
        <f t="shared" si="155"/>
        <v>0</v>
      </c>
      <c r="AW111" s="48">
        <f t="shared" si="156"/>
        <v>13949.174961127659</v>
      </c>
      <c r="AY111" s="56">
        <f t="shared" si="188"/>
        <v>130</v>
      </c>
      <c r="AZ111" s="48">
        <f t="shared" si="189"/>
        <v>13000</v>
      </c>
      <c r="BA111" s="48">
        <f t="shared" si="183"/>
        <v>13000</v>
      </c>
      <c r="BB111" s="48">
        <f t="shared" si="184"/>
        <v>13194.999999999998</v>
      </c>
      <c r="BC111" s="59">
        <f t="shared" si="157"/>
        <v>6.25E-2</v>
      </c>
      <c r="BD111" s="48">
        <f t="shared" si="158"/>
        <v>13813.515624999998</v>
      </c>
      <c r="BE111" s="48" t="str">
        <f t="shared" si="159"/>
        <v>nie</v>
      </c>
      <c r="BF111" s="48">
        <f t="shared" si="160"/>
        <v>91</v>
      </c>
      <c r="BG111" s="48">
        <f t="shared" si="192"/>
        <v>13585.237656249999</v>
      </c>
      <c r="BH111" s="48">
        <f t="shared" si="162"/>
        <v>0</v>
      </c>
      <c r="BI111" s="59">
        <f t="shared" si="163"/>
        <v>1.4999999999999999E-2</v>
      </c>
      <c r="BJ111" s="48">
        <f t="shared" si="164"/>
        <v>33.277959363490069</v>
      </c>
      <c r="BK111" s="48">
        <f t="shared" si="165"/>
        <v>13618.515615613489</v>
      </c>
      <c r="BL111" s="24"/>
      <c r="BM111" s="56">
        <f t="shared" si="190"/>
        <v>100</v>
      </c>
      <c r="BN111" s="48">
        <f t="shared" si="191"/>
        <v>10000</v>
      </c>
      <c r="BO111" s="48">
        <f t="shared" si="185"/>
        <v>10000</v>
      </c>
      <c r="BP111" s="48">
        <f t="shared" si="186"/>
        <v>14883.251424683931</v>
      </c>
      <c r="BQ111" s="59">
        <f t="shared" si="166"/>
        <v>6.5000000000000002E-2</v>
      </c>
      <c r="BR111" s="48">
        <f t="shared" si="167"/>
        <v>15608.809931637274</v>
      </c>
      <c r="BS111" s="48" t="str">
        <f t="shared" si="168"/>
        <v>nie</v>
      </c>
      <c r="BT111" s="48">
        <f t="shared" si="169"/>
        <v>200</v>
      </c>
      <c r="BU111" s="48">
        <f t="shared" si="170"/>
        <v>14381.136044626192</v>
      </c>
      <c r="BV111" s="48">
        <f t="shared" si="171"/>
        <v>0</v>
      </c>
      <c r="BW111" s="59">
        <f t="shared" si="172"/>
        <v>1.4999999999999999E-2</v>
      </c>
      <c r="BX111" s="48">
        <f t="shared" si="173"/>
        <v>0</v>
      </c>
      <c r="BY111" s="48">
        <f t="shared" si="174"/>
        <v>14381.136044626192</v>
      </c>
    </row>
    <row r="112" spans="1:77" s="25" customFormat="1" ht="14">
      <c r="A112" s="24"/>
      <c r="B112" s="172"/>
      <c r="C112" s="66">
        <f t="shared" si="200"/>
        <v>78</v>
      </c>
      <c r="D112" s="48">
        <f t="shared" si="201"/>
        <v>12351.030842183582</v>
      </c>
      <c r="E112" s="48">
        <f t="shared" si="202"/>
        <v>13092.617865813387</v>
      </c>
      <c r="F112" s="48">
        <f t="shared" si="203"/>
        <v>13038.041620786977</v>
      </c>
      <c r="G112" s="49">
        <f t="shared" si="204"/>
        <v>13425.544833566937</v>
      </c>
      <c r="H112" s="49">
        <f t="shared" si="205"/>
        <v>10821.340307162396</v>
      </c>
      <c r="I112" s="48">
        <f t="shared" si="206"/>
        <v>13735.980316406254</v>
      </c>
      <c r="J112" s="24"/>
      <c r="K112" s="84"/>
      <c r="L112" s="64">
        <f t="shared" si="207"/>
        <v>78</v>
      </c>
      <c r="M112" s="51">
        <f t="shared" si="194"/>
        <v>0.23510308421835813</v>
      </c>
      <c r="N112" s="51">
        <f t="shared" si="195"/>
        <v>0.30926178658133874</v>
      </c>
      <c r="O112" s="51">
        <f t="shared" si="196"/>
        <v>0.30380416207869776</v>
      </c>
      <c r="P112" s="51">
        <f t="shared" si="197"/>
        <v>0.34255448335669381</v>
      </c>
      <c r="Q112" s="51">
        <f t="shared" si="198"/>
        <v>8.2134030716239703E-2</v>
      </c>
      <c r="R112" s="51">
        <f t="shared" si="199"/>
        <v>0.37359803164062533</v>
      </c>
      <c r="S112" s="24"/>
      <c r="T112" s="45">
        <f t="shared" si="175"/>
        <v>94</v>
      </c>
      <c r="U112" s="59">
        <f t="shared" si="193"/>
        <v>0.05</v>
      </c>
      <c r="V112" s="48">
        <f t="shared" si="138"/>
        <v>14657.296069335944</v>
      </c>
      <c r="W112" s="56">
        <f t="shared" si="176"/>
        <v>104</v>
      </c>
      <c r="X112" s="48">
        <f t="shared" si="177"/>
        <v>10389.6</v>
      </c>
      <c r="Y112" s="48">
        <f t="shared" si="187"/>
        <v>10400</v>
      </c>
      <c r="Z112" s="48">
        <f t="shared" si="178"/>
        <v>10400</v>
      </c>
      <c r="AA112" s="59">
        <f t="shared" si="139"/>
        <v>5.7500000000000002E-2</v>
      </c>
      <c r="AB112" s="48">
        <f t="shared" si="140"/>
        <v>10898.333333333332</v>
      </c>
      <c r="AC112" s="48" t="str">
        <f t="shared" si="141"/>
        <v>nie</v>
      </c>
      <c r="AD112" s="48">
        <f t="shared" si="142"/>
        <v>72.8</v>
      </c>
      <c r="AE112" s="48">
        <f t="shared" si="143"/>
        <v>10744.681999999999</v>
      </c>
      <c r="AF112" s="48">
        <f t="shared" si="144"/>
        <v>0</v>
      </c>
      <c r="AG112" s="59">
        <f t="shared" si="145"/>
        <v>1.4999999999999999E-2</v>
      </c>
      <c r="AH112" s="48">
        <f t="shared" si="146"/>
        <v>2285.9726033864376</v>
      </c>
      <c r="AI112" s="48">
        <f t="shared" si="147"/>
        <v>13030.654603386436</v>
      </c>
      <c r="AJ112" s="24"/>
      <c r="AK112" s="56">
        <f t="shared" si="179"/>
        <v>100</v>
      </c>
      <c r="AL112" s="48">
        <f t="shared" si="180"/>
        <v>10000</v>
      </c>
      <c r="AM112" s="48">
        <f t="shared" si="181"/>
        <v>10000</v>
      </c>
      <c r="AN112" s="48">
        <f t="shared" si="182"/>
        <v>14426.339371643522</v>
      </c>
      <c r="AO112" s="59">
        <f t="shared" si="148"/>
        <v>6.0000000000000005E-2</v>
      </c>
      <c r="AP112" s="48">
        <f t="shared" si="149"/>
        <v>15147.6563402257</v>
      </c>
      <c r="AQ112" s="48" t="str">
        <f t="shared" si="150"/>
        <v>nie</v>
      </c>
      <c r="AR112" s="48">
        <f t="shared" si="151"/>
        <v>200</v>
      </c>
      <c r="AS112" s="48">
        <f t="shared" si="152"/>
        <v>14007.601635582816</v>
      </c>
      <c r="AT112" s="48">
        <f t="shared" si="153"/>
        <v>0</v>
      </c>
      <c r="AU112" s="59">
        <f t="shared" si="154"/>
        <v>1.4999999999999999E-2</v>
      </c>
      <c r="AV112" s="48">
        <f t="shared" si="155"/>
        <v>0</v>
      </c>
      <c r="AW112" s="48">
        <f t="shared" si="156"/>
        <v>14007.601635582816</v>
      </c>
      <c r="AY112" s="56">
        <f t="shared" si="188"/>
        <v>130</v>
      </c>
      <c r="AZ112" s="48">
        <f t="shared" si="189"/>
        <v>13000</v>
      </c>
      <c r="BA112" s="48">
        <f t="shared" si="183"/>
        <v>13000</v>
      </c>
      <c r="BB112" s="48">
        <f t="shared" si="184"/>
        <v>13194.999999999998</v>
      </c>
      <c r="BC112" s="59">
        <f t="shared" si="157"/>
        <v>6.25E-2</v>
      </c>
      <c r="BD112" s="48">
        <f t="shared" si="158"/>
        <v>13882.23958333333</v>
      </c>
      <c r="BE112" s="48" t="str">
        <f t="shared" si="159"/>
        <v>nie</v>
      </c>
      <c r="BF112" s="48">
        <f t="shared" si="160"/>
        <v>91</v>
      </c>
      <c r="BG112" s="48">
        <f t="shared" si="192"/>
        <v>13640.904062499998</v>
      </c>
      <c r="BH112" s="48">
        <f t="shared" si="162"/>
        <v>0</v>
      </c>
      <c r="BI112" s="59">
        <f t="shared" si="163"/>
        <v>1.4999999999999999E-2</v>
      </c>
      <c r="BJ112" s="48">
        <f t="shared" si="164"/>
        <v>33.311653297345607</v>
      </c>
      <c r="BK112" s="48">
        <f t="shared" si="165"/>
        <v>13674.215715797343</v>
      </c>
      <c r="BL112" s="24"/>
      <c r="BM112" s="56">
        <f t="shared" si="190"/>
        <v>100</v>
      </c>
      <c r="BN112" s="48">
        <f t="shared" si="191"/>
        <v>10000</v>
      </c>
      <c r="BO112" s="48">
        <f t="shared" si="185"/>
        <v>10000</v>
      </c>
      <c r="BP112" s="48">
        <f t="shared" si="186"/>
        <v>14883.251424683931</v>
      </c>
      <c r="BQ112" s="59">
        <f t="shared" si="166"/>
        <v>6.5000000000000002E-2</v>
      </c>
      <c r="BR112" s="48">
        <f t="shared" si="167"/>
        <v>15689.427543520978</v>
      </c>
      <c r="BS112" s="48" t="str">
        <f t="shared" si="168"/>
        <v>nie</v>
      </c>
      <c r="BT112" s="48">
        <f t="shared" si="169"/>
        <v>200</v>
      </c>
      <c r="BU112" s="48">
        <f t="shared" si="170"/>
        <v>14446.436310251993</v>
      </c>
      <c r="BV112" s="48">
        <f t="shared" si="171"/>
        <v>0</v>
      </c>
      <c r="BW112" s="59">
        <f t="shared" si="172"/>
        <v>1.4999999999999999E-2</v>
      </c>
      <c r="BX112" s="48">
        <f t="shared" si="173"/>
        <v>0</v>
      </c>
      <c r="BY112" s="48">
        <f t="shared" si="174"/>
        <v>14446.436310251993</v>
      </c>
    </row>
    <row r="113" spans="1:77" s="25" customFormat="1" ht="14">
      <c r="A113" s="24"/>
      <c r="B113" s="172"/>
      <c r="C113" s="66">
        <f t="shared" si="200"/>
        <v>79</v>
      </c>
      <c r="D113" s="48">
        <f t="shared" si="201"/>
        <v>12393.18574863629</v>
      </c>
      <c r="E113" s="48">
        <f t="shared" si="202"/>
        <v>13147.737370016363</v>
      </c>
      <c r="F113" s="48">
        <f t="shared" si="203"/>
        <v>13051.237307115523</v>
      </c>
      <c r="G113" s="49">
        <f t="shared" si="204"/>
        <v>13486.859636971445</v>
      </c>
      <c r="H113" s="49">
        <f t="shared" si="205"/>
        <v>10832.2969142234</v>
      </c>
      <c r="I113" s="48">
        <f t="shared" si="206"/>
        <v>13791.817634765628</v>
      </c>
      <c r="J113" s="24"/>
      <c r="K113" s="84"/>
      <c r="L113" s="64">
        <f t="shared" si="207"/>
        <v>79</v>
      </c>
      <c r="M113" s="51">
        <f t="shared" si="194"/>
        <v>0.23931857486362906</v>
      </c>
      <c r="N113" s="51">
        <f t="shared" si="195"/>
        <v>0.31477373700163636</v>
      </c>
      <c r="O113" s="51">
        <f t="shared" si="196"/>
        <v>0.30512373071155241</v>
      </c>
      <c r="P113" s="51">
        <f t="shared" si="197"/>
        <v>0.34868596369714444</v>
      </c>
      <c r="Q113" s="51">
        <f t="shared" si="198"/>
        <v>8.3229691422340046E-2</v>
      </c>
      <c r="R113" s="51">
        <f t="shared" si="199"/>
        <v>0.37918176347656285</v>
      </c>
      <c r="S113" s="24"/>
      <c r="T113" s="45">
        <f t="shared" si="175"/>
        <v>95</v>
      </c>
      <c r="U113" s="59">
        <f t="shared" si="193"/>
        <v>0.05</v>
      </c>
      <c r="V113" s="48">
        <f t="shared" si="138"/>
        <v>14715.925253613288</v>
      </c>
      <c r="W113" s="56">
        <f t="shared" si="176"/>
        <v>104</v>
      </c>
      <c r="X113" s="48">
        <f t="shared" si="177"/>
        <v>10389.6</v>
      </c>
      <c r="Y113" s="48">
        <f t="shared" si="187"/>
        <v>10400</v>
      </c>
      <c r="Z113" s="48">
        <f t="shared" si="178"/>
        <v>10400</v>
      </c>
      <c r="AA113" s="59">
        <f t="shared" si="139"/>
        <v>5.7500000000000002E-2</v>
      </c>
      <c r="AB113" s="48">
        <f t="shared" si="140"/>
        <v>10948.166666666666</v>
      </c>
      <c r="AC113" s="48" t="str">
        <f t="shared" si="141"/>
        <v>nie</v>
      </c>
      <c r="AD113" s="48">
        <f t="shared" si="142"/>
        <v>72.8</v>
      </c>
      <c r="AE113" s="48">
        <f t="shared" si="143"/>
        <v>10785.047</v>
      </c>
      <c r="AF113" s="48">
        <f t="shared" si="144"/>
        <v>0</v>
      </c>
      <c r="AG113" s="59">
        <f t="shared" si="145"/>
        <v>1.4999999999999999E-2</v>
      </c>
      <c r="AH113" s="48">
        <f t="shared" si="146"/>
        <v>2288.2871506473666</v>
      </c>
      <c r="AI113" s="48">
        <f t="shared" si="147"/>
        <v>13073.334150647366</v>
      </c>
      <c r="AJ113" s="24"/>
      <c r="AK113" s="56">
        <f t="shared" si="179"/>
        <v>100</v>
      </c>
      <c r="AL113" s="48">
        <f t="shared" si="180"/>
        <v>10000</v>
      </c>
      <c r="AM113" s="48">
        <f t="shared" si="181"/>
        <v>10000</v>
      </c>
      <c r="AN113" s="48">
        <f t="shared" si="182"/>
        <v>14426.339371643522</v>
      </c>
      <c r="AO113" s="59">
        <f t="shared" si="148"/>
        <v>6.0000000000000005E-2</v>
      </c>
      <c r="AP113" s="48">
        <f t="shared" si="149"/>
        <v>15219.788037083916</v>
      </c>
      <c r="AQ113" s="48" t="str">
        <f t="shared" si="150"/>
        <v>nie</v>
      </c>
      <c r="AR113" s="48">
        <f t="shared" si="151"/>
        <v>200</v>
      </c>
      <c r="AS113" s="48">
        <f t="shared" si="152"/>
        <v>14066.028310037971</v>
      </c>
      <c r="AT113" s="48">
        <f t="shared" si="153"/>
        <v>0</v>
      </c>
      <c r="AU113" s="59">
        <f t="shared" si="154"/>
        <v>1.4999999999999999E-2</v>
      </c>
      <c r="AV113" s="48">
        <f t="shared" si="155"/>
        <v>0</v>
      </c>
      <c r="AW113" s="48">
        <f t="shared" si="156"/>
        <v>14066.028310037971</v>
      </c>
      <c r="AY113" s="56">
        <f t="shared" si="188"/>
        <v>130</v>
      </c>
      <c r="AZ113" s="48">
        <f t="shared" si="189"/>
        <v>13000</v>
      </c>
      <c r="BA113" s="48">
        <f t="shared" si="183"/>
        <v>13000</v>
      </c>
      <c r="BB113" s="48">
        <f t="shared" si="184"/>
        <v>13194.999999999998</v>
      </c>
      <c r="BC113" s="59">
        <f t="shared" si="157"/>
        <v>6.25E-2</v>
      </c>
      <c r="BD113" s="48">
        <f t="shared" si="158"/>
        <v>13950.963541666666</v>
      </c>
      <c r="BE113" s="48" t="str">
        <f t="shared" si="159"/>
        <v>nie</v>
      </c>
      <c r="BF113" s="48">
        <f t="shared" si="160"/>
        <v>91</v>
      </c>
      <c r="BG113" s="48">
        <f t="shared" si="192"/>
        <v>13696.57046875</v>
      </c>
      <c r="BH113" s="48">
        <f t="shared" si="162"/>
        <v>0</v>
      </c>
      <c r="BI113" s="59">
        <f t="shared" si="163"/>
        <v>1.4999999999999999E-2</v>
      </c>
      <c r="BJ113" s="48">
        <f t="shared" si="164"/>
        <v>33.345381346309175</v>
      </c>
      <c r="BK113" s="48">
        <f t="shared" si="165"/>
        <v>13729.915850096309</v>
      </c>
      <c r="BL113" s="24"/>
      <c r="BM113" s="56">
        <f t="shared" si="190"/>
        <v>100</v>
      </c>
      <c r="BN113" s="48">
        <f t="shared" si="191"/>
        <v>10000</v>
      </c>
      <c r="BO113" s="48">
        <f t="shared" si="185"/>
        <v>10000</v>
      </c>
      <c r="BP113" s="48">
        <f t="shared" si="186"/>
        <v>14883.251424683931</v>
      </c>
      <c r="BQ113" s="59">
        <f t="shared" si="166"/>
        <v>6.5000000000000002E-2</v>
      </c>
      <c r="BR113" s="48">
        <f t="shared" si="167"/>
        <v>15770.045155404681</v>
      </c>
      <c r="BS113" s="48" t="str">
        <f t="shared" si="168"/>
        <v>nie</v>
      </c>
      <c r="BT113" s="48">
        <f t="shared" si="169"/>
        <v>200</v>
      </c>
      <c r="BU113" s="48">
        <f t="shared" si="170"/>
        <v>14511.736575877792</v>
      </c>
      <c r="BV113" s="48">
        <f t="shared" si="171"/>
        <v>0</v>
      </c>
      <c r="BW113" s="59">
        <f t="shared" si="172"/>
        <v>1.4999999999999999E-2</v>
      </c>
      <c r="BX113" s="48">
        <f t="shared" si="173"/>
        <v>0</v>
      </c>
      <c r="BY113" s="48">
        <f t="shared" si="174"/>
        <v>14511.736575877792</v>
      </c>
    </row>
    <row r="114" spans="1:77" s="25" customFormat="1" ht="14">
      <c r="A114" s="24"/>
      <c r="B114" s="172"/>
      <c r="C114" s="66">
        <f t="shared" si="200"/>
        <v>80</v>
      </c>
      <c r="D114" s="48">
        <f t="shared" si="201"/>
        <v>12435.342467369286</v>
      </c>
      <c r="E114" s="48">
        <f t="shared" si="202"/>
        <v>13202.856874219342</v>
      </c>
      <c r="F114" s="48">
        <f t="shared" si="203"/>
        <v>13064.433027045228</v>
      </c>
      <c r="G114" s="49">
        <f t="shared" si="204"/>
        <v>13548.174440375955</v>
      </c>
      <c r="H114" s="49">
        <f t="shared" si="205"/>
        <v>10843.264614849051</v>
      </c>
      <c r="I114" s="48">
        <f t="shared" si="206"/>
        <v>13847.654953125006</v>
      </c>
      <c r="J114" s="24"/>
      <c r="K114" s="84"/>
      <c r="L114" s="64">
        <f t="shared" si="207"/>
        <v>80</v>
      </c>
      <c r="M114" s="51">
        <f t="shared" si="194"/>
        <v>0.24353424673692858</v>
      </c>
      <c r="N114" s="51">
        <f t="shared" si="195"/>
        <v>0.3202856874219342</v>
      </c>
      <c r="O114" s="51">
        <f t="shared" si="196"/>
        <v>0.3064433027045228</v>
      </c>
      <c r="P114" s="51">
        <f t="shared" si="197"/>
        <v>0.35481744403759552</v>
      </c>
      <c r="Q114" s="51">
        <f t="shared" si="198"/>
        <v>8.432646148490508E-2</v>
      </c>
      <c r="R114" s="51">
        <f t="shared" si="199"/>
        <v>0.38476549531250059</v>
      </c>
      <c r="S114" s="24"/>
      <c r="T114" s="45">
        <f t="shared" si="175"/>
        <v>96</v>
      </c>
      <c r="U114" s="59">
        <f t="shared" si="193"/>
        <v>0.05</v>
      </c>
      <c r="V114" s="48">
        <f t="shared" si="138"/>
        <v>14774.554437890631</v>
      </c>
      <c r="W114" s="56">
        <f t="shared" si="176"/>
        <v>104</v>
      </c>
      <c r="X114" s="48">
        <f t="shared" si="177"/>
        <v>10389.6</v>
      </c>
      <c r="Y114" s="48">
        <f t="shared" si="187"/>
        <v>10400</v>
      </c>
      <c r="Z114" s="48">
        <f t="shared" si="178"/>
        <v>10400</v>
      </c>
      <c r="AA114" s="59">
        <f t="shared" si="139"/>
        <v>5.7500000000000002E-2</v>
      </c>
      <c r="AB114" s="48">
        <f t="shared" si="140"/>
        <v>10998.000000000002</v>
      </c>
      <c r="AC114" s="48" t="str">
        <f t="shared" si="141"/>
        <v>tak</v>
      </c>
      <c r="AD114" s="48">
        <f t="shared" si="142"/>
        <v>0</v>
      </c>
      <c r="AE114" s="48">
        <f t="shared" si="143"/>
        <v>10884.380000000001</v>
      </c>
      <c r="AF114" s="48">
        <f t="shared" si="144"/>
        <v>95.180000000000803</v>
      </c>
      <c r="AG114" s="59">
        <f t="shared" si="145"/>
        <v>1.4999999999999999E-2</v>
      </c>
      <c r="AH114" s="48">
        <f t="shared" si="146"/>
        <v>2385.7840413873978</v>
      </c>
      <c r="AI114" s="48">
        <f t="shared" si="147"/>
        <v>13174.984041387397</v>
      </c>
      <c r="AJ114" s="24"/>
      <c r="AK114" s="56">
        <f t="shared" si="179"/>
        <v>100</v>
      </c>
      <c r="AL114" s="48">
        <f t="shared" si="180"/>
        <v>10000</v>
      </c>
      <c r="AM114" s="48">
        <f t="shared" si="181"/>
        <v>10000</v>
      </c>
      <c r="AN114" s="48">
        <f t="shared" si="182"/>
        <v>14426.339371643522</v>
      </c>
      <c r="AO114" s="59">
        <f t="shared" si="148"/>
        <v>6.0000000000000005E-2</v>
      </c>
      <c r="AP114" s="48">
        <f t="shared" si="149"/>
        <v>15291.919733942133</v>
      </c>
      <c r="AQ114" s="48" t="str">
        <f t="shared" si="150"/>
        <v>nie</v>
      </c>
      <c r="AR114" s="48">
        <f t="shared" si="151"/>
        <v>200</v>
      </c>
      <c r="AS114" s="48">
        <f t="shared" si="152"/>
        <v>14124.454984493128</v>
      </c>
      <c r="AT114" s="48">
        <f t="shared" si="153"/>
        <v>0</v>
      </c>
      <c r="AU114" s="59">
        <f t="shared" si="154"/>
        <v>1.4999999999999999E-2</v>
      </c>
      <c r="AV114" s="48">
        <f t="shared" si="155"/>
        <v>0</v>
      </c>
      <c r="AW114" s="48">
        <f t="shared" si="156"/>
        <v>14124.454984493128</v>
      </c>
      <c r="AY114" s="56">
        <f t="shared" si="188"/>
        <v>130</v>
      </c>
      <c r="AZ114" s="48">
        <f t="shared" si="189"/>
        <v>13000</v>
      </c>
      <c r="BA114" s="48">
        <f t="shared" si="183"/>
        <v>13000</v>
      </c>
      <c r="BB114" s="48">
        <f t="shared" si="184"/>
        <v>13194.999999999998</v>
      </c>
      <c r="BC114" s="59">
        <f t="shared" si="157"/>
        <v>6.25E-2</v>
      </c>
      <c r="BD114" s="48">
        <f t="shared" si="158"/>
        <v>14019.687499999998</v>
      </c>
      <c r="BE114" s="48" t="str">
        <f t="shared" si="159"/>
        <v>nie</v>
      </c>
      <c r="BF114" s="48">
        <f t="shared" si="160"/>
        <v>91</v>
      </c>
      <c r="BG114" s="48">
        <f t="shared" si="192"/>
        <v>13752.236874999999</v>
      </c>
      <c r="BH114" s="48">
        <f t="shared" si="162"/>
        <v>0</v>
      </c>
      <c r="BI114" s="59">
        <f t="shared" si="163"/>
        <v>1.4999999999999999E-2</v>
      </c>
      <c r="BJ114" s="48">
        <f t="shared" si="164"/>
        <v>33.379143544922314</v>
      </c>
      <c r="BK114" s="48">
        <f t="shared" si="165"/>
        <v>13785.616018544921</v>
      </c>
      <c r="BL114" s="24"/>
      <c r="BM114" s="56">
        <f t="shared" si="190"/>
        <v>100</v>
      </c>
      <c r="BN114" s="48">
        <f t="shared" si="191"/>
        <v>10000</v>
      </c>
      <c r="BO114" s="48">
        <f t="shared" si="185"/>
        <v>10000</v>
      </c>
      <c r="BP114" s="48">
        <f t="shared" si="186"/>
        <v>14883.251424683931</v>
      </c>
      <c r="BQ114" s="59">
        <f t="shared" si="166"/>
        <v>6.5000000000000002E-2</v>
      </c>
      <c r="BR114" s="48">
        <f t="shared" si="167"/>
        <v>15850.662767288386</v>
      </c>
      <c r="BS114" s="48" t="str">
        <f t="shared" si="168"/>
        <v>nie</v>
      </c>
      <c r="BT114" s="48">
        <f t="shared" si="169"/>
        <v>200</v>
      </c>
      <c r="BU114" s="48">
        <f t="shared" si="170"/>
        <v>14577.036841503592</v>
      </c>
      <c r="BV114" s="48">
        <f t="shared" si="171"/>
        <v>0</v>
      </c>
      <c r="BW114" s="59">
        <f t="shared" si="172"/>
        <v>1.4999999999999999E-2</v>
      </c>
      <c r="BX114" s="48">
        <f t="shared" si="173"/>
        <v>0</v>
      </c>
      <c r="BY114" s="48">
        <f t="shared" si="174"/>
        <v>14577.036841503592</v>
      </c>
    </row>
    <row r="115" spans="1:77" s="25" customFormat="1" ht="14">
      <c r="A115" s="24"/>
      <c r="B115" s="172"/>
      <c r="C115" s="66">
        <f t="shared" si="200"/>
        <v>81</v>
      </c>
      <c r="D115" s="48">
        <f t="shared" si="201"/>
        <v>12477.501000217497</v>
      </c>
      <c r="E115" s="48">
        <f t="shared" si="202"/>
        <v>13257.976378422318</v>
      </c>
      <c r="F115" s="48">
        <f t="shared" si="203"/>
        <v>13077.628780610112</v>
      </c>
      <c r="G115" s="49">
        <f t="shared" si="204"/>
        <v>13609.489243780461</v>
      </c>
      <c r="H115" s="49">
        <f t="shared" si="205"/>
        <v>10854.243420271587</v>
      </c>
      <c r="I115" s="48">
        <f t="shared" si="206"/>
        <v>13903.492271484381</v>
      </c>
      <c r="J115" s="24"/>
      <c r="K115" s="84"/>
      <c r="L115" s="64">
        <f t="shared" si="207"/>
        <v>81</v>
      </c>
      <c r="M115" s="51">
        <f t="shared" si="194"/>
        <v>0.24775010002174969</v>
      </c>
      <c r="N115" s="51">
        <f t="shared" si="195"/>
        <v>0.32579763784223181</v>
      </c>
      <c r="O115" s="51">
        <f t="shared" si="196"/>
        <v>0.3077628780610111</v>
      </c>
      <c r="P115" s="51">
        <f t="shared" si="197"/>
        <v>0.36094892437804615</v>
      </c>
      <c r="Q115" s="51">
        <f t="shared" si="198"/>
        <v>8.5424342027158762E-2</v>
      </c>
      <c r="R115" s="51">
        <f t="shared" si="199"/>
        <v>0.39034922714843812</v>
      </c>
      <c r="S115" s="24"/>
      <c r="T115" s="45">
        <f t="shared" si="175"/>
        <v>97</v>
      </c>
      <c r="U115" s="59">
        <f t="shared" si="193"/>
        <v>0.05</v>
      </c>
      <c r="V115" s="48">
        <f t="shared" ref="V115:V146" si="208">zakup_domyslny_wartosc*IFERROR((INDEX(scenariusz_I_inflacja_skumulowana,MATCH(ROUNDDOWN(T115/12,0),scenariusz_I_rok,0))+1),1)
*(1+MOD(T115,12)*INDEX(scenariusz_I_inflacja,MATCH(ROUNDUP(T115/12,0),scenariusz_I_rok,0))/12)</f>
        <v>14836.115081381842</v>
      </c>
      <c r="W115" s="56">
        <f t="shared" si="176"/>
        <v>108</v>
      </c>
      <c r="X115" s="48">
        <f t="shared" si="177"/>
        <v>10789.2</v>
      </c>
      <c r="Y115" s="48">
        <f t="shared" si="187"/>
        <v>10800</v>
      </c>
      <c r="Z115" s="48">
        <f t="shared" si="178"/>
        <v>10800</v>
      </c>
      <c r="AA115" s="59">
        <f t="shared" ref="AA115:AA146" si="209">IF(AND(MOD($T115,zapadalnosc_COI)&lt;=12,MOD($T115,zapadalnosc_COI)&lt;&gt;0),proc_I_okres_COI,(marza_COI+$U115))</f>
        <v>1.2999999999999999E-2</v>
      </c>
      <c r="AB115" s="48">
        <f t="shared" ref="AB115:AB146" si="210">Z115*(1+AA115*IF(MOD($T115,12)&lt;&gt;0,MOD($T115,12),12)/12)</f>
        <v>10811.7</v>
      </c>
      <c r="AC115" s="48" t="str">
        <f t="shared" ref="AC115:AC146" si="211">IF(MOD($T115,zapadalnosc_COI)=0,"tak","nie")</f>
        <v>nie</v>
      </c>
      <c r="AD115" s="48">
        <f t="shared" ref="AD115:AD146" si="212">IF(MOD($T115,zapadalnosc_COI)=0,0,
IF(AND(MOD($T115,zapadalnosc_COI)&lt;zapadalnosc_COI,MOD($T115,zapadalnosc_COI)&lt;=12),
MIN(AB115-Y115,W115*koszt_wczesniejszy_wykup_COI),W115*koszt_wczesniejszy_wykup_COI))</f>
        <v>11.700000000000728</v>
      </c>
      <c r="AE115" s="48">
        <f t="shared" ref="AE115:AE146" si="213">AB115-AD115
-(AB115-Y115-AD115)*podatek_Belki</f>
        <v>10800</v>
      </c>
      <c r="AF115" s="48">
        <f t="shared" ref="AF115:AF146" si="214">IF(MOD(T115,wyplata_odsetek_COI)=0, (AB115-Y115)*(1-podatek_Belki),0)
-IF(AND(AC115="tak",X116&lt;&gt;""),X116-Y115,0)</f>
        <v>0</v>
      </c>
      <c r="AG115" s="59">
        <f t="shared" ref="AG115:AG146" si="215">INDEX(scenariusz_I_konto,MATCH(ROUNDUP($T115/12,0),scenariusz_I_rok,0))</f>
        <v>1.4999999999999999E-2</v>
      </c>
      <c r="AH115" s="48">
        <f t="shared" ref="AH115:AH146" si="216">AH114*(1+AG115/12*(1-podatek_Belki))+AF115</f>
        <v>2388.1996477293028</v>
      </c>
      <c r="AI115" s="48">
        <f t="shared" ref="AI115:AI146" si="217">AH114*(1+AG115/12*(1-podatek_Belki))+AE115</f>
        <v>13188.199647729303</v>
      </c>
      <c r="AJ115" s="24"/>
      <c r="AK115" s="56">
        <f t="shared" si="179"/>
        <v>100</v>
      </c>
      <c r="AL115" s="48">
        <f t="shared" si="180"/>
        <v>10000</v>
      </c>
      <c r="AM115" s="48">
        <f t="shared" si="181"/>
        <v>10000</v>
      </c>
      <c r="AN115" s="48">
        <f t="shared" si="182"/>
        <v>15291.919733942133</v>
      </c>
      <c r="AO115" s="59">
        <f t="shared" ref="AO115:AO146" si="218">IF(AND(MOD($T115,zapadalnosc_EDO)&lt;=12,MOD($T115,zapadalnosc_EDO)&lt;&gt;0),proc_I_okres_EDO,(marza_EDO+$U115))</f>
        <v>6.0000000000000005E-2</v>
      </c>
      <c r="AP115" s="48">
        <f t="shared" ref="AP115:AP146" si="219">AN115*(1+AO115*IF(MOD($T115,12)&lt;&gt;0,MOD($T115,12),12)/12)</f>
        <v>15368.379332611843</v>
      </c>
      <c r="AQ115" s="48" t="str">
        <f t="shared" ref="AQ115:AQ146" si="220">IF(MOD($T115,zapadalnosc_EDO)=0,"tak","nie")</f>
        <v>nie</v>
      </c>
      <c r="AR115" s="48">
        <f t="shared" ref="AR115:AR146" si="221">IF(AND(MOD($T115,zapadalnosc_EDO)&lt;zapadalnosc_EDO,MOD($T115,zapadalnosc_EDO)&lt;&gt;0),MIN(AP115-AM115,AK115*koszt_wczesniejszy_wykup_EDO),0)</f>
        <v>200</v>
      </c>
      <c r="AS115" s="48">
        <f t="shared" ref="AS115:AS146" si="222">AP115-AR115
-(AP115-AM115-AR115)*podatek_Belki</f>
        <v>14186.387259415593</v>
      </c>
      <c r="AT115" s="48">
        <f t="shared" si="153"/>
        <v>0</v>
      </c>
      <c r="AU115" s="59">
        <f t="shared" ref="AU115:AU146" si="223">INDEX(scenariusz_I_konto,MATCH(ROUNDUP($T115/12,0),scenariusz_I_rok,0))</f>
        <v>1.4999999999999999E-2</v>
      </c>
      <c r="AV115" s="48">
        <f t="shared" ref="AV115:AV146" si="224">AV114*(1+AU115/12*(1-podatek_Belki))+AT115</f>
        <v>0</v>
      </c>
      <c r="AW115" s="48">
        <f t="shared" ref="AW115:AW146" si="225">AV114*(1+AU115/12*(1-podatek_Belki))+AS115</f>
        <v>14186.387259415593</v>
      </c>
      <c r="AY115" s="56">
        <f t="shared" si="188"/>
        <v>130</v>
      </c>
      <c r="AZ115" s="48">
        <f t="shared" si="189"/>
        <v>13000</v>
      </c>
      <c r="BA115" s="48">
        <f t="shared" si="183"/>
        <v>13000</v>
      </c>
      <c r="BB115" s="48">
        <f t="shared" si="184"/>
        <v>14019.687499999998</v>
      </c>
      <c r="BC115" s="59">
        <f t="shared" ref="BC115:BC146" si="226">IF(AND(MOD($T115,zapadalnosc_ROS)&lt;=12,MOD($T115,zapadalnosc_ROS)&lt;&gt;0),proc_I_okres_ROS,(marza_ROS+$U115))</f>
        <v>6.25E-2</v>
      </c>
      <c r="BD115" s="48">
        <f t="shared" ref="BD115:BD146" si="227">BB115*(1+BC115*IF(MOD($T115,12)&lt;&gt;0,MOD($T115,12),12)/12)</f>
        <v>14092.706705729164</v>
      </c>
      <c r="BE115" s="48" t="str">
        <f t="shared" ref="BE115:BE146" si="228">IF(MOD($T115,zapadalnosc_ROS)=0,"tak","nie")</f>
        <v>nie</v>
      </c>
      <c r="BF115" s="48">
        <f t="shared" ref="BF115:BF146" si="229">IF(AND(MOD($T115,zapadalnosc_ROS)&lt;zapadalnosc_ROS,MOD($T115,zapadalnosc_ROS)&lt;&gt;0),MIN(BD115-BA115,AY115*koszt_wczesniejszy_wykup_ROS),0)</f>
        <v>91</v>
      </c>
      <c r="BG115" s="48">
        <f t="shared" si="192"/>
        <v>13811.382431640623</v>
      </c>
      <c r="BH115" s="48">
        <f t="shared" si="162"/>
        <v>0</v>
      </c>
      <c r="BI115" s="59">
        <f t="shared" ref="BI115:BI146" si="230">INDEX(scenariusz_I_konto,MATCH(ROUNDUP($T115/12,0),scenariusz_I_rok,0))</f>
        <v>1.4999999999999999E-2</v>
      </c>
      <c r="BJ115" s="48">
        <f t="shared" ref="BJ115:BJ146" si="231">BJ114*(1+BI115/12*(1-podatek_Belki))+BH115</f>
        <v>33.412939927761549</v>
      </c>
      <c r="BK115" s="48">
        <f t="shared" ref="BK115:BK146" si="232">BJ114*(1+BI115/12*(1-podatek_Belki))+BG115</f>
        <v>13844.795371568383</v>
      </c>
      <c r="BL115" s="24"/>
      <c r="BM115" s="56">
        <f t="shared" si="190"/>
        <v>100</v>
      </c>
      <c r="BN115" s="48">
        <f t="shared" si="191"/>
        <v>10000</v>
      </c>
      <c r="BO115" s="48">
        <f t="shared" si="185"/>
        <v>10000</v>
      </c>
      <c r="BP115" s="48">
        <f t="shared" si="186"/>
        <v>15850.662767288386</v>
      </c>
      <c r="BQ115" s="59">
        <f t="shared" ref="BQ115:BQ146" si="233">IF(AND(MOD($T115,zapadalnosc_ROD)&lt;=12,MOD($T115,zapadalnosc_ROD)&lt;&gt;0),proc_I_okres_ROD,(marza_ROD+$U115))</f>
        <v>6.5000000000000002E-2</v>
      </c>
      <c r="BR115" s="48">
        <f t="shared" ref="BR115:BR146" si="234">BP115*(1+BQ115*IF(MOD($T115,12)&lt;&gt;0,MOD($T115,12),12)/12)</f>
        <v>15936.520523944531</v>
      </c>
      <c r="BS115" s="48" t="str">
        <f t="shared" ref="BS115:BS146" si="235">IF(MOD($T115,zapadalnosc_ROD)=0,"tak","nie")</f>
        <v>nie</v>
      </c>
      <c r="BT115" s="48">
        <f t="shared" ref="BT115:BT146" si="236">IF(AND(MOD($T115,zapadalnosc_ROD)&lt;zapadalnosc_ROD,MOD($T115,zapadalnosc_ROD)&lt;&gt;0),MIN(BR115-BO115,BM115*koszt_wczesniejszy_wykup_ROD),0)</f>
        <v>200</v>
      </c>
      <c r="BU115" s="48">
        <f t="shared" si="170"/>
        <v>14646.58162439507</v>
      </c>
      <c r="BV115" s="48">
        <f t="shared" si="171"/>
        <v>0</v>
      </c>
      <c r="BW115" s="59">
        <f t="shared" ref="BW115:BW146" si="237">INDEX(scenariusz_I_konto,MATCH(ROUNDUP($T115/12,0),scenariusz_I_rok,0))</f>
        <v>1.4999999999999999E-2</v>
      </c>
      <c r="BX115" s="48">
        <f t="shared" ref="BX115:BX146" si="238">BX114*(1+BW115/12*(1-podatek_Belki))+BV115</f>
        <v>0</v>
      </c>
      <c r="BY115" s="48">
        <f t="shared" ref="BY115:BY146" si="239">BX114*(1+BW115/12*(1-podatek_Belki))+BU115</f>
        <v>14646.58162439507</v>
      </c>
    </row>
    <row r="116" spans="1:77" s="25" customFormat="1" ht="14">
      <c r="A116" s="24"/>
      <c r="B116" s="172"/>
      <c r="C116" s="66">
        <f t="shared" si="200"/>
        <v>82</v>
      </c>
      <c r="D116" s="48">
        <f t="shared" si="201"/>
        <v>12519.661349017715</v>
      </c>
      <c r="E116" s="48">
        <f t="shared" si="202"/>
        <v>13313.095882625297</v>
      </c>
      <c r="F116" s="48">
        <f t="shared" si="203"/>
        <v>13090.824567844229</v>
      </c>
      <c r="G116" s="49">
        <f t="shared" si="204"/>
        <v>13670.804047184969</v>
      </c>
      <c r="H116" s="49">
        <f t="shared" si="205"/>
        <v>10865.233341734613</v>
      </c>
      <c r="I116" s="48">
        <f t="shared" si="206"/>
        <v>13959.329589843755</v>
      </c>
      <c r="J116" s="24"/>
      <c r="K116" s="84"/>
      <c r="L116" s="64">
        <f t="shared" si="207"/>
        <v>82</v>
      </c>
      <c r="M116" s="51">
        <f t="shared" si="194"/>
        <v>0.25196613490177144</v>
      </c>
      <c r="N116" s="51">
        <f t="shared" si="195"/>
        <v>0.33130958826252965</v>
      </c>
      <c r="O116" s="51">
        <f t="shared" si="196"/>
        <v>0.30908245678442281</v>
      </c>
      <c r="P116" s="51">
        <f t="shared" si="197"/>
        <v>0.36708040471849701</v>
      </c>
      <c r="Q116" s="51">
        <f t="shared" si="198"/>
        <v>8.6523334173461253E-2</v>
      </c>
      <c r="R116" s="51">
        <f t="shared" si="199"/>
        <v>0.39593295898437564</v>
      </c>
      <c r="S116" s="24"/>
      <c r="T116" s="45">
        <f t="shared" si="175"/>
        <v>98</v>
      </c>
      <c r="U116" s="59">
        <f t="shared" si="193"/>
        <v>0.05</v>
      </c>
      <c r="V116" s="48">
        <f t="shared" si="208"/>
        <v>14897.675724873052</v>
      </c>
      <c r="W116" s="56">
        <f t="shared" ref="W116:W147" si="240">IF(AC115="tak",
ROUNDDOWN(AE115/zamiana_COI,0),
W115)</f>
        <v>108</v>
      </c>
      <c r="X116" s="48">
        <f t="shared" ref="X116:X147" si="241">IF(AC115="tak",
W116*zamiana_COI,
X115)</f>
        <v>10789.2</v>
      </c>
      <c r="Y116" s="48">
        <f t="shared" si="187"/>
        <v>10800</v>
      </c>
      <c r="Z116" s="48">
        <f t="shared" si="178"/>
        <v>10800</v>
      </c>
      <c r="AA116" s="59">
        <f t="shared" si="209"/>
        <v>1.2999999999999999E-2</v>
      </c>
      <c r="AB116" s="48">
        <f t="shared" si="210"/>
        <v>10823.4</v>
      </c>
      <c r="AC116" s="48" t="str">
        <f t="shared" si="211"/>
        <v>nie</v>
      </c>
      <c r="AD116" s="48">
        <f t="shared" si="212"/>
        <v>23.399999999999636</v>
      </c>
      <c r="AE116" s="48">
        <f t="shared" si="213"/>
        <v>10800</v>
      </c>
      <c r="AF116" s="48">
        <f t="shared" si="214"/>
        <v>0</v>
      </c>
      <c r="AG116" s="59">
        <f t="shared" si="215"/>
        <v>1.4999999999999999E-2</v>
      </c>
      <c r="AH116" s="48">
        <f t="shared" si="216"/>
        <v>2390.6176998726287</v>
      </c>
      <c r="AI116" s="48">
        <f t="shared" si="217"/>
        <v>13190.61769987263</v>
      </c>
      <c r="AJ116" s="24"/>
      <c r="AK116" s="56">
        <f t="shared" ref="AK116:AK147" si="242">IF(AQ115="tak",
ROUNDDOWN(AS115/zamiana_EDO,0),
AK115)</f>
        <v>100</v>
      </c>
      <c r="AL116" s="48">
        <f t="shared" ref="AL116:AL147" si="243">IF(AQ115="tak",
AK116*zamiana_EDO,
AL115)</f>
        <v>10000</v>
      </c>
      <c r="AM116" s="48">
        <f t="shared" si="181"/>
        <v>10000</v>
      </c>
      <c r="AN116" s="48">
        <f t="shared" ref="AN116:AN147" si="244">IF(AQ115="tak",
 AM116,
IF(MOD($T116,kapitalizacja_odsetek_mc_EDO)&lt;&gt;1,AN115,AP115))</f>
        <v>15291.919733942133</v>
      </c>
      <c r="AO116" s="59">
        <f t="shared" si="218"/>
        <v>6.0000000000000005E-2</v>
      </c>
      <c r="AP116" s="48">
        <f t="shared" si="219"/>
        <v>15444.838931281554</v>
      </c>
      <c r="AQ116" s="48" t="str">
        <f t="shared" si="220"/>
        <v>nie</v>
      </c>
      <c r="AR116" s="48">
        <f t="shared" si="221"/>
        <v>200</v>
      </c>
      <c r="AS116" s="48">
        <f t="shared" si="222"/>
        <v>14248.319534338059</v>
      </c>
      <c r="AT116" s="48">
        <f t="shared" si="153"/>
        <v>0</v>
      </c>
      <c r="AU116" s="59">
        <f t="shared" si="223"/>
        <v>1.4999999999999999E-2</v>
      </c>
      <c r="AV116" s="48">
        <f t="shared" si="224"/>
        <v>0</v>
      </c>
      <c r="AW116" s="48">
        <f t="shared" si="225"/>
        <v>14248.319534338059</v>
      </c>
      <c r="AY116" s="56">
        <f t="shared" si="188"/>
        <v>130</v>
      </c>
      <c r="AZ116" s="48">
        <f t="shared" si="189"/>
        <v>13000</v>
      </c>
      <c r="BA116" s="48">
        <f t="shared" si="183"/>
        <v>13000</v>
      </c>
      <c r="BB116" s="48">
        <f t="shared" ref="BB116:BB147" si="245">IF(BE115="tak",
 BA116,
IF(MOD($T116,kapitalizacja_odsetek_mc_ROS)&lt;&gt;1,BB115,BD115))</f>
        <v>14019.687499999998</v>
      </c>
      <c r="BC116" s="59">
        <f t="shared" si="226"/>
        <v>6.25E-2</v>
      </c>
      <c r="BD116" s="48">
        <f t="shared" si="227"/>
        <v>14165.725911458332</v>
      </c>
      <c r="BE116" s="48" t="str">
        <f t="shared" si="228"/>
        <v>nie</v>
      </c>
      <c r="BF116" s="48">
        <f t="shared" si="229"/>
        <v>91</v>
      </c>
      <c r="BG116" s="48">
        <f t="shared" si="192"/>
        <v>13870.527988281248</v>
      </c>
      <c r="BH116" s="48">
        <f t="shared" si="162"/>
        <v>0</v>
      </c>
      <c r="BI116" s="59">
        <f t="shared" si="230"/>
        <v>1.4999999999999999E-2</v>
      </c>
      <c r="BJ116" s="48">
        <f t="shared" si="231"/>
        <v>33.44677052943841</v>
      </c>
      <c r="BK116" s="48">
        <f t="shared" si="232"/>
        <v>13903.974758810687</v>
      </c>
      <c r="BL116" s="24"/>
      <c r="BM116" s="56">
        <f t="shared" si="190"/>
        <v>100</v>
      </c>
      <c r="BN116" s="48">
        <f t="shared" si="191"/>
        <v>10000</v>
      </c>
      <c r="BO116" s="48">
        <f t="shared" si="185"/>
        <v>10000</v>
      </c>
      <c r="BP116" s="48">
        <f t="shared" ref="BP116:BP147" si="246">IF(BS115="tak",
 BO116,
IF(MOD($T116,kapitalizacja_odsetek_mc_ROD)&lt;&gt;1,BP115,BR115))</f>
        <v>15850.662767288386</v>
      </c>
      <c r="BQ116" s="59">
        <f t="shared" si="233"/>
        <v>6.5000000000000002E-2</v>
      </c>
      <c r="BR116" s="48">
        <f t="shared" si="234"/>
        <v>16022.378280600675</v>
      </c>
      <c r="BS116" s="48" t="str">
        <f t="shared" si="235"/>
        <v>nie</v>
      </c>
      <c r="BT116" s="48">
        <f t="shared" si="236"/>
        <v>200</v>
      </c>
      <c r="BU116" s="48">
        <f t="shared" si="170"/>
        <v>14716.126407286547</v>
      </c>
      <c r="BV116" s="48">
        <f t="shared" si="171"/>
        <v>0</v>
      </c>
      <c r="BW116" s="59">
        <f t="shared" si="237"/>
        <v>1.4999999999999999E-2</v>
      </c>
      <c r="BX116" s="48">
        <f t="shared" si="238"/>
        <v>0</v>
      </c>
      <c r="BY116" s="48">
        <f t="shared" si="239"/>
        <v>14716.126407286547</v>
      </c>
    </row>
    <row r="117" spans="1:77" s="25" customFormat="1" ht="14" customHeight="1">
      <c r="A117" s="24"/>
      <c r="B117" s="172"/>
      <c r="C117" s="66">
        <f t="shared" si="200"/>
        <v>83</v>
      </c>
      <c r="D117" s="48">
        <f t="shared" si="201"/>
        <v>12561.823515608598</v>
      </c>
      <c r="E117" s="48">
        <f t="shared" si="202"/>
        <v>13368.215386828273</v>
      </c>
      <c r="F117" s="48">
        <f t="shared" si="203"/>
        <v>13104.020388781671</v>
      </c>
      <c r="G117" s="49">
        <f t="shared" si="204"/>
        <v>13732.118850589477</v>
      </c>
      <c r="H117" s="49">
        <f t="shared" si="205"/>
        <v>10876.23439049312</v>
      </c>
      <c r="I117" s="48">
        <f t="shared" si="206"/>
        <v>14015.166908203131</v>
      </c>
      <c r="J117" s="24"/>
      <c r="K117" s="84"/>
      <c r="L117" s="64">
        <f t="shared" si="207"/>
        <v>83</v>
      </c>
      <c r="M117" s="51">
        <f t="shared" si="194"/>
        <v>0.25618235156085967</v>
      </c>
      <c r="N117" s="51">
        <f t="shared" si="195"/>
        <v>0.33682153868282727</v>
      </c>
      <c r="O117" s="51">
        <f t="shared" si="196"/>
        <v>0.3104020388781672</v>
      </c>
      <c r="P117" s="51">
        <f t="shared" si="197"/>
        <v>0.37321188505894765</v>
      </c>
      <c r="Q117" s="51">
        <f t="shared" si="198"/>
        <v>8.7623439049312024E-2</v>
      </c>
      <c r="R117" s="51">
        <f t="shared" si="199"/>
        <v>0.40151669082031316</v>
      </c>
      <c r="S117" s="24"/>
      <c r="T117" s="45">
        <f t="shared" si="175"/>
        <v>99</v>
      </c>
      <c r="U117" s="59">
        <f t="shared" si="193"/>
        <v>0.05</v>
      </c>
      <c r="V117" s="48">
        <f t="shared" si="208"/>
        <v>14959.236368364263</v>
      </c>
      <c r="W117" s="56">
        <f t="shared" si="240"/>
        <v>108</v>
      </c>
      <c r="X117" s="48">
        <f t="shared" si="241"/>
        <v>10789.2</v>
      </c>
      <c r="Y117" s="48">
        <f t="shared" si="187"/>
        <v>10800</v>
      </c>
      <c r="Z117" s="48">
        <f t="shared" si="178"/>
        <v>10800</v>
      </c>
      <c r="AA117" s="59">
        <f t="shared" si="209"/>
        <v>1.2999999999999999E-2</v>
      </c>
      <c r="AB117" s="48">
        <f t="shared" si="210"/>
        <v>10835.1</v>
      </c>
      <c r="AC117" s="48" t="str">
        <f t="shared" si="211"/>
        <v>nie</v>
      </c>
      <c r="AD117" s="48">
        <f t="shared" si="212"/>
        <v>35.100000000000364</v>
      </c>
      <c r="AE117" s="48">
        <f t="shared" si="213"/>
        <v>10800</v>
      </c>
      <c r="AF117" s="48">
        <f t="shared" si="214"/>
        <v>0</v>
      </c>
      <c r="AG117" s="59">
        <f t="shared" si="215"/>
        <v>1.4999999999999999E-2</v>
      </c>
      <c r="AH117" s="48">
        <f t="shared" si="216"/>
        <v>2393.0382002937499</v>
      </c>
      <c r="AI117" s="48">
        <f t="shared" si="217"/>
        <v>13193.038200293749</v>
      </c>
      <c r="AJ117" s="24"/>
      <c r="AK117" s="56">
        <f t="shared" si="242"/>
        <v>100</v>
      </c>
      <c r="AL117" s="48">
        <f t="shared" si="243"/>
        <v>10000</v>
      </c>
      <c r="AM117" s="48">
        <f t="shared" si="181"/>
        <v>10000</v>
      </c>
      <c r="AN117" s="48">
        <f t="shared" si="244"/>
        <v>15291.919733942133</v>
      </c>
      <c r="AO117" s="59">
        <f t="shared" si="218"/>
        <v>6.0000000000000005E-2</v>
      </c>
      <c r="AP117" s="48">
        <f t="shared" si="219"/>
        <v>15521.298529951264</v>
      </c>
      <c r="AQ117" s="48" t="str">
        <f t="shared" si="220"/>
        <v>nie</v>
      </c>
      <c r="AR117" s="48">
        <f t="shared" si="221"/>
        <v>200</v>
      </c>
      <c r="AS117" s="48">
        <f t="shared" si="222"/>
        <v>14310.251809260524</v>
      </c>
      <c r="AT117" s="48">
        <f t="shared" si="153"/>
        <v>0</v>
      </c>
      <c r="AU117" s="59">
        <f t="shared" si="223"/>
        <v>1.4999999999999999E-2</v>
      </c>
      <c r="AV117" s="48">
        <f t="shared" si="224"/>
        <v>0</v>
      </c>
      <c r="AW117" s="48">
        <f t="shared" si="225"/>
        <v>14310.251809260524</v>
      </c>
      <c r="AY117" s="56">
        <f t="shared" si="188"/>
        <v>130</v>
      </c>
      <c r="AZ117" s="48">
        <f t="shared" si="189"/>
        <v>13000</v>
      </c>
      <c r="BA117" s="48">
        <f t="shared" si="183"/>
        <v>13000</v>
      </c>
      <c r="BB117" s="48">
        <f t="shared" si="245"/>
        <v>14019.687499999998</v>
      </c>
      <c r="BC117" s="59">
        <f t="shared" si="226"/>
        <v>6.25E-2</v>
      </c>
      <c r="BD117" s="48">
        <f t="shared" si="227"/>
        <v>14238.745117187498</v>
      </c>
      <c r="BE117" s="48" t="str">
        <f t="shared" si="228"/>
        <v>nie</v>
      </c>
      <c r="BF117" s="48">
        <f t="shared" si="229"/>
        <v>91</v>
      </c>
      <c r="BG117" s="48">
        <f t="shared" si="192"/>
        <v>13929.673544921874</v>
      </c>
      <c r="BH117" s="48">
        <f t="shared" si="162"/>
        <v>0</v>
      </c>
      <c r="BI117" s="59">
        <f t="shared" si="230"/>
        <v>1.4999999999999999E-2</v>
      </c>
      <c r="BJ117" s="48">
        <f t="shared" si="231"/>
        <v>33.480635384599466</v>
      </c>
      <c r="BK117" s="48">
        <f t="shared" si="232"/>
        <v>13963.154180306474</v>
      </c>
      <c r="BL117" s="24"/>
      <c r="BM117" s="56">
        <f t="shared" si="190"/>
        <v>100</v>
      </c>
      <c r="BN117" s="48">
        <f t="shared" si="191"/>
        <v>10000</v>
      </c>
      <c r="BO117" s="48">
        <f t="shared" si="185"/>
        <v>10000</v>
      </c>
      <c r="BP117" s="48">
        <f t="shared" si="246"/>
        <v>15850.662767288386</v>
      </c>
      <c r="BQ117" s="59">
        <f t="shared" si="233"/>
        <v>6.5000000000000002E-2</v>
      </c>
      <c r="BR117" s="48">
        <f t="shared" si="234"/>
        <v>16108.236037256824</v>
      </c>
      <c r="BS117" s="48" t="str">
        <f t="shared" si="235"/>
        <v>nie</v>
      </c>
      <c r="BT117" s="48">
        <f t="shared" si="236"/>
        <v>200</v>
      </c>
      <c r="BU117" s="48">
        <f t="shared" si="170"/>
        <v>14785.671190178027</v>
      </c>
      <c r="BV117" s="48">
        <f t="shared" si="171"/>
        <v>0</v>
      </c>
      <c r="BW117" s="59">
        <f t="shared" si="237"/>
        <v>1.4999999999999999E-2</v>
      </c>
      <c r="BX117" s="48">
        <f t="shared" si="238"/>
        <v>0</v>
      </c>
      <c r="BY117" s="48">
        <f t="shared" si="239"/>
        <v>14785.671190178027</v>
      </c>
    </row>
    <row r="118" spans="1:77" s="25" customFormat="1" ht="14">
      <c r="A118" s="24"/>
      <c r="B118" s="173"/>
      <c r="C118" s="66">
        <f t="shared" si="200"/>
        <v>84</v>
      </c>
      <c r="D118" s="48">
        <f t="shared" si="201"/>
        <v>12603.987501830654</v>
      </c>
      <c r="E118" s="48">
        <f t="shared" si="202"/>
        <v>13423.334891031252</v>
      </c>
      <c r="F118" s="48">
        <f t="shared" si="203"/>
        <v>13117.21624345656</v>
      </c>
      <c r="G118" s="49">
        <f t="shared" si="204"/>
        <v>13793.433653993983</v>
      </c>
      <c r="H118" s="49">
        <f t="shared" si="205"/>
        <v>10887.246577813496</v>
      </c>
      <c r="I118" s="48">
        <f t="shared" si="206"/>
        <v>14071.004226562505</v>
      </c>
      <c r="J118" s="24"/>
      <c r="K118" s="84"/>
      <c r="L118" s="64">
        <f t="shared" si="207"/>
        <v>84</v>
      </c>
      <c r="M118" s="51">
        <f t="shared" si="194"/>
        <v>0.26039875018306535</v>
      </c>
      <c r="N118" s="51">
        <f t="shared" si="195"/>
        <v>0.34233348910312533</v>
      </c>
      <c r="O118" s="51">
        <f t="shared" si="196"/>
        <v>0.31172162434565598</v>
      </c>
      <c r="P118" s="51">
        <f t="shared" si="197"/>
        <v>0.37934336539939828</v>
      </c>
      <c r="Q118" s="51">
        <f t="shared" si="198"/>
        <v>8.8724657781349636E-2</v>
      </c>
      <c r="R118" s="51">
        <f t="shared" si="199"/>
        <v>0.40710042265625046</v>
      </c>
      <c r="S118" s="24"/>
      <c r="T118" s="45">
        <f t="shared" si="175"/>
        <v>100</v>
      </c>
      <c r="U118" s="59">
        <f t="shared" si="193"/>
        <v>0.05</v>
      </c>
      <c r="V118" s="48">
        <f t="shared" si="208"/>
        <v>15020.797011855473</v>
      </c>
      <c r="W118" s="56">
        <f t="shared" si="240"/>
        <v>108</v>
      </c>
      <c r="X118" s="48">
        <f t="shared" si="241"/>
        <v>10789.2</v>
      </c>
      <c r="Y118" s="48">
        <f t="shared" si="187"/>
        <v>10800</v>
      </c>
      <c r="Z118" s="48">
        <f t="shared" si="178"/>
        <v>10800</v>
      </c>
      <c r="AA118" s="59">
        <f t="shared" si="209"/>
        <v>1.2999999999999999E-2</v>
      </c>
      <c r="AB118" s="48">
        <f t="shared" si="210"/>
        <v>10846.8</v>
      </c>
      <c r="AC118" s="48" t="str">
        <f t="shared" si="211"/>
        <v>nie</v>
      </c>
      <c r="AD118" s="48">
        <f t="shared" si="212"/>
        <v>46.799999999999272</v>
      </c>
      <c r="AE118" s="48">
        <f t="shared" si="213"/>
        <v>10800</v>
      </c>
      <c r="AF118" s="48">
        <f t="shared" si="214"/>
        <v>0</v>
      </c>
      <c r="AG118" s="59">
        <f t="shared" si="215"/>
        <v>1.4999999999999999E-2</v>
      </c>
      <c r="AH118" s="48">
        <f t="shared" si="216"/>
        <v>2395.4611514715475</v>
      </c>
      <c r="AI118" s="48">
        <f t="shared" si="217"/>
        <v>13195.461151471547</v>
      </c>
      <c r="AJ118" s="24"/>
      <c r="AK118" s="56">
        <f t="shared" si="242"/>
        <v>100</v>
      </c>
      <c r="AL118" s="48">
        <f t="shared" si="243"/>
        <v>10000</v>
      </c>
      <c r="AM118" s="48">
        <f t="shared" si="181"/>
        <v>10000</v>
      </c>
      <c r="AN118" s="48">
        <f t="shared" si="244"/>
        <v>15291.919733942133</v>
      </c>
      <c r="AO118" s="59">
        <f t="shared" si="218"/>
        <v>6.0000000000000005E-2</v>
      </c>
      <c r="AP118" s="48">
        <f t="shared" si="219"/>
        <v>15597.758128620977</v>
      </c>
      <c r="AQ118" s="48" t="str">
        <f t="shared" si="220"/>
        <v>nie</v>
      </c>
      <c r="AR118" s="48">
        <f t="shared" si="221"/>
        <v>200</v>
      </c>
      <c r="AS118" s="48">
        <f t="shared" si="222"/>
        <v>14372.184084182991</v>
      </c>
      <c r="AT118" s="48">
        <f t="shared" si="153"/>
        <v>0</v>
      </c>
      <c r="AU118" s="59">
        <f t="shared" si="223"/>
        <v>1.4999999999999999E-2</v>
      </c>
      <c r="AV118" s="48">
        <f t="shared" si="224"/>
        <v>0</v>
      </c>
      <c r="AW118" s="48">
        <f t="shared" si="225"/>
        <v>14372.184084182991</v>
      </c>
      <c r="AY118" s="56">
        <f t="shared" si="188"/>
        <v>130</v>
      </c>
      <c r="AZ118" s="48">
        <f t="shared" si="189"/>
        <v>13000</v>
      </c>
      <c r="BA118" s="48">
        <f t="shared" si="183"/>
        <v>13000</v>
      </c>
      <c r="BB118" s="48">
        <f t="shared" si="245"/>
        <v>14019.687499999998</v>
      </c>
      <c r="BC118" s="59">
        <f t="shared" si="226"/>
        <v>6.25E-2</v>
      </c>
      <c r="BD118" s="48">
        <f t="shared" si="227"/>
        <v>14311.764322916664</v>
      </c>
      <c r="BE118" s="48" t="str">
        <f t="shared" si="228"/>
        <v>nie</v>
      </c>
      <c r="BF118" s="48">
        <f t="shared" si="229"/>
        <v>91</v>
      </c>
      <c r="BG118" s="48">
        <f t="shared" si="192"/>
        <v>13988.819101562498</v>
      </c>
      <c r="BH118" s="48">
        <f t="shared" si="162"/>
        <v>0</v>
      </c>
      <c r="BI118" s="59">
        <f t="shared" si="230"/>
        <v>1.4999999999999999E-2</v>
      </c>
      <c r="BJ118" s="48">
        <f t="shared" si="231"/>
        <v>33.514534527926379</v>
      </c>
      <c r="BK118" s="48">
        <f t="shared" si="232"/>
        <v>14022.333636090425</v>
      </c>
      <c r="BL118" s="24"/>
      <c r="BM118" s="56">
        <f t="shared" si="190"/>
        <v>100</v>
      </c>
      <c r="BN118" s="48">
        <f t="shared" si="191"/>
        <v>10000</v>
      </c>
      <c r="BO118" s="48">
        <f t="shared" si="185"/>
        <v>10000</v>
      </c>
      <c r="BP118" s="48">
        <f t="shared" si="246"/>
        <v>15850.662767288386</v>
      </c>
      <c r="BQ118" s="59">
        <f t="shared" si="233"/>
        <v>6.5000000000000002E-2</v>
      </c>
      <c r="BR118" s="48">
        <f t="shared" si="234"/>
        <v>16194.093793912969</v>
      </c>
      <c r="BS118" s="48" t="str">
        <f t="shared" si="235"/>
        <v>nie</v>
      </c>
      <c r="BT118" s="48">
        <f t="shared" si="236"/>
        <v>200</v>
      </c>
      <c r="BU118" s="48">
        <f t="shared" si="170"/>
        <v>14855.215973069506</v>
      </c>
      <c r="BV118" s="48">
        <f t="shared" si="171"/>
        <v>0</v>
      </c>
      <c r="BW118" s="59">
        <f t="shared" si="237"/>
        <v>1.4999999999999999E-2</v>
      </c>
      <c r="BX118" s="48">
        <f t="shared" si="238"/>
        <v>0</v>
      </c>
      <c r="BY118" s="48">
        <f t="shared" si="239"/>
        <v>14855.215973069506</v>
      </c>
    </row>
    <row r="119" spans="1:77" s="25" customFormat="1" ht="14">
      <c r="A119" s="24"/>
      <c r="B119" s="171">
        <f>ROUNDUP(C130/12,0)</f>
        <v>8</v>
      </c>
      <c r="C119" s="66">
        <f t="shared" si="200"/>
        <v>85</v>
      </c>
      <c r="D119" s="48">
        <f t="shared" si="201"/>
        <v>12646.643744276258</v>
      </c>
      <c r="E119" s="48">
        <f t="shared" si="202"/>
        <v>13481.761565486408</v>
      </c>
      <c r="F119" s="48">
        <f t="shared" si="203"/>
        <v>13172.91603815306</v>
      </c>
      <c r="G119" s="49">
        <f t="shared" si="204"/>
        <v>13858.733919619785</v>
      </c>
      <c r="H119" s="49">
        <f t="shared" si="205"/>
        <v>10898.269914973533</v>
      </c>
      <c r="I119" s="48">
        <f t="shared" si="206"/>
        <v>14129.63341083985</v>
      </c>
      <c r="J119" s="24"/>
      <c r="K119" s="84"/>
      <c r="L119" s="64">
        <f t="shared" si="207"/>
        <v>85</v>
      </c>
      <c r="M119" s="51">
        <f t="shared" si="194"/>
        <v>0.2646643744276258</v>
      </c>
      <c r="N119" s="51">
        <f t="shared" si="195"/>
        <v>0.34817615654864076</v>
      </c>
      <c r="O119" s="51">
        <f t="shared" si="196"/>
        <v>0.31729160381530597</v>
      </c>
      <c r="P119" s="51">
        <f t="shared" si="197"/>
        <v>0.38587339196197834</v>
      </c>
      <c r="Q119" s="51">
        <f t="shared" si="198"/>
        <v>8.9826991497353292E-2</v>
      </c>
      <c r="R119" s="51">
        <f t="shared" si="199"/>
        <v>0.41296334108398502</v>
      </c>
      <c r="S119" s="24"/>
      <c r="T119" s="45">
        <f t="shared" si="175"/>
        <v>101</v>
      </c>
      <c r="U119" s="59">
        <f t="shared" si="193"/>
        <v>0.05</v>
      </c>
      <c r="V119" s="48">
        <f t="shared" si="208"/>
        <v>15082.357655346685</v>
      </c>
      <c r="W119" s="56">
        <f t="shared" si="240"/>
        <v>108</v>
      </c>
      <c r="X119" s="48">
        <f t="shared" si="241"/>
        <v>10789.2</v>
      </c>
      <c r="Y119" s="48">
        <f t="shared" si="187"/>
        <v>10800</v>
      </c>
      <c r="Z119" s="48">
        <f t="shared" si="178"/>
        <v>10800</v>
      </c>
      <c r="AA119" s="59">
        <f t="shared" si="209"/>
        <v>1.2999999999999999E-2</v>
      </c>
      <c r="AB119" s="48">
        <f t="shared" si="210"/>
        <v>10858.5</v>
      </c>
      <c r="AC119" s="48" t="str">
        <f t="shared" si="211"/>
        <v>nie</v>
      </c>
      <c r="AD119" s="48">
        <f t="shared" si="212"/>
        <v>58.5</v>
      </c>
      <c r="AE119" s="48">
        <f t="shared" si="213"/>
        <v>10800</v>
      </c>
      <c r="AF119" s="48">
        <f t="shared" si="214"/>
        <v>0</v>
      </c>
      <c r="AG119" s="59">
        <f t="shared" si="215"/>
        <v>1.4999999999999999E-2</v>
      </c>
      <c r="AH119" s="48">
        <f t="shared" si="216"/>
        <v>2397.8865558874127</v>
      </c>
      <c r="AI119" s="48">
        <f t="shared" si="217"/>
        <v>13197.886555887413</v>
      </c>
      <c r="AJ119" s="24"/>
      <c r="AK119" s="56">
        <f t="shared" si="242"/>
        <v>100</v>
      </c>
      <c r="AL119" s="48">
        <f t="shared" si="243"/>
        <v>10000</v>
      </c>
      <c r="AM119" s="48">
        <f t="shared" si="181"/>
        <v>10000</v>
      </c>
      <c r="AN119" s="48">
        <f t="shared" si="244"/>
        <v>15291.919733942133</v>
      </c>
      <c r="AO119" s="59">
        <f t="shared" si="218"/>
        <v>6.0000000000000005E-2</v>
      </c>
      <c r="AP119" s="48">
        <f t="shared" si="219"/>
        <v>15674.217727290685</v>
      </c>
      <c r="AQ119" s="48" t="str">
        <f t="shared" si="220"/>
        <v>nie</v>
      </c>
      <c r="AR119" s="48">
        <f t="shared" si="221"/>
        <v>200</v>
      </c>
      <c r="AS119" s="48">
        <f t="shared" si="222"/>
        <v>14434.116359105454</v>
      </c>
      <c r="AT119" s="48">
        <f t="shared" si="153"/>
        <v>0</v>
      </c>
      <c r="AU119" s="59">
        <f t="shared" si="223"/>
        <v>1.4999999999999999E-2</v>
      </c>
      <c r="AV119" s="48">
        <f t="shared" si="224"/>
        <v>0</v>
      </c>
      <c r="AW119" s="48">
        <f t="shared" si="225"/>
        <v>14434.116359105454</v>
      </c>
      <c r="AY119" s="56">
        <f t="shared" si="188"/>
        <v>130</v>
      </c>
      <c r="AZ119" s="48">
        <f t="shared" si="189"/>
        <v>13000</v>
      </c>
      <c r="BA119" s="48">
        <f t="shared" si="183"/>
        <v>13000</v>
      </c>
      <c r="BB119" s="48">
        <f t="shared" si="245"/>
        <v>14019.687499999998</v>
      </c>
      <c r="BC119" s="59">
        <f t="shared" si="226"/>
        <v>6.25E-2</v>
      </c>
      <c r="BD119" s="48">
        <f t="shared" si="227"/>
        <v>14384.783528645832</v>
      </c>
      <c r="BE119" s="48" t="str">
        <f t="shared" si="228"/>
        <v>nie</v>
      </c>
      <c r="BF119" s="48">
        <f t="shared" si="229"/>
        <v>91</v>
      </c>
      <c r="BG119" s="48">
        <f t="shared" si="192"/>
        <v>14047.964658203124</v>
      </c>
      <c r="BH119" s="48">
        <f t="shared" si="162"/>
        <v>0</v>
      </c>
      <c r="BI119" s="59">
        <f t="shared" si="230"/>
        <v>1.4999999999999999E-2</v>
      </c>
      <c r="BJ119" s="48">
        <f t="shared" si="231"/>
        <v>33.548467994135905</v>
      </c>
      <c r="BK119" s="48">
        <f t="shared" si="232"/>
        <v>14081.51312619726</v>
      </c>
      <c r="BL119" s="24"/>
      <c r="BM119" s="56">
        <f t="shared" si="190"/>
        <v>100</v>
      </c>
      <c r="BN119" s="48">
        <f t="shared" si="191"/>
        <v>10000</v>
      </c>
      <c r="BO119" s="48">
        <f t="shared" si="185"/>
        <v>10000</v>
      </c>
      <c r="BP119" s="48">
        <f t="shared" si="246"/>
        <v>15850.662767288386</v>
      </c>
      <c r="BQ119" s="59">
        <f t="shared" si="233"/>
        <v>6.5000000000000002E-2</v>
      </c>
      <c r="BR119" s="48">
        <f t="shared" si="234"/>
        <v>16279.951550569114</v>
      </c>
      <c r="BS119" s="48" t="str">
        <f t="shared" si="235"/>
        <v>nie</v>
      </c>
      <c r="BT119" s="48">
        <f t="shared" si="236"/>
        <v>200</v>
      </c>
      <c r="BU119" s="48">
        <f t="shared" si="170"/>
        <v>14924.760755960982</v>
      </c>
      <c r="BV119" s="48">
        <f t="shared" si="171"/>
        <v>0</v>
      </c>
      <c r="BW119" s="59">
        <f t="shared" si="237"/>
        <v>1.4999999999999999E-2</v>
      </c>
      <c r="BX119" s="48">
        <f t="shared" si="238"/>
        <v>0</v>
      </c>
      <c r="BY119" s="48">
        <f t="shared" si="239"/>
        <v>14924.760755960982</v>
      </c>
    </row>
    <row r="120" spans="1:77" s="25" customFormat="1" ht="14">
      <c r="A120" s="24"/>
      <c r="B120" s="172"/>
      <c r="C120" s="66">
        <f t="shared" si="200"/>
        <v>86</v>
      </c>
      <c r="D120" s="48">
        <f t="shared" si="201"/>
        <v>12689.302306604837</v>
      </c>
      <c r="E120" s="48">
        <f t="shared" si="202"/>
        <v>13540.188239941566</v>
      </c>
      <c r="F120" s="48">
        <f t="shared" si="203"/>
        <v>13228.615866655364</v>
      </c>
      <c r="G120" s="49">
        <f t="shared" si="204"/>
        <v>13924.034185245584</v>
      </c>
      <c r="H120" s="49">
        <f t="shared" si="205"/>
        <v>10909.304413262444</v>
      </c>
      <c r="I120" s="48">
        <f t="shared" si="206"/>
        <v>14188.262595117192</v>
      </c>
      <c r="J120" s="24"/>
      <c r="K120" s="84"/>
      <c r="L120" s="64">
        <f t="shared" si="207"/>
        <v>86</v>
      </c>
      <c r="M120" s="51">
        <f t="shared" si="194"/>
        <v>0.26893023066048372</v>
      </c>
      <c r="N120" s="51">
        <f t="shared" si="195"/>
        <v>0.35401882399415663</v>
      </c>
      <c r="O120" s="51">
        <f t="shared" si="196"/>
        <v>0.32286158666553644</v>
      </c>
      <c r="P120" s="51">
        <f t="shared" si="197"/>
        <v>0.3924034185245584</v>
      </c>
      <c r="Q120" s="51">
        <f t="shared" si="198"/>
        <v>9.0930441326244393E-2</v>
      </c>
      <c r="R120" s="51">
        <f t="shared" si="199"/>
        <v>0.41882625951171915</v>
      </c>
      <c r="S120" s="24"/>
      <c r="T120" s="45">
        <f t="shared" si="175"/>
        <v>102</v>
      </c>
      <c r="U120" s="59">
        <f t="shared" si="193"/>
        <v>0.05</v>
      </c>
      <c r="V120" s="48">
        <f t="shared" si="208"/>
        <v>15143.918298837894</v>
      </c>
      <c r="W120" s="56">
        <f t="shared" si="240"/>
        <v>108</v>
      </c>
      <c r="X120" s="48">
        <f t="shared" si="241"/>
        <v>10789.2</v>
      </c>
      <c r="Y120" s="48">
        <f t="shared" si="187"/>
        <v>10800</v>
      </c>
      <c r="Z120" s="48">
        <f t="shared" si="178"/>
        <v>10800</v>
      </c>
      <c r="AA120" s="59">
        <f t="shared" si="209"/>
        <v>1.2999999999999999E-2</v>
      </c>
      <c r="AB120" s="48">
        <f t="shared" si="210"/>
        <v>10870.199999999999</v>
      </c>
      <c r="AC120" s="48" t="str">
        <f t="shared" si="211"/>
        <v>nie</v>
      </c>
      <c r="AD120" s="48">
        <f t="shared" si="212"/>
        <v>70.199999999998909</v>
      </c>
      <c r="AE120" s="48">
        <f t="shared" si="213"/>
        <v>10800</v>
      </c>
      <c r="AF120" s="48">
        <f t="shared" si="214"/>
        <v>0</v>
      </c>
      <c r="AG120" s="59">
        <f t="shared" si="215"/>
        <v>1.4999999999999999E-2</v>
      </c>
      <c r="AH120" s="48">
        <f t="shared" si="216"/>
        <v>2400.3144160252486</v>
      </c>
      <c r="AI120" s="48">
        <f t="shared" si="217"/>
        <v>13200.314416025249</v>
      </c>
      <c r="AJ120" s="24"/>
      <c r="AK120" s="56">
        <f t="shared" si="242"/>
        <v>100</v>
      </c>
      <c r="AL120" s="48">
        <f t="shared" si="243"/>
        <v>10000</v>
      </c>
      <c r="AM120" s="48">
        <f t="shared" si="181"/>
        <v>10000</v>
      </c>
      <c r="AN120" s="48">
        <f t="shared" si="244"/>
        <v>15291.919733942133</v>
      </c>
      <c r="AO120" s="59">
        <f t="shared" si="218"/>
        <v>6.0000000000000005E-2</v>
      </c>
      <c r="AP120" s="48">
        <f t="shared" si="219"/>
        <v>15750.677325960398</v>
      </c>
      <c r="AQ120" s="48" t="str">
        <f t="shared" si="220"/>
        <v>nie</v>
      </c>
      <c r="AR120" s="48">
        <f t="shared" si="221"/>
        <v>200</v>
      </c>
      <c r="AS120" s="48">
        <f t="shared" si="222"/>
        <v>14496.048634027922</v>
      </c>
      <c r="AT120" s="48">
        <f t="shared" si="153"/>
        <v>0</v>
      </c>
      <c r="AU120" s="59">
        <f t="shared" si="223"/>
        <v>1.4999999999999999E-2</v>
      </c>
      <c r="AV120" s="48">
        <f t="shared" si="224"/>
        <v>0</v>
      </c>
      <c r="AW120" s="48">
        <f t="shared" si="225"/>
        <v>14496.048634027922</v>
      </c>
      <c r="AY120" s="56">
        <f t="shared" si="188"/>
        <v>130</v>
      </c>
      <c r="AZ120" s="48">
        <f t="shared" si="189"/>
        <v>13000</v>
      </c>
      <c r="BA120" s="48">
        <f t="shared" si="183"/>
        <v>13000</v>
      </c>
      <c r="BB120" s="48">
        <f t="shared" si="245"/>
        <v>14019.687499999998</v>
      </c>
      <c r="BC120" s="59">
        <f t="shared" si="226"/>
        <v>6.25E-2</v>
      </c>
      <c r="BD120" s="48">
        <f t="shared" si="227"/>
        <v>14457.802734374998</v>
      </c>
      <c r="BE120" s="48" t="str">
        <f t="shared" si="228"/>
        <v>nie</v>
      </c>
      <c r="BF120" s="48">
        <f t="shared" si="229"/>
        <v>91</v>
      </c>
      <c r="BG120" s="48">
        <f t="shared" si="192"/>
        <v>14107.110214843749</v>
      </c>
      <c r="BH120" s="48">
        <f t="shared" si="162"/>
        <v>0</v>
      </c>
      <c r="BI120" s="59">
        <f t="shared" si="230"/>
        <v>1.4999999999999999E-2</v>
      </c>
      <c r="BJ120" s="48">
        <f t="shared" si="231"/>
        <v>33.58243581797997</v>
      </c>
      <c r="BK120" s="48">
        <f t="shared" si="232"/>
        <v>14140.692650661729</v>
      </c>
      <c r="BL120" s="24"/>
      <c r="BM120" s="56">
        <f t="shared" si="190"/>
        <v>100</v>
      </c>
      <c r="BN120" s="48">
        <f t="shared" si="191"/>
        <v>10000</v>
      </c>
      <c r="BO120" s="48">
        <f t="shared" si="185"/>
        <v>10000</v>
      </c>
      <c r="BP120" s="48">
        <f t="shared" si="246"/>
        <v>15850.662767288386</v>
      </c>
      <c r="BQ120" s="59">
        <f t="shared" si="233"/>
        <v>6.5000000000000002E-2</v>
      </c>
      <c r="BR120" s="48">
        <f t="shared" si="234"/>
        <v>16365.809307225258</v>
      </c>
      <c r="BS120" s="48" t="str">
        <f t="shared" si="235"/>
        <v>nie</v>
      </c>
      <c r="BT120" s="48">
        <f t="shared" si="236"/>
        <v>200</v>
      </c>
      <c r="BU120" s="48">
        <f t="shared" si="170"/>
        <v>14994.305538852459</v>
      </c>
      <c r="BV120" s="48">
        <f t="shared" si="171"/>
        <v>0</v>
      </c>
      <c r="BW120" s="59">
        <f t="shared" si="237"/>
        <v>1.4999999999999999E-2</v>
      </c>
      <c r="BX120" s="48">
        <f t="shared" si="238"/>
        <v>0</v>
      </c>
      <c r="BY120" s="48">
        <f t="shared" si="239"/>
        <v>14994.305538852459</v>
      </c>
    </row>
    <row r="121" spans="1:77" s="25" customFormat="1" ht="14">
      <c r="A121" s="24"/>
      <c r="B121" s="172"/>
      <c r="C121" s="66">
        <f t="shared" si="200"/>
        <v>87</v>
      </c>
      <c r="D121" s="48">
        <f t="shared" si="201"/>
        <v>12731.963191165274</v>
      </c>
      <c r="E121" s="48">
        <f t="shared" si="202"/>
        <v>13598.614914396721</v>
      </c>
      <c r="F121" s="48">
        <f t="shared" si="203"/>
        <v>13284.315728997695</v>
      </c>
      <c r="G121" s="49">
        <f t="shared" si="204"/>
        <v>13989.334450871389</v>
      </c>
      <c r="H121" s="49">
        <f t="shared" si="205"/>
        <v>10920.350083980873</v>
      </c>
      <c r="I121" s="48">
        <f t="shared" si="206"/>
        <v>14246.891779394537</v>
      </c>
      <c r="J121" s="24"/>
      <c r="K121" s="84"/>
      <c r="L121" s="64">
        <f t="shared" si="207"/>
        <v>87</v>
      </c>
      <c r="M121" s="51">
        <f t="shared" si="194"/>
        <v>0.27319631911652742</v>
      </c>
      <c r="N121" s="51">
        <f t="shared" si="195"/>
        <v>0.35986149143967205</v>
      </c>
      <c r="O121" s="51">
        <f t="shared" si="196"/>
        <v>0.32843157289976954</v>
      </c>
      <c r="P121" s="51">
        <f t="shared" si="197"/>
        <v>0.3989334450871389</v>
      </c>
      <c r="Q121" s="51">
        <f t="shared" si="198"/>
        <v>9.2035008398087204E-2</v>
      </c>
      <c r="R121" s="51">
        <f t="shared" si="199"/>
        <v>0.42468917793945371</v>
      </c>
      <c r="S121" s="24"/>
      <c r="T121" s="45">
        <f t="shared" si="175"/>
        <v>103</v>
      </c>
      <c r="U121" s="59">
        <f t="shared" si="193"/>
        <v>0.05</v>
      </c>
      <c r="V121" s="48">
        <f t="shared" si="208"/>
        <v>15205.478942329106</v>
      </c>
      <c r="W121" s="56">
        <f t="shared" si="240"/>
        <v>108</v>
      </c>
      <c r="X121" s="48">
        <f t="shared" si="241"/>
        <v>10789.2</v>
      </c>
      <c r="Y121" s="48">
        <f t="shared" si="187"/>
        <v>10800</v>
      </c>
      <c r="Z121" s="48">
        <f t="shared" si="178"/>
        <v>10800</v>
      </c>
      <c r="AA121" s="59">
        <f t="shared" si="209"/>
        <v>1.2999999999999999E-2</v>
      </c>
      <c r="AB121" s="48">
        <f t="shared" si="210"/>
        <v>10881.9</v>
      </c>
      <c r="AC121" s="48" t="str">
        <f t="shared" si="211"/>
        <v>nie</v>
      </c>
      <c r="AD121" s="48">
        <f t="shared" si="212"/>
        <v>75.599999999999994</v>
      </c>
      <c r="AE121" s="48">
        <f t="shared" si="213"/>
        <v>10805.102999999999</v>
      </c>
      <c r="AF121" s="48">
        <f t="shared" si="214"/>
        <v>0</v>
      </c>
      <c r="AG121" s="59">
        <f t="shared" si="215"/>
        <v>1.4999999999999999E-2</v>
      </c>
      <c r="AH121" s="48">
        <f t="shared" si="216"/>
        <v>2402.7447343714744</v>
      </c>
      <c r="AI121" s="48">
        <f t="shared" si="217"/>
        <v>13207.847734371473</v>
      </c>
      <c r="AJ121" s="24"/>
      <c r="AK121" s="56">
        <f t="shared" si="242"/>
        <v>100</v>
      </c>
      <c r="AL121" s="48">
        <f t="shared" si="243"/>
        <v>10000</v>
      </c>
      <c r="AM121" s="48">
        <f t="shared" si="181"/>
        <v>10000</v>
      </c>
      <c r="AN121" s="48">
        <f t="shared" si="244"/>
        <v>15291.919733942133</v>
      </c>
      <c r="AO121" s="59">
        <f t="shared" si="218"/>
        <v>6.0000000000000005E-2</v>
      </c>
      <c r="AP121" s="48">
        <f t="shared" si="219"/>
        <v>15827.136924630107</v>
      </c>
      <c r="AQ121" s="48" t="str">
        <f t="shared" si="220"/>
        <v>nie</v>
      </c>
      <c r="AR121" s="48">
        <f t="shared" si="221"/>
        <v>200</v>
      </c>
      <c r="AS121" s="48">
        <f t="shared" si="222"/>
        <v>14557.980908950387</v>
      </c>
      <c r="AT121" s="48">
        <f t="shared" si="153"/>
        <v>0</v>
      </c>
      <c r="AU121" s="59">
        <f t="shared" si="223"/>
        <v>1.4999999999999999E-2</v>
      </c>
      <c r="AV121" s="48">
        <f t="shared" si="224"/>
        <v>0</v>
      </c>
      <c r="AW121" s="48">
        <f t="shared" si="225"/>
        <v>14557.980908950387</v>
      </c>
      <c r="AY121" s="56">
        <f t="shared" si="188"/>
        <v>130</v>
      </c>
      <c r="AZ121" s="48">
        <f t="shared" si="189"/>
        <v>13000</v>
      </c>
      <c r="BA121" s="48">
        <f t="shared" si="183"/>
        <v>13000</v>
      </c>
      <c r="BB121" s="48">
        <f t="shared" si="245"/>
        <v>14019.687499999998</v>
      </c>
      <c r="BC121" s="59">
        <f t="shared" si="226"/>
        <v>6.25E-2</v>
      </c>
      <c r="BD121" s="48">
        <f t="shared" si="227"/>
        <v>14530.821940104164</v>
      </c>
      <c r="BE121" s="48" t="str">
        <f t="shared" si="228"/>
        <v>nie</v>
      </c>
      <c r="BF121" s="48">
        <f t="shared" si="229"/>
        <v>91</v>
      </c>
      <c r="BG121" s="48">
        <f t="shared" si="192"/>
        <v>14166.255771484373</v>
      </c>
      <c r="BH121" s="48">
        <f t="shared" si="162"/>
        <v>0</v>
      </c>
      <c r="BI121" s="59">
        <f t="shared" si="230"/>
        <v>1.4999999999999999E-2</v>
      </c>
      <c r="BJ121" s="48">
        <f t="shared" si="231"/>
        <v>33.616438034245675</v>
      </c>
      <c r="BK121" s="48">
        <f t="shared" si="232"/>
        <v>14199.872209518619</v>
      </c>
      <c r="BL121" s="24"/>
      <c r="BM121" s="56">
        <f t="shared" si="190"/>
        <v>100</v>
      </c>
      <c r="BN121" s="48">
        <f t="shared" si="191"/>
        <v>10000</v>
      </c>
      <c r="BO121" s="48">
        <f t="shared" si="185"/>
        <v>10000</v>
      </c>
      <c r="BP121" s="48">
        <f t="shared" si="246"/>
        <v>15850.662767288386</v>
      </c>
      <c r="BQ121" s="59">
        <f t="shared" si="233"/>
        <v>6.5000000000000002E-2</v>
      </c>
      <c r="BR121" s="48">
        <f t="shared" si="234"/>
        <v>16451.667063881403</v>
      </c>
      <c r="BS121" s="48" t="str">
        <f t="shared" si="235"/>
        <v>nie</v>
      </c>
      <c r="BT121" s="48">
        <f t="shared" si="236"/>
        <v>200</v>
      </c>
      <c r="BU121" s="48">
        <f t="shared" si="170"/>
        <v>15063.850321743936</v>
      </c>
      <c r="BV121" s="48">
        <f t="shared" si="171"/>
        <v>0</v>
      </c>
      <c r="BW121" s="59">
        <f t="shared" si="237"/>
        <v>1.4999999999999999E-2</v>
      </c>
      <c r="BX121" s="48">
        <f t="shared" si="238"/>
        <v>0</v>
      </c>
      <c r="BY121" s="48">
        <f t="shared" si="239"/>
        <v>15063.850321743936</v>
      </c>
    </row>
    <row r="122" spans="1:77" s="25" customFormat="1" ht="14">
      <c r="A122" s="24"/>
      <c r="B122" s="172"/>
      <c r="C122" s="66">
        <f t="shared" si="200"/>
        <v>88</v>
      </c>
      <c r="D122" s="48">
        <f t="shared" si="201"/>
        <v>12774.626400308831</v>
      </c>
      <c r="E122" s="48">
        <f t="shared" si="202"/>
        <v>13657.041588851878</v>
      </c>
      <c r="F122" s="48">
        <f t="shared" si="203"/>
        <v>13340.015625214321</v>
      </c>
      <c r="G122" s="49">
        <f t="shared" si="204"/>
        <v>14054.634716497187</v>
      </c>
      <c r="H122" s="49">
        <f t="shared" si="205"/>
        <v>10931.406938440905</v>
      </c>
      <c r="I122" s="48">
        <f t="shared" si="206"/>
        <v>14305.520963671879</v>
      </c>
      <c r="J122" s="24"/>
      <c r="K122" s="84"/>
      <c r="L122" s="64">
        <f t="shared" si="207"/>
        <v>88</v>
      </c>
      <c r="M122" s="51">
        <f t="shared" si="194"/>
        <v>0.27746264003088306</v>
      </c>
      <c r="N122" s="51">
        <f t="shared" si="195"/>
        <v>0.36570415888518792</v>
      </c>
      <c r="O122" s="51">
        <f t="shared" si="196"/>
        <v>0.33400156252143209</v>
      </c>
      <c r="P122" s="51">
        <f t="shared" si="197"/>
        <v>0.40546347164971874</v>
      </c>
      <c r="Q122" s="51">
        <f t="shared" si="198"/>
        <v>9.3140693844090405E-2</v>
      </c>
      <c r="R122" s="51">
        <f t="shared" si="199"/>
        <v>0.43055209636718783</v>
      </c>
      <c r="S122" s="24"/>
      <c r="T122" s="45">
        <f t="shared" si="175"/>
        <v>104</v>
      </c>
      <c r="U122" s="59">
        <f t="shared" si="193"/>
        <v>0.05</v>
      </c>
      <c r="V122" s="48">
        <f t="shared" si="208"/>
        <v>15267.039585820319</v>
      </c>
      <c r="W122" s="56">
        <f t="shared" si="240"/>
        <v>108</v>
      </c>
      <c r="X122" s="48">
        <f t="shared" si="241"/>
        <v>10789.2</v>
      </c>
      <c r="Y122" s="48">
        <f t="shared" si="187"/>
        <v>10800</v>
      </c>
      <c r="Z122" s="48">
        <f t="shared" si="178"/>
        <v>10800</v>
      </c>
      <c r="AA122" s="59">
        <f t="shared" si="209"/>
        <v>1.2999999999999999E-2</v>
      </c>
      <c r="AB122" s="48">
        <f t="shared" si="210"/>
        <v>10893.599999999999</v>
      </c>
      <c r="AC122" s="48" t="str">
        <f t="shared" si="211"/>
        <v>nie</v>
      </c>
      <c r="AD122" s="48">
        <f t="shared" si="212"/>
        <v>75.599999999999994</v>
      </c>
      <c r="AE122" s="48">
        <f t="shared" si="213"/>
        <v>10814.579999999998</v>
      </c>
      <c r="AF122" s="48">
        <f t="shared" si="214"/>
        <v>0</v>
      </c>
      <c r="AG122" s="59">
        <f t="shared" si="215"/>
        <v>1.4999999999999999E-2</v>
      </c>
      <c r="AH122" s="48">
        <f t="shared" si="216"/>
        <v>2405.1775134150257</v>
      </c>
      <c r="AI122" s="48">
        <f t="shared" si="217"/>
        <v>13219.757513415025</v>
      </c>
      <c r="AJ122" s="24"/>
      <c r="AK122" s="56">
        <f t="shared" si="242"/>
        <v>100</v>
      </c>
      <c r="AL122" s="48">
        <f t="shared" si="243"/>
        <v>10000</v>
      </c>
      <c r="AM122" s="48">
        <f t="shared" si="181"/>
        <v>10000</v>
      </c>
      <c r="AN122" s="48">
        <f t="shared" si="244"/>
        <v>15291.919733942133</v>
      </c>
      <c r="AO122" s="59">
        <f t="shared" si="218"/>
        <v>6.0000000000000005E-2</v>
      </c>
      <c r="AP122" s="48">
        <f t="shared" si="219"/>
        <v>15903.596523299819</v>
      </c>
      <c r="AQ122" s="48" t="str">
        <f t="shared" si="220"/>
        <v>nie</v>
      </c>
      <c r="AR122" s="48">
        <f t="shared" si="221"/>
        <v>200</v>
      </c>
      <c r="AS122" s="48">
        <f t="shared" si="222"/>
        <v>14619.913183872854</v>
      </c>
      <c r="AT122" s="48">
        <f t="shared" si="153"/>
        <v>0</v>
      </c>
      <c r="AU122" s="59">
        <f t="shared" si="223"/>
        <v>1.4999999999999999E-2</v>
      </c>
      <c r="AV122" s="48">
        <f t="shared" si="224"/>
        <v>0</v>
      </c>
      <c r="AW122" s="48">
        <f t="shared" si="225"/>
        <v>14619.913183872854</v>
      </c>
      <c r="AY122" s="56">
        <f t="shared" si="188"/>
        <v>130</v>
      </c>
      <c r="AZ122" s="48">
        <f t="shared" si="189"/>
        <v>13000</v>
      </c>
      <c r="BA122" s="48">
        <f t="shared" si="183"/>
        <v>13000</v>
      </c>
      <c r="BB122" s="48">
        <f t="shared" si="245"/>
        <v>14019.687499999998</v>
      </c>
      <c r="BC122" s="59">
        <f t="shared" si="226"/>
        <v>6.25E-2</v>
      </c>
      <c r="BD122" s="48">
        <f t="shared" si="227"/>
        <v>14603.841145833332</v>
      </c>
      <c r="BE122" s="48" t="str">
        <f t="shared" si="228"/>
        <v>nie</v>
      </c>
      <c r="BF122" s="48">
        <f t="shared" si="229"/>
        <v>91</v>
      </c>
      <c r="BG122" s="48">
        <f t="shared" si="192"/>
        <v>14225.401328124999</v>
      </c>
      <c r="BH122" s="48">
        <f t="shared" si="162"/>
        <v>0</v>
      </c>
      <c r="BI122" s="59">
        <f t="shared" si="230"/>
        <v>1.4999999999999999E-2</v>
      </c>
      <c r="BJ122" s="48">
        <f t="shared" si="231"/>
        <v>33.650474677755355</v>
      </c>
      <c r="BK122" s="48">
        <f t="shared" si="232"/>
        <v>14259.051802802755</v>
      </c>
      <c r="BL122" s="24"/>
      <c r="BM122" s="56">
        <f t="shared" si="190"/>
        <v>100</v>
      </c>
      <c r="BN122" s="48">
        <f t="shared" si="191"/>
        <v>10000</v>
      </c>
      <c r="BO122" s="48">
        <f t="shared" si="185"/>
        <v>10000</v>
      </c>
      <c r="BP122" s="48">
        <f t="shared" si="246"/>
        <v>15850.662767288386</v>
      </c>
      <c r="BQ122" s="59">
        <f t="shared" si="233"/>
        <v>6.5000000000000002E-2</v>
      </c>
      <c r="BR122" s="48">
        <f t="shared" si="234"/>
        <v>16537.52482053755</v>
      </c>
      <c r="BS122" s="48" t="str">
        <f t="shared" si="235"/>
        <v>nie</v>
      </c>
      <c r="BT122" s="48">
        <f t="shared" si="236"/>
        <v>200</v>
      </c>
      <c r="BU122" s="48">
        <f t="shared" si="170"/>
        <v>15133.395104635416</v>
      </c>
      <c r="BV122" s="48">
        <f t="shared" si="171"/>
        <v>0</v>
      </c>
      <c r="BW122" s="59">
        <f t="shared" si="237"/>
        <v>1.4999999999999999E-2</v>
      </c>
      <c r="BX122" s="48">
        <f t="shared" si="238"/>
        <v>0</v>
      </c>
      <c r="BY122" s="48">
        <f t="shared" si="239"/>
        <v>15133.395104635416</v>
      </c>
    </row>
    <row r="123" spans="1:77" s="25" customFormat="1" ht="14">
      <c r="A123" s="24"/>
      <c r="B123" s="172"/>
      <c r="C123" s="66">
        <f t="shared" si="200"/>
        <v>89</v>
      </c>
      <c r="D123" s="48">
        <f t="shared" si="201"/>
        <v>12817.291936389141</v>
      </c>
      <c r="E123" s="48">
        <f t="shared" si="202"/>
        <v>13715.468263307033</v>
      </c>
      <c r="F123" s="48">
        <f t="shared" si="203"/>
        <v>13395.715555339539</v>
      </c>
      <c r="G123" s="49">
        <f t="shared" si="204"/>
        <v>14119.934982122988</v>
      </c>
      <c r="H123" s="49">
        <f t="shared" si="205"/>
        <v>10942.474987966078</v>
      </c>
      <c r="I123" s="48">
        <f t="shared" si="206"/>
        <v>14364.150147949224</v>
      </c>
      <c r="J123" s="24"/>
      <c r="K123" s="84"/>
      <c r="L123" s="64">
        <f t="shared" si="207"/>
        <v>89</v>
      </c>
      <c r="M123" s="51">
        <f t="shared" si="194"/>
        <v>0.28172919363891413</v>
      </c>
      <c r="N123" s="51">
        <f t="shared" si="195"/>
        <v>0.37154682633070335</v>
      </c>
      <c r="O123" s="51">
        <f t="shared" si="196"/>
        <v>0.33957155553395379</v>
      </c>
      <c r="P123" s="51">
        <f t="shared" si="197"/>
        <v>0.4119934982122988</v>
      </c>
      <c r="Q123" s="51">
        <f t="shared" si="198"/>
        <v>9.4247498796607765E-2</v>
      </c>
      <c r="R123" s="51">
        <f t="shared" si="199"/>
        <v>0.4364150147949224</v>
      </c>
      <c r="S123" s="24"/>
      <c r="T123" s="45">
        <f t="shared" si="175"/>
        <v>105</v>
      </c>
      <c r="U123" s="59">
        <f t="shared" si="193"/>
        <v>0.05</v>
      </c>
      <c r="V123" s="48">
        <f t="shared" si="208"/>
        <v>15328.600229311531</v>
      </c>
      <c r="W123" s="56">
        <f t="shared" si="240"/>
        <v>108</v>
      </c>
      <c r="X123" s="48">
        <f t="shared" si="241"/>
        <v>10789.2</v>
      </c>
      <c r="Y123" s="48">
        <f t="shared" si="187"/>
        <v>10800</v>
      </c>
      <c r="Z123" s="48">
        <f t="shared" si="178"/>
        <v>10800</v>
      </c>
      <c r="AA123" s="59">
        <f t="shared" si="209"/>
        <v>1.2999999999999999E-2</v>
      </c>
      <c r="AB123" s="48">
        <f t="shared" si="210"/>
        <v>10905.3</v>
      </c>
      <c r="AC123" s="48" t="str">
        <f t="shared" si="211"/>
        <v>nie</v>
      </c>
      <c r="AD123" s="48">
        <f t="shared" si="212"/>
        <v>75.599999999999994</v>
      </c>
      <c r="AE123" s="48">
        <f t="shared" si="213"/>
        <v>10824.056999999999</v>
      </c>
      <c r="AF123" s="48">
        <f t="shared" si="214"/>
        <v>0</v>
      </c>
      <c r="AG123" s="59">
        <f t="shared" si="215"/>
        <v>1.4999999999999999E-2</v>
      </c>
      <c r="AH123" s="48">
        <f t="shared" si="216"/>
        <v>2407.6127556473584</v>
      </c>
      <c r="AI123" s="48">
        <f t="shared" si="217"/>
        <v>13231.669755647357</v>
      </c>
      <c r="AJ123" s="24"/>
      <c r="AK123" s="56">
        <f t="shared" si="242"/>
        <v>100</v>
      </c>
      <c r="AL123" s="48">
        <f t="shared" si="243"/>
        <v>10000</v>
      </c>
      <c r="AM123" s="48">
        <f t="shared" si="181"/>
        <v>10000</v>
      </c>
      <c r="AN123" s="48">
        <f t="shared" si="244"/>
        <v>15291.919733942133</v>
      </c>
      <c r="AO123" s="59">
        <f t="shared" si="218"/>
        <v>6.0000000000000005E-2</v>
      </c>
      <c r="AP123" s="48">
        <f t="shared" si="219"/>
        <v>15980.056121969528</v>
      </c>
      <c r="AQ123" s="48" t="str">
        <f t="shared" si="220"/>
        <v>nie</v>
      </c>
      <c r="AR123" s="48">
        <f t="shared" si="221"/>
        <v>200</v>
      </c>
      <c r="AS123" s="48">
        <f t="shared" si="222"/>
        <v>14681.845458795318</v>
      </c>
      <c r="AT123" s="48">
        <f t="shared" si="153"/>
        <v>0</v>
      </c>
      <c r="AU123" s="59">
        <f t="shared" si="223"/>
        <v>1.4999999999999999E-2</v>
      </c>
      <c r="AV123" s="48">
        <f t="shared" si="224"/>
        <v>0</v>
      </c>
      <c r="AW123" s="48">
        <f t="shared" si="225"/>
        <v>14681.845458795318</v>
      </c>
      <c r="AY123" s="56">
        <f t="shared" si="188"/>
        <v>130</v>
      </c>
      <c r="AZ123" s="48">
        <f t="shared" si="189"/>
        <v>13000</v>
      </c>
      <c r="BA123" s="48">
        <f t="shared" si="183"/>
        <v>13000</v>
      </c>
      <c r="BB123" s="48">
        <f t="shared" si="245"/>
        <v>14019.687499999998</v>
      </c>
      <c r="BC123" s="59">
        <f t="shared" si="226"/>
        <v>6.25E-2</v>
      </c>
      <c r="BD123" s="48">
        <f t="shared" si="227"/>
        <v>14676.860351562498</v>
      </c>
      <c r="BE123" s="48" t="str">
        <f t="shared" si="228"/>
        <v>nie</v>
      </c>
      <c r="BF123" s="48">
        <f t="shared" si="229"/>
        <v>91</v>
      </c>
      <c r="BG123" s="48">
        <f t="shared" si="192"/>
        <v>14284.546884765623</v>
      </c>
      <c r="BH123" s="48">
        <f t="shared" si="162"/>
        <v>0</v>
      </c>
      <c r="BI123" s="59">
        <f t="shared" si="230"/>
        <v>1.4999999999999999E-2</v>
      </c>
      <c r="BJ123" s="48">
        <f t="shared" si="231"/>
        <v>33.684545783366588</v>
      </c>
      <c r="BK123" s="48">
        <f t="shared" si="232"/>
        <v>14318.231430548989</v>
      </c>
      <c r="BL123" s="24"/>
      <c r="BM123" s="56">
        <f t="shared" si="190"/>
        <v>100</v>
      </c>
      <c r="BN123" s="48">
        <f t="shared" si="191"/>
        <v>10000</v>
      </c>
      <c r="BO123" s="48">
        <f t="shared" si="185"/>
        <v>10000</v>
      </c>
      <c r="BP123" s="48">
        <f t="shared" si="246"/>
        <v>15850.662767288386</v>
      </c>
      <c r="BQ123" s="59">
        <f t="shared" si="233"/>
        <v>6.5000000000000002E-2</v>
      </c>
      <c r="BR123" s="48">
        <f t="shared" si="234"/>
        <v>16623.382577193697</v>
      </c>
      <c r="BS123" s="48" t="str">
        <f t="shared" si="235"/>
        <v>nie</v>
      </c>
      <c r="BT123" s="48">
        <f t="shared" si="236"/>
        <v>200</v>
      </c>
      <c r="BU123" s="48">
        <f t="shared" si="170"/>
        <v>15202.939887526894</v>
      </c>
      <c r="BV123" s="48">
        <f t="shared" si="171"/>
        <v>0</v>
      </c>
      <c r="BW123" s="59">
        <f t="shared" si="237"/>
        <v>1.4999999999999999E-2</v>
      </c>
      <c r="BX123" s="48">
        <f t="shared" si="238"/>
        <v>0</v>
      </c>
      <c r="BY123" s="48">
        <f t="shared" si="239"/>
        <v>15202.939887526894</v>
      </c>
    </row>
    <row r="124" spans="1:77" s="25" customFormat="1" ht="14">
      <c r="A124" s="24"/>
      <c r="B124" s="172"/>
      <c r="C124" s="66">
        <f t="shared" si="200"/>
        <v>90</v>
      </c>
      <c r="D124" s="48">
        <f t="shared" si="201"/>
        <v>12859.959801762237</v>
      </c>
      <c r="E124" s="48">
        <f t="shared" si="202"/>
        <v>13773.894937762192</v>
      </c>
      <c r="F124" s="48">
        <f t="shared" si="203"/>
        <v>13451.415519407677</v>
      </c>
      <c r="G124" s="49">
        <f t="shared" si="204"/>
        <v>14185.235247748788</v>
      </c>
      <c r="H124" s="49">
        <f t="shared" si="205"/>
        <v>10953.554243891394</v>
      </c>
      <c r="I124" s="48">
        <f t="shared" si="206"/>
        <v>14422.779332226566</v>
      </c>
      <c r="J124" s="24"/>
      <c r="K124" s="84"/>
      <c r="L124" s="64">
        <f t="shared" si="207"/>
        <v>90</v>
      </c>
      <c r="M124" s="51">
        <f t="shared" si="194"/>
        <v>0.28599598017622374</v>
      </c>
      <c r="N124" s="51">
        <f t="shared" si="195"/>
        <v>0.37738949377621922</v>
      </c>
      <c r="O124" s="51">
        <f t="shared" si="196"/>
        <v>0.34514155194076768</v>
      </c>
      <c r="P124" s="51">
        <f t="shared" si="197"/>
        <v>0.41852352477487864</v>
      </c>
      <c r="Q124" s="51">
        <f t="shared" si="198"/>
        <v>9.5355424389139465E-2</v>
      </c>
      <c r="R124" s="51">
        <f t="shared" si="199"/>
        <v>0.44227793322265652</v>
      </c>
      <c r="S124" s="24"/>
      <c r="T124" s="45">
        <f t="shared" si="175"/>
        <v>106</v>
      </c>
      <c r="U124" s="59">
        <f t="shared" si="193"/>
        <v>0.05</v>
      </c>
      <c r="V124" s="48">
        <f t="shared" si="208"/>
        <v>15390.160872802742</v>
      </c>
      <c r="W124" s="56">
        <f t="shared" si="240"/>
        <v>108</v>
      </c>
      <c r="X124" s="48">
        <f t="shared" si="241"/>
        <v>10789.2</v>
      </c>
      <c r="Y124" s="48">
        <f t="shared" si="187"/>
        <v>10800</v>
      </c>
      <c r="Z124" s="48">
        <f t="shared" si="178"/>
        <v>10800</v>
      </c>
      <c r="AA124" s="59">
        <f t="shared" si="209"/>
        <v>1.2999999999999999E-2</v>
      </c>
      <c r="AB124" s="48">
        <f t="shared" si="210"/>
        <v>10917</v>
      </c>
      <c r="AC124" s="48" t="str">
        <f t="shared" si="211"/>
        <v>nie</v>
      </c>
      <c r="AD124" s="48">
        <f t="shared" si="212"/>
        <v>75.599999999999994</v>
      </c>
      <c r="AE124" s="48">
        <f t="shared" si="213"/>
        <v>10833.534</v>
      </c>
      <c r="AF124" s="48">
        <f t="shared" si="214"/>
        <v>0</v>
      </c>
      <c r="AG124" s="59">
        <f t="shared" si="215"/>
        <v>1.4999999999999999E-2</v>
      </c>
      <c r="AH124" s="48">
        <f t="shared" si="216"/>
        <v>2410.0504635624516</v>
      </c>
      <c r="AI124" s="48">
        <f t="shared" si="217"/>
        <v>13243.584463562451</v>
      </c>
      <c r="AJ124" s="24"/>
      <c r="AK124" s="56">
        <f t="shared" si="242"/>
        <v>100</v>
      </c>
      <c r="AL124" s="48">
        <f t="shared" si="243"/>
        <v>10000</v>
      </c>
      <c r="AM124" s="48">
        <f t="shared" si="181"/>
        <v>10000</v>
      </c>
      <c r="AN124" s="48">
        <f t="shared" si="244"/>
        <v>15291.919733942133</v>
      </c>
      <c r="AO124" s="59">
        <f t="shared" si="218"/>
        <v>6.0000000000000005E-2</v>
      </c>
      <c r="AP124" s="48">
        <f t="shared" si="219"/>
        <v>16056.515720639241</v>
      </c>
      <c r="AQ124" s="48" t="str">
        <f t="shared" si="220"/>
        <v>nie</v>
      </c>
      <c r="AR124" s="48">
        <f t="shared" si="221"/>
        <v>200</v>
      </c>
      <c r="AS124" s="48">
        <f t="shared" si="222"/>
        <v>14743.777733717785</v>
      </c>
      <c r="AT124" s="48">
        <f t="shared" si="153"/>
        <v>0</v>
      </c>
      <c r="AU124" s="59">
        <f t="shared" si="223"/>
        <v>1.4999999999999999E-2</v>
      </c>
      <c r="AV124" s="48">
        <f t="shared" si="224"/>
        <v>0</v>
      </c>
      <c r="AW124" s="48">
        <f t="shared" si="225"/>
        <v>14743.777733717785</v>
      </c>
      <c r="AY124" s="56">
        <f t="shared" si="188"/>
        <v>130</v>
      </c>
      <c r="AZ124" s="48">
        <f t="shared" si="189"/>
        <v>13000</v>
      </c>
      <c r="BA124" s="48">
        <f t="shared" si="183"/>
        <v>13000</v>
      </c>
      <c r="BB124" s="48">
        <f t="shared" si="245"/>
        <v>14019.687499999998</v>
      </c>
      <c r="BC124" s="59">
        <f t="shared" si="226"/>
        <v>6.25E-2</v>
      </c>
      <c r="BD124" s="48">
        <f t="shared" si="227"/>
        <v>14749.879557291664</v>
      </c>
      <c r="BE124" s="48" t="str">
        <f t="shared" si="228"/>
        <v>nie</v>
      </c>
      <c r="BF124" s="48">
        <f t="shared" si="229"/>
        <v>91</v>
      </c>
      <c r="BG124" s="48">
        <f t="shared" si="192"/>
        <v>14343.692441406249</v>
      </c>
      <c r="BH124" s="48">
        <f t="shared" si="162"/>
        <v>0</v>
      </c>
      <c r="BI124" s="59">
        <f t="shared" si="230"/>
        <v>1.4999999999999999E-2</v>
      </c>
      <c r="BJ124" s="48">
        <f t="shared" si="231"/>
        <v>33.718651385972251</v>
      </c>
      <c r="BK124" s="48">
        <f t="shared" si="232"/>
        <v>14377.411092792221</v>
      </c>
      <c r="BL124" s="24"/>
      <c r="BM124" s="56">
        <f t="shared" si="190"/>
        <v>100</v>
      </c>
      <c r="BN124" s="48">
        <f t="shared" si="191"/>
        <v>10000</v>
      </c>
      <c r="BO124" s="48">
        <f t="shared" si="185"/>
        <v>10000</v>
      </c>
      <c r="BP124" s="48">
        <f t="shared" si="246"/>
        <v>15850.662767288386</v>
      </c>
      <c r="BQ124" s="59">
        <f t="shared" si="233"/>
        <v>6.5000000000000002E-2</v>
      </c>
      <c r="BR124" s="48">
        <f t="shared" si="234"/>
        <v>16709.240333849841</v>
      </c>
      <c r="BS124" s="48" t="str">
        <f t="shared" si="235"/>
        <v>nie</v>
      </c>
      <c r="BT124" s="48">
        <f t="shared" si="236"/>
        <v>200</v>
      </c>
      <c r="BU124" s="48">
        <f t="shared" si="170"/>
        <v>15272.484670418371</v>
      </c>
      <c r="BV124" s="48">
        <f t="shared" si="171"/>
        <v>0</v>
      </c>
      <c r="BW124" s="59">
        <f t="shared" si="237"/>
        <v>1.4999999999999999E-2</v>
      </c>
      <c r="BX124" s="48">
        <f t="shared" si="238"/>
        <v>0</v>
      </c>
      <c r="BY124" s="48">
        <f t="shared" si="239"/>
        <v>15272.484670418371</v>
      </c>
    </row>
    <row r="125" spans="1:77" s="25" customFormat="1" ht="14">
      <c r="A125" s="24"/>
      <c r="B125" s="172"/>
      <c r="C125" s="66">
        <f t="shared" si="200"/>
        <v>91</v>
      </c>
      <c r="D125" s="48">
        <f t="shared" si="201"/>
        <v>12902.62999878652</v>
      </c>
      <c r="E125" s="48">
        <f t="shared" si="202"/>
        <v>13832.321612217345</v>
      </c>
      <c r="F125" s="48">
        <f t="shared" si="203"/>
        <v>13507.115517453109</v>
      </c>
      <c r="G125" s="49">
        <f t="shared" si="204"/>
        <v>14250.535513374589</v>
      </c>
      <c r="H125" s="49">
        <f t="shared" si="205"/>
        <v>10964.644717563335</v>
      </c>
      <c r="I125" s="48">
        <f t="shared" si="206"/>
        <v>14481.408516503911</v>
      </c>
      <c r="J125" s="24"/>
      <c r="K125" s="84"/>
      <c r="L125" s="64">
        <f t="shared" si="207"/>
        <v>91</v>
      </c>
      <c r="M125" s="51">
        <f t="shared" si="194"/>
        <v>0.29026299987865212</v>
      </c>
      <c r="N125" s="51">
        <f t="shared" si="195"/>
        <v>0.38323216122173442</v>
      </c>
      <c r="O125" s="51">
        <f t="shared" si="196"/>
        <v>0.35071155174531077</v>
      </c>
      <c r="P125" s="51">
        <f t="shared" si="197"/>
        <v>0.42505355133745892</v>
      </c>
      <c r="Q125" s="51">
        <f t="shared" si="198"/>
        <v>9.6464471756333436E-2</v>
      </c>
      <c r="R125" s="51">
        <f t="shared" si="199"/>
        <v>0.44814085165039108</v>
      </c>
      <c r="S125" s="24"/>
      <c r="T125" s="45">
        <f t="shared" si="175"/>
        <v>107</v>
      </c>
      <c r="U125" s="59">
        <f t="shared" si="193"/>
        <v>0.05</v>
      </c>
      <c r="V125" s="48">
        <f t="shared" si="208"/>
        <v>15451.721516293952</v>
      </c>
      <c r="W125" s="56">
        <f t="shared" si="240"/>
        <v>108</v>
      </c>
      <c r="X125" s="48">
        <f t="shared" si="241"/>
        <v>10789.2</v>
      </c>
      <c r="Y125" s="48">
        <f t="shared" si="187"/>
        <v>10800</v>
      </c>
      <c r="Z125" s="48">
        <f t="shared" si="178"/>
        <v>10800</v>
      </c>
      <c r="AA125" s="59">
        <f t="shared" si="209"/>
        <v>1.2999999999999999E-2</v>
      </c>
      <c r="AB125" s="48">
        <f t="shared" si="210"/>
        <v>10928.699999999999</v>
      </c>
      <c r="AC125" s="48" t="str">
        <f t="shared" si="211"/>
        <v>nie</v>
      </c>
      <c r="AD125" s="48">
        <f t="shared" si="212"/>
        <v>75.599999999999994</v>
      </c>
      <c r="AE125" s="48">
        <f t="shared" si="213"/>
        <v>10843.010999999999</v>
      </c>
      <c r="AF125" s="48">
        <f t="shared" si="214"/>
        <v>0</v>
      </c>
      <c r="AG125" s="59">
        <f t="shared" si="215"/>
        <v>1.4999999999999999E-2</v>
      </c>
      <c r="AH125" s="48">
        <f t="shared" si="216"/>
        <v>2412.4906396568085</v>
      </c>
      <c r="AI125" s="48">
        <f t="shared" si="217"/>
        <v>13255.501639656806</v>
      </c>
      <c r="AJ125" s="24"/>
      <c r="AK125" s="56">
        <f t="shared" si="242"/>
        <v>100</v>
      </c>
      <c r="AL125" s="48">
        <f t="shared" si="243"/>
        <v>10000</v>
      </c>
      <c r="AM125" s="48">
        <f t="shared" si="181"/>
        <v>10000</v>
      </c>
      <c r="AN125" s="48">
        <f t="shared" si="244"/>
        <v>15291.919733942133</v>
      </c>
      <c r="AO125" s="59">
        <f t="shared" si="218"/>
        <v>6.0000000000000005E-2</v>
      </c>
      <c r="AP125" s="48">
        <f t="shared" si="219"/>
        <v>16132.975319308949</v>
      </c>
      <c r="AQ125" s="48" t="str">
        <f t="shared" si="220"/>
        <v>nie</v>
      </c>
      <c r="AR125" s="48">
        <f t="shared" si="221"/>
        <v>200</v>
      </c>
      <c r="AS125" s="48">
        <f t="shared" si="222"/>
        <v>14805.71000864025</v>
      </c>
      <c r="AT125" s="48">
        <f t="shared" si="153"/>
        <v>0</v>
      </c>
      <c r="AU125" s="59">
        <f t="shared" si="223"/>
        <v>1.4999999999999999E-2</v>
      </c>
      <c r="AV125" s="48">
        <f t="shared" si="224"/>
        <v>0</v>
      </c>
      <c r="AW125" s="48">
        <f t="shared" si="225"/>
        <v>14805.71000864025</v>
      </c>
      <c r="AY125" s="56">
        <f t="shared" si="188"/>
        <v>130</v>
      </c>
      <c r="AZ125" s="48">
        <f t="shared" si="189"/>
        <v>13000</v>
      </c>
      <c r="BA125" s="48">
        <f t="shared" si="183"/>
        <v>13000</v>
      </c>
      <c r="BB125" s="48">
        <f t="shared" si="245"/>
        <v>14019.687499999998</v>
      </c>
      <c r="BC125" s="59">
        <f t="shared" si="226"/>
        <v>6.25E-2</v>
      </c>
      <c r="BD125" s="48">
        <f t="shared" si="227"/>
        <v>14822.898763020832</v>
      </c>
      <c r="BE125" s="48" t="str">
        <f t="shared" si="228"/>
        <v>nie</v>
      </c>
      <c r="BF125" s="48">
        <f t="shared" si="229"/>
        <v>91</v>
      </c>
      <c r="BG125" s="48">
        <f t="shared" si="192"/>
        <v>14402.837998046874</v>
      </c>
      <c r="BH125" s="48">
        <f t="shared" si="162"/>
        <v>0</v>
      </c>
      <c r="BI125" s="59">
        <f t="shared" si="230"/>
        <v>1.4999999999999999E-2</v>
      </c>
      <c r="BJ125" s="48">
        <f t="shared" si="231"/>
        <v>33.752791520500551</v>
      </c>
      <c r="BK125" s="48">
        <f t="shared" si="232"/>
        <v>14436.590789567375</v>
      </c>
      <c r="BL125" s="24"/>
      <c r="BM125" s="56">
        <f t="shared" si="190"/>
        <v>100</v>
      </c>
      <c r="BN125" s="48">
        <f t="shared" si="191"/>
        <v>10000</v>
      </c>
      <c r="BO125" s="48">
        <f t="shared" si="185"/>
        <v>10000</v>
      </c>
      <c r="BP125" s="48">
        <f t="shared" si="246"/>
        <v>15850.662767288386</v>
      </c>
      <c r="BQ125" s="59">
        <f t="shared" si="233"/>
        <v>6.5000000000000002E-2</v>
      </c>
      <c r="BR125" s="48">
        <f t="shared" si="234"/>
        <v>16795.098090505984</v>
      </c>
      <c r="BS125" s="48" t="str">
        <f t="shared" si="235"/>
        <v>nie</v>
      </c>
      <c r="BT125" s="48">
        <f t="shared" si="236"/>
        <v>200</v>
      </c>
      <c r="BU125" s="48">
        <f t="shared" si="170"/>
        <v>15342.029453309848</v>
      </c>
      <c r="BV125" s="48">
        <f t="shared" si="171"/>
        <v>0</v>
      </c>
      <c r="BW125" s="59">
        <f t="shared" si="237"/>
        <v>1.4999999999999999E-2</v>
      </c>
      <c r="BX125" s="48">
        <f t="shared" si="238"/>
        <v>0</v>
      </c>
      <c r="BY125" s="48">
        <f t="shared" si="239"/>
        <v>15342.029453309848</v>
      </c>
    </row>
    <row r="126" spans="1:77" s="25" customFormat="1" ht="14">
      <c r="A126" s="24"/>
      <c r="B126" s="172"/>
      <c r="C126" s="66">
        <f t="shared" si="200"/>
        <v>92</v>
      </c>
      <c r="D126" s="48">
        <f t="shared" si="201"/>
        <v>12945.302529822793</v>
      </c>
      <c r="E126" s="48">
        <f t="shared" si="202"/>
        <v>13890.748286672504</v>
      </c>
      <c r="F126" s="48">
        <f t="shared" si="203"/>
        <v>13562.815549510235</v>
      </c>
      <c r="G126" s="49">
        <f t="shared" si="204"/>
        <v>14315.83577900039</v>
      </c>
      <c r="H126" s="49">
        <f t="shared" si="205"/>
        <v>10975.746420339869</v>
      </c>
      <c r="I126" s="48">
        <f t="shared" si="206"/>
        <v>14540.037700781257</v>
      </c>
      <c r="J126" s="24"/>
      <c r="K126" s="84"/>
      <c r="L126" s="64">
        <f t="shared" si="207"/>
        <v>92</v>
      </c>
      <c r="M126" s="51">
        <f t="shared" si="194"/>
        <v>0.29453025298227931</v>
      </c>
      <c r="N126" s="51">
        <f t="shared" si="195"/>
        <v>0.38907482866725029</v>
      </c>
      <c r="O126" s="51">
        <f t="shared" si="196"/>
        <v>0.35628155495102343</v>
      </c>
      <c r="P126" s="51">
        <f t="shared" si="197"/>
        <v>0.43158357790003898</v>
      </c>
      <c r="Q126" s="51">
        <f t="shared" si="198"/>
        <v>9.7574642033986914E-2</v>
      </c>
      <c r="R126" s="51">
        <f t="shared" si="199"/>
        <v>0.45400377007812565</v>
      </c>
      <c r="S126" s="24"/>
      <c r="T126" s="45">
        <f t="shared" si="175"/>
        <v>108</v>
      </c>
      <c r="U126" s="59">
        <f t="shared" si="193"/>
        <v>0.05</v>
      </c>
      <c r="V126" s="48">
        <f t="shared" si="208"/>
        <v>15513.282159785162</v>
      </c>
      <c r="W126" s="56">
        <f t="shared" si="240"/>
        <v>108</v>
      </c>
      <c r="X126" s="48">
        <f t="shared" si="241"/>
        <v>10789.2</v>
      </c>
      <c r="Y126" s="48">
        <f t="shared" si="187"/>
        <v>10800</v>
      </c>
      <c r="Z126" s="48">
        <f t="shared" si="178"/>
        <v>10800</v>
      </c>
      <c r="AA126" s="59">
        <f t="shared" si="209"/>
        <v>1.2999999999999999E-2</v>
      </c>
      <c r="AB126" s="48">
        <f t="shared" si="210"/>
        <v>10940.4</v>
      </c>
      <c r="AC126" s="48" t="str">
        <f t="shared" si="211"/>
        <v>nie</v>
      </c>
      <c r="AD126" s="48">
        <f t="shared" si="212"/>
        <v>75.599999999999994</v>
      </c>
      <c r="AE126" s="48">
        <f t="shared" si="213"/>
        <v>10852.487999999999</v>
      </c>
      <c r="AF126" s="48">
        <f t="shared" si="214"/>
        <v>113.72399999999972</v>
      </c>
      <c r="AG126" s="59">
        <f t="shared" si="215"/>
        <v>1.4999999999999999E-2</v>
      </c>
      <c r="AH126" s="48">
        <f t="shared" si="216"/>
        <v>2528.6572864294608</v>
      </c>
      <c r="AI126" s="48">
        <f t="shared" si="217"/>
        <v>13267.42128642946</v>
      </c>
      <c r="AJ126" s="24"/>
      <c r="AK126" s="56">
        <f t="shared" si="242"/>
        <v>100</v>
      </c>
      <c r="AL126" s="48">
        <f t="shared" si="243"/>
        <v>10000</v>
      </c>
      <c r="AM126" s="48">
        <f t="shared" si="181"/>
        <v>10000</v>
      </c>
      <c r="AN126" s="48">
        <f t="shared" si="244"/>
        <v>15291.919733942133</v>
      </c>
      <c r="AO126" s="59">
        <f t="shared" si="218"/>
        <v>6.0000000000000005E-2</v>
      </c>
      <c r="AP126" s="48">
        <f t="shared" si="219"/>
        <v>16209.434917978662</v>
      </c>
      <c r="AQ126" s="48" t="str">
        <f t="shared" si="220"/>
        <v>nie</v>
      </c>
      <c r="AR126" s="48">
        <f t="shared" si="221"/>
        <v>200</v>
      </c>
      <c r="AS126" s="48">
        <f t="shared" si="222"/>
        <v>14867.642283562716</v>
      </c>
      <c r="AT126" s="48">
        <f t="shared" si="153"/>
        <v>0</v>
      </c>
      <c r="AU126" s="59">
        <f t="shared" si="223"/>
        <v>1.4999999999999999E-2</v>
      </c>
      <c r="AV126" s="48">
        <f t="shared" si="224"/>
        <v>0</v>
      </c>
      <c r="AW126" s="48">
        <f t="shared" si="225"/>
        <v>14867.642283562716</v>
      </c>
      <c r="AY126" s="56">
        <f t="shared" si="188"/>
        <v>130</v>
      </c>
      <c r="AZ126" s="48">
        <f t="shared" si="189"/>
        <v>13000</v>
      </c>
      <c r="BA126" s="48">
        <f t="shared" si="183"/>
        <v>13000</v>
      </c>
      <c r="BB126" s="48">
        <f t="shared" si="245"/>
        <v>14019.687499999998</v>
      </c>
      <c r="BC126" s="59">
        <f t="shared" si="226"/>
        <v>6.25E-2</v>
      </c>
      <c r="BD126" s="48">
        <f t="shared" si="227"/>
        <v>14895.917968749998</v>
      </c>
      <c r="BE126" s="48" t="str">
        <f t="shared" si="228"/>
        <v>nie</v>
      </c>
      <c r="BF126" s="48">
        <f t="shared" si="229"/>
        <v>91</v>
      </c>
      <c r="BG126" s="48">
        <f t="shared" si="192"/>
        <v>14461.983554687498</v>
      </c>
      <c r="BH126" s="48">
        <f t="shared" si="162"/>
        <v>0</v>
      </c>
      <c r="BI126" s="59">
        <f t="shared" si="230"/>
        <v>1.4999999999999999E-2</v>
      </c>
      <c r="BJ126" s="48">
        <f t="shared" si="231"/>
        <v>33.786966221915058</v>
      </c>
      <c r="BK126" s="48">
        <f t="shared" si="232"/>
        <v>14495.770520909413</v>
      </c>
      <c r="BL126" s="24"/>
      <c r="BM126" s="56">
        <f t="shared" si="190"/>
        <v>100</v>
      </c>
      <c r="BN126" s="48">
        <f t="shared" si="191"/>
        <v>10000</v>
      </c>
      <c r="BO126" s="48">
        <f t="shared" si="185"/>
        <v>10000</v>
      </c>
      <c r="BP126" s="48">
        <f t="shared" si="246"/>
        <v>15850.662767288386</v>
      </c>
      <c r="BQ126" s="59">
        <f t="shared" si="233"/>
        <v>6.5000000000000002E-2</v>
      </c>
      <c r="BR126" s="48">
        <f t="shared" si="234"/>
        <v>16880.955847162131</v>
      </c>
      <c r="BS126" s="48" t="str">
        <f t="shared" si="235"/>
        <v>nie</v>
      </c>
      <c r="BT126" s="48">
        <f t="shared" si="236"/>
        <v>200</v>
      </c>
      <c r="BU126" s="48">
        <f t="shared" si="170"/>
        <v>15411.574236201326</v>
      </c>
      <c r="BV126" s="48">
        <f t="shared" si="171"/>
        <v>0</v>
      </c>
      <c r="BW126" s="59">
        <f t="shared" si="237"/>
        <v>1.4999999999999999E-2</v>
      </c>
      <c r="BX126" s="48">
        <f t="shared" si="238"/>
        <v>0</v>
      </c>
      <c r="BY126" s="48">
        <f t="shared" si="239"/>
        <v>15411.574236201326</v>
      </c>
    </row>
    <row r="127" spans="1:77" s="25" customFormat="1" ht="14">
      <c r="A127" s="24"/>
      <c r="B127" s="172"/>
      <c r="C127" s="66">
        <f t="shared" si="200"/>
        <v>93</v>
      </c>
      <c r="D127" s="48">
        <f t="shared" si="201"/>
        <v>12987.977397234239</v>
      </c>
      <c r="E127" s="48">
        <f t="shared" si="202"/>
        <v>13949.174961127659</v>
      </c>
      <c r="F127" s="48">
        <f t="shared" si="203"/>
        <v>13618.515615613489</v>
      </c>
      <c r="G127" s="49">
        <f t="shared" si="204"/>
        <v>14381.136044626192</v>
      </c>
      <c r="H127" s="49">
        <f t="shared" si="205"/>
        <v>10986.859363590464</v>
      </c>
      <c r="I127" s="48">
        <f t="shared" si="206"/>
        <v>14598.666885058601</v>
      </c>
      <c r="J127" s="24"/>
      <c r="K127" s="84"/>
      <c r="L127" s="64">
        <f t="shared" si="207"/>
        <v>93</v>
      </c>
      <c r="M127" s="51">
        <f t="shared" si="194"/>
        <v>0.29879773972342383</v>
      </c>
      <c r="N127" s="51">
        <f t="shared" si="195"/>
        <v>0.39491749611276594</v>
      </c>
      <c r="O127" s="51">
        <f t="shared" si="196"/>
        <v>0.3618515615613489</v>
      </c>
      <c r="P127" s="51">
        <f t="shared" si="197"/>
        <v>0.43811360446261904</v>
      </c>
      <c r="Q127" s="51">
        <f t="shared" si="198"/>
        <v>9.8685936359046433E-2</v>
      </c>
      <c r="R127" s="51">
        <f t="shared" si="199"/>
        <v>0.45986668850586021</v>
      </c>
      <c r="S127" s="24"/>
      <c r="T127" s="45">
        <f t="shared" si="175"/>
        <v>109</v>
      </c>
      <c r="U127" s="59">
        <f t="shared" ref="U127:U158" si="247">MAX(INDEX(scenariusz_I_inflacja,MATCH(ROUNDUP(T127/12,0)-1,scenariusz_I_rok,0)),0)</f>
        <v>0.05</v>
      </c>
      <c r="V127" s="48">
        <f t="shared" si="208"/>
        <v>15577.920835450934</v>
      </c>
      <c r="W127" s="56">
        <f t="shared" si="240"/>
        <v>108</v>
      </c>
      <c r="X127" s="48">
        <f t="shared" si="241"/>
        <v>10789.2</v>
      </c>
      <c r="Y127" s="48">
        <f t="shared" si="187"/>
        <v>10800</v>
      </c>
      <c r="Z127" s="48">
        <f t="shared" si="178"/>
        <v>10800</v>
      </c>
      <c r="AA127" s="59">
        <f t="shared" si="209"/>
        <v>5.7500000000000002E-2</v>
      </c>
      <c r="AB127" s="48">
        <f t="shared" si="210"/>
        <v>10851.75</v>
      </c>
      <c r="AC127" s="48" t="str">
        <f t="shared" si="211"/>
        <v>nie</v>
      </c>
      <c r="AD127" s="48">
        <f t="shared" si="212"/>
        <v>75.599999999999994</v>
      </c>
      <c r="AE127" s="48">
        <f t="shared" si="213"/>
        <v>10780.681499999999</v>
      </c>
      <c r="AF127" s="48">
        <f t="shared" si="214"/>
        <v>0</v>
      </c>
      <c r="AG127" s="59">
        <f t="shared" si="215"/>
        <v>1.4999999999999999E-2</v>
      </c>
      <c r="AH127" s="48">
        <f t="shared" si="216"/>
        <v>2531.2175519319708</v>
      </c>
      <c r="AI127" s="48">
        <f t="shared" si="217"/>
        <v>13311.89905193197</v>
      </c>
      <c r="AJ127" s="24"/>
      <c r="AK127" s="56">
        <f t="shared" si="242"/>
        <v>100</v>
      </c>
      <c r="AL127" s="48">
        <f t="shared" si="243"/>
        <v>10000</v>
      </c>
      <c r="AM127" s="48">
        <f t="shared" si="181"/>
        <v>10000</v>
      </c>
      <c r="AN127" s="48">
        <f t="shared" si="244"/>
        <v>16209.434917978662</v>
      </c>
      <c r="AO127" s="59">
        <f t="shared" si="218"/>
        <v>6.0000000000000005E-2</v>
      </c>
      <c r="AP127" s="48">
        <f t="shared" si="219"/>
        <v>16290.482092568554</v>
      </c>
      <c r="AQ127" s="48" t="str">
        <f t="shared" si="220"/>
        <v>nie</v>
      </c>
      <c r="AR127" s="48">
        <f t="shared" si="221"/>
        <v>200</v>
      </c>
      <c r="AS127" s="48">
        <f t="shared" si="222"/>
        <v>14933.290494980529</v>
      </c>
      <c r="AT127" s="48">
        <f t="shared" si="153"/>
        <v>0</v>
      </c>
      <c r="AU127" s="59">
        <f t="shared" si="223"/>
        <v>1.4999999999999999E-2</v>
      </c>
      <c r="AV127" s="48">
        <f t="shared" si="224"/>
        <v>0</v>
      </c>
      <c r="AW127" s="48">
        <f t="shared" si="225"/>
        <v>14933.290494980529</v>
      </c>
      <c r="AY127" s="56">
        <f t="shared" si="188"/>
        <v>130</v>
      </c>
      <c r="AZ127" s="48">
        <f t="shared" si="189"/>
        <v>13000</v>
      </c>
      <c r="BA127" s="48">
        <f t="shared" si="183"/>
        <v>13000</v>
      </c>
      <c r="BB127" s="48">
        <f t="shared" si="245"/>
        <v>14895.917968749998</v>
      </c>
      <c r="BC127" s="59">
        <f t="shared" si="226"/>
        <v>6.25E-2</v>
      </c>
      <c r="BD127" s="48">
        <f t="shared" si="227"/>
        <v>14973.500874837237</v>
      </c>
      <c r="BE127" s="48" t="str">
        <f t="shared" si="228"/>
        <v>nie</v>
      </c>
      <c r="BF127" s="48">
        <f t="shared" si="229"/>
        <v>91</v>
      </c>
      <c r="BG127" s="48">
        <f t="shared" si="192"/>
        <v>14524.825708618162</v>
      </c>
      <c r="BH127" s="48">
        <f t="shared" si="162"/>
        <v>0</v>
      </c>
      <c r="BI127" s="59">
        <f t="shared" si="230"/>
        <v>1.4999999999999999E-2</v>
      </c>
      <c r="BJ127" s="48">
        <f t="shared" si="231"/>
        <v>33.821175525214748</v>
      </c>
      <c r="BK127" s="48">
        <f t="shared" si="232"/>
        <v>14558.646884143376</v>
      </c>
      <c r="BL127" s="24"/>
      <c r="BM127" s="56">
        <f t="shared" si="190"/>
        <v>100</v>
      </c>
      <c r="BN127" s="48">
        <f t="shared" si="191"/>
        <v>10000</v>
      </c>
      <c r="BO127" s="48">
        <f t="shared" si="185"/>
        <v>10000</v>
      </c>
      <c r="BP127" s="48">
        <f t="shared" si="246"/>
        <v>16880.955847162131</v>
      </c>
      <c r="BQ127" s="59">
        <f t="shared" si="233"/>
        <v>6.5000000000000002E-2</v>
      </c>
      <c r="BR127" s="48">
        <f t="shared" si="234"/>
        <v>16972.394358000925</v>
      </c>
      <c r="BS127" s="48" t="str">
        <f t="shared" si="235"/>
        <v>nie</v>
      </c>
      <c r="BT127" s="48">
        <f t="shared" si="236"/>
        <v>200</v>
      </c>
      <c r="BU127" s="48">
        <f t="shared" si="170"/>
        <v>15485.639429980749</v>
      </c>
      <c r="BV127" s="48">
        <f t="shared" si="171"/>
        <v>0</v>
      </c>
      <c r="BW127" s="59">
        <f t="shared" si="237"/>
        <v>1.4999999999999999E-2</v>
      </c>
      <c r="BX127" s="48">
        <f t="shared" si="238"/>
        <v>0</v>
      </c>
      <c r="BY127" s="48">
        <f t="shared" si="239"/>
        <v>15485.639429980749</v>
      </c>
    </row>
    <row r="128" spans="1:77" s="25" customFormat="1" ht="14">
      <c r="A128" s="24"/>
      <c r="B128" s="172"/>
      <c r="C128" s="66">
        <f t="shared" si="200"/>
        <v>94</v>
      </c>
      <c r="D128" s="48">
        <f t="shared" si="201"/>
        <v>13030.654603386436</v>
      </c>
      <c r="E128" s="48">
        <f t="shared" si="202"/>
        <v>14007.601635582816</v>
      </c>
      <c r="F128" s="48">
        <f t="shared" si="203"/>
        <v>13674.215715797343</v>
      </c>
      <c r="G128" s="49">
        <f t="shared" si="204"/>
        <v>14446.436310251993</v>
      </c>
      <c r="H128" s="49">
        <f t="shared" si="205"/>
        <v>10997.9835586961</v>
      </c>
      <c r="I128" s="48">
        <f t="shared" si="206"/>
        <v>14657.296069335944</v>
      </c>
      <c r="J128" s="24"/>
      <c r="K128" s="84"/>
      <c r="L128" s="64">
        <f t="shared" si="207"/>
        <v>94</v>
      </c>
      <c r="M128" s="51">
        <f t="shared" si="194"/>
        <v>0.30306546033864357</v>
      </c>
      <c r="N128" s="51">
        <f t="shared" si="195"/>
        <v>0.40076016355828159</v>
      </c>
      <c r="O128" s="51">
        <f t="shared" si="196"/>
        <v>0.36742157157973443</v>
      </c>
      <c r="P128" s="51">
        <f t="shared" si="197"/>
        <v>0.44464363102519933</v>
      </c>
      <c r="Q128" s="51">
        <f t="shared" si="198"/>
        <v>9.9798355869610056E-2</v>
      </c>
      <c r="R128" s="51">
        <f t="shared" si="199"/>
        <v>0.46572960693359433</v>
      </c>
      <c r="S128" s="24"/>
      <c r="T128" s="45">
        <f t="shared" si="175"/>
        <v>110</v>
      </c>
      <c r="U128" s="59">
        <f t="shared" si="247"/>
        <v>0.05</v>
      </c>
      <c r="V128" s="48">
        <f t="shared" si="208"/>
        <v>15642.559511116704</v>
      </c>
      <c r="W128" s="56">
        <f t="shared" si="240"/>
        <v>108</v>
      </c>
      <c r="X128" s="48">
        <f t="shared" si="241"/>
        <v>10789.2</v>
      </c>
      <c r="Y128" s="48">
        <f t="shared" si="187"/>
        <v>10800</v>
      </c>
      <c r="Z128" s="48">
        <f t="shared" si="178"/>
        <v>10800</v>
      </c>
      <c r="AA128" s="59">
        <f t="shared" si="209"/>
        <v>5.7500000000000002E-2</v>
      </c>
      <c r="AB128" s="48">
        <f t="shared" si="210"/>
        <v>10903.5</v>
      </c>
      <c r="AC128" s="48" t="str">
        <f t="shared" si="211"/>
        <v>nie</v>
      </c>
      <c r="AD128" s="48">
        <f t="shared" si="212"/>
        <v>75.599999999999994</v>
      </c>
      <c r="AE128" s="48">
        <f t="shared" si="213"/>
        <v>10822.599</v>
      </c>
      <c r="AF128" s="48">
        <f t="shared" si="214"/>
        <v>0</v>
      </c>
      <c r="AG128" s="59">
        <f t="shared" si="215"/>
        <v>1.4999999999999999E-2</v>
      </c>
      <c r="AH128" s="48">
        <f t="shared" si="216"/>
        <v>2533.7804097033022</v>
      </c>
      <c r="AI128" s="48">
        <f t="shared" si="217"/>
        <v>13356.379409703302</v>
      </c>
      <c r="AJ128" s="24"/>
      <c r="AK128" s="56">
        <f t="shared" si="242"/>
        <v>100</v>
      </c>
      <c r="AL128" s="48">
        <f t="shared" si="243"/>
        <v>10000</v>
      </c>
      <c r="AM128" s="48">
        <f t="shared" si="181"/>
        <v>10000</v>
      </c>
      <c r="AN128" s="48">
        <f t="shared" si="244"/>
        <v>16209.434917978662</v>
      </c>
      <c r="AO128" s="59">
        <f t="shared" si="218"/>
        <v>6.0000000000000005E-2</v>
      </c>
      <c r="AP128" s="48">
        <f t="shared" si="219"/>
        <v>16371.529267158448</v>
      </c>
      <c r="AQ128" s="48" t="str">
        <f t="shared" si="220"/>
        <v>nie</v>
      </c>
      <c r="AR128" s="48">
        <f t="shared" si="221"/>
        <v>200</v>
      </c>
      <c r="AS128" s="48">
        <f t="shared" si="222"/>
        <v>14998.938706398343</v>
      </c>
      <c r="AT128" s="48">
        <f t="shared" si="153"/>
        <v>0</v>
      </c>
      <c r="AU128" s="59">
        <f t="shared" si="223"/>
        <v>1.4999999999999999E-2</v>
      </c>
      <c r="AV128" s="48">
        <f t="shared" si="224"/>
        <v>0</v>
      </c>
      <c r="AW128" s="48">
        <f t="shared" si="225"/>
        <v>14998.938706398343</v>
      </c>
      <c r="AY128" s="56">
        <f t="shared" si="188"/>
        <v>130</v>
      </c>
      <c r="AZ128" s="48">
        <f t="shared" si="189"/>
        <v>13000</v>
      </c>
      <c r="BA128" s="48">
        <f t="shared" si="183"/>
        <v>13000</v>
      </c>
      <c r="BB128" s="48">
        <f t="shared" si="245"/>
        <v>14895.917968749998</v>
      </c>
      <c r="BC128" s="59">
        <f t="shared" si="226"/>
        <v>6.25E-2</v>
      </c>
      <c r="BD128" s="48">
        <f t="shared" si="227"/>
        <v>15051.083780924479</v>
      </c>
      <c r="BE128" s="48" t="str">
        <f t="shared" si="228"/>
        <v>nie</v>
      </c>
      <c r="BF128" s="48">
        <f t="shared" si="229"/>
        <v>91</v>
      </c>
      <c r="BG128" s="48">
        <f t="shared" si="192"/>
        <v>14587.667862548828</v>
      </c>
      <c r="BH128" s="48">
        <f t="shared" si="162"/>
        <v>0</v>
      </c>
      <c r="BI128" s="59">
        <f t="shared" si="230"/>
        <v>1.4999999999999999E-2</v>
      </c>
      <c r="BJ128" s="48">
        <f t="shared" si="231"/>
        <v>33.855419465434032</v>
      </c>
      <c r="BK128" s="48">
        <f t="shared" si="232"/>
        <v>14621.523282014261</v>
      </c>
      <c r="BL128" s="24"/>
      <c r="BM128" s="56">
        <f t="shared" si="190"/>
        <v>100</v>
      </c>
      <c r="BN128" s="48">
        <f t="shared" si="191"/>
        <v>10000</v>
      </c>
      <c r="BO128" s="48">
        <f t="shared" si="185"/>
        <v>10000</v>
      </c>
      <c r="BP128" s="48">
        <f t="shared" si="246"/>
        <v>16880.955847162131</v>
      </c>
      <c r="BQ128" s="59">
        <f t="shared" si="233"/>
        <v>6.5000000000000002E-2</v>
      </c>
      <c r="BR128" s="48">
        <f t="shared" si="234"/>
        <v>17063.83286883972</v>
      </c>
      <c r="BS128" s="48" t="str">
        <f t="shared" si="235"/>
        <v>nie</v>
      </c>
      <c r="BT128" s="48">
        <f t="shared" si="236"/>
        <v>200</v>
      </c>
      <c r="BU128" s="48">
        <f t="shared" si="170"/>
        <v>15559.704623760173</v>
      </c>
      <c r="BV128" s="48">
        <f t="shared" si="171"/>
        <v>0</v>
      </c>
      <c r="BW128" s="59">
        <f t="shared" si="237"/>
        <v>1.4999999999999999E-2</v>
      </c>
      <c r="BX128" s="48">
        <f t="shared" si="238"/>
        <v>0</v>
      </c>
      <c r="BY128" s="48">
        <f t="shared" si="239"/>
        <v>15559.704623760173</v>
      </c>
    </row>
    <row r="129" spans="1:77" s="25" customFormat="1" ht="14" customHeight="1">
      <c r="A129" s="24"/>
      <c r="B129" s="172"/>
      <c r="C129" s="66">
        <f t="shared" si="200"/>
        <v>95</v>
      </c>
      <c r="D129" s="48">
        <f t="shared" si="201"/>
        <v>13073.334150647366</v>
      </c>
      <c r="E129" s="48">
        <f t="shared" si="202"/>
        <v>14066.028310037971</v>
      </c>
      <c r="F129" s="48">
        <f t="shared" si="203"/>
        <v>13729.915850096309</v>
      </c>
      <c r="G129" s="49">
        <f t="shared" si="204"/>
        <v>14511.736575877792</v>
      </c>
      <c r="H129" s="49">
        <f t="shared" si="205"/>
        <v>11009.119017049281</v>
      </c>
      <c r="I129" s="48">
        <f t="shared" si="206"/>
        <v>14715.925253613288</v>
      </c>
      <c r="J129" s="24"/>
      <c r="K129" s="84"/>
      <c r="L129" s="64">
        <f t="shared" si="207"/>
        <v>95</v>
      </c>
      <c r="M129" s="51">
        <f t="shared" si="194"/>
        <v>0.30733341506473666</v>
      </c>
      <c r="N129" s="51">
        <f t="shared" si="195"/>
        <v>0.40660283100379702</v>
      </c>
      <c r="O129" s="51">
        <f t="shared" si="196"/>
        <v>0.37299158500963103</v>
      </c>
      <c r="P129" s="51">
        <f t="shared" si="197"/>
        <v>0.45117365758777916</v>
      </c>
      <c r="Q129" s="51">
        <f t="shared" si="198"/>
        <v>0.10091190170492803</v>
      </c>
      <c r="R129" s="51">
        <f t="shared" si="199"/>
        <v>0.4715925253613289</v>
      </c>
      <c r="S129" s="24"/>
      <c r="T129" s="45">
        <f t="shared" si="175"/>
        <v>111</v>
      </c>
      <c r="U129" s="59">
        <f t="shared" si="247"/>
        <v>0.05</v>
      </c>
      <c r="V129" s="48">
        <f t="shared" si="208"/>
        <v>15707.198186782476</v>
      </c>
      <c r="W129" s="56">
        <f t="shared" si="240"/>
        <v>108</v>
      </c>
      <c r="X129" s="48">
        <f t="shared" si="241"/>
        <v>10789.2</v>
      </c>
      <c r="Y129" s="48">
        <f t="shared" si="187"/>
        <v>10800</v>
      </c>
      <c r="Z129" s="48">
        <f t="shared" si="178"/>
        <v>10800</v>
      </c>
      <c r="AA129" s="59">
        <f t="shared" si="209"/>
        <v>5.7500000000000002E-2</v>
      </c>
      <c r="AB129" s="48">
        <f t="shared" si="210"/>
        <v>10955.25</v>
      </c>
      <c r="AC129" s="48" t="str">
        <f t="shared" si="211"/>
        <v>nie</v>
      </c>
      <c r="AD129" s="48">
        <f t="shared" si="212"/>
        <v>75.599999999999994</v>
      </c>
      <c r="AE129" s="48">
        <f t="shared" si="213"/>
        <v>10864.5165</v>
      </c>
      <c r="AF129" s="48">
        <f t="shared" si="214"/>
        <v>0</v>
      </c>
      <c r="AG129" s="59">
        <f t="shared" si="215"/>
        <v>1.4999999999999999E-2</v>
      </c>
      <c r="AH129" s="48">
        <f t="shared" si="216"/>
        <v>2536.3458623681272</v>
      </c>
      <c r="AI129" s="48">
        <f t="shared" si="217"/>
        <v>13400.862362368127</v>
      </c>
      <c r="AJ129" s="24"/>
      <c r="AK129" s="56">
        <f t="shared" si="242"/>
        <v>100</v>
      </c>
      <c r="AL129" s="48">
        <f t="shared" si="243"/>
        <v>10000</v>
      </c>
      <c r="AM129" s="48">
        <f t="shared" si="181"/>
        <v>10000</v>
      </c>
      <c r="AN129" s="48">
        <f t="shared" si="244"/>
        <v>16209.434917978662</v>
      </c>
      <c r="AO129" s="59">
        <f t="shared" si="218"/>
        <v>6.0000000000000005E-2</v>
      </c>
      <c r="AP129" s="48">
        <f t="shared" si="219"/>
        <v>16452.576441748341</v>
      </c>
      <c r="AQ129" s="48" t="str">
        <f t="shared" si="220"/>
        <v>nie</v>
      </c>
      <c r="AR129" s="48">
        <f t="shared" si="221"/>
        <v>200</v>
      </c>
      <c r="AS129" s="48">
        <f t="shared" si="222"/>
        <v>15064.586917816156</v>
      </c>
      <c r="AT129" s="48">
        <f t="shared" si="153"/>
        <v>0</v>
      </c>
      <c r="AU129" s="59">
        <f t="shared" si="223"/>
        <v>1.4999999999999999E-2</v>
      </c>
      <c r="AV129" s="48">
        <f t="shared" si="224"/>
        <v>0</v>
      </c>
      <c r="AW129" s="48">
        <f t="shared" si="225"/>
        <v>15064.586917816156</v>
      </c>
      <c r="AY129" s="56">
        <f t="shared" si="188"/>
        <v>130</v>
      </c>
      <c r="AZ129" s="48">
        <f t="shared" si="189"/>
        <v>13000</v>
      </c>
      <c r="BA129" s="48">
        <f t="shared" si="183"/>
        <v>13000</v>
      </c>
      <c r="BB129" s="48">
        <f t="shared" si="245"/>
        <v>14895.917968749998</v>
      </c>
      <c r="BC129" s="59">
        <f t="shared" si="226"/>
        <v>6.25E-2</v>
      </c>
      <c r="BD129" s="48">
        <f t="shared" si="227"/>
        <v>15128.666687011717</v>
      </c>
      <c r="BE129" s="48" t="str">
        <f t="shared" si="228"/>
        <v>nie</v>
      </c>
      <c r="BF129" s="48">
        <f t="shared" si="229"/>
        <v>91</v>
      </c>
      <c r="BG129" s="48">
        <f t="shared" si="192"/>
        <v>14650.510016479491</v>
      </c>
      <c r="BH129" s="48">
        <f t="shared" si="162"/>
        <v>0</v>
      </c>
      <c r="BI129" s="59">
        <f t="shared" si="230"/>
        <v>1.4999999999999999E-2</v>
      </c>
      <c r="BJ129" s="48">
        <f t="shared" si="231"/>
        <v>33.889698077642784</v>
      </c>
      <c r="BK129" s="48">
        <f t="shared" si="232"/>
        <v>14684.399714557134</v>
      </c>
      <c r="BL129" s="24"/>
      <c r="BM129" s="56">
        <f t="shared" si="190"/>
        <v>100</v>
      </c>
      <c r="BN129" s="48">
        <f t="shared" si="191"/>
        <v>10000</v>
      </c>
      <c r="BO129" s="48">
        <f t="shared" si="185"/>
        <v>10000</v>
      </c>
      <c r="BP129" s="48">
        <f t="shared" si="246"/>
        <v>16880.955847162131</v>
      </c>
      <c r="BQ129" s="59">
        <f t="shared" si="233"/>
        <v>6.5000000000000002E-2</v>
      </c>
      <c r="BR129" s="48">
        <f t="shared" si="234"/>
        <v>17155.271379678517</v>
      </c>
      <c r="BS129" s="48" t="str">
        <f t="shared" si="235"/>
        <v>nie</v>
      </c>
      <c r="BT129" s="48">
        <f t="shared" si="236"/>
        <v>200</v>
      </c>
      <c r="BU129" s="48">
        <f t="shared" si="170"/>
        <v>15633.7698175396</v>
      </c>
      <c r="BV129" s="48">
        <f t="shared" si="171"/>
        <v>0</v>
      </c>
      <c r="BW129" s="59">
        <f t="shared" si="237"/>
        <v>1.4999999999999999E-2</v>
      </c>
      <c r="BX129" s="48">
        <f t="shared" si="238"/>
        <v>0</v>
      </c>
      <c r="BY129" s="48">
        <f t="shared" si="239"/>
        <v>15633.7698175396</v>
      </c>
    </row>
    <row r="130" spans="1:77" s="25" customFormat="1" ht="14">
      <c r="A130" s="24"/>
      <c r="B130" s="173"/>
      <c r="C130" s="66">
        <f t="shared" si="200"/>
        <v>96</v>
      </c>
      <c r="D130" s="48">
        <f t="shared" si="201"/>
        <v>13174.984041387397</v>
      </c>
      <c r="E130" s="48">
        <f t="shared" si="202"/>
        <v>14124.454984493128</v>
      </c>
      <c r="F130" s="48">
        <f t="shared" si="203"/>
        <v>13785.616018544921</v>
      </c>
      <c r="G130" s="49">
        <f t="shared" si="204"/>
        <v>14577.036841503592</v>
      </c>
      <c r="H130" s="49">
        <f t="shared" si="205"/>
        <v>11020.265750054044</v>
      </c>
      <c r="I130" s="48">
        <f t="shared" si="206"/>
        <v>14774.554437890631</v>
      </c>
      <c r="J130" s="24"/>
      <c r="K130" s="84"/>
      <c r="L130" s="64">
        <f t="shared" si="207"/>
        <v>96</v>
      </c>
      <c r="M130" s="51">
        <f t="shared" ref="M130:M161" si="248">D130/zakup_domyslny_wartosc-1</f>
        <v>0.31749840413873964</v>
      </c>
      <c r="N130" s="51">
        <f t="shared" ref="N130:N161" si="249">E130/zakup_domyslny_wartosc-1</f>
        <v>0.41244549844931289</v>
      </c>
      <c r="O130" s="51">
        <f t="shared" ref="O130:O161" si="250">F130/zakup_domyslny_wartosc-1</f>
        <v>0.37856160185449217</v>
      </c>
      <c r="P130" s="51">
        <f t="shared" ref="P130:P161" si="251">G130/zakup_domyslny_wartosc-1</f>
        <v>0.45770368415035922</v>
      </c>
      <c r="Q130" s="51">
        <f t="shared" ref="Q130:Q161" si="252">H130/zakup_domyslny_wartosc-1</f>
        <v>0.10202657500540435</v>
      </c>
      <c r="R130" s="51">
        <f t="shared" ref="R130:R161" si="253">I130/zakup_domyslny_wartosc-1</f>
        <v>0.47745544378906302</v>
      </c>
      <c r="S130" s="24"/>
      <c r="T130" s="45">
        <f t="shared" si="175"/>
        <v>112</v>
      </c>
      <c r="U130" s="59">
        <f t="shared" si="247"/>
        <v>0.05</v>
      </c>
      <c r="V130" s="48">
        <f t="shared" si="208"/>
        <v>15771.836862448246</v>
      </c>
      <c r="W130" s="56">
        <f t="shared" si="240"/>
        <v>108</v>
      </c>
      <c r="X130" s="48">
        <f t="shared" si="241"/>
        <v>10789.2</v>
      </c>
      <c r="Y130" s="48">
        <f t="shared" si="187"/>
        <v>10800</v>
      </c>
      <c r="Z130" s="48">
        <f t="shared" si="178"/>
        <v>10800</v>
      </c>
      <c r="AA130" s="59">
        <f t="shared" si="209"/>
        <v>5.7500000000000002E-2</v>
      </c>
      <c r="AB130" s="48">
        <f t="shared" si="210"/>
        <v>11007.000000000002</v>
      </c>
      <c r="AC130" s="48" t="str">
        <f t="shared" si="211"/>
        <v>nie</v>
      </c>
      <c r="AD130" s="48">
        <f t="shared" si="212"/>
        <v>75.599999999999994</v>
      </c>
      <c r="AE130" s="48">
        <f t="shared" si="213"/>
        <v>10906.434000000001</v>
      </c>
      <c r="AF130" s="48">
        <f t="shared" si="214"/>
        <v>0</v>
      </c>
      <c r="AG130" s="59">
        <f t="shared" si="215"/>
        <v>1.4999999999999999E-2</v>
      </c>
      <c r="AH130" s="48">
        <f t="shared" si="216"/>
        <v>2538.9139125537749</v>
      </c>
      <c r="AI130" s="48">
        <f t="shared" si="217"/>
        <v>13445.347912553776</v>
      </c>
      <c r="AJ130" s="24"/>
      <c r="AK130" s="56">
        <f t="shared" si="242"/>
        <v>100</v>
      </c>
      <c r="AL130" s="48">
        <f t="shared" si="243"/>
        <v>10000</v>
      </c>
      <c r="AM130" s="48">
        <f t="shared" si="181"/>
        <v>10000</v>
      </c>
      <c r="AN130" s="48">
        <f t="shared" si="244"/>
        <v>16209.434917978662</v>
      </c>
      <c r="AO130" s="59">
        <f t="shared" si="218"/>
        <v>6.0000000000000005E-2</v>
      </c>
      <c r="AP130" s="48">
        <f t="shared" si="219"/>
        <v>16533.623616338235</v>
      </c>
      <c r="AQ130" s="48" t="str">
        <f t="shared" si="220"/>
        <v>nie</v>
      </c>
      <c r="AR130" s="48">
        <f t="shared" si="221"/>
        <v>200</v>
      </c>
      <c r="AS130" s="48">
        <f t="shared" si="222"/>
        <v>15130.23512923397</v>
      </c>
      <c r="AT130" s="48">
        <f t="shared" si="153"/>
        <v>0</v>
      </c>
      <c r="AU130" s="59">
        <f t="shared" si="223"/>
        <v>1.4999999999999999E-2</v>
      </c>
      <c r="AV130" s="48">
        <f t="shared" si="224"/>
        <v>0</v>
      </c>
      <c r="AW130" s="48">
        <f t="shared" si="225"/>
        <v>15130.23512923397</v>
      </c>
      <c r="AY130" s="56">
        <f t="shared" si="188"/>
        <v>130</v>
      </c>
      <c r="AZ130" s="48">
        <f t="shared" si="189"/>
        <v>13000</v>
      </c>
      <c r="BA130" s="48">
        <f t="shared" si="183"/>
        <v>13000</v>
      </c>
      <c r="BB130" s="48">
        <f t="shared" si="245"/>
        <v>14895.917968749998</v>
      </c>
      <c r="BC130" s="59">
        <f t="shared" si="226"/>
        <v>6.25E-2</v>
      </c>
      <c r="BD130" s="48">
        <f t="shared" si="227"/>
        <v>15206.249593098955</v>
      </c>
      <c r="BE130" s="48" t="str">
        <f t="shared" si="228"/>
        <v>nie</v>
      </c>
      <c r="BF130" s="48">
        <f t="shared" si="229"/>
        <v>91</v>
      </c>
      <c r="BG130" s="48">
        <f t="shared" si="192"/>
        <v>14713.352170410153</v>
      </c>
      <c r="BH130" s="48">
        <f t="shared" si="162"/>
        <v>0</v>
      </c>
      <c r="BI130" s="59">
        <f t="shared" si="230"/>
        <v>1.4999999999999999E-2</v>
      </c>
      <c r="BJ130" s="48">
        <f t="shared" si="231"/>
        <v>33.924011396946398</v>
      </c>
      <c r="BK130" s="48">
        <f t="shared" si="232"/>
        <v>14747.276181807099</v>
      </c>
      <c r="BL130" s="24"/>
      <c r="BM130" s="56">
        <f t="shared" si="190"/>
        <v>100</v>
      </c>
      <c r="BN130" s="48">
        <f t="shared" si="191"/>
        <v>10000</v>
      </c>
      <c r="BO130" s="48">
        <f t="shared" si="185"/>
        <v>10000</v>
      </c>
      <c r="BP130" s="48">
        <f t="shared" si="246"/>
        <v>16880.955847162131</v>
      </c>
      <c r="BQ130" s="59">
        <f t="shared" si="233"/>
        <v>6.5000000000000002E-2</v>
      </c>
      <c r="BR130" s="48">
        <f t="shared" si="234"/>
        <v>17246.709890517312</v>
      </c>
      <c r="BS130" s="48" t="str">
        <f t="shared" si="235"/>
        <v>nie</v>
      </c>
      <c r="BT130" s="48">
        <f t="shared" si="236"/>
        <v>200</v>
      </c>
      <c r="BU130" s="48">
        <f t="shared" si="170"/>
        <v>15707.835011319023</v>
      </c>
      <c r="BV130" s="48">
        <f t="shared" si="171"/>
        <v>0</v>
      </c>
      <c r="BW130" s="59">
        <f t="shared" si="237"/>
        <v>1.4999999999999999E-2</v>
      </c>
      <c r="BX130" s="48">
        <f t="shared" si="238"/>
        <v>0</v>
      </c>
      <c r="BY130" s="48">
        <f t="shared" si="239"/>
        <v>15707.835011319023</v>
      </c>
    </row>
    <row r="131" spans="1:77" s="25" customFormat="1" ht="14">
      <c r="A131" s="24"/>
      <c r="B131" s="171">
        <f>ROUNDUP(C142/12,0)</f>
        <v>9</v>
      </c>
      <c r="C131" s="66">
        <f t="shared" ref="C131:C162" si="254">T115</f>
        <v>97</v>
      </c>
      <c r="D131" s="48">
        <f t="shared" ref="D131:D162" si="255">AI115</f>
        <v>13188.199647729303</v>
      </c>
      <c r="E131" s="48">
        <f t="shared" ref="E131:E162" si="256">AW115</f>
        <v>14186.387259415593</v>
      </c>
      <c r="F131" s="48">
        <f t="shared" ref="F131:F162" si="257">BK115</f>
        <v>13844.795371568383</v>
      </c>
      <c r="G131" s="49">
        <f t="shared" ref="G131:G162" si="258">BY115</f>
        <v>14646.58162439507</v>
      </c>
      <c r="H131" s="49">
        <f t="shared" ref="H131:H162" si="259">FV(INDEX(scenariusz_I_konto,MATCH(ROUNDUP(C131/12,0),scenariusz_I_rok,0))/12*(1-podatek_Belki),1,0,-H130,1)</f>
        <v>11031.423769125975</v>
      </c>
      <c r="I131" s="48">
        <f t="shared" ref="I131:I162" si="260">V115</f>
        <v>14836.115081381842</v>
      </c>
      <c r="J131" s="24"/>
      <c r="K131" s="84"/>
      <c r="L131" s="64">
        <f t="shared" ref="L131:L162" si="261">C131</f>
        <v>97</v>
      </c>
      <c r="M131" s="51">
        <f t="shared" si="248"/>
        <v>0.3188199647729304</v>
      </c>
      <c r="N131" s="51">
        <f t="shared" si="249"/>
        <v>0.41863872594155938</v>
      </c>
      <c r="O131" s="51">
        <f t="shared" si="250"/>
        <v>0.38447953715683836</v>
      </c>
      <c r="P131" s="51">
        <f t="shared" si="251"/>
        <v>0.46465816243950697</v>
      </c>
      <c r="Q131" s="51">
        <f t="shared" si="252"/>
        <v>0.10314237691259742</v>
      </c>
      <c r="R131" s="51">
        <f t="shared" si="253"/>
        <v>0.48361150813818421</v>
      </c>
      <c r="S131" s="24"/>
      <c r="T131" s="45">
        <f t="shared" si="175"/>
        <v>113</v>
      </c>
      <c r="U131" s="59">
        <f t="shared" si="247"/>
        <v>0.05</v>
      </c>
      <c r="V131" s="48">
        <f t="shared" si="208"/>
        <v>15836.475538114018</v>
      </c>
      <c r="W131" s="56">
        <f t="shared" si="240"/>
        <v>108</v>
      </c>
      <c r="X131" s="48">
        <f t="shared" si="241"/>
        <v>10789.2</v>
      </c>
      <c r="Y131" s="48">
        <f t="shared" si="187"/>
        <v>10800</v>
      </c>
      <c r="Z131" s="48">
        <f t="shared" si="178"/>
        <v>10800</v>
      </c>
      <c r="AA131" s="59">
        <f t="shared" si="209"/>
        <v>5.7500000000000002E-2</v>
      </c>
      <c r="AB131" s="48">
        <f t="shared" si="210"/>
        <v>11058.75</v>
      </c>
      <c r="AC131" s="48" t="str">
        <f t="shared" si="211"/>
        <v>nie</v>
      </c>
      <c r="AD131" s="48">
        <f t="shared" si="212"/>
        <v>75.599999999999994</v>
      </c>
      <c r="AE131" s="48">
        <f t="shared" si="213"/>
        <v>10948.351499999999</v>
      </c>
      <c r="AF131" s="48">
        <f t="shared" si="214"/>
        <v>0</v>
      </c>
      <c r="AG131" s="59">
        <f t="shared" si="215"/>
        <v>1.4999999999999999E-2</v>
      </c>
      <c r="AH131" s="48">
        <f t="shared" si="216"/>
        <v>2541.4845628902358</v>
      </c>
      <c r="AI131" s="48">
        <f t="shared" si="217"/>
        <v>13489.836062890234</v>
      </c>
      <c r="AJ131" s="24"/>
      <c r="AK131" s="56">
        <f t="shared" si="242"/>
        <v>100</v>
      </c>
      <c r="AL131" s="48">
        <f t="shared" si="243"/>
        <v>10000</v>
      </c>
      <c r="AM131" s="48">
        <f t="shared" si="181"/>
        <v>10000</v>
      </c>
      <c r="AN131" s="48">
        <f t="shared" si="244"/>
        <v>16209.434917978662</v>
      </c>
      <c r="AO131" s="59">
        <f t="shared" si="218"/>
        <v>6.0000000000000005E-2</v>
      </c>
      <c r="AP131" s="48">
        <f t="shared" si="219"/>
        <v>16614.670790928129</v>
      </c>
      <c r="AQ131" s="48" t="str">
        <f t="shared" si="220"/>
        <v>nie</v>
      </c>
      <c r="AR131" s="48">
        <f t="shared" si="221"/>
        <v>200</v>
      </c>
      <c r="AS131" s="48">
        <f t="shared" si="222"/>
        <v>15195.883340651784</v>
      </c>
      <c r="AT131" s="48">
        <f t="shared" si="153"/>
        <v>0</v>
      </c>
      <c r="AU131" s="59">
        <f t="shared" si="223"/>
        <v>1.4999999999999999E-2</v>
      </c>
      <c r="AV131" s="48">
        <f t="shared" si="224"/>
        <v>0</v>
      </c>
      <c r="AW131" s="48">
        <f t="shared" si="225"/>
        <v>15195.883340651784</v>
      </c>
      <c r="AY131" s="56">
        <f t="shared" si="188"/>
        <v>130</v>
      </c>
      <c r="AZ131" s="48">
        <f t="shared" si="189"/>
        <v>13000</v>
      </c>
      <c r="BA131" s="48">
        <f t="shared" si="183"/>
        <v>13000</v>
      </c>
      <c r="BB131" s="48">
        <f t="shared" si="245"/>
        <v>14895.917968749998</v>
      </c>
      <c r="BC131" s="59">
        <f t="shared" si="226"/>
        <v>6.25E-2</v>
      </c>
      <c r="BD131" s="48">
        <f t="shared" si="227"/>
        <v>15283.832499186197</v>
      </c>
      <c r="BE131" s="48" t="str">
        <f t="shared" si="228"/>
        <v>nie</v>
      </c>
      <c r="BF131" s="48">
        <f t="shared" si="229"/>
        <v>91</v>
      </c>
      <c r="BG131" s="48">
        <f t="shared" si="192"/>
        <v>14776.19432434082</v>
      </c>
      <c r="BH131" s="48">
        <f t="shared" si="162"/>
        <v>0</v>
      </c>
      <c r="BI131" s="59">
        <f t="shared" si="230"/>
        <v>1.4999999999999999E-2</v>
      </c>
      <c r="BJ131" s="48">
        <f t="shared" si="231"/>
        <v>33.958359458485809</v>
      </c>
      <c r="BK131" s="48">
        <f t="shared" si="232"/>
        <v>14810.152683799306</v>
      </c>
      <c r="BL131" s="24"/>
      <c r="BM131" s="56">
        <f t="shared" si="190"/>
        <v>100</v>
      </c>
      <c r="BN131" s="48">
        <f t="shared" si="191"/>
        <v>10000</v>
      </c>
      <c r="BO131" s="48">
        <f t="shared" si="185"/>
        <v>10000</v>
      </c>
      <c r="BP131" s="48">
        <f t="shared" si="246"/>
        <v>16880.955847162131</v>
      </c>
      <c r="BQ131" s="59">
        <f t="shared" si="233"/>
        <v>6.5000000000000002E-2</v>
      </c>
      <c r="BR131" s="48">
        <f t="shared" si="234"/>
        <v>17338.148401356106</v>
      </c>
      <c r="BS131" s="48" t="str">
        <f t="shared" si="235"/>
        <v>nie</v>
      </c>
      <c r="BT131" s="48">
        <f t="shared" si="236"/>
        <v>200</v>
      </c>
      <c r="BU131" s="48">
        <f t="shared" si="170"/>
        <v>15781.900205098445</v>
      </c>
      <c r="BV131" s="48">
        <f t="shared" si="171"/>
        <v>0</v>
      </c>
      <c r="BW131" s="59">
        <f t="shared" si="237"/>
        <v>1.4999999999999999E-2</v>
      </c>
      <c r="BX131" s="48">
        <f t="shared" si="238"/>
        <v>0</v>
      </c>
      <c r="BY131" s="48">
        <f t="shared" si="239"/>
        <v>15781.900205098445</v>
      </c>
    </row>
    <row r="132" spans="1:77" s="25" customFormat="1" ht="14">
      <c r="A132" s="24"/>
      <c r="B132" s="172"/>
      <c r="C132" s="66">
        <f t="shared" si="254"/>
        <v>98</v>
      </c>
      <c r="D132" s="48">
        <f t="shared" si="255"/>
        <v>13190.61769987263</v>
      </c>
      <c r="E132" s="48">
        <f t="shared" si="256"/>
        <v>14248.319534338059</v>
      </c>
      <c r="F132" s="48">
        <f t="shared" si="257"/>
        <v>13903.974758810687</v>
      </c>
      <c r="G132" s="49">
        <f t="shared" si="258"/>
        <v>14716.126407286547</v>
      </c>
      <c r="H132" s="49">
        <f t="shared" si="259"/>
        <v>11042.593085692217</v>
      </c>
      <c r="I132" s="48">
        <f t="shared" si="260"/>
        <v>14897.675724873052</v>
      </c>
      <c r="J132" s="24"/>
      <c r="K132" s="84"/>
      <c r="L132" s="64">
        <f t="shared" si="261"/>
        <v>98</v>
      </c>
      <c r="M132" s="51">
        <f t="shared" si="248"/>
        <v>0.31906176998726288</v>
      </c>
      <c r="N132" s="51">
        <f t="shared" si="249"/>
        <v>0.42483195343380586</v>
      </c>
      <c r="O132" s="51">
        <f t="shared" si="250"/>
        <v>0.39039747588106866</v>
      </c>
      <c r="P132" s="51">
        <f t="shared" si="251"/>
        <v>0.47161264072865472</v>
      </c>
      <c r="Q132" s="51">
        <f t="shared" si="252"/>
        <v>0.10425930856922161</v>
      </c>
      <c r="R132" s="51">
        <f t="shared" si="253"/>
        <v>0.48976757248730518</v>
      </c>
      <c r="S132" s="24"/>
      <c r="T132" s="45">
        <f t="shared" si="175"/>
        <v>114</v>
      </c>
      <c r="U132" s="59">
        <f t="shared" si="247"/>
        <v>0.05</v>
      </c>
      <c r="V132" s="48">
        <f t="shared" si="208"/>
        <v>15901.114213779789</v>
      </c>
      <c r="W132" s="56">
        <f t="shared" si="240"/>
        <v>108</v>
      </c>
      <c r="X132" s="48">
        <f t="shared" si="241"/>
        <v>10789.2</v>
      </c>
      <c r="Y132" s="48">
        <f t="shared" si="187"/>
        <v>10800</v>
      </c>
      <c r="Z132" s="48">
        <f t="shared" si="178"/>
        <v>10800</v>
      </c>
      <c r="AA132" s="59">
        <f t="shared" si="209"/>
        <v>5.7500000000000002E-2</v>
      </c>
      <c r="AB132" s="48">
        <f t="shared" si="210"/>
        <v>11110.5</v>
      </c>
      <c r="AC132" s="48" t="str">
        <f t="shared" si="211"/>
        <v>nie</v>
      </c>
      <c r="AD132" s="48">
        <f t="shared" si="212"/>
        <v>75.599999999999994</v>
      </c>
      <c r="AE132" s="48">
        <f t="shared" si="213"/>
        <v>10990.269</v>
      </c>
      <c r="AF132" s="48">
        <f t="shared" si="214"/>
        <v>0</v>
      </c>
      <c r="AG132" s="59">
        <f t="shared" si="215"/>
        <v>1.4999999999999999E-2</v>
      </c>
      <c r="AH132" s="48">
        <f t="shared" si="216"/>
        <v>2544.0578160101622</v>
      </c>
      <c r="AI132" s="48">
        <f t="shared" si="217"/>
        <v>13534.326816010162</v>
      </c>
      <c r="AJ132" s="24"/>
      <c r="AK132" s="56">
        <f t="shared" si="242"/>
        <v>100</v>
      </c>
      <c r="AL132" s="48">
        <f t="shared" si="243"/>
        <v>10000</v>
      </c>
      <c r="AM132" s="48">
        <f t="shared" si="181"/>
        <v>10000</v>
      </c>
      <c r="AN132" s="48">
        <f t="shared" si="244"/>
        <v>16209.434917978662</v>
      </c>
      <c r="AO132" s="59">
        <f t="shared" si="218"/>
        <v>6.0000000000000005E-2</v>
      </c>
      <c r="AP132" s="48">
        <f t="shared" si="219"/>
        <v>16695.717965518023</v>
      </c>
      <c r="AQ132" s="48" t="str">
        <f t="shared" si="220"/>
        <v>nie</v>
      </c>
      <c r="AR132" s="48">
        <f t="shared" si="221"/>
        <v>200</v>
      </c>
      <c r="AS132" s="48">
        <f t="shared" si="222"/>
        <v>15261.531552069599</v>
      </c>
      <c r="AT132" s="48">
        <f t="shared" si="153"/>
        <v>0</v>
      </c>
      <c r="AU132" s="59">
        <f t="shared" si="223"/>
        <v>1.4999999999999999E-2</v>
      </c>
      <c r="AV132" s="48">
        <f t="shared" si="224"/>
        <v>0</v>
      </c>
      <c r="AW132" s="48">
        <f t="shared" si="225"/>
        <v>15261.531552069599</v>
      </c>
      <c r="AY132" s="56">
        <f t="shared" si="188"/>
        <v>130</v>
      </c>
      <c r="AZ132" s="48">
        <f t="shared" si="189"/>
        <v>13000</v>
      </c>
      <c r="BA132" s="48">
        <f t="shared" si="183"/>
        <v>13000</v>
      </c>
      <c r="BB132" s="48">
        <f t="shared" si="245"/>
        <v>14895.917968749998</v>
      </c>
      <c r="BC132" s="59">
        <f t="shared" si="226"/>
        <v>6.25E-2</v>
      </c>
      <c r="BD132" s="48">
        <f t="shared" si="227"/>
        <v>15361.415405273436</v>
      </c>
      <c r="BE132" s="48" t="str">
        <f t="shared" si="228"/>
        <v>nie</v>
      </c>
      <c r="BF132" s="48">
        <f t="shared" si="229"/>
        <v>91</v>
      </c>
      <c r="BG132" s="48">
        <f t="shared" si="192"/>
        <v>14839.036478271482</v>
      </c>
      <c r="BH132" s="48">
        <f t="shared" si="162"/>
        <v>0</v>
      </c>
      <c r="BI132" s="59">
        <f t="shared" si="230"/>
        <v>1.4999999999999999E-2</v>
      </c>
      <c r="BJ132" s="48">
        <f t="shared" si="231"/>
        <v>33.99274229743753</v>
      </c>
      <c r="BK132" s="48">
        <f t="shared" si="232"/>
        <v>14873.02922056892</v>
      </c>
      <c r="BL132" s="24"/>
      <c r="BM132" s="56">
        <f t="shared" si="190"/>
        <v>100</v>
      </c>
      <c r="BN132" s="48">
        <f t="shared" si="191"/>
        <v>10000</v>
      </c>
      <c r="BO132" s="48">
        <f t="shared" si="185"/>
        <v>10000</v>
      </c>
      <c r="BP132" s="48">
        <f t="shared" si="246"/>
        <v>16880.955847162131</v>
      </c>
      <c r="BQ132" s="59">
        <f t="shared" si="233"/>
        <v>6.5000000000000002E-2</v>
      </c>
      <c r="BR132" s="48">
        <f t="shared" si="234"/>
        <v>17429.5869121949</v>
      </c>
      <c r="BS132" s="48" t="str">
        <f t="shared" si="235"/>
        <v>nie</v>
      </c>
      <c r="BT132" s="48">
        <f t="shared" si="236"/>
        <v>200</v>
      </c>
      <c r="BU132" s="48">
        <f t="shared" si="170"/>
        <v>15855.965398877868</v>
      </c>
      <c r="BV132" s="48">
        <f t="shared" si="171"/>
        <v>0</v>
      </c>
      <c r="BW132" s="59">
        <f t="shared" si="237"/>
        <v>1.4999999999999999E-2</v>
      </c>
      <c r="BX132" s="48">
        <f t="shared" si="238"/>
        <v>0</v>
      </c>
      <c r="BY132" s="48">
        <f t="shared" si="239"/>
        <v>15855.965398877868</v>
      </c>
    </row>
    <row r="133" spans="1:77" s="25" customFormat="1" ht="14">
      <c r="A133" s="24"/>
      <c r="B133" s="172"/>
      <c r="C133" s="66">
        <f t="shared" si="254"/>
        <v>99</v>
      </c>
      <c r="D133" s="48">
        <f t="shared" si="255"/>
        <v>13193.038200293749</v>
      </c>
      <c r="E133" s="48">
        <f t="shared" si="256"/>
        <v>14310.251809260524</v>
      </c>
      <c r="F133" s="48">
        <f t="shared" si="257"/>
        <v>13963.154180306474</v>
      </c>
      <c r="G133" s="49">
        <f t="shared" si="258"/>
        <v>14785.671190178027</v>
      </c>
      <c r="H133" s="49">
        <f t="shared" si="259"/>
        <v>11053.773711191481</v>
      </c>
      <c r="I133" s="48">
        <f t="shared" si="260"/>
        <v>14959.236368364263</v>
      </c>
      <c r="J133" s="24"/>
      <c r="K133" s="84"/>
      <c r="L133" s="64">
        <f t="shared" si="261"/>
        <v>99</v>
      </c>
      <c r="M133" s="51">
        <f t="shared" si="248"/>
        <v>0.31930382002937496</v>
      </c>
      <c r="N133" s="51">
        <f t="shared" si="249"/>
        <v>0.43102518092605235</v>
      </c>
      <c r="O133" s="51">
        <f t="shared" si="250"/>
        <v>0.3963154180306474</v>
      </c>
      <c r="P133" s="51">
        <f t="shared" si="251"/>
        <v>0.47856711901780269</v>
      </c>
      <c r="Q133" s="51">
        <f t="shared" si="252"/>
        <v>0.10537737111914813</v>
      </c>
      <c r="R133" s="51">
        <f t="shared" si="253"/>
        <v>0.49592363683642637</v>
      </c>
      <c r="S133" s="24"/>
      <c r="T133" s="45">
        <f t="shared" si="175"/>
        <v>115</v>
      </c>
      <c r="U133" s="59">
        <f t="shared" si="247"/>
        <v>0.05</v>
      </c>
      <c r="V133" s="48">
        <f t="shared" si="208"/>
        <v>15965.752889445561</v>
      </c>
      <c r="W133" s="56">
        <f t="shared" si="240"/>
        <v>108</v>
      </c>
      <c r="X133" s="48">
        <f t="shared" si="241"/>
        <v>10789.2</v>
      </c>
      <c r="Y133" s="48">
        <f t="shared" si="187"/>
        <v>10800</v>
      </c>
      <c r="Z133" s="48">
        <f t="shared" si="178"/>
        <v>10800</v>
      </c>
      <c r="AA133" s="59">
        <f t="shared" si="209"/>
        <v>5.7500000000000002E-2</v>
      </c>
      <c r="AB133" s="48">
        <f t="shared" si="210"/>
        <v>11162.249999999998</v>
      </c>
      <c r="AC133" s="48" t="str">
        <f t="shared" si="211"/>
        <v>nie</v>
      </c>
      <c r="AD133" s="48">
        <f t="shared" si="212"/>
        <v>75.599999999999994</v>
      </c>
      <c r="AE133" s="48">
        <f t="shared" si="213"/>
        <v>11032.186499999998</v>
      </c>
      <c r="AF133" s="48">
        <f t="shared" si="214"/>
        <v>0</v>
      </c>
      <c r="AG133" s="59">
        <f t="shared" si="215"/>
        <v>1.4999999999999999E-2</v>
      </c>
      <c r="AH133" s="48">
        <f t="shared" si="216"/>
        <v>2546.6336745488729</v>
      </c>
      <c r="AI133" s="48">
        <f t="shared" si="217"/>
        <v>13578.820174548871</v>
      </c>
      <c r="AJ133" s="24"/>
      <c r="AK133" s="56">
        <f t="shared" si="242"/>
        <v>100</v>
      </c>
      <c r="AL133" s="48">
        <f t="shared" si="243"/>
        <v>10000</v>
      </c>
      <c r="AM133" s="48">
        <f t="shared" si="181"/>
        <v>10000</v>
      </c>
      <c r="AN133" s="48">
        <f t="shared" si="244"/>
        <v>16209.434917978662</v>
      </c>
      <c r="AO133" s="59">
        <f t="shared" si="218"/>
        <v>6.0000000000000005E-2</v>
      </c>
      <c r="AP133" s="48">
        <f t="shared" si="219"/>
        <v>16776.765140107913</v>
      </c>
      <c r="AQ133" s="48" t="str">
        <f t="shared" si="220"/>
        <v>nie</v>
      </c>
      <c r="AR133" s="48">
        <f t="shared" si="221"/>
        <v>200</v>
      </c>
      <c r="AS133" s="48">
        <f t="shared" si="222"/>
        <v>15327.179763487409</v>
      </c>
      <c r="AT133" s="48">
        <f t="shared" si="153"/>
        <v>0</v>
      </c>
      <c r="AU133" s="59">
        <f t="shared" si="223"/>
        <v>1.4999999999999999E-2</v>
      </c>
      <c r="AV133" s="48">
        <f t="shared" si="224"/>
        <v>0</v>
      </c>
      <c r="AW133" s="48">
        <f t="shared" si="225"/>
        <v>15327.179763487409</v>
      </c>
      <c r="AY133" s="56">
        <f t="shared" si="188"/>
        <v>130</v>
      </c>
      <c r="AZ133" s="48">
        <f t="shared" si="189"/>
        <v>13000</v>
      </c>
      <c r="BA133" s="48">
        <f t="shared" si="183"/>
        <v>13000</v>
      </c>
      <c r="BB133" s="48">
        <f t="shared" si="245"/>
        <v>14895.917968749998</v>
      </c>
      <c r="BC133" s="59">
        <f t="shared" si="226"/>
        <v>6.25E-2</v>
      </c>
      <c r="BD133" s="48">
        <f t="shared" si="227"/>
        <v>15438.998311360674</v>
      </c>
      <c r="BE133" s="48" t="str">
        <f t="shared" si="228"/>
        <v>nie</v>
      </c>
      <c r="BF133" s="48">
        <f t="shared" si="229"/>
        <v>91</v>
      </c>
      <c r="BG133" s="48">
        <f t="shared" si="192"/>
        <v>14901.878632202146</v>
      </c>
      <c r="BH133" s="48">
        <f t="shared" si="162"/>
        <v>0</v>
      </c>
      <c r="BI133" s="59">
        <f t="shared" si="230"/>
        <v>1.4999999999999999E-2</v>
      </c>
      <c r="BJ133" s="48">
        <f t="shared" si="231"/>
        <v>34.027159949013686</v>
      </c>
      <c r="BK133" s="48">
        <f t="shared" si="232"/>
        <v>14935.905792151159</v>
      </c>
      <c r="BL133" s="24"/>
      <c r="BM133" s="56">
        <f t="shared" si="190"/>
        <v>100</v>
      </c>
      <c r="BN133" s="48">
        <f t="shared" si="191"/>
        <v>10000</v>
      </c>
      <c r="BO133" s="48">
        <f t="shared" si="185"/>
        <v>10000</v>
      </c>
      <c r="BP133" s="48">
        <f t="shared" si="246"/>
        <v>16880.955847162131</v>
      </c>
      <c r="BQ133" s="59">
        <f t="shared" si="233"/>
        <v>6.5000000000000002E-2</v>
      </c>
      <c r="BR133" s="48">
        <f t="shared" si="234"/>
        <v>17521.025423033694</v>
      </c>
      <c r="BS133" s="48" t="str">
        <f t="shared" si="235"/>
        <v>nie</v>
      </c>
      <c r="BT133" s="48">
        <f t="shared" si="236"/>
        <v>200</v>
      </c>
      <c r="BU133" s="48">
        <f t="shared" si="170"/>
        <v>15930.030592657293</v>
      </c>
      <c r="BV133" s="48">
        <f t="shared" si="171"/>
        <v>0</v>
      </c>
      <c r="BW133" s="59">
        <f t="shared" si="237"/>
        <v>1.4999999999999999E-2</v>
      </c>
      <c r="BX133" s="48">
        <f t="shared" si="238"/>
        <v>0</v>
      </c>
      <c r="BY133" s="48">
        <f t="shared" si="239"/>
        <v>15930.030592657293</v>
      </c>
    </row>
    <row r="134" spans="1:77" s="25" customFormat="1" ht="14">
      <c r="A134" s="24"/>
      <c r="B134" s="172"/>
      <c r="C134" s="66">
        <f t="shared" si="254"/>
        <v>100</v>
      </c>
      <c r="D134" s="48">
        <f t="shared" si="255"/>
        <v>13195.461151471547</v>
      </c>
      <c r="E134" s="48">
        <f t="shared" si="256"/>
        <v>14372.184084182991</v>
      </c>
      <c r="F134" s="48">
        <f t="shared" si="257"/>
        <v>14022.333636090425</v>
      </c>
      <c r="G134" s="49">
        <f t="shared" si="258"/>
        <v>14855.215973069506</v>
      </c>
      <c r="H134" s="49">
        <f t="shared" si="259"/>
        <v>11064.965657074063</v>
      </c>
      <c r="I134" s="48">
        <f t="shared" si="260"/>
        <v>15020.797011855473</v>
      </c>
      <c r="J134" s="24"/>
      <c r="K134" s="84"/>
      <c r="L134" s="64">
        <f t="shared" si="261"/>
        <v>100</v>
      </c>
      <c r="M134" s="51">
        <f t="shared" si="248"/>
        <v>0.31954611514715481</v>
      </c>
      <c r="N134" s="51">
        <f t="shared" si="249"/>
        <v>0.43721840841829906</v>
      </c>
      <c r="O134" s="51">
        <f t="shared" si="250"/>
        <v>0.40223336360904249</v>
      </c>
      <c r="P134" s="51">
        <f t="shared" si="251"/>
        <v>0.48552159730695066</v>
      </c>
      <c r="Q134" s="51">
        <f t="shared" si="252"/>
        <v>0.10649656570740618</v>
      </c>
      <c r="R134" s="51">
        <f t="shared" si="253"/>
        <v>0.50207970118554734</v>
      </c>
      <c r="S134" s="24"/>
      <c r="T134" s="45">
        <f t="shared" si="175"/>
        <v>116</v>
      </c>
      <c r="U134" s="59">
        <f t="shared" si="247"/>
        <v>0.05</v>
      </c>
      <c r="V134" s="48">
        <f t="shared" si="208"/>
        <v>16030.391565111335</v>
      </c>
      <c r="W134" s="56">
        <f t="shared" si="240"/>
        <v>108</v>
      </c>
      <c r="X134" s="48">
        <f t="shared" si="241"/>
        <v>10789.2</v>
      </c>
      <c r="Y134" s="48">
        <f t="shared" si="187"/>
        <v>10800</v>
      </c>
      <c r="Z134" s="48">
        <f t="shared" si="178"/>
        <v>10800</v>
      </c>
      <c r="AA134" s="59">
        <f t="shared" si="209"/>
        <v>5.7500000000000002E-2</v>
      </c>
      <c r="AB134" s="48">
        <f t="shared" si="210"/>
        <v>11214</v>
      </c>
      <c r="AC134" s="48" t="str">
        <f t="shared" si="211"/>
        <v>nie</v>
      </c>
      <c r="AD134" s="48">
        <f t="shared" si="212"/>
        <v>75.599999999999994</v>
      </c>
      <c r="AE134" s="48">
        <f t="shared" si="213"/>
        <v>11074.103999999999</v>
      </c>
      <c r="AF134" s="48">
        <f t="shared" si="214"/>
        <v>0</v>
      </c>
      <c r="AG134" s="59">
        <f t="shared" si="215"/>
        <v>1.4999999999999999E-2</v>
      </c>
      <c r="AH134" s="48">
        <f t="shared" si="216"/>
        <v>2549.2121411443541</v>
      </c>
      <c r="AI134" s="48">
        <f t="shared" si="217"/>
        <v>13623.316141144354</v>
      </c>
      <c r="AJ134" s="24"/>
      <c r="AK134" s="56">
        <f t="shared" si="242"/>
        <v>100</v>
      </c>
      <c r="AL134" s="48">
        <f t="shared" si="243"/>
        <v>10000</v>
      </c>
      <c r="AM134" s="48">
        <f t="shared" si="181"/>
        <v>10000</v>
      </c>
      <c r="AN134" s="48">
        <f t="shared" si="244"/>
        <v>16209.434917978662</v>
      </c>
      <c r="AO134" s="59">
        <f t="shared" si="218"/>
        <v>6.0000000000000005E-2</v>
      </c>
      <c r="AP134" s="48">
        <f t="shared" si="219"/>
        <v>16857.812314697811</v>
      </c>
      <c r="AQ134" s="48" t="str">
        <f t="shared" si="220"/>
        <v>nie</v>
      </c>
      <c r="AR134" s="48">
        <f t="shared" si="221"/>
        <v>200</v>
      </c>
      <c r="AS134" s="48">
        <f t="shared" si="222"/>
        <v>15392.827974905227</v>
      </c>
      <c r="AT134" s="48">
        <f t="shared" si="153"/>
        <v>0</v>
      </c>
      <c r="AU134" s="59">
        <f t="shared" si="223"/>
        <v>1.4999999999999999E-2</v>
      </c>
      <c r="AV134" s="48">
        <f t="shared" si="224"/>
        <v>0</v>
      </c>
      <c r="AW134" s="48">
        <f t="shared" si="225"/>
        <v>15392.827974905227</v>
      </c>
      <c r="AY134" s="56">
        <f t="shared" si="188"/>
        <v>130</v>
      </c>
      <c r="AZ134" s="48">
        <f t="shared" si="189"/>
        <v>13000</v>
      </c>
      <c r="BA134" s="48">
        <f t="shared" si="183"/>
        <v>13000</v>
      </c>
      <c r="BB134" s="48">
        <f t="shared" si="245"/>
        <v>14895.917968749998</v>
      </c>
      <c r="BC134" s="59">
        <f t="shared" si="226"/>
        <v>6.25E-2</v>
      </c>
      <c r="BD134" s="48">
        <f t="shared" si="227"/>
        <v>15516.581217447916</v>
      </c>
      <c r="BE134" s="48" t="str">
        <f t="shared" si="228"/>
        <v>nie</v>
      </c>
      <c r="BF134" s="48">
        <f t="shared" si="229"/>
        <v>91</v>
      </c>
      <c r="BG134" s="48">
        <f t="shared" si="192"/>
        <v>14964.720786132812</v>
      </c>
      <c r="BH134" s="48">
        <f t="shared" si="162"/>
        <v>0</v>
      </c>
      <c r="BI134" s="59">
        <f t="shared" si="230"/>
        <v>1.4999999999999999E-2</v>
      </c>
      <c r="BJ134" s="48">
        <f t="shared" si="231"/>
        <v>34.061612448462064</v>
      </c>
      <c r="BK134" s="48">
        <f t="shared" si="232"/>
        <v>14998.782398581274</v>
      </c>
      <c r="BL134" s="24"/>
      <c r="BM134" s="56">
        <f t="shared" si="190"/>
        <v>100</v>
      </c>
      <c r="BN134" s="48">
        <f t="shared" si="191"/>
        <v>10000</v>
      </c>
      <c r="BO134" s="48">
        <f t="shared" si="185"/>
        <v>10000</v>
      </c>
      <c r="BP134" s="48">
        <f t="shared" si="246"/>
        <v>16880.955847162131</v>
      </c>
      <c r="BQ134" s="59">
        <f t="shared" si="233"/>
        <v>6.5000000000000002E-2</v>
      </c>
      <c r="BR134" s="48">
        <f t="shared" si="234"/>
        <v>17612.463933872492</v>
      </c>
      <c r="BS134" s="48" t="str">
        <f t="shared" si="235"/>
        <v>nie</v>
      </c>
      <c r="BT134" s="48">
        <f t="shared" si="236"/>
        <v>200</v>
      </c>
      <c r="BU134" s="48">
        <f t="shared" si="170"/>
        <v>16004.095786436719</v>
      </c>
      <c r="BV134" s="48">
        <f t="shared" si="171"/>
        <v>0</v>
      </c>
      <c r="BW134" s="59">
        <f t="shared" si="237"/>
        <v>1.4999999999999999E-2</v>
      </c>
      <c r="BX134" s="48">
        <f t="shared" si="238"/>
        <v>0</v>
      </c>
      <c r="BY134" s="48">
        <f t="shared" si="239"/>
        <v>16004.095786436719</v>
      </c>
    </row>
    <row r="135" spans="1:77" s="25" customFormat="1" ht="14">
      <c r="A135" s="24"/>
      <c r="B135" s="172"/>
      <c r="C135" s="66">
        <f t="shared" si="254"/>
        <v>101</v>
      </c>
      <c r="D135" s="48">
        <f t="shared" si="255"/>
        <v>13197.886555887413</v>
      </c>
      <c r="E135" s="48">
        <f t="shared" si="256"/>
        <v>14434.116359105454</v>
      </c>
      <c r="F135" s="48">
        <f t="shared" si="257"/>
        <v>14081.51312619726</v>
      </c>
      <c r="G135" s="49">
        <f t="shared" si="258"/>
        <v>14924.760755960982</v>
      </c>
      <c r="H135" s="49">
        <f t="shared" si="259"/>
        <v>11076.168934801852</v>
      </c>
      <c r="I135" s="48">
        <f t="shared" si="260"/>
        <v>15082.357655346685</v>
      </c>
      <c r="J135" s="24"/>
      <c r="K135" s="84"/>
      <c r="L135" s="64">
        <f t="shared" si="261"/>
        <v>101</v>
      </c>
      <c r="M135" s="51">
        <f t="shared" si="248"/>
        <v>0.31978865558874126</v>
      </c>
      <c r="N135" s="51">
        <f t="shared" si="249"/>
        <v>0.44341163591054533</v>
      </c>
      <c r="O135" s="51">
        <f t="shared" si="250"/>
        <v>0.40815131261972604</v>
      </c>
      <c r="P135" s="51">
        <f t="shared" si="251"/>
        <v>0.49247607559609818</v>
      </c>
      <c r="Q135" s="51">
        <f t="shared" si="252"/>
        <v>0.10761689348018511</v>
      </c>
      <c r="R135" s="51">
        <f t="shared" si="253"/>
        <v>0.50823576553466854</v>
      </c>
      <c r="S135" s="24"/>
      <c r="T135" s="45">
        <f t="shared" si="175"/>
        <v>117</v>
      </c>
      <c r="U135" s="59">
        <f t="shared" si="247"/>
        <v>0.05</v>
      </c>
      <c r="V135" s="48">
        <f t="shared" si="208"/>
        <v>16095.030240777107</v>
      </c>
      <c r="W135" s="56">
        <f t="shared" si="240"/>
        <v>108</v>
      </c>
      <c r="X135" s="48">
        <f t="shared" si="241"/>
        <v>10789.2</v>
      </c>
      <c r="Y135" s="48">
        <f t="shared" si="187"/>
        <v>10800</v>
      </c>
      <c r="Z135" s="48">
        <f t="shared" si="178"/>
        <v>10800</v>
      </c>
      <c r="AA135" s="59">
        <f t="shared" si="209"/>
        <v>5.7500000000000002E-2</v>
      </c>
      <c r="AB135" s="48">
        <f t="shared" si="210"/>
        <v>11265.75</v>
      </c>
      <c r="AC135" s="48" t="str">
        <f t="shared" si="211"/>
        <v>nie</v>
      </c>
      <c r="AD135" s="48">
        <f t="shared" si="212"/>
        <v>75.599999999999994</v>
      </c>
      <c r="AE135" s="48">
        <f t="shared" si="213"/>
        <v>11116.021499999999</v>
      </c>
      <c r="AF135" s="48">
        <f t="shared" si="214"/>
        <v>0</v>
      </c>
      <c r="AG135" s="59">
        <f t="shared" si="215"/>
        <v>1.4999999999999999E-2</v>
      </c>
      <c r="AH135" s="48">
        <f t="shared" si="216"/>
        <v>2551.793218437263</v>
      </c>
      <c r="AI135" s="48">
        <f t="shared" si="217"/>
        <v>13667.814718437261</v>
      </c>
      <c r="AJ135" s="24"/>
      <c r="AK135" s="56">
        <f t="shared" si="242"/>
        <v>100</v>
      </c>
      <c r="AL135" s="48">
        <f t="shared" si="243"/>
        <v>10000</v>
      </c>
      <c r="AM135" s="48">
        <f t="shared" si="181"/>
        <v>10000</v>
      </c>
      <c r="AN135" s="48">
        <f t="shared" si="244"/>
        <v>16209.434917978662</v>
      </c>
      <c r="AO135" s="59">
        <f t="shared" si="218"/>
        <v>6.0000000000000005E-2</v>
      </c>
      <c r="AP135" s="48">
        <f t="shared" si="219"/>
        <v>16938.859489287701</v>
      </c>
      <c r="AQ135" s="48" t="str">
        <f t="shared" si="220"/>
        <v>nie</v>
      </c>
      <c r="AR135" s="48">
        <f t="shared" si="221"/>
        <v>200</v>
      </c>
      <c r="AS135" s="48">
        <f t="shared" si="222"/>
        <v>15458.476186323038</v>
      </c>
      <c r="AT135" s="48">
        <f t="shared" si="153"/>
        <v>0</v>
      </c>
      <c r="AU135" s="59">
        <f t="shared" si="223"/>
        <v>1.4999999999999999E-2</v>
      </c>
      <c r="AV135" s="48">
        <f t="shared" si="224"/>
        <v>0</v>
      </c>
      <c r="AW135" s="48">
        <f t="shared" si="225"/>
        <v>15458.476186323038</v>
      </c>
      <c r="AY135" s="56">
        <f t="shared" si="188"/>
        <v>130</v>
      </c>
      <c r="AZ135" s="48">
        <f t="shared" si="189"/>
        <v>13000</v>
      </c>
      <c r="BA135" s="48">
        <f t="shared" si="183"/>
        <v>13000</v>
      </c>
      <c r="BB135" s="48">
        <f t="shared" si="245"/>
        <v>14895.917968749998</v>
      </c>
      <c r="BC135" s="59">
        <f t="shared" si="226"/>
        <v>6.25E-2</v>
      </c>
      <c r="BD135" s="48">
        <f t="shared" si="227"/>
        <v>15594.164123535154</v>
      </c>
      <c r="BE135" s="48" t="str">
        <f t="shared" si="228"/>
        <v>nie</v>
      </c>
      <c r="BF135" s="48">
        <f t="shared" si="229"/>
        <v>91</v>
      </c>
      <c r="BG135" s="48">
        <f t="shared" si="192"/>
        <v>15027.562940063475</v>
      </c>
      <c r="BH135" s="48">
        <f t="shared" si="162"/>
        <v>0</v>
      </c>
      <c r="BI135" s="59">
        <f t="shared" si="230"/>
        <v>1.4999999999999999E-2</v>
      </c>
      <c r="BJ135" s="48">
        <f t="shared" si="231"/>
        <v>34.096099831066134</v>
      </c>
      <c r="BK135" s="48">
        <f t="shared" si="232"/>
        <v>15061.659039894541</v>
      </c>
      <c r="BL135" s="24"/>
      <c r="BM135" s="56">
        <f t="shared" si="190"/>
        <v>100</v>
      </c>
      <c r="BN135" s="48">
        <f t="shared" si="191"/>
        <v>10000</v>
      </c>
      <c r="BO135" s="48">
        <f t="shared" si="185"/>
        <v>10000</v>
      </c>
      <c r="BP135" s="48">
        <f t="shared" si="246"/>
        <v>16880.955847162131</v>
      </c>
      <c r="BQ135" s="59">
        <f t="shared" si="233"/>
        <v>6.5000000000000002E-2</v>
      </c>
      <c r="BR135" s="48">
        <f t="shared" si="234"/>
        <v>17703.902444711286</v>
      </c>
      <c r="BS135" s="48" t="str">
        <f t="shared" si="235"/>
        <v>nie</v>
      </c>
      <c r="BT135" s="48">
        <f t="shared" si="236"/>
        <v>200</v>
      </c>
      <c r="BU135" s="48">
        <f t="shared" si="170"/>
        <v>16078.160980216142</v>
      </c>
      <c r="BV135" s="48">
        <f t="shared" si="171"/>
        <v>0</v>
      </c>
      <c r="BW135" s="59">
        <f t="shared" si="237"/>
        <v>1.4999999999999999E-2</v>
      </c>
      <c r="BX135" s="48">
        <f t="shared" si="238"/>
        <v>0</v>
      </c>
      <c r="BY135" s="48">
        <f t="shared" si="239"/>
        <v>16078.160980216142</v>
      </c>
    </row>
    <row r="136" spans="1:77" s="25" customFormat="1" ht="14">
      <c r="A136" s="24"/>
      <c r="B136" s="172"/>
      <c r="C136" s="66">
        <f t="shared" si="254"/>
        <v>102</v>
      </c>
      <c r="D136" s="48">
        <f t="shared" si="255"/>
        <v>13200.314416025249</v>
      </c>
      <c r="E136" s="48">
        <f t="shared" si="256"/>
        <v>14496.048634027922</v>
      </c>
      <c r="F136" s="48">
        <f t="shared" si="257"/>
        <v>14140.692650661729</v>
      </c>
      <c r="G136" s="49">
        <f t="shared" si="258"/>
        <v>14994.305538852459</v>
      </c>
      <c r="H136" s="49">
        <f t="shared" si="259"/>
        <v>11087.383555848339</v>
      </c>
      <c r="I136" s="48">
        <f t="shared" si="260"/>
        <v>15143.918298837894</v>
      </c>
      <c r="J136" s="24"/>
      <c r="K136" s="84"/>
      <c r="L136" s="64">
        <f t="shared" si="261"/>
        <v>102</v>
      </c>
      <c r="M136" s="51">
        <f t="shared" si="248"/>
        <v>0.32003144160252495</v>
      </c>
      <c r="N136" s="51">
        <f t="shared" si="249"/>
        <v>0.44960486340279227</v>
      </c>
      <c r="O136" s="51">
        <f t="shared" si="250"/>
        <v>0.41406926506617303</v>
      </c>
      <c r="P136" s="51">
        <f t="shared" si="251"/>
        <v>0.49943055388524593</v>
      </c>
      <c r="Q136" s="51">
        <f t="shared" si="252"/>
        <v>0.1087383555848338</v>
      </c>
      <c r="R136" s="51">
        <f t="shared" si="253"/>
        <v>0.51439182988378951</v>
      </c>
      <c r="S136" s="24"/>
      <c r="T136" s="45">
        <f t="shared" si="175"/>
        <v>118</v>
      </c>
      <c r="U136" s="59">
        <f t="shared" si="247"/>
        <v>0.05</v>
      </c>
      <c r="V136" s="48">
        <f t="shared" si="208"/>
        <v>16159.668916442877</v>
      </c>
      <c r="W136" s="56">
        <f t="shared" si="240"/>
        <v>108</v>
      </c>
      <c r="X136" s="48">
        <f t="shared" si="241"/>
        <v>10789.2</v>
      </c>
      <c r="Y136" s="48">
        <f t="shared" si="187"/>
        <v>10800</v>
      </c>
      <c r="Z136" s="48">
        <f t="shared" si="178"/>
        <v>10800</v>
      </c>
      <c r="AA136" s="59">
        <f t="shared" si="209"/>
        <v>5.7500000000000002E-2</v>
      </c>
      <c r="AB136" s="48">
        <f t="shared" si="210"/>
        <v>11317.5</v>
      </c>
      <c r="AC136" s="48" t="str">
        <f t="shared" si="211"/>
        <v>nie</v>
      </c>
      <c r="AD136" s="48">
        <f t="shared" si="212"/>
        <v>75.599999999999994</v>
      </c>
      <c r="AE136" s="48">
        <f t="shared" si="213"/>
        <v>11157.939</v>
      </c>
      <c r="AF136" s="48">
        <f t="shared" si="214"/>
        <v>0</v>
      </c>
      <c r="AG136" s="59">
        <f t="shared" si="215"/>
        <v>1.4999999999999999E-2</v>
      </c>
      <c r="AH136" s="48">
        <f t="shared" si="216"/>
        <v>2554.3769090709311</v>
      </c>
      <c r="AI136" s="48">
        <f t="shared" si="217"/>
        <v>13712.315909070931</v>
      </c>
      <c r="AJ136" s="24"/>
      <c r="AK136" s="56">
        <f t="shared" si="242"/>
        <v>100</v>
      </c>
      <c r="AL136" s="48">
        <f t="shared" si="243"/>
        <v>10000</v>
      </c>
      <c r="AM136" s="48">
        <f t="shared" si="181"/>
        <v>10000</v>
      </c>
      <c r="AN136" s="48">
        <f t="shared" si="244"/>
        <v>16209.434917978662</v>
      </c>
      <c r="AO136" s="59">
        <f t="shared" si="218"/>
        <v>6.0000000000000005E-2</v>
      </c>
      <c r="AP136" s="48">
        <f t="shared" si="219"/>
        <v>17019.906663877595</v>
      </c>
      <c r="AQ136" s="48" t="str">
        <f t="shared" si="220"/>
        <v>nie</v>
      </c>
      <c r="AR136" s="48">
        <f t="shared" si="221"/>
        <v>200</v>
      </c>
      <c r="AS136" s="48">
        <f t="shared" si="222"/>
        <v>15524.124397740852</v>
      </c>
      <c r="AT136" s="48">
        <f t="shared" si="153"/>
        <v>0</v>
      </c>
      <c r="AU136" s="59">
        <f t="shared" si="223"/>
        <v>1.4999999999999999E-2</v>
      </c>
      <c r="AV136" s="48">
        <f t="shared" si="224"/>
        <v>0</v>
      </c>
      <c r="AW136" s="48">
        <f t="shared" si="225"/>
        <v>15524.124397740852</v>
      </c>
      <c r="AY136" s="56">
        <f t="shared" si="188"/>
        <v>130</v>
      </c>
      <c r="AZ136" s="48">
        <f t="shared" si="189"/>
        <v>13000</v>
      </c>
      <c r="BA136" s="48">
        <f t="shared" si="183"/>
        <v>13000</v>
      </c>
      <c r="BB136" s="48">
        <f t="shared" si="245"/>
        <v>14895.917968749998</v>
      </c>
      <c r="BC136" s="59">
        <f t="shared" si="226"/>
        <v>6.25E-2</v>
      </c>
      <c r="BD136" s="48">
        <f t="shared" si="227"/>
        <v>15671.747029622393</v>
      </c>
      <c r="BE136" s="48" t="str">
        <f t="shared" si="228"/>
        <v>nie</v>
      </c>
      <c r="BF136" s="48">
        <f t="shared" si="229"/>
        <v>91</v>
      </c>
      <c r="BG136" s="48">
        <f t="shared" si="192"/>
        <v>15090.405093994139</v>
      </c>
      <c r="BH136" s="48">
        <f t="shared" si="162"/>
        <v>0</v>
      </c>
      <c r="BI136" s="59">
        <f t="shared" si="230"/>
        <v>1.4999999999999999E-2</v>
      </c>
      <c r="BJ136" s="48">
        <f t="shared" si="231"/>
        <v>34.130622132145092</v>
      </c>
      <c r="BK136" s="48">
        <f t="shared" si="232"/>
        <v>15124.535716126284</v>
      </c>
      <c r="BL136" s="24"/>
      <c r="BM136" s="56">
        <f t="shared" si="190"/>
        <v>100</v>
      </c>
      <c r="BN136" s="48">
        <f t="shared" si="191"/>
        <v>10000</v>
      </c>
      <c r="BO136" s="48">
        <f t="shared" si="185"/>
        <v>10000</v>
      </c>
      <c r="BP136" s="48">
        <f t="shared" si="246"/>
        <v>16880.955847162131</v>
      </c>
      <c r="BQ136" s="59">
        <f t="shared" si="233"/>
        <v>6.5000000000000002E-2</v>
      </c>
      <c r="BR136" s="48">
        <f t="shared" si="234"/>
        <v>17795.34095555008</v>
      </c>
      <c r="BS136" s="48" t="str">
        <f t="shared" si="235"/>
        <v>nie</v>
      </c>
      <c r="BT136" s="48">
        <f t="shared" si="236"/>
        <v>200</v>
      </c>
      <c r="BU136" s="48">
        <f t="shared" si="170"/>
        <v>16152.226173995565</v>
      </c>
      <c r="BV136" s="48">
        <f t="shared" si="171"/>
        <v>0</v>
      </c>
      <c r="BW136" s="59">
        <f t="shared" si="237"/>
        <v>1.4999999999999999E-2</v>
      </c>
      <c r="BX136" s="48">
        <f t="shared" si="238"/>
        <v>0</v>
      </c>
      <c r="BY136" s="48">
        <f t="shared" si="239"/>
        <v>16152.226173995565</v>
      </c>
    </row>
    <row r="137" spans="1:77" s="25" customFormat="1" ht="14">
      <c r="A137" s="24"/>
      <c r="B137" s="172"/>
      <c r="C137" s="66">
        <f t="shared" si="254"/>
        <v>103</v>
      </c>
      <c r="D137" s="48">
        <f t="shared" si="255"/>
        <v>13207.847734371473</v>
      </c>
      <c r="E137" s="48">
        <f t="shared" si="256"/>
        <v>14557.980908950387</v>
      </c>
      <c r="F137" s="48">
        <f t="shared" si="257"/>
        <v>14199.872209518619</v>
      </c>
      <c r="G137" s="49">
        <f t="shared" si="258"/>
        <v>15063.850321743936</v>
      </c>
      <c r="H137" s="49">
        <f t="shared" si="259"/>
        <v>11098.609531698636</v>
      </c>
      <c r="I137" s="48">
        <f t="shared" si="260"/>
        <v>15205.478942329106</v>
      </c>
      <c r="J137" s="24"/>
      <c r="K137" s="84"/>
      <c r="L137" s="64">
        <f t="shared" si="261"/>
        <v>103</v>
      </c>
      <c r="M137" s="51">
        <f t="shared" si="248"/>
        <v>0.3207847734371474</v>
      </c>
      <c r="N137" s="51">
        <f t="shared" si="249"/>
        <v>0.45579809089503875</v>
      </c>
      <c r="O137" s="51">
        <f t="shared" si="250"/>
        <v>0.41998722095186181</v>
      </c>
      <c r="P137" s="51">
        <f t="shared" si="251"/>
        <v>0.50638503217439346</v>
      </c>
      <c r="Q137" s="51">
        <f t="shared" si="252"/>
        <v>0.10986095316986355</v>
      </c>
      <c r="R137" s="51">
        <f t="shared" si="253"/>
        <v>0.52054789423291048</v>
      </c>
      <c r="S137" s="24"/>
      <c r="T137" s="45">
        <f t="shared" si="175"/>
        <v>119</v>
      </c>
      <c r="U137" s="59">
        <f t="shared" si="247"/>
        <v>0.05</v>
      </c>
      <c r="V137" s="48">
        <f t="shared" si="208"/>
        <v>16224.307592108649</v>
      </c>
      <c r="W137" s="56">
        <f t="shared" si="240"/>
        <v>108</v>
      </c>
      <c r="X137" s="48">
        <f t="shared" si="241"/>
        <v>10789.2</v>
      </c>
      <c r="Y137" s="48">
        <f t="shared" si="187"/>
        <v>10800</v>
      </c>
      <c r="Z137" s="48">
        <f t="shared" si="178"/>
        <v>10800</v>
      </c>
      <c r="AA137" s="59">
        <f t="shared" si="209"/>
        <v>5.7500000000000002E-2</v>
      </c>
      <c r="AB137" s="48">
        <f t="shared" si="210"/>
        <v>11369.25</v>
      </c>
      <c r="AC137" s="48" t="str">
        <f t="shared" si="211"/>
        <v>nie</v>
      </c>
      <c r="AD137" s="48">
        <f t="shared" si="212"/>
        <v>75.599999999999994</v>
      </c>
      <c r="AE137" s="48">
        <f t="shared" si="213"/>
        <v>11199.8565</v>
      </c>
      <c r="AF137" s="48">
        <f t="shared" si="214"/>
        <v>0</v>
      </c>
      <c r="AG137" s="59">
        <f t="shared" si="215"/>
        <v>1.4999999999999999E-2</v>
      </c>
      <c r="AH137" s="48">
        <f t="shared" si="216"/>
        <v>2556.9632156913658</v>
      </c>
      <c r="AI137" s="48">
        <f t="shared" si="217"/>
        <v>13756.819715691367</v>
      </c>
      <c r="AJ137" s="24"/>
      <c r="AK137" s="56">
        <f t="shared" si="242"/>
        <v>100</v>
      </c>
      <c r="AL137" s="48">
        <f t="shared" si="243"/>
        <v>10000</v>
      </c>
      <c r="AM137" s="48">
        <f t="shared" si="181"/>
        <v>10000</v>
      </c>
      <c r="AN137" s="48">
        <f t="shared" si="244"/>
        <v>16209.434917978662</v>
      </c>
      <c r="AO137" s="59">
        <f t="shared" si="218"/>
        <v>6.0000000000000005E-2</v>
      </c>
      <c r="AP137" s="48">
        <f t="shared" si="219"/>
        <v>17100.953838467489</v>
      </c>
      <c r="AQ137" s="48" t="str">
        <f t="shared" si="220"/>
        <v>nie</v>
      </c>
      <c r="AR137" s="48">
        <f t="shared" si="221"/>
        <v>200</v>
      </c>
      <c r="AS137" s="48">
        <f t="shared" si="222"/>
        <v>15589.772609158666</v>
      </c>
      <c r="AT137" s="48">
        <f t="shared" si="153"/>
        <v>0</v>
      </c>
      <c r="AU137" s="59">
        <f t="shared" si="223"/>
        <v>1.4999999999999999E-2</v>
      </c>
      <c r="AV137" s="48">
        <f t="shared" si="224"/>
        <v>0</v>
      </c>
      <c r="AW137" s="48">
        <f t="shared" si="225"/>
        <v>15589.772609158666</v>
      </c>
      <c r="AY137" s="56">
        <f t="shared" si="188"/>
        <v>130</v>
      </c>
      <c r="AZ137" s="48">
        <f t="shared" si="189"/>
        <v>13000</v>
      </c>
      <c r="BA137" s="48">
        <f t="shared" si="183"/>
        <v>13000</v>
      </c>
      <c r="BB137" s="48">
        <f t="shared" si="245"/>
        <v>14895.917968749998</v>
      </c>
      <c r="BC137" s="59">
        <f t="shared" si="226"/>
        <v>6.25E-2</v>
      </c>
      <c r="BD137" s="48">
        <f t="shared" si="227"/>
        <v>15749.329935709635</v>
      </c>
      <c r="BE137" s="48" t="str">
        <f t="shared" si="228"/>
        <v>nie</v>
      </c>
      <c r="BF137" s="48">
        <f t="shared" si="229"/>
        <v>91</v>
      </c>
      <c r="BG137" s="48">
        <f t="shared" si="192"/>
        <v>15153.247247924804</v>
      </c>
      <c r="BH137" s="48">
        <f t="shared" si="162"/>
        <v>0</v>
      </c>
      <c r="BI137" s="59">
        <f t="shared" si="230"/>
        <v>1.4999999999999999E-2</v>
      </c>
      <c r="BJ137" s="48">
        <f t="shared" si="231"/>
        <v>34.16517938705389</v>
      </c>
      <c r="BK137" s="48">
        <f t="shared" si="232"/>
        <v>15187.412427311858</v>
      </c>
      <c r="BL137" s="24"/>
      <c r="BM137" s="56">
        <f t="shared" si="190"/>
        <v>100</v>
      </c>
      <c r="BN137" s="48">
        <f t="shared" si="191"/>
        <v>10000</v>
      </c>
      <c r="BO137" s="48">
        <f t="shared" si="185"/>
        <v>10000</v>
      </c>
      <c r="BP137" s="48">
        <f t="shared" si="246"/>
        <v>16880.955847162131</v>
      </c>
      <c r="BQ137" s="59">
        <f t="shared" si="233"/>
        <v>6.5000000000000002E-2</v>
      </c>
      <c r="BR137" s="48">
        <f t="shared" si="234"/>
        <v>17886.779466388874</v>
      </c>
      <c r="BS137" s="48" t="str">
        <f t="shared" si="235"/>
        <v>nie</v>
      </c>
      <c r="BT137" s="48">
        <f t="shared" si="236"/>
        <v>200</v>
      </c>
      <c r="BU137" s="48">
        <f t="shared" si="170"/>
        <v>16226.291367774988</v>
      </c>
      <c r="BV137" s="48">
        <f t="shared" si="171"/>
        <v>0</v>
      </c>
      <c r="BW137" s="59">
        <f t="shared" si="237"/>
        <v>1.4999999999999999E-2</v>
      </c>
      <c r="BX137" s="48">
        <f t="shared" si="238"/>
        <v>0</v>
      </c>
      <c r="BY137" s="48">
        <f t="shared" si="239"/>
        <v>16226.291367774988</v>
      </c>
    </row>
    <row r="138" spans="1:77" s="25" customFormat="1" ht="14">
      <c r="A138" s="24"/>
      <c r="B138" s="172"/>
      <c r="C138" s="66">
        <f t="shared" si="254"/>
        <v>104</v>
      </c>
      <c r="D138" s="48">
        <f t="shared" si="255"/>
        <v>13219.757513415025</v>
      </c>
      <c r="E138" s="48">
        <f t="shared" si="256"/>
        <v>14619.913183872854</v>
      </c>
      <c r="F138" s="48">
        <f t="shared" si="257"/>
        <v>14259.051802802755</v>
      </c>
      <c r="G138" s="49">
        <f t="shared" si="258"/>
        <v>15133.395104635416</v>
      </c>
      <c r="H138" s="49">
        <f t="shared" si="259"/>
        <v>11109.846873849481</v>
      </c>
      <c r="I138" s="48">
        <f t="shared" si="260"/>
        <v>15267.039585820319</v>
      </c>
      <c r="J138" s="24"/>
      <c r="K138" s="84"/>
      <c r="L138" s="64">
        <f t="shared" si="261"/>
        <v>104</v>
      </c>
      <c r="M138" s="51">
        <f t="shared" si="248"/>
        <v>0.32197575134150247</v>
      </c>
      <c r="N138" s="51">
        <f t="shared" si="249"/>
        <v>0.46199131838728547</v>
      </c>
      <c r="O138" s="51">
        <f t="shared" si="250"/>
        <v>0.42590518028027535</v>
      </c>
      <c r="P138" s="51">
        <f t="shared" si="251"/>
        <v>0.51333951046354165</v>
      </c>
      <c r="Q138" s="51">
        <f t="shared" si="252"/>
        <v>0.11098468738494804</v>
      </c>
      <c r="R138" s="51">
        <f t="shared" si="253"/>
        <v>0.52670395858203189</v>
      </c>
      <c r="S138" s="24"/>
      <c r="T138" s="45">
        <f t="shared" si="175"/>
        <v>120</v>
      </c>
      <c r="U138" s="59">
        <f t="shared" si="247"/>
        <v>0.05</v>
      </c>
      <c r="V138" s="48">
        <f t="shared" si="208"/>
        <v>16288.94626777442</v>
      </c>
      <c r="W138" s="56">
        <f t="shared" si="240"/>
        <v>108</v>
      </c>
      <c r="X138" s="48">
        <f t="shared" si="241"/>
        <v>10789.2</v>
      </c>
      <c r="Y138" s="48">
        <f t="shared" si="187"/>
        <v>10800</v>
      </c>
      <c r="Z138" s="48">
        <f t="shared" si="178"/>
        <v>10800</v>
      </c>
      <c r="AA138" s="59">
        <f t="shared" si="209"/>
        <v>5.7500000000000002E-2</v>
      </c>
      <c r="AB138" s="48">
        <f t="shared" si="210"/>
        <v>11421.000000000002</v>
      </c>
      <c r="AC138" s="48" t="str">
        <f t="shared" si="211"/>
        <v>nie</v>
      </c>
      <c r="AD138" s="48">
        <f t="shared" si="212"/>
        <v>75.599999999999994</v>
      </c>
      <c r="AE138" s="48">
        <f t="shared" si="213"/>
        <v>11241.774000000001</v>
      </c>
      <c r="AF138" s="48">
        <f t="shared" si="214"/>
        <v>503.01000000000153</v>
      </c>
      <c r="AG138" s="59">
        <f t="shared" si="215"/>
        <v>1.4999999999999999E-2</v>
      </c>
      <c r="AH138" s="48">
        <f t="shared" si="216"/>
        <v>3062.5621409472551</v>
      </c>
      <c r="AI138" s="48">
        <f t="shared" si="217"/>
        <v>13801.326140947254</v>
      </c>
      <c r="AJ138" s="24"/>
      <c r="AK138" s="56">
        <f t="shared" si="242"/>
        <v>100</v>
      </c>
      <c r="AL138" s="48">
        <f t="shared" si="243"/>
        <v>10000</v>
      </c>
      <c r="AM138" s="48">
        <f t="shared" si="181"/>
        <v>10000</v>
      </c>
      <c r="AN138" s="48">
        <f t="shared" si="244"/>
        <v>16209.434917978662</v>
      </c>
      <c r="AO138" s="59">
        <f t="shared" si="218"/>
        <v>6.0000000000000005E-2</v>
      </c>
      <c r="AP138" s="48">
        <f t="shared" si="219"/>
        <v>17182.001013057383</v>
      </c>
      <c r="AQ138" s="48" t="str">
        <f t="shared" si="220"/>
        <v>tak</v>
      </c>
      <c r="AR138" s="48">
        <f t="shared" si="221"/>
        <v>0</v>
      </c>
      <c r="AS138" s="48">
        <f t="shared" si="222"/>
        <v>15817.420820576481</v>
      </c>
      <c r="AT138" s="48">
        <f t="shared" ref="AT138:AT161" si="262">IF(AND(AQ138="tak",AL139&lt;&gt;""),
 AS138-AL139,
0)</f>
        <v>33.220820576480037</v>
      </c>
      <c r="AU138" s="59">
        <f t="shared" si="223"/>
        <v>1.4999999999999999E-2</v>
      </c>
      <c r="AV138" s="48">
        <f t="shared" si="224"/>
        <v>33.220820576480037</v>
      </c>
      <c r="AW138" s="48">
        <f t="shared" si="225"/>
        <v>15817.420820576481</v>
      </c>
      <c r="AY138" s="56">
        <f t="shared" si="188"/>
        <v>130</v>
      </c>
      <c r="AZ138" s="48">
        <f t="shared" si="189"/>
        <v>13000</v>
      </c>
      <c r="BA138" s="48">
        <f t="shared" si="183"/>
        <v>13000</v>
      </c>
      <c r="BB138" s="48">
        <f t="shared" si="245"/>
        <v>14895.917968749998</v>
      </c>
      <c r="BC138" s="59">
        <f t="shared" si="226"/>
        <v>6.25E-2</v>
      </c>
      <c r="BD138" s="48">
        <f t="shared" si="227"/>
        <v>15826.912841796873</v>
      </c>
      <c r="BE138" s="48" t="str">
        <f t="shared" si="228"/>
        <v>nie</v>
      </c>
      <c r="BF138" s="48">
        <f t="shared" si="229"/>
        <v>91</v>
      </c>
      <c r="BG138" s="48">
        <f t="shared" si="192"/>
        <v>15216.089401855468</v>
      </c>
      <c r="BH138" s="48">
        <f t="shared" ref="BH138:BH161" si="263">IF(AND(BE138="tak",AZ139&lt;&gt;""),
 BG138-AZ139,
0)</f>
        <v>0</v>
      </c>
      <c r="BI138" s="59">
        <f t="shared" si="230"/>
        <v>1.4999999999999999E-2</v>
      </c>
      <c r="BJ138" s="48">
        <f t="shared" si="231"/>
        <v>34.199771631183282</v>
      </c>
      <c r="BK138" s="48">
        <f t="shared" si="232"/>
        <v>15250.289173486652</v>
      </c>
      <c r="BL138" s="24"/>
      <c r="BM138" s="56">
        <f t="shared" si="190"/>
        <v>100</v>
      </c>
      <c r="BN138" s="48">
        <f t="shared" si="191"/>
        <v>10000</v>
      </c>
      <c r="BO138" s="48">
        <f t="shared" si="185"/>
        <v>10000</v>
      </c>
      <c r="BP138" s="48">
        <f t="shared" si="246"/>
        <v>16880.955847162131</v>
      </c>
      <c r="BQ138" s="59">
        <f t="shared" si="233"/>
        <v>6.5000000000000002E-2</v>
      </c>
      <c r="BR138" s="48">
        <f t="shared" si="234"/>
        <v>17978.217977227669</v>
      </c>
      <c r="BS138" s="48" t="str">
        <f t="shared" si="235"/>
        <v>nie</v>
      </c>
      <c r="BT138" s="48">
        <f t="shared" si="236"/>
        <v>200</v>
      </c>
      <c r="BU138" s="48">
        <f t="shared" si="170"/>
        <v>16300.356561554412</v>
      </c>
      <c r="BV138" s="48">
        <f t="shared" ref="BV138:BV161" si="264">IF(AND(BS138="tak",BN139&lt;&gt;""),
 BU138-BN139,
0)</f>
        <v>0</v>
      </c>
      <c r="BW138" s="59">
        <f t="shared" si="237"/>
        <v>1.4999999999999999E-2</v>
      </c>
      <c r="BX138" s="48">
        <f t="shared" si="238"/>
        <v>0</v>
      </c>
      <c r="BY138" s="48">
        <f t="shared" si="239"/>
        <v>16300.356561554412</v>
      </c>
    </row>
    <row r="139" spans="1:77" s="25" customFormat="1" ht="14">
      <c r="A139" s="24"/>
      <c r="B139" s="172"/>
      <c r="C139" s="66">
        <f t="shared" si="254"/>
        <v>105</v>
      </c>
      <c r="D139" s="48">
        <f t="shared" si="255"/>
        <v>13231.669755647357</v>
      </c>
      <c r="E139" s="48">
        <f t="shared" si="256"/>
        <v>14681.845458795318</v>
      </c>
      <c r="F139" s="48">
        <f t="shared" si="257"/>
        <v>14318.231430548989</v>
      </c>
      <c r="G139" s="49">
        <f t="shared" si="258"/>
        <v>15202.939887526894</v>
      </c>
      <c r="H139" s="49">
        <f t="shared" si="259"/>
        <v>11121.095593809254</v>
      </c>
      <c r="I139" s="48">
        <f t="shared" si="260"/>
        <v>15328.600229311531</v>
      </c>
      <c r="J139" s="24"/>
      <c r="K139" s="84"/>
      <c r="L139" s="64">
        <f t="shared" si="261"/>
        <v>105</v>
      </c>
      <c r="M139" s="51">
        <f t="shared" si="248"/>
        <v>0.32316697556473573</v>
      </c>
      <c r="N139" s="51">
        <f t="shared" si="249"/>
        <v>0.46818454587953173</v>
      </c>
      <c r="O139" s="51">
        <f t="shared" si="250"/>
        <v>0.43182314305489888</v>
      </c>
      <c r="P139" s="51">
        <f t="shared" si="251"/>
        <v>0.5202939887526894</v>
      </c>
      <c r="Q139" s="51">
        <f t="shared" si="252"/>
        <v>0.11210955938092537</v>
      </c>
      <c r="R139" s="51">
        <f t="shared" si="253"/>
        <v>0.53286002293115309</v>
      </c>
      <c r="S139" s="24"/>
      <c r="T139" s="45">
        <f t="shared" si="175"/>
        <v>121</v>
      </c>
      <c r="U139" s="59">
        <f t="shared" si="247"/>
        <v>0.05</v>
      </c>
      <c r="V139" s="48">
        <f t="shared" si="208"/>
        <v>16356.816877223479</v>
      </c>
      <c r="W139" s="56">
        <f t="shared" si="240"/>
        <v>108</v>
      </c>
      <c r="X139" s="48">
        <f t="shared" si="241"/>
        <v>10789.2</v>
      </c>
      <c r="Y139" s="48">
        <f t="shared" si="187"/>
        <v>10800</v>
      </c>
      <c r="Z139" s="48">
        <f t="shared" si="178"/>
        <v>10800</v>
      </c>
      <c r="AA139" s="59">
        <f t="shared" si="209"/>
        <v>5.7500000000000002E-2</v>
      </c>
      <c r="AB139" s="48">
        <f t="shared" si="210"/>
        <v>10851.75</v>
      </c>
      <c r="AC139" s="48" t="str">
        <f t="shared" si="211"/>
        <v>nie</v>
      </c>
      <c r="AD139" s="48">
        <f t="shared" si="212"/>
        <v>75.599999999999994</v>
      </c>
      <c r="AE139" s="48">
        <f t="shared" si="213"/>
        <v>10780.681499999999</v>
      </c>
      <c r="AF139" s="48">
        <f t="shared" si="214"/>
        <v>0</v>
      </c>
      <c r="AG139" s="59">
        <f t="shared" si="215"/>
        <v>1.4999999999999999E-2</v>
      </c>
      <c r="AH139" s="48">
        <f t="shared" si="216"/>
        <v>3065.6629851149646</v>
      </c>
      <c r="AI139" s="48">
        <f t="shared" si="217"/>
        <v>13846.344485114963</v>
      </c>
      <c r="AJ139" s="24"/>
      <c r="AK139" s="56">
        <f t="shared" si="242"/>
        <v>158</v>
      </c>
      <c r="AL139" s="48">
        <f t="shared" si="243"/>
        <v>15784.2</v>
      </c>
      <c r="AM139" s="48">
        <f t="shared" si="181"/>
        <v>15800</v>
      </c>
      <c r="AN139" s="48">
        <f t="shared" si="244"/>
        <v>15800</v>
      </c>
      <c r="AO139" s="59">
        <f t="shared" si="218"/>
        <v>1.7000000000000001E-2</v>
      </c>
      <c r="AP139" s="48">
        <f t="shared" si="219"/>
        <v>15822.383333333333</v>
      </c>
      <c r="AQ139" s="48" t="str">
        <f t="shared" si="220"/>
        <v>nie</v>
      </c>
      <c r="AR139" s="48">
        <f t="shared" si="221"/>
        <v>22.383333333333212</v>
      </c>
      <c r="AS139" s="48">
        <f t="shared" si="222"/>
        <v>15800</v>
      </c>
      <c r="AT139" s="48">
        <f t="shared" si="262"/>
        <v>0</v>
      </c>
      <c r="AU139" s="59">
        <f t="shared" si="223"/>
        <v>1.4999999999999999E-2</v>
      </c>
      <c r="AV139" s="48">
        <f t="shared" si="224"/>
        <v>33.254456657313725</v>
      </c>
      <c r="AW139" s="48">
        <f t="shared" si="225"/>
        <v>15833.254456657314</v>
      </c>
      <c r="AY139" s="56">
        <f t="shared" si="188"/>
        <v>130</v>
      </c>
      <c r="AZ139" s="48">
        <f t="shared" si="189"/>
        <v>13000</v>
      </c>
      <c r="BA139" s="48">
        <f t="shared" si="183"/>
        <v>13000</v>
      </c>
      <c r="BB139" s="48">
        <f t="shared" si="245"/>
        <v>15826.912841796873</v>
      </c>
      <c r="BC139" s="59">
        <f t="shared" si="226"/>
        <v>6.25E-2</v>
      </c>
      <c r="BD139" s="48">
        <f t="shared" si="227"/>
        <v>15909.344679514565</v>
      </c>
      <c r="BE139" s="48" t="str">
        <f t="shared" si="228"/>
        <v>nie</v>
      </c>
      <c r="BF139" s="48">
        <f t="shared" si="229"/>
        <v>91</v>
      </c>
      <c r="BG139" s="48">
        <f t="shared" si="192"/>
        <v>15282.859190406798</v>
      </c>
      <c r="BH139" s="48">
        <f t="shared" si="263"/>
        <v>0</v>
      </c>
      <c r="BI139" s="59">
        <f t="shared" si="230"/>
        <v>1.4999999999999999E-2</v>
      </c>
      <c r="BJ139" s="48">
        <f t="shared" si="231"/>
        <v>34.234398899959857</v>
      </c>
      <c r="BK139" s="48">
        <f t="shared" si="232"/>
        <v>15317.093589306758</v>
      </c>
      <c r="BL139" s="24"/>
      <c r="BM139" s="56">
        <f t="shared" si="190"/>
        <v>100</v>
      </c>
      <c r="BN139" s="48">
        <f t="shared" si="191"/>
        <v>10000</v>
      </c>
      <c r="BO139" s="48">
        <f t="shared" si="185"/>
        <v>10000</v>
      </c>
      <c r="BP139" s="48">
        <f t="shared" si="246"/>
        <v>17978.217977227669</v>
      </c>
      <c r="BQ139" s="59">
        <f t="shared" si="233"/>
        <v>6.5000000000000002E-2</v>
      </c>
      <c r="BR139" s="48">
        <f t="shared" si="234"/>
        <v>18075.599991270985</v>
      </c>
      <c r="BS139" s="48" t="str">
        <f t="shared" si="235"/>
        <v>nie</v>
      </c>
      <c r="BT139" s="48">
        <f t="shared" si="236"/>
        <v>200</v>
      </c>
      <c r="BU139" s="48">
        <f t="shared" si="170"/>
        <v>16379.235992929498</v>
      </c>
      <c r="BV139" s="48">
        <f t="shared" si="264"/>
        <v>0</v>
      </c>
      <c r="BW139" s="59">
        <f t="shared" si="237"/>
        <v>1.4999999999999999E-2</v>
      </c>
      <c r="BX139" s="48">
        <f t="shared" si="238"/>
        <v>0</v>
      </c>
      <c r="BY139" s="48">
        <f t="shared" si="239"/>
        <v>16379.235992929498</v>
      </c>
    </row>
    <row r="140" spans="1:77" s="25" customFormat="1" ht="14">
      <c r="A140" s="24"/>
      <c r="B140" s="172"/>
      <c r="C140" s="66">
        <f t="shared" si="254"/>
        <v>106</v>
      </c>
      <c r="D140" s="48">
        <f t="shared" si="255"/>
        <v>13243.584463562451</v>
      </c>
      <c r="E140" s="48">
        <f t="shared" si="256"/>
        <v>14743.777733717785</v>
      </c>
      <c r="F140" s="48">
        <f t="shared" si="257"/>
        <v>14377.411092792221</v>
      </c>
      <c r="G140" s="49">
        <f t="shared" si="258"/>
        <v>15272.484670418371</v>
      </c>
      <c r="H140" s="49">
        <f t="shared" si="259"/>
        <v>11132.355703097986</v>
      </c>
      <c r="I140" s="48">
        <f t="shared" si="260"/>
        <v>15390.160872802742</v>
      </c>
      <c r="J140" s="24"/>
      <c r="K140" s="84"/>
      <c r="L140" s="64">
        <f t="shared" si="261"/>
        <v>106</v>
      </c>
      <c r="M140" s="51">
        <f t="shared" si="248"/>
        <v>0.324358446356245</v>
      </c>
      <c r="N140" s="51">
        <f t="shared" si="249"/>
        <v>0.47437777337177844</v>
      </c>
      <c r="O140" s="51">
        <f t="shared" si="250"/>
        <v>0.43774110927922205</v>
      </c>
      <c r="P140" s="51">
        <f t="shared" si="251"/>
        <v>0.52724846704183714</v>
      </c>
      <c r="Q140" s="51">
        <f t="shared" si="252"/>
        <v>0.11323557030979869</v>
      </c>
      <c r="R140" s="51">
        <f t="shared" si="253"/>
        <v>0.53901608728027428</v>
      </c>
      <c r="S140" s="24"/>
      <c r="T140" s="45">
        <f t="shared" si="175"/>
        <v>122</v>
      </c>
      <c r="U140" s="59">
        <f t="shared" si="247"/>
        <v>0.05</v>
      </c>
      <c r="V140" s="48">
        <f t="shared" si="208"/>
        <v>16424.687486672537</v>
      </c>
      <c r="W140" s="56">
        <f t="shared" si="240"/>
        <v>108</v>
      </c>
      <c r="X140" s="48">
        <f t="shared" si="241"/>
        <v>10789.2</v>
      </c>
      <c r="Y140" s="48">
        <f t="shared" si="187"/>
        <v>10800</v>
      </c>
      <c r="Z140" s="48">
        <f t="shared" si="178"/>
        <v>10800</v>
      </c>
      <c r="AA140" s="59">
        <f t="shared" si="209"/>
        <v>5.7500000000000002E-2</v>
      </c>
      <c r="AB140" s="48">
        <f t="shared" si="210"/>
        <v>10903.5</v>
      </c>
      <c r="AC140" s="48" t="str">
        <f t="shared" si="211"/>
        <v>nie</v>
      </c>
      <c r="AD140" s="48">
        <f t="shared" si="212"/>
        <v>75.599999999999994</v>
      </c>
      <c r="AE140" s="48">
        <f t="shared" si="213"/>
        <v>10822.599</v>
      </c>
      <c r="AF140" s="48">
        <f t="shared" si="214"/>
        <v>0</v>
      </c>
      <c r="AG140" s="59">
        <f t="shared" si="215"/>
        <v>1.4999999999999999E-2</v>
      </c>
      <c r="AH140" s="48">
        <f t="shared" si="216"/>
        <v>3068.7669688873939</v>
      </c>
      <c r="AI140" s="48">
        <f t="shared" si="217"/>
        <v>13891.365968887394</v>
      </c>
      <c r="AJ140" s="24"/>
      <c r="AK140" s="56">
        <f t="shared" si="242"/>
        <v>158</v>
      </c>
      <c r="AL140" s="48">
        <f t="shared" si="243"/>
        <v>15784.2</v>
      </c>
      <c r="AM140" s="48">
        <f t="shared" si="181"/>
        <v>15800</v>
      </c>
      <c r="AN140" s="48">
        <f t="shared" si="244"/>
        <v>15800</v>
      </c>
      <c r="AO140" s="59">
        <f t="shared" si="218"/>
        <v>1.7000000000000001E-2</v>
      </c>
      <c r="AP140" s="48">
        <f t="shared" si="219"/>
        <v>15844.766666666665</v>
      </c>
      <c r="AQ140" s="48" t="str">
        <f t="shared" si="220"/>
        <v>nie</v>
      </c>
      <c r="AR140" s="48">
        <f t="shared" si="221"/>
        <v>44.766666666664605</v>
      </c>
      <c r="AS140" s="48">
        <f t="shared" si="222"/>
        <v>15800</v>
      </c>
      <c r="AT140" s="48">
        <f t="shared" si="262"/>
        <v>0</v>
      </c>
      <c r="AU140" s="59">
        <f t="shared" si="223"/>
        <v>1.4999999999999999E-2</v>
      </c>
      <c r="AV140" s="48">
        <f t="shared" si="224"/>
        <v>33.288126794679258</v>
      </c>
      <c r="AW140" s="48">
        <f t="shared" si="225"/>
        <v>15833.28812679468</v>
      </c>
      <c r="AY140" s="56">
        <f t="shared" si="188"/>
        <v>130</v>
      </c>
      <c r="AZ140" s="48">
        <f t="shared" si="189"/>
        <v>13000</v>
      </c>
      <c r="BA140" s="48">
        <f t="shared" si="183"/>
        <v>13000</v>
      </c>
      <c r="BB140" s="48">
        <f t="shared" si="245"/>
        <v>15826.912841796873</v>
      </c>
      <c r="BC140" s="59">
        <f t="shared" si="226"/>
        <v>6.25E-2</v>
      </c>
      <c r="BD140" s="48">
        <f t="shared" si="227"/>
        <v>15991.776517232258</v>
      </c>
      <c r="BE140" s="48" t="str">
        <f t="shared" si="228"/>
        <v>nie</v>
      </c>
      <c r="BF140" s="48">
        <f t="shared" si="229"/>
        <v>91</v>
      </c>
      <c r="BG140" s="48">
        <f t="shared" si="192"/>
        <v>15349.62897895813</v>
      </c>
      <c r="BH140" s="48">
        <f t="shared" si="263"/>
        <v>0</v>
      </c>
      <c r="BI140" s="59">
        <f t="shared" si="230"/>
        <v>1.4999999999999999E-2</v>
      </c>
      <c r="BJ140" s="48">
        <f t="shared" si="231"/>
        <v>34.26906122884607</v>
      </c>
      <c r="BK140" s="48">
        <f t="shared" si="232"/>
        <v>15383.898040186976</v>
      </c>
      <c r="BL140" s="24"/>
      <c r="BM140" s="56">
        <f t="shared" si="190"/>
        <v>100</v>
      </c>
      <c r="BN140" s="48">
        <f t="shared" si="191"/>
        <v>10000</v>
      </c>
      <c r="BO140" s="48">
        <f t="shared" si="185"/>
        <v>10000</v>
      </c>
      <c r="BP140" s="48">
        <f t="shared" si="246"/>
        <v>17978.217977227669</v>
      </c>
      <c r="BQ140" s="59">
        <f t="shared" si="233"/>
        <v>6.5000000000000002E-2</v>
      </c>
      <c r="BR140" s="48">
        <f t="shared" si="234"/>
        <v>18172.982005314301</v>
      </c>
      <c r="BS140" s="48" t="str">
        <f t="shared" si="235"/>
        <v>nie</v>
      </c>
      <c r="BT140" s="48">
        <f t="shared" si="236"/>
        <v>200</v>
      </c>
      <c r="BU140" s="48">
        <f t="shared" si="170"/>
        <v>16458.115424304582</v>
      </c>
      <c r="BV140" s="48">
        <f t="shared" si="264"/>
        <v>0</v>
      </c>
      <c r="BW140" s="59">
        <f t="shared" si="237"/>
        <v>1.4999999999999999E-2</v>
      </c>
      <c r="BX140" s="48">
        <f t="shared" si="238"/>
        <v>0</v>
      </c>
      <c r="BY140" s="48">
        <f t="shared" si="239"/>
        <v>16458.115424304582</v>
      </c>
    </row>
    <row r="141" spans="1:77" s="25" customFormat="1" ht="14" customHeight="1">
      <c r="A141" s="24"/>
      <c r="B141" s="172"/>
      <c r="C141" s="66">
        <f t="shared" si="254"/>
        <v>107</v>
      </c>
      <c r="D141" s="48">
        <f t="shared" si="255"/>
        <v>13255.501639656806</v>
      </c>
      <c r="E141" s="48">
        <f t="shared" si="256"/>
        <v>14805.71000864025</v>
      </c>
      <c r="F141" s="48">
        <f t="shared" si="257"/>
        <v>14436.590789567375</v>
      </c>
      <c r="G141" s="49">
        <f t="shared" si="258"/>
        <v>15342.029453309848</v>
      </c>
      <c r="H141" s="49">
        <f t="shared" si="259"/>
        <v>11143.627213247373</v>
      </c>
      <c r="I141" s="48">
        <f t="shared" si="260"/>
        <v>15451.721516293952</v>
      </c>
      <c r="J141" s="24"/>
      <c r="K141" s="84"/>
      <c r="L141" s="64">
        <f t="shared" si="261"/>
        <v>107</v>
      </c>
      <c r="M141" s="51">
        <f t="shared" si="248"/>
        <v>0.32555016396568059</v>
      </c>
      <c r="N141" s="51">
        <f t="shared" si="249"/>
        <v>0.48057100086402493</v>
      </c>
      <c r="O141" s="51">
        <f t="shared" si="250"/>
        <v>0.44365907895673762</v>
      </c>
      <c r="P141" s="51">
        <f t="shared" si="251"/>
        <v>0.53420294533098467</v>
      </c>
      <c r="Q141" s="51">
        <f t="shared" si="252"/>
        <v>0.11436272132473735</v>
      </c>
      <c r="R141" s="51">
        <f t="shared" si="253"/>
        <v>0.54517215162939525</v>
      </c>
      <c r="S141" s="24"/>
      <c r="T141" s="45">
        <f t="shared" si="175"/>
        <v>123</v>
      </c>
      <c r="U141" s="59">
        <f t="shared" si="247"/>
        <v>0.05</v>
      </c>
      <c r="V141" s="48">
        <f t="shared" si="208"/>
        <v>16492.5580961216</v>
      </c>
      <c r="W141" s="56">
        <f t="shared" si="240"/>
        <v>108</v>
      </c>
      <c r="X141" s="48">
        <f t="shared" si="241"/>
        <v>10789.2</v>
      </c>
      <c r="Y141" s="48">
        <f t="shared" si="187"/>
        <v>10800</v>
      </c>
      <c r="Z141" s="48">
        <f t="shared" si="178"/>
        <v>10800</v>
      </c>
      <c r="AA141" s="59">
        <f t="shared" si="209"/>
        <v>5.7500000000000002E-2</v>
      </c>
      <c r="AB141" s="48">
        <f t="shared" si="210"/>
        <v>10955.25</v>
      </c>
      <c r="AC141" s="48" t="str">
        <f t="shared" si="211"/>
        <v>nie</v>
      </c>
      <c r="AD141" s="48">
        <f t="shared" si="212"/>
        <v>75.599999999999994</v>
      </c>
      <c r="AE141" s="48">
        <f t="shared" si="213"/>
        <v>10864.5165</v>
      </c>
      <c r="AF141" s="48">
        <f t="shared" si="214"/>
        <v>0</v>
      </c>
      <c r="AG141" s="59">
        <f t="shared" si="215"/>
        <v>1.4999999999999999E-2</v>
      </c>
      <c r="AH141" s="48">
        <f t="shared" si="216"/>
        <v>3071.8740954433924</v>
      </c>
      <c r="AI141" s="48">
        <f t="shared" si="217"/>
        <v>13936.390595443392</v>
      </c>
      <c r="AJ141" s="24"/>
      <c r="AK141" s="56">
        <f t="shared" si="242"/>
        <v>158</v>
      </c>
      <c r="AL141" s="48">
        <f t="shared" si="243"/>
        <v>15784.2</v>
      </c>
      <c r="AM141" s="48">
        <f t="shared" si="181"/>
        <v>15800</v>
      </c>
      <c r="AN141" s="48">
        <f t="shared" si="244"/>
        <v>15800</v>
      </c>
      <c r="AO141" s="59">
        <f t="shared" si="218"/>
        <v>1.7000000000000001E-2</v>
      </c>
      <c r="AP141" s="48">
        <f t="shared" si="219"/>
        <v>15867.150000000001</v>
      </c>
      <c r="AQ141" s="48" t="str">
        <f t="shared" si="220"/>
        <v>nie</v>
      </c>
      <c r="AR141" s="48">
        <f t="shared" si="221"/>
        <v>67.150000000001455</v>
      </c>
      <c r="AS141" s="48">
        <f t="shared" si="222"/>
        <v>15800</v>
      </c>
      <c r="AT141" s="48">
        <f t="shared" si="262"/>
        <v>0</v>
      </c>
      <c r="AU141" s="59">
        <f t="shared" si="223"/>
        <v>1.4999999999999999E-2</v>
      </c>
      <c r="AV141" s="48">
        <f t="shared" si="224"/>
        <v>33.32183102305887</v>
      </c>
      <c r="AW141" s="48">
        <f t="shared" si="225"/>
        <v>15833.321831023059</v>
      </c>
      <c r="AY141" s="56">
        <f t="shared" si="188"/>
        <v>130</v>
      </c>
      <c r="AZ141" s="48">
        <f t="shared" si="189"/>
        <v>13000</v>
      </c>
      <c r="BA141" s="48">
        <f t="shared" si="183"/>
        <v>13000</v>
      </c>
      <c r="BB141" s="48">
        <f t="shared" si="245"/>
        <v>15826.912841796873</v>
      </c>
      <c r="BC141" s="59">
        <f t="shared" si="226"/>
        <v>6.25E-2</v>
      </c>
      <c r="BD141" s="48">
        <f t="shared" si="227"/>
        <v>16074.208354949949</v>
      </c>
      <c r="BE141" s="48" t="str">
        <f t="shared" si="228"/>
        <v>nie</v>
      </c>
      <c r="BF141" s="48">
        <f t="shared" si="229"/>
        <v>91</v>
      </c>
      <c r="BG141" s="48">
        <f t="shared" si="192"/>
        <v>15416.39876750946</v>
      </c>
      <c r="BH141" s="48">
        <f t="shared" si="263"/>
        <v>0</v>
      </c>
      <c r="BI141" s="59">
        <f t="shared" si="230"/>
        <v>1.4999999999999999E-2</v>
      </c>
      <c r="BJ141" s="48">
        <f t="shared" si="231"/>
        <v>34.303758653340282</v>
      </c>
      <c r="BK141" s="48">
        <f t="shared" si="232"/>
        <v>15450.7025261628</v>
      </c>
      <c r="BL141" s="24"/>
      <c r="BM141" s="56">
        <f t="shared" si="190"/>
        <v>100</v>
      </c>
      <c r="BN141" s="48">
        <f t="shared" si="191"/>
        <v>10000</v>
      </c>
      <c r="BO141" s="48">
        <f t="shared" si="185"/>
        <v>10000</v>
      </c>
      <c r="BP141" s="48">
        <f t="shared" si="246"/>
        <v>17978.217977227669</v>
      </c>
      <c r="BQ141" s="59">
        <f t="shared" si="233"/>
        <v>6.5000000000000002E-2</v>
      </c>
      <c r="BR141" s="48">
        <f t="shared" si="234"/>
        <v>18270.364019357621</v>
      </c>
      <c r="BS141" s="48" t="str">
        <f t="shared" si="235"/>
        <v>nie</v>
      </c>
      <c r="BT141" s="48">
        <f t="shared" si="236"/>
        <v>200</v>
      </c>
      <c r="BU141" s="48">
        <f t="shared" si="170"/>
        <v>16536.994855679673</v>
      </c>
      <c r="BV141" s="48">
        <f t="shared" si="264"/>
        <v>0</v>
      </c>
      <c r="BW141" s="59">
        <f t="shared" si="237"/>
        <v>1.4999999999999999E-2</v>
      </c>
      <c r="BX141" s="48">
        <f t="shared" si="238"/>
        <v>0</v>
      </c>
      <c r="BY141" s="48">
        <f t="shared" si="239"/>
        <v>16536.994855679673</v>
      </c>
    </row>
    <row r="142" spans="1:77" s="25" customFormat="1" ht="14">
      <c r="A142" s="24"/>
      <c r="B142" s="173"/>
      <c r="C142" s="66">
        <f t="shared" si="254"/>
        <v>108</v>
      </c>
      <c r="D142" s="48">
        <f t="shared" si="255"/>
        <v>13267.42128642946</v>
      </c>
      <c r="E142" s="48">
        <f t="shared" si="256"/>
        <v>14867.642283562716</v>
      </c>
      <c r="F142" s="48">
        <f t="shared" si="257"/>
        <v>14495.770520909413</v>
      </c>
      <c r="G142" s="49">
        <f t="shared" si="258"/>
        <v>15411.574236201326</v>
      </c>
      <c r="H142" s="49">
        <f t="shared" si="259"/>
        <v>11154.910135800787</v>
      </c>
      <c r="I142" s="48">
        <f t="shared" si="260"/>
        <v>15513.282159785162</v>
      </c>
      <c r="J142" s="24"/>
      <c r="K142" s="84"/>
      <c r="L142" s="64">
        <f t="shared" si="261"/>
        <v>108</v>
      </c>
      <c r="M142" s="51">
        <f t="shared" si="248"/>
        <v>0.32674212864294594</v>
      </c>
      <c r="N142" s="51">
        <f t="shared" si="249"/>
        <v>0.48676422835627164</v>
      </c>
      <c r="O142" s="51">
        <f t="shared" si="250"/>
        <v>0.44957705209094123</v>
      </c>
      <c r="P142" s="51">
        <f t="shared" si="251"/>
        <v>0.54115742362013264</v>
      </c>
      <c r="Q142" s="51">
        <f t="shared" si="252"/>
        <v>0.11549101358007863</v>
      </c>
      <c r="R142" s="51">
        <f t="shared" si="253"/>
        <v>0.55132821597851622</v>
      </c>
      <c r="S142" s="24"/>
      <c r="T142" s="45">
        <f t="shared" si="175"/>
        <v>124</v>
      </c>
      <c r="U142" s="59">
        <f t="shared" si="247"/>
        <v>0.05</v>
      </c>
      <c r="V142" s="48">
        <f t="shared" si="208"/>
        <v>16560.428705570659</v>
      </c>
      <c r="W142" s="56">
        <f t="shared" si="240"/>
        <v>108</v>
      </c>
      <c r="X142" s="48">
        <f t="shared" si="241"/>
        <v>10789.2</v>
      </c>
      <c r="Y142" s="48">
        <f t="shared" si="187"/>
        <v>10800</v>
      </c>
      <c r="Z142" s="48">
        <f t="shared" si="178"/>
        <v>10800</v>
      </c>
      <c r="AA142" s="59">
        <f t="shared" si="209"/>
        <v>5.7500000000000002E-2</v>
      </c>
      <c r="AB142" s="48">
        <f t="shared" si="210"/>
        <v>11007.000000000002</v>
      </c>
      <c r="AC142" s="48" t="str">
        <f t="shared" si="211"/>
        <v>nie</v>
      </c>
      <c r="AD142" s="48">
        <f t="shared" si="212"/>
        <v>75.599999999999994</v>
      </c>
      <c r="AE142" s="48">
        <f t="shared" si="213"/>
        <v>10906.434000000001</v>
      </c>
      <c r="AF142" s="48">
        <f t="shared" si="214"/>
        <v>0</v>
      </c>
      <c r="AG142" s="59">
        <f t="shared" si="215"/>
        <v>1.4999999999999999E-2</v>
      </c>
      <c r="AH142" s="48">
        <f t="shared" si="216"/>
        <v>3074.9843679650289</v>
      </c>
      <c r="AI142" s="48">
        <f t="shared" si="217"/>
        <v>13981.41836796503</v>
      </c>
      <c r="AJ142" s="24"/>
      <c r="AK142" s="56">
        <f t="shared" si="242"/>
        <v>158</v>
      </c>
      <c r="AL142" s="48">
        <f t="shared" si="243"/>
        <v>15784.2</v>
      </c>
      <c r="AM142" s="48">
        <f t="shared" si="181"/>
        <v>15800</v>
      </c>
      <c r="AN142" s="48">
        <f t="shared" si="244"/>
        <v>15800</v>
      </c>
      <c r="AO142" s="59">
        <f t="shared" si="218"/>
        <v>1.7000000000000001E-2</v>
      </c>
      <c r="AP142" s="48">
        <f t="shared" si="219"/>
        <v>15889.533333333335</v>
      </c>
      <c r="AQ142" s="48" t="str">
        <f t="shared" si="220"/>
        <v>nie</v>
      </c>
      <c r="AR142" s="48">
        <f t="shared" si="221"/>
        <v>89.533333333334667</v>
      </c>
      <c r="AS142" s="48">
        <f t="shared" si="222"/>
        <v>15800</v>
      </c>
      <c r="AT142" s="48">
        <f t="shared" si="262"/>
        <v>0</v>
      </c>
      <c r="AU142" s="59">
        <f t="shared" si="223"/>
        <v>1.4999999999999999E-2</v>
      </c>
      <c r="AV142" s="48">
        <f t="shared" si="224"/>
        <v>33.355569376969719</v>
      </c>
      <c r="AW142" s="48">
        <f t="shared" si="225"/>
        <v>15833.35556937697</v>
      </c>
      <c r="AY142" s="56">
        <f t="shared" si="188"/>
        <v>130</v>
      </c>
      <c r="AZ142" s="48">
        <f t="shared" si="189"/>
        <v>13000</v>
      </c>
      <c r="BA142" s="48">
        <f t="shared" si="183"/>
        <v>13000</v>
      </c>
      <c r="BB142" s="48">
        <f t="shared" si="245"/>
        <v>15826.912841796873</v>
      </c>
      <c r="BC142" s="59">
        <f t="shared" si="226"/>
        <v>6.25E-2</v>
      </c>
      <c r="BD142" s="48">
        <f t="shared" si="227"/>
        <v>16156.640192667641</v>
      </c>
      <c r="BE142" s="48" t="str">
        <f t="shared" si="228"/>
        <v>nie</v>
      </c>
      <c r="BF142" s="48">
        <f t="shared" si="229"/>
        <v>91</v>
      </c>
      <c r="BG142" s="48">
        <f t="shared" si="192"/>
        <v>15483.168556060789</v>
      </c>
      <c r="BH142" s="48">
        <f t="shared" si="263"/>
        <v>0</v>
      </c>
      <c r="BI142" s="59">
        <f t="shared" si="230"/>
        <v>1.4999999999999999E-2</v>
      </c>
      <c r="BJ142" s="48">
        <f t="shared" si="231"/>
        <v>34.338491208976791</v>
      </c>
      <c r="BK142" s="48">
        <f t="shared" si="232"/>
        <v>15517.507047269766</v>
      </c>
      <c r="BL142" s="24"/>
      <c r="BM142" s="56">
        <f t="shared" si="190"/>
        <v>100</v>
      </c>
      <c r="BN142" s="48">
        <f t="shared" si="191"/>
        <v>10000</v>
      </c>
      <c r="BO142" s="48">
        <f t="shared" si="185"/>
        <v>10000</v>
      </c>
      <c r="BP142" s="48">
        <f t="shared" si="246"/>
        <v>17978.217977227669</v>
      </c>
      <c r="BQ142" s="59">
        <f t="shared" si="233"/>
        <v>6.5000000000000002E-2</v>
      </c>
      <c r="BR142" s="48">
        <f t="shared" si="234"/>
        <v>18367.746033400937</v>
      </c>
      <c r="BS142" s="48" t="str">
        <f t="shared" si="235"/>
        <v>nie</v>
      </c>
      <c r="BT142" s="48">
        <f t="shared" si="236"/>
        <v>200</v>
      </c>
      <c r="BU142" s="48">
        <f t="shared" si="170"/>
        <v>16615.874287054758</v>
      </c>
      <c r="BV142" s="48">
        <f t="shared" si="264"/>
        <v>0</v>
      </c>
      <c r="BW142" s="59">
        <f t="shared" si="237"/>
        <v>1.4999999999999999E-2</v>
      </c>
      <c r="BX142" s="48">
        <f t="shared" si="238"/>
        <v>0</v>
      </c>
      <c r="BY142" s="48">
        <f t="shared" si="239"/>
        <v>16615.874287054758</v>
      </c>
    </row>
    <row r="143" spans="1:77" s="25" customFormat="1" ht="14">
      <c r="A143" s="24"/>
      <c r="B143" s="171">
        <f>ROUNDUP(C154/12,0)</f>
        <v>10</v>
      </c>
      <c r="C143" s="66">
        <f t="shared" si="254"/>
        <v>109</v>
      </c>
      <c r="D143" s="48">
        <f t="shared" si="255"/>
        <v>13311.89905193197</v>
      </c>
      <c r="E143" s="48">
        <f t="shared" si="256"/>
        <v>14933.290494980529</v>
      </c>
      <c r="F143" s="48">
        <f t="shared" si="257"/>
        <v>14558.646884143376</v>
      </c>
      <c r="G143" s="49">
        <f t="shared" si="258"/>
        <v>15485.639429980749</v>
      </c>
      <c r="H143" s="49">
        <f t="shared" si="259"/>
        <v>11166.204482313286</v>
      </c>
      <c r="I143" s="48">
        <f t="shared" si="260"/>
        <v>15577.920835450934</v>
      </c>
      <c r="J143" s="24"/>
      <c r="K143" s="84"/>
      <c r="L143" s="64">
        <f t="shared" si="261"/>
        <v>109</v>
      </c>
      <c r="M143" s="51">
        <f t="shared" si="248"/>
        <v>0.33118990519319702</v>
      </c>
      <c r="N143" s="51">
        <f t="shared" si="249"/>
        <v>0.4933290494980529</v>
      </c>
      <c r="O143" s="51">
        <f t="shared" si="250"/>
        <v>0.45586468841433758</v>
      </c>
      <c r="P143" s="51">
        <f t="shared" si="251"/>
        <v>0.54856394299807487</v>
      </c>
      <c r="Q143" s="51">
        <f t="shared" si="252"/>
        <v>0.11662044823132867</v>
      </c>
      <c r="R143" s="51">
        <f t="shared" si="253"/>
        <v>0.55779208354509335</v>
      </c>
      <c r="S143" s="24"/>
      <c r="T143" s="45">
        <f t="shared" si="175"/>
        <v>125</v>
      </c>
      <c r="U143" s="59">
        <f t="shared" si="247"/>
        <v>0.05</v>
      </c>
      <c r="V143" s="48">
        <f t="shared" si="208"/>
        <v>16628.299315019718</v>
      </c>
      <c r="W143" s="56">
        <f t="shared" si="240"/>
        <v>108</v>
      </c>
      <c r="X143" s="48">
        <f t="shared" si="241"/>
        <v>10789.2</v>
      </c>
      <c r="Y143" s="48">
        <f t="shared" si="187"/>
        <v>10800</v>
      </c>
      <c r="Z143" s="48">
        <f t="shared" si="178"/>
        <v>10800</v>
      </c>
      <c r="AA143" s="59">
        <f t="shared" si="209"/>
        <v>5.7500000000000002E-2</v>
      </c>
      <c r="AB143" s="48">
        <f t="shared" si="210"/>
        <v>11058.75</v>
      </c>
      <c r="AC143" s="48" t="str">
        <f t="shared" si="211"/>
        <v>nie</v>
      </c>
      <c r="AD143" s="48">
        <f t="shared" si="212"/>
        <v>75.599999999999994</v>
      </c>
      <c r="AE143" s="48">
        <f t="shared" si="213"/>
        <v>10948.351499999999</v>
      </c>
      <c r="AF143" s="48">
        <f t="shared" si="214"/>
        <v>0</v>
      </c>
      <c r="AG143" s="59">
        <f t="shared" si="215"/>
        <v>1.4999999999999999E-2</v>
      </c>
      <c r="AH143" s="48">
        <f t="shared" si="216"/>
        <v>3078.0977896375939</v>
      </c>
      <c r="AI143" s="48">
        <f t="shared" si="217"/>
        <v>14026.449289637592</v>
      </c>
      <c r="AJ143" s="24"/>
      <c r="AK143" s="56">
        <f t="shared" si="242"/>
        <v>158</v>
      </c>
      <c r="AL143" s="48">
        <f t="shared" si="243"/>
        <v>15784.2</v>
      </c>
      <c r="AM143" s="48">
        <f t="shared" si="181"/>
        <v>15800</v>
      </c>
      <c r="AN143" s="48">
        <f t="shared" si="244"/>
        <v>15800</v>
      </c>
      <c r="AO143" s="59">
        <f t="shared" si="218"/>
        <v>1.7000000000000001E-2</v>
      </c>
      <c r="AP143" s="48">
        <f t="shared" si="219"/>
        <v>15911.916666666666</v>
      </c>
      <c r="AQ143" s="48" t="str">
        <f t="shared" si="220"/>
        <v>nie</v>
      </c>
      <c r="AR143" s="48">
        <f t="shared" si="221"/>
        <v>111.91666666666606</v>
      </c>
      <c r="AS143" s="48">
        <f t="shared" si="222"/>
        <v>15800</v>
      </c>
      <c r="AT143" s="48">
        <f t="shared" si="262"/>
        <v>0</v>
      </c>
      <c r="AU143" s="59">
        <f t="shared" si="223"/>
        <v>1.4999999999999999E-2</v>
      </c>
      <c r="AV143" s="48">
        <f t="shared" si="224"/>
        <v>33.389341890963905</v>
      </c>
      <c r="AW143" s="48">
        <f t="shared" si="225"/>
        <v>15833.389341890965</v>
      </c>
      <c r="AY143" s="56">
        <f t="shared" si="188"/>
        <v>130</v>
      </c>
      <c r="AZ143" s="48">
        <f t="shared" si="189"/>
        <v>13000</v>
      </c>
      <c r="BA143" s="48">
        <f t="shared" si="183"/>
        <v>13000</v>
      </c>
      <c r="BB143" s="48">
        <f t="shared" si="245"/>
        <v>15826.912841796873</v>
      </c>
      <c r="BC143" s="59">
        <f t="shared" si="226"/>
        <v>6.25E-2</v>
      </c>
      <c r="BD143" s="48">
        <f t="shared" si="227"/>
        <v>16239.072030385334</v>
      </c>
      <c r="BE143" s="48" t="str">
        <f t="shared" si="228"/>
        <v>nie</v>
      </c>
      <c r="BF143" s="48">
        <f t="shared" si="229"/>
        <v>91</v>
      </c>
      <c r="BG143" s="48">
        <f t="shared" si="192"/>
        <v>15549.938344612121</v>
      </c>
      <c r="BH143" s="48">
        <f t="shared" si="263"/>
        <v>0</v>
      </c>
      <c r="BI143" s="59">
        <f t="shared" si="230"/>
        <v>1.4999999999999999E-2</v>
      </c>
      <c r="BJ143" s="48">
        <f t="shared" si="231"/>
        <v>34.373258931325886</v>
      </c>
      <c r="BK143" s="48">
        <f t="shared" si="232"/>
        <v>15584.311603543447</v>
      </c>
      <c r="BL143" s="24"/>
      <c r="BM143" s="56">
        <f t="shared" si="190"/>
        <v>100</v>
      </c>
      <c r="BN143" s="48">
        <f t="shared" si="191"/>
        <v>10000</v>
      </c>
      <c r="BO143" s="48">
        <f t="shared" si="185"/>
        <v>10000</v>
      </c>
      <c r="BP143" s="48">
        <f t="shared" si="246"/>
        <v>17978.217977227669</v>
      </c>
      <c r="BQ143" s="59">
        <f t="shared" si="233"/>
        <v>6.5000000000000002E-2</v>
      </c>
      <c r="BR143" s="48">
        <f t="shared" si="234"/>
        <v>18465.12804744425</v>
      </c>
      <c r="BS143" s="48" t="str">
        <f t="shared" si="235"/>
        <v>nie</v>
      </c>
      <c r="BT143" s="48">
        <f t="shared" si="236"/>
        <v>200</v>
      </c>
      <c r="BU143" s="48">
        <f t="shared" si="170"/>
        <v>16694.753718429842</v>
      </c>
      <c r="BV143" s="48">
        <f t="shared" si="264"/>
        <v>0</v>
      </c>
      <c r="BW143" s="59">
        <f t="shared" si="237"/>
        <v>1.4999999999999999E-2</v>
      </c>
      <c r="BX143" s="48">
        <f t="shared" si="238"/>
        <v>0</v>
      </c>
      <c r="BY143" s="48">
        <f t="shared" si="239"/>
        <v>16694.753718429842</v>
      </c>
    </row>
    <row r="144" spans="1:77" s="25" customFormat="1" ht="14">
      <c r="A144" s="24"/>
      <c r="B144" s="172"/>
      <c r="C144" s="66">
        <f t="shared" si="254"/>
        <v>110</v>
      </c>
      <c r="D144" s="48">
        <f t="shared" si="255"/>
        <v>13356.379409703302</v>
      </c>
      <c r="E144" s="48">
        <f t="shared" si="256"/>
        <v>14998.938706398343</v>
      </c>
      <c r="F144" s="48">
        <f t="shared" si="257"/>
        <v>14621.523282014261</v>
      </c>
      <c r="G144" s="49">
        <f t="shared" si="258"/>
        <v>15559.704623760173</v>
      </c>
      <c r="H144" s="49">
        <f t="shared" si="259"/>
        <v>11177.510264351629</v>
      </c>
      <c r="I144" s="48">
        <f t="shared" si="260"/>
        <v>15642.559511116704</v>
      </c>
      <c r="J144" s="24"/>
      <c r="K144" s="84"/>
      <c r="L144" s="64">
        <f t="shared" si="261"/>
        <v>110</v>
      </c>
      <c r="M144" s="51">
        <f t="shared" si="248"/>
        <v>0.33563794097033028</v>
      </c>
      <c r="N144" s="51">
        <f t="shared" si="249"/>
        <v>0.49989387063983437</v>
      </c>
      <c r="O144" s="51">
        <f t="shared" si="250"/>
        <v>0.46215232820142615</v>
      </c>
      <c r="P144" s="51">
        <f t="shared" si="251"/>
        <v>0.55597046237601733</v>
      </c>
      <c r="Q144" s="51">
        <f t="shared" si="252"/>
        <v>0.11775102643516289</v>
      </c>
      <c r="R144" s="51">
        <f t="shared" si="253"/>
        <v>0.56425595111167048</v>
      </c>
      <c r="S144" s="24"/>
      <c r="T144" s="45">
        <f t="shared" si="175"/>
        <v>126</v>
      </c>
      <c r="U144" s="59">
        <f t="shared" si="247"/>
        <v>0.05</v>
      </c>
      <c r="V144" s="48">
        <f t="shared" si="208"/>
        <v>16696.169924468777</v>
      </c>
      <c r="W144" s="56">
        <f t="shared" si="240"/>
        <v>108</v>
      </c>
      <c r="X144" s="48">
        <f t="shared" si="241"/>
        <v>10789.2</v>
      </c>
      <c r="Y144" s="48">
        <f t="shared" si="187"/>
        <v>10800</v>
      </c>
      <c r="Z144" s="48">
        <f t="shared" si="178"/>
        <v>10800</v>
      </c>
      <c r="AA144" s="59">
        <f t="shared" si="209"/>
        <v>5.7500000000000002E-2</v>
      </c>
      <c r="AB144" s="48">
        <f t="shared" si="210"/>
        <v>11110.5</v>
      </c>
      <c r="AC144" s="48" t="str">
        <f t="shared" si="211"/>
        <v>nie</v>
      </c>
      <c r="AD144" s="48">
        <f t="shared" si="212"/>
        <v>75.599999999999994</v>
      </c>
      <c r="AE144" s="48">
        <f t="shared" si="213"/>
        <v>10990.269</v>
      </c>
      <c r="AF144" s="48">
        <f t="shared" si="214"/>
        <v>0</v>
      </c>
      <c r="AG144" s="59">
        <f t="shared" si="215"/>
        <v>1.4999999999999999E-2</v>
      </c>
      <c r="AH144" s="48">
        <f t="shared" si="216"/>
        <v>3081.2143636496021</v>
      </c>
      <c r="AI144" s="48">
        <f t="shared" si="217"/>
        <v>14071.483363649602</v>
      </c>
      <c r="AJ144" s="24"/>
      <c r="AK144" s="56">
        <f t="shared" si="242"/>
        <v>158</v>
      </c>
      <c r="AL144" s="48">
        <f t="shared" si="243"/>
        <v>15784.2</v>
      </c>
      <c r="AM144" s="48">
        <f t="shared" si="181"/>
        <v>15800</v>
      </c>
      <c r="AN144" s="48">
        <f t="shared" si="244"/>
        <v>15800</v>
      </c>
      <c r="AO144" s="59">
        <f t="shared" si="218"/>
        <v>1.7000000000000001E-2</v>
      </c>
      <c r="AP144" s="48">
        <f t="shared" si="219"/>
        <v>15934.3</v>
      </c>
      <c r="AQ144" s="48" t="str">
        <f t="shared" si="220"/>
        <v>nie</v>
      </c>
      <c r="AR144" s="48">
        <f t="shared" si="221"/>
        <v>134.29999999999927</v>
      </c>
      <c r="AS144" s="48">
        <f t="shared" si="222"/>
        <v>15800</v>
      </c>
      <c r="AT144" s="48">
        <f t="shared" si="262"/>
        <v>0</v>
      </c>
      <c r="AU144" s="59">
        <f t="shared" si="223"/>
        <v>1.4999999999999999E-2</v>
      </c>
      <c r="AV144" s="48">
        <f t="shared" si="224"/>
        <v>33.423148599628512</v>
      </c>
      <c r="AW144" s="48">
        <f t="shared" si="225"/>
        <v>15833.423148599628</v>
      </c>
      <c r="AY144" s="56">
        <f t="shared" si="188"/>
        <v>130</v>
      </c>
      <c r="AZ144" s="48">
        <f t="shared" si="189"/>
        <v>13000</v>
      </c>
      <c r="BA144" s="48">
        <f t="shared" si="183"/>
        <v>13000</v>
      </c>
      <c r="BB144" s="48">
        <f t="shared" si="245"/>
        <v>15826.912841796873</v>
      </c>
      <c r="BC144" s="59">
        <f t="shared" si="226"/>
        <v>6.25E-2</v>
      </c>
      <c r="BD144" s="48">
        <f t="shared" si="227"/>
        <v>16321.503868103026</v>
      </c>
      <c r="BE144" s="48" t="str">
        <f t="shared" si="228"/>
        <v>nie</v>
      </c>
      <c r="BF144" s="48">
        <f t="shared" si="229"/>
        <v>91</v>
      </c>
      <c r="BG144" s="48">
        <f t="shared" si="192"/>
        <v>15616.708133163451</v>
      </c>
      <c r="BH144" s="48">
        <f t="shared" si="263"/>
        <v>0</v>
      </c>
      <c r="BI144" s="59">
        <f t="shared" si="230"/>
        <v>1.4999999999999999E-2</v>
      </c>
      <c r="BJ144" s="48">
        <f t="shared" si="231"/>
        <v>34.408061855993857</v>
      </c>
      <c r="BK144" s="48">
        <f t="shared" si="232"/>
        <v>15651.116195019446</v>
      </c>
      <c r="BL144" s="24"/>
      <c r="BM144" s="56">
        <f t="shared" si="190"/>
        <v>100</v>
      </c>
      <c r="BN144" s="48">
        <f t="shared" si="191"/>
        <v>10000</v>
      </c>
      <c r="BO144" s="48">
        <f t="shared" si="185"/>
        <v>10000</v>
      </c>
      <c r="BP144" s="48">
        <f t="shared" si="246"/>
        <v>17978.217977227669</v>
      </c>
      <c r="BQ144" s="59">
        <f t="shared" si="233"/>
        <v>6.5000000000000002E-2</v>
      </c>
      <c r="BR144" s="48">
        <f t="shared" si="234"/>
        <v>18562.510061487566</v>
      </c>
      <c r="BS144" s="48" t="str">
        <f t="shared" si="235"/>
        <v>nie</v>
      </c>
      <c r="BT144" s="48">
        <f t="shared" si="236"/>
        <v>200</v>
      </c>
      <c r="BU144" s="48">
        <f t="shared" si="170"/>
        <v>16773.633149804929</v>
      </c>
      <c r="BV144" s="48">
        <f t="shared" si="264"/>
        <v>0</v>
      </c>
      <c r="BW144" s="59">
        <f t="shared" si="237"/>
        <v>1.4999999999999999E-2</v>
      </c>
      <c r="BX144" s="48">
        <f t="shared" si="238"/>
        <v>0</v>
      </c>
      <c r="BY144" s="48">
        <f t="shared" si="239"/>
        <v>16773.633149804929</v>
      </c>
    </row>
    <row r="145" spans="1:77" s="25" customFormat="1" ht="14">
      <c r="A145" s="24"/>
      <c r="B145" s="172"/>
      <c r="C145" s="66">
        <f t="shared" si="254"/>
        <v>111</v>
      </c>
      <c r="D145" s="48">
        <f t="shared" si="255"/>
        <v>13400.862362368127</v>
      </c>
      <c r="E145" s="48">
        <f t="shared" si="256"/>
        <v>15064.586917816156</v>
      </c>
      <c r="F145" s="48">
        <f t="shared" si="257"/>
        <v>14684.399714557134</v>
      </c>
      <c r="G145" s="49">
        <f t="shared" si="258"/>
        <v>15633.7698175396</v>
      </c>
      <c r="H145" s="49">
        <f t="shared" si="259"/>
        <v>11188.827493494286</v>
      </c>
      <c r="I145" s="48">
        <f t="shared" si="260"/>
        <v>15707.198186782476</v>
      </c>
      <c r="J145" s="24"/>
      <c r="K145" s="84"/>
      <c r="L145" s="64">
        <f t="shared" si="261"/>
        <v>111</v>
      </c>
      <c r="M145" s="51">
        <f t="shared" si="248"/>
        <v>0.34008623623681267</v>
      </c>
      <c r="N145" s="51">
        <f t="shared" si="249"/>
        <v>0.50645869178161562</v>
      </c>
      <c r="O145" s="51">
        <f t="shared" si="250"/>
        <v>0.46843997145571348</v>
      </c>
      <c r="P145" s="51">
        <f t="shared" si="251"/>
        <v>0.56337698175396</v>
      </c>
      <c r="Q145" s="51">
        <f t="shared" si="252"/>
        <v>0.11888274934942866</v>
      </c>
      <c r="R145" s="51">
        <f t="shared" si="253"/>
        <v>0.57071981867824761</v>
      </c>
      <c r="S145" s="24"/>
      <c r="T145" s="45">
        <f t="shared" si="175"/>
        <v>127</v>
      </c>
      <c r="U145" s="59">
        <f t="shared" si="247"/>
        <v>0.05</v>
      </c>
      <c r="V145" s="48">
        <f t="shared" si="208"/>
        <v>16764.04053391784</v>
      </c>
      <c r="W145" s="56">
        <f t="shared" si="240"/>
        <v>108</v>
      </c>
      <c r="X145" s="48">
        <f t="shared" si="241"/>
        <v>10789.2</v>
      </c>
      <c r="Y145" s="48">
        <f t="shared" si="187"/>
        <v>10800</v>
      </c>
      <c r="Z145" s="48">
        <f t="shared" si="178"/>
        <v>10800</v>
      </c>
      <c r="AA145" s="59">
        <f t="shared" si="209"/>
        <v>5.7500000000000002E-2</v>
      </c>
      <c r="AB145" s="48">
        <f t="shared" si="210"/>
        <v>11162.249999999998</v>
      </c>
      <c r="AC145" s="48" t="str">
        <f t="shared" si="211"/>
        <v>nie</v>
      </c>
      <c r="AD145" s="48">
        <f t="shared" si="212"/>
        <v>75.599999999999994</v>
      </c>
      <c r="AE145" s="48">
        <f t="shared" si="213"/>
        <v>11032.186499999998</v>
      </c>
      <c r="AF145" s="48">
        <f t="shared" si="214"/>
        <v>0</v>
      </c>
      <c r="AG145" s="59">
        <f t="shared" si="215"/>
        <v>1.4999999999999999E-2</v>
      </c>
      <c r="AH145" s="48">
        <f t="shared" si="216"/>
        <v>3084.3340931927974</v>
      </c>
      <c r="AI145" s="48">
        <f t="shared" si="217"/>
        <v>14116.520593192796</v>
      </c>
      <c r="AJ145" s="24"/>
      <c r="AK145" s="56">
        <f t="shared" si="242"/>
        <v>158</v>
      </c>
      <c r="AL145" s="48">
        <f t="shared" si="243"/>
        <v>15784.2</v>
      </c>
      <c r="AM145" s="48">
        <f t="shared" si="181"/>
        <v>15800</v>
      </c>
      <c r="AN145" s="48">
        <f t="shared" si="244"/>
        <v>15800</v>
      </c>
      <c r="AO145" s="59">
        <f t="shared" si="218"/>
        <v>1.7000000000000001E-2</v>
      </c>
      <c r="AP145" s="48">
        <f t="shared" si="219"/>
        <v>15956.683333333332</v>
      </c>
      <c r="AQ145" s="48" t="str">
        <f t="shared" si="220"/>
        <v>nie</v>
      </c>
      <c r="AR145" s="48">
        <f t="shared" si="221"/>
        <v>156.68333333333248</v>
      </c>
      <c r="AS145" s="48">
        <f t="shared" si="222"/>
        <v>15800</v>
      </c>
      <c r="AT145" s="48">
        <f t="shared" si="262"/>
        <v>0</v>
      </c>
      <c r="AU145" s="59">
        <f t="shared" si="223"/>
        <v>1.4999999999999999E-2</v>
      </c>
      <c r="AV145" s="48">
        <f t="shared" si="224"/>
        <v>33.456989537585635</v>
      </c>
      <c r="AW145" s="48">
        <f t="shared" si="225"/>
        <v>15833.456989537586</v>
      </c>
      <c r="AY145" s="56">
        <f t="shared" si="188"/>
        <v>130</v>
      </c>
      <c r="AZ145" s="48">
        <f t="shared" si="189"/>
        <v>13000</v>
      </c>
      <c r="BA145" s="48">
        <f t="shared" si="183"/>
        <v>13000</v>
      </c>
      <c r="BB145" s="48">
        <f t="shared" si="245"/>
        <v>15826.912841796873</v>
      </c>
      <c r="BC145" s="59">
        <f t="shared" si="226"/>
        <v>6.25E-2</v>
      </c>
      <c r="BD145" s="48">
        <f t="shared" si="227"/>
        <v>16403.935705820717</v>
      </c>
      <c r="BE145" s="48" t="str">
        <f t="shared" si="228"/>
        <v>nie</v>
      </c>
      <c r="BF145" s="48">
        <f t="shared" si="229"/>
        <v>91</v>
      </c>
      <c r="BG145" s="48">
        <f t="shared" si="192"/>
        <v>15683.477921714781</v>
      </c>
      <c r="BH145" s="48">
        <f t="shared" si="263"/>
        <v>0</v>
      </c>
      <c r="BI145" s="59">
        <f t="shared" si="230"/>
        <v>1.4999999999999999E-2</v>
      </c>
      <c r="BJ145" s="48">
        <f t="shared" si="231"/>
        <v>34.442900018623057</v>
      </c>
      <c r="BK145" s="48">
        <f t="shared" si="232"/>
        <v>15717.920821733403</v>
      </c>
      <c r="BL145" s="24"/>
      <c r="BM145" s="56">
        <f t="shared" si="190"/>
        <v>100</v>
      </c>
      <c r="BN145" s="48">
        <f t="shared" si="191"/>
        <v>10000</v>
      </c>
      <c r="BO145" s="48">
        <f t="shared" si="185"/>
        <v>10000</v>
      </c>
      <c r="BP145" s="48">
        <f t="shared" si="246"/>
        <v>17978.217977227669</v>
      </c>
      <c r="BQ145" s="59">
        <f t="shared" si="233"/>
        <v>6.5000000000000002E-2</v>
      </c>
      <c r="BR145" s="48">
        <f t="shared" si="234"/>
        <v>18659.892075530883</v>
      </c>
      <c r="BS145" s="48" t="str">
        <f t="shared" si="235"/>
        <v>nie</v>
      </c>
      <c r="BT145" s="48">
        <f t="shared" si="236"/>
        <v>200</v>
      </c>
      <c r="BU145" s="48">
        <f t="shared" si="170"/>
        <v>16852.512581180014</v>
      </c>
      <c r="BV145" s="48">
        <f t="shared" si="264"/>
        <v>0</v>
      </c>
      <c r="BW145" s="59">
        <f t="shared" si="237"/>
        <v>1.4999999999999999E-2</v>
      </c>
      <c r="BX145" s="48">
        <f t="shared" si="238"/>
        <v>0</v>
      </c>
      <c r="BY145" s="48">
        <f t="shared" si="239"/>
        <v>16852.512581180014</v>
      </c>
    </row>
    <row r="146" spans="1:77" s="25" customFormat="1" ht="14">
      <c r="A146" s="24"/>
      <c r="B146" s="172"/>
      <c r="C146" s="66">
        <f t="shared" si="254"/>
        <v>112</v>
      </c>
      <c r="D146" s="48">
        <f t="shared" si="255"/>
        <v>13445.347912553776</v>
      </c>
      <c r="E146" s="48">
        <f t="shared" si="256"/>
        <v>15130.23512923397</v>
      </c>
      <c r="F146" s="48">
        <f t="shared" si="257"/>
        <v>14747.276181807099</v>
      </c>
      <c r="G146" s="49">
        <f t="shared" si="258"/>
        <v>15707.835011319023</v>
      </c>
      <c r="H146" s="49">
        <f t="shared" si="259"/>
        <v>11200.156181331449</v>
      </c>
      <c r="I146" s="48">
        <f t="shared" si="260"/>
        <v>15771.836862448246</v>
      </c>
      <c r="J146" s="24"/>
      <c r="K146" s="84"/>
      <c r="L146" s="64">
        <f t="shared" si="261"/>
        <v>112</v>
      </c>
      <c r="M146" s="51">
        <f t="shared" si="248"/>
        <v>0.34453479125537756</v>
      </c>
      <c r="N146" s="51">
        <f t="shared" si="249"/>
        <v>0.5130235129233971</v>
      </c>
      <c r="O146" s="51">
        <f t="shared" si="250"/>
        <v>0.47472761818070985</v>
      </c>
      <c r="P146" s="51">
        <f t="shared" si="251"/>
        <v>0.57078350113190224</v>
      </c>
      <c r="Q146" s="51">
        <f t="shared" si="252"/>
        <v>0.12001561813314487</v>
      </c>
      <c r="R146" s="51">
        <f t="shared" si="253"/>
        <v>0.57718368624482475</v>
      </c>
      <c r="S146" s="24"/>
      <c r="T146" s="45">
        <f t="shared" si="175"/>
        <v>128</v>
      </c>
      <c r="U146" s="59">
        <f t="shared" si="247"/>
        <v>0.05</v>
      </c>
      <c r="V146" s="48">
        <f t="shared" si="208"/>
        <v>16831.911143366902</v>
      </c>
      <c r="W146" s="56">
        <f t="shared" si="240"/>
        <v>108</v>
      </c>
      <c r="X146" s="48">
        <f t="shared" si="241"/>
        <v>10789.2</v>
      </c>
      <c r="Y146" s="48">
        <f t="shared" si="187"/>
        <v>10800</v>
      </c>
      <c r="Z146" s="48">
        <f t="shared" si="178"/>
        <v>10800</v>
      </c>
      <c r="AA146" s="59">
        <f t="shared" si="209"/>
        <v>5.7500000000000002E-2</v>
      </c>
      <c r="AB146" s="48">
        <f t="shared" si="210"/>
        <v>11214</v>
      </c>
      <c r="AC146" s="48" t="str">
        <f t="shared" si="211"/>
        <v>nie</v>
      </c>
      <c r="AD146" s="48">
        <f t="shared" si="212"/>
        <v>75.599999999999994</v>
      </c>
      <c r="AE146" s="48">
        <f t="shared" si="213"/>
        <v>11074.103999999999</v>
      </c>
      <c r="AF146" s="48">
        <f t="shared" si="214"/>
        <v>0</v>
      </c>
      <c r="AG146" s="59">
        <f t="shared" si="215"/>
        <v>1.4999999999999999E-2</v>
      </c>
      <c r="AH146" s="48">
        <f t="shared" si="216"/>
        <v>3087.4569814621555</v>
      </c>
      <c r="AI146" s="48">
        <f t="shared" si="217"/>
        <v>14161.560981462155</v>
      </c>
      <c r="AJ146" s="24"/>
      <c r="AK146" s="56">
        <f t="shared" si="242"/>
        <v>158</v>
      </c>
      <c r="AL146" s="48">
        <f t="shared" si="243"/>
        <v>15784.2</v>
      </c>
      <c r="AM146" s="48">
        <f t="shared" si="181"/>
        <v>15800</v>
      </c>
      <c r="AN146" s="48">
        <f t="shared" si="244"/>
        <v>15800</v>
      </c>
      <c r="AO146" s="59">
        <f t="shared" si="218"/>
        <v>1.7000000000000001E-2</v>
      </c>
      <c r="AP146" s="48">
        <f t="shared" si="219"/>
        <v>15979.066666666668</v>
      </c>
      <c r="AQ146" s="48" t="str">
        <f t="shared" si="220"/>
        <v>nie</v>
      </c>
      <c r="AR146" s="48">
        <f t="shared" si="221"/>
        <v>179.06666666666752</v>
      </c>
      <c r="AS146" s="48">
        <f t="shared" si="222"/>
        <v>15800</v>
      </c>
      <c r="AT146" s="48">
        <f t="shared" si="262"/>
        <v>0</v>
      </c>
      <c r="AU146" s="59">
        <f t="shared" si="223"/>
        <v>1.4999999999999999E-2</v>
      </c>
      <c r="AV146" s="48">
        <f t="shared" si="224"/>
        <v>33.490864739492444</v>
      </c>
      <c r="AW146" s="48">
        <f t="shared" si="225"/>
        <v>15833.490864739493</v>
      </c>
      <c r="AY146" s="56">
        <f t="shared" si="188"/>
        <v>130</v>
      </c>
      <c r="AZ146" s="48">
        <f t="shared" si="189"/>
        <v>13000</v>
      </c>
      <c r="BA146" s="48">
        <f t="shared" si="183"/>
        <v>13000</v>
      </c>
      <c r="BB146" s="48">
        <f t="shared" si="245"/>
        <v>15826.912841796873</v>
      </c>
      <c r="BC146" s="59">
        <f t="shared" si="226"/>
        <v>6.25E-2</v>
      </c>
      <c r="BD146" s="48">
        <f t="shared" si="227"/>
        <v>16486.36754353841</v>
      </c>
      <c r="BE146" s="48" t="str">
        <f t="shared" si="228"/>
        <v>nie</v>
      </c>
      <c r="BF146" s="48">
        <f t="shared" si="229"/>
        <v>91</v>
      </c>
      <c r="BG146" s="48">
        <f t="shared" si="192"/>
        <v>15750.247710266112</v>
      </c>
      <c r="BH146" s="48">
        <f t="shared" si="263"/>
        <v>0</v>
      </c>
      <c r="BI146" s="59">
        <f t="shared" si="230"/>
        <v>1.4999999999999999E-2</v>
      </c>
      <c r="BJ146" s="48">
        <f t="shared" si="231"/>
        <v>34.477773454891917</v>
      </c>
      <c r="BK146" s="48">
        <f t="shared" si="232"/>
        <v>15784.725483721004</v>
      </c>
      <c r="BL146" s="24"/>
      <c r="BM146" s="56">
        <f t="shared" si="190"/>
        <v>100</v>
      </c>
      <c r="BN146" s="48">
        <f t="shared" si="191"/>
        <v>10000</v>
      </c>
      <c r="BO146" s="48">
        <f t="shared" si="185"/>
        <v>10000</v>
      </c>
      <c r="BP146" s="48">
        <f t="shared" si="246"/>
        <v>17978.217977227669</v>
      </c>
      <c r="BQ146" s="59">
        <f t="shared" si="233"/>
        <v>6.5000000000000002E-2</v>
      </c>
      <c r="BR146" s="48">
        <f t="shared" si="234"/>
        <v>18757.274089574203</v>
      </c>
      <c r="BS146" s="48" t="str">
        <f t="shared" si="235"/>
        <v>nie</v>
      </c>
      <c r="BT146" s="48">
        <f t="shared" si="236"/>
        <v>200</v>
      </c>
      <c r="BU146" s="48">
        <f t="shared" si="170"/>
        <v>16931.392012555105</v>
      </c>
      <c r="BV146" s="48">
        <f t="shared" si="264"/>
        <v>0</v>
      </c>
      <c r="BW146" s="59">
        <f t="shared" si="237"/>
        <v>1.4999999999999999E-2</v>
      </c>
      <c r="BX146" s="48">
        <f t="shared" si="238"/>
        <v>0</v>
      </c>
      <c r="BY146" s="48">
        <f t="shared" si="239"/>
        <v>16931.392012555105</v>
      </c>
    </row>
    <row r="147" spans="1:77" s="25" customFormat="1" ht="14">
      <c r="A147" s="24"/>
      <c r="B147" s="172"/>
      <c r="C147" s="66">
        <f t="shared" si="254"/>
        <v>113</v>
      </c>
      <c r="D147" s="48">
        <f t="shared" si="255"/>
        <v>13489.836062890234</v>
      </c>
      <c r="E147" s="48">
        <f t="shared" si="256"/>
        <v>15195.883340651784</v>
      </c>
      <c r="F147" s="48">
        <f t="shared" si="257"/>
        <v>14810.152683799306</v>
      </c>
      <c r="G147" s="49">
        <f t="shared" si="258"/>
        <v>15781.900205098445</v>
      </c>
      <c r="H147" s="49">
        <f t="shared" si="259"/>
        <v>11211.496339465048</v>
      </c>
      <c r="I147" s="48">
        <f t="shared" si="260"/>
        <v>15836.475538114018</v>
      </c>
      <c r="J147" s="24"/>
      <c r="K147" s="84"/>
      <c r="L147" s="64">
        <f t="shared" si="261"/>
        <v>113</v>
      </c>
      <c r="M147" s="51">
        <f t="shared" si="248"/>
        <v>0.34898360628902347</v>
      </c>
      <c r="N147" s="51">
        <f t="shared" si="249"/>
        <v>0.51958833406517835</v>
      </c>
      <c r="O147" s="51">
        <f t="shared" si="250"/>
        <v>0.48101526837993069</v>
      </c>
      <c r="P147" s="51">
        <f t="shared" si="251"/>
        <v>0.57819002050984447</v>
      </c>
      <c r="Q147" s="51">
        <f t="shared" si="252"/>
        <v>0.1211496339465048</v>
      </c>
      <c r="R147" s="51">
        <f t="shared" si="253"/>
        <v>0.58364755381140188</v>
      </c>
      <c r="S147" s="24"/>
      <c r="T147" s="45">
        <f t="shared" si="175"/>
        <v>129</v>
      </c>
      <c r="U147" s="59">
        <f t="shared" si="247"/>
        <v>0.05</v>
      </c>
      <c r="V147" s="48">
        <f t="shared" ref="V147:V162" si="265">zakup_domyslny_wartosc*IFERROR((INDEX(scenariusz_I_inflacja_skumulowana,MATCH(ROUNDDOWN(T147/12,0),scenariusz_I_rok,0))+1),1)
*(1+MOD(T147,12)*INDEX(scenariusz_I_inflacja,MATCH(ROUNDUP(T147/12,0),scenariusz_I_rok,0))/12)</f>
        <v>16899.781752815961</v>
      </c>
      <c r="W147" s="56">
        <f t="shared" si="240"/>
        <v>108</v>
      </c>
      <c r="X147" s="48">
        <f t="shared" si="241"/>
        <v>10789.2</v>
      </c>
      <c r="Y147" s="48">
        <f t="shared" si="187"/>
        <v>10800</v>
      </c>
      <c r="Z147" s="48">
        <f t="shared" si="178"/>
        <v>10800</v>
      </c>
      <c r="AA147" s="59">
        <f t="shared" ref="AA147:AA162" si="266">IF(AND(MOD($T147,zapadalnosc_COI)&lt;=12,MOD($T147,zapadalnosc_COI)&lt;&gt;0),proc_I_okres_COI,(marza_COI+$U147))</f>
        <v>5.7500000000000002E-2</v>
      </c>
      <c r="AB147" s="48">
        <f t="shared" ref="AB147:AB162" si="267">Z147*(1+AA147*IF(MOD($T147,12)&lt;&gt;0,MOD($T147,12),12)/12)</f>
        <v>11265.75</v>
      </c>
      <c r="AC147" s="48" t="str">
        <f t="shared" ref="AC147:AC162" si="268">IF(MOD($T147,zapadalnosc_COI)=0,"tak","nie")</f>
        <v>nie</v>
      </c>
      <c r="AD147" s="48">
        <f t="shared" ref="AD147:AD162" si="269">IF(MOD($T147,zapadalnosc_COI)=0,0,
IF(AND(MOD($T147,zapadalnosc_COI)&lt;zapadalnosc_COI,MOD($T147,zapadalnosc_COI)&lt;=12),
MIN(AB147-Y147,W147*koszt_wczesniejszy_wykup_COI),W147*koszt_wczesniejszy_wykup_COI))</f>
        <v>75.599999999999994</v>
      </c>
      <c r="AE147" s="48">
        <f t="shared" ref="AE147:AE162" si="270">AB147-AD147
-(AB147-Y147-AD147)*podatek_Belki</f>
        <v>11116.021499999999</v>
      </c>
      <c r="AF147" s="48">
        <f t="shared" ref="AF147:AF161" si="271">IF(MOD(T147,wyplata_odsetek_COI)=0, (AB147-Y147)*(1-podatek_Belki),0)
-IF(AND(AC147="tak",X148&lt;&gt;""),X148-Y147,0)</f>
        <v>0</v>
      </c>
      <c r="AG147" s="59">
        <f t="shared" ref="AG147:AG162" si="272">INDEX(scenariusz_I_konto,MATCH(ROUNDUP($T147/12,0),scenariusz_I_rok,0))</f>
        <v>1.4999999999999999E-2</v>
      </c>
      <c r="AH147" s="48">
        <f t="shared" ref="AH147:AH162" si="273">AH146*(1+AG147/12*(1-podatek_Belki))+AF147</f>
        <v>3090.5830316558863</v>
      </c>
      <c r="AI147" s="48">
        <f t="shared" ref="AI147:AI162" si="274">AH146*(1+AG147/12*(1-podatek_Belki))+AE147</f>
        <v>14206.604531655885</v>
      </c>
      <c r="AJ147" s="24"/>
      <c r="AK147" s="56">
        <f t="shared" si="242"/>
        <v>158</v>
      </c>
      <c r="AL147" s="48">
        <f t="shared" si="243"/>
        <v>15784.2</v>
      </c>
      <c r="AM147" s="48">
        <f t="shared" si="181"/>
        <v>15800</v>
      </c>
      <c r="AN147" s="48">
        <f t="shared" si="244"/>
        <v>15800</v>
      </c>
      <c r="AO147" s="59">
        <f t="shared" ref="AO147:AO162" si="275">IF(AND(MOD($T147,zapadalnosc_EDO)&lt;=12,MOD($T147,zapadalnosc_EDO)&lt;&gt;0),proc_I_okres_EDO,(marza_EDO+$U147))</f>
        <v>1.7000000000000001E-2</v>
      </c>
      <c r="AP147" s="48">
        <f t="shared" ref="AP147:AP162" si="276">AN147*(1+AO147*IF(MOD($T147,12)&lt;&gt;0,MOD($T147,12),12)/12)</f>
        <v>16001.45</v>
      </c>
      <c r="AQ147" s="48" t="str">
        <f t="shared" ref="AQ147:AQ162" si="277">IF(MOD($T147,zapadalnosc_EDO)=0,"tak","nie")</f>
        <v>nie</v>
      </c>
      <c r="AR147" s="48">
        <f t="shared" ref="AR147:AR162" si="278">IF(AND(MOD($T147,zapadalnosc_EDO)&lt;zapadalnosc_EDO,MOD($T147,zapadalnosc_EDO)&lt;&gt;0),MIN(AP147-AM147,AK147*koszt_wczesniejszy_wykup_EDO),0)</f>
        <v>201.45000000000073</v>
      </c>
      <c r="AS147" s="48">
        <f t="shared" ref="AS147:AS162" si="279">AP147-AR147
-(AP147-AM147-AR147)*podatek_Belki</f>
        <v>15800</v>
      </c>
      <c r="AT147" s="48">
        <f t="shared" si="262"/>
        <v>0</v>
      </c>
      <c r="AU147" s="59">
        <f t="shared" ref="AU147:AU162" si="280">INDEX(scenariusz_I_konto,MATCH(ROUNDUP($T147/12,0),scenariusz_I_rok,0))</f>
        <v>1.4999999999999999E-2</v>
      </c>
      <c r="AV147" s="48">
        <f t="shared" ref="AV147:AV162" si="281">AV146*(1+AU147/12*(1-podatek_Belki))+AT147</f>
        <v>33.524774240041182</v>
      </c>
      <c r="AW147" s="48">
        <f t="shared" ref="AW147:AW162" si="282">AV146*(1+AU147/12*(1-podatek_Belki))+AS147</f>
        <v>15833.524774240041</v>
      </c>
      <c r="AY147" s="56">
        <f t="shared" si="188"/>
        <v>130</v>
      </c>
      <c r="AZ147" s="48">
        <f t="shared" si="189"/>
        <v>13000</v>
      </c>
      <c r="BA147" s="48">
        <f t="shared" si="183"/>
        <v>13000</v>
      </c>
      <c r="BB147" s="48">
        <f t="shared" si="245"/>
        <v>15826.912841796873</v>
      </c>
      <c r="BC147" s="59">
        <f t="shared" ref="BC147:BC162" si="283">IF(AND(MOD($T147,zapadalnosc_ROS)&lt;=12,MOD($T147,zapadalnosc_ROS)&lt;&gt;0),proc_I_okres_ROS,(marza_ROS+$U147))</f>
        <v>6.25E-2</v>
      </c>
      <c r="BD147" s="48">
        <f t="shared" ref="BD147:BD162" si="284">BB147*(1+BC147*IF(MOD($T147,12)&lt;&gt;0,MOD($T147,12),12)/12)</f>
        <v>16568.7993812561</v>
      </c>
      <c r="BE147" s="48" t="str">
        <f t="shared" ref="BE147:BE162" si="285">IF(MOD($T147,zapadalnosc_ROS)=0,"tak","nie")</f>
        <v>nie</v>
      </c>
      <c r="BF147" s="48">
        <f t="shared" ref="BF147:BF162" si="286">IF(AND(MOD($T147,zapadalnosc_ROS)&lt;zapadalnosc_ROS,MOD($T147,zapadalnosc_ROS)&lt;&gt;0),MIN(BD147-BA147,AY147*koszt_wczesniejszy_wykup_ROS),0)</f>
        <v>91</v>
      </c>
      <c r="BG147" s="48">
        <f t="shared" si="192"/>
        <v>15817.01749881744</v>
      </c>
      <c r="BH147" s="48">
        <f t="shared" si="263"/>
        <v>0</v>
      </c>
      <c r="BI147" s="59">
        <f t="shared" ref="BI147:BI162" si="287">INDEX(scenariusz_I_konto,MATCH(ROUNDUP($T147/12,0),scenariusz_I_rok,0))</f>
        <v>1.4999999999999999E-2</v>
      </c>
      <c r="BJ147" s="48">
        <f t="shared" ref="BJ147:BJ162" si="288">BJ146*(1+BI147/12*(1-podatek_Belki))+BH147</f>
        <v>34.512682200514995</v>
      </c>
      <c r="BK147" s="48">
        <f t="shared" ref="BK147:BK162" si="289">BJ146*(1+BI147/12*(1-podatek_Belki))+BG147</f>
        <v>15851.530181017955</v>
      </c>
      <c r="BL147" s="24"/>
      <c r="BM147" s="56">
        <f t="shared" si="190"/>
        <v>100</v>
      </c>
      <c r="BN147" s="48">
        <f t="shared" si="191"/>
        <v>10000</v>
      </c>
      <c r="BO147" s="48">
        <f t="shared" si="185"/>
        <v>10000</v>
      </c>
      <c r="BP147" s="48">
        <f t="shared" si="246"/>
        <v>17978.217977227669</v>
      </c>
      <c r="BQ147" s="59">
        <f t="shared" ref="BQ147:BQ162" si="290">IF(AND(MOD($T147,zapadalnosc_ROD)&lt;=12,MOD($T147,zapadalnosc_ROD)&lt;&gt;0),proc_I_okres_ROD,(marza_ROD+$U147))</f>
        <v>6.5000000000000002E-2</v>
      </c>
      <c r="BR147" s="48">
        <f t="shared" ref="BR147:BR162" si="291">BP147*(1+BQ147*IF(MOD($T147,12)&lt;&gt;0,MOD($T147,12),12)/12)</f>
        <v>18854.656103617519</v>
      </c>
      <c r="BS147" s="48" t="str">
        <f t="shared" ref="BS147:BS162" si="292">IF(MOD($T147,zapadalnosc_ROD)=0,"tak","nie")</f>
        <v>nie</v>
      </c>
      <c r="BT147" s="48">
        <f t="shared" ref="BT147:BT162" si="293">IF(AND(MOD($T147,zapadalnosc_ROD)&lt;zapadalnosc_ROD,MOD($T147,zapadalnosc_ROD)&lt;&gt;0),MIN(BR147-BO147,BM147*koszt_wczesniejszy_wykup_ROD),0)</f>
        <v>200</v>
      </c>
      <c r="BU147" s="48">
        <f t="shared" ref="BU147:BU162" si="294">BR147-BT147
-(BR147-BO147-BT147)*podatek_Belki</f>
        <v>17010.271443930189</v>
      </c>
      <c r="BV147" s="48">
        <f t="shared" si="264"/>
        <v>0</v>
      </c>
      <c r="BW147" s="59">
        <f t="shared" ref="BW147:BW162" si="295">INDEX(scenariusz_I_konto,MATCH(ROUNDUP($T147/12,0),scenariusz_I_rok,0))</f>
        <v>1.4999999999999999E-2</v>
      </c>
      <c r="BX147" s="48">
        <f t="shared" ref="BX147:BX162" si="296">BX146*(1+BW147/12*(1-podatek_Belki))+BV147</f>
        <v>0</v>
      </c>
      <c r="BY147" s="48">
        <f t="shared" ref="BY147:BY162" si="297">BX146*(1+BW147/12*(1-podatek_Belki))+BU147</f>
        <v>17010.271443930189</v>
      </c>
    </row>
    <row r="148" spans="1:77" s="25" customFormat="1" ht="14">
      <c r="A148" s="24"/>
      <c r="B148" s="172"/>
      <c r="C148" s="66">
        <f t="shared" si="254"/>
        <v>114</v>
      </c>
      <c r="D148" s="48">
        <f t="shared" si="255"/>
        <v>13534.326816010162</v>
      </c>
      <c r="E148" s="48">
        <f t="shared" si="256"/>
        <v>15261.531552069599</v>
      </c>
      <c r="F148" s="48">
        <f t="shared" si="257"/>
        <v>14873.02922056892</v>
      </c>
      <c r="G148" s="49">
        <f t="shared" si="258"/>
        <v>15855.965398877868</v>
      </c>
      <c r="H148" s="49">
        <f t="shared" si="259"/>
        <v>11222.847979508757</v>
      </c>
      <c r="I148" s="48">
        <f t="shared" si="260"/>
        <v>15901.114213779789</v>
      </c>
      <c r="J148" s="24"/>
      <c r="K148" s="84"/>
      <c r="L148" s="64">
        <f t="shared" si="261"/>
        <v>114</v>
      </c>
      <c r="M148" s="51">
        <f t="shared" si="248"/>
        <v>0.35343268160101626</v>
      </c>
      <c r="N148" s="51">
        <f t="shared" si="249"/>
        <v>0.52615315520695982</v>
      </c>
      <c r="O148" s="51">
        <f t="shared" si="250"/>
        <v>0.48730292205689207</v>
      </c>
      <c r="P148" s="51">
        <f t="shared" si="251"/>
        <v>0.58559653988778693</v>
      </c>
      <c r="Q148" s="51">
        <f t="shared" si="252"/>
        <v>0.12228479795087566</v>
      </c>
      <c r="R148" s="51">
        <f t="shared" si="253"/>
        <v>0.59011142137797878</v>
      </c>
      <c r="S148" s="24"/>
      <c r="T148" s="45">
        <f t="shared" ref="T148:T162" si="298">T147+1</f>
        <v>130</v>
      </c>
      <c r="U148" s="59">
        <f t="shared" si="247"/>
        <v>0.05</v>
      </c>
      <c r="V148" s="48">
        <f t="shared" si="265"/>
        <v>16967.65236226502</v>
      </c>
      <c r="W148" s="56">
        <f t="shared" ref="W148:W162" si="299">IF(AC147="tak",
ROUNDDOWN(AE147/zamiana_COI,0),
W147)</f>
        <v>108</v>
      </c>
      <c r="X148" s="48">
        <f t="shared" ref="X148:X162" si="300">IF(AC147="tak",
W148*zamiana_COI,
X147)</f>
        <v>10789.2</v>
      </c>
      <c r="Y148" s="48">
        <f t="shared" si="187"/>
        <v>10800</v>
      </c>
      <c r="Z148" s="48">
        <f t="shared" ref="Z148:Z162" si="301">Y148</f>
        <v>10800</v>
      </c>
      <c r="AA148" s="59">
        <f t="shared" si="266"/>
        <v>5.7500000000000002E-2</v>
      </c>
      <c r="AB148" s="48">
        <f t="shared" si="267"/>
        <v>11317.5</v>
      </c>
      <c r="AC148" s="48" t="str">
        <f t="shared" si="268"/>
        <v>nie</v>
      </c>
      <c r="AD148" s="48">
        <f t="shared" si="269"/>
        <v>75.599999999999994</v>
      </c>
      <c r="AE148" s="48">
        <f t="shared" si="270"/>
        <v>11157.939</v>
      </c>
      <c r="AF148" s="48">
        <f t="shared" si="271"/>
        <v>0</v>
      </c>
      <c r="AG148" s="59">
        <f t="shared" si="272"/>
        <v>1.4999999999999999E-2</v>
      </c>
      <c r="AH148" s="48">
        <f t="shared" si="273"/>
        <v>3093.7122469754381</v>
      </c>
      <c r="AI148" s="48">
        <f t="shared" si="274"/>
        <v>14251.651246975438</v>
      </c>
      <c r="AJ148" s="24"/>
      <c r="AK148" s="56">
        <f t="shared" ref="AK148:AK162" si="302">IF(AQ147="tak",
ROUNDDOWN(AS147/zamiana_EDO,0),
AK147)</f>
        <v>158</v>
      </c>
      <c r="AL148" s="48">
        <f t="shared" ref="AL148:AL162" si="303">IF(AQ147="tak",
AK148*zamiana_EDO,
AL147)</f>
        <v>15784.2</v>
      </c>
      <c r="AM148" s="48">
        <f t="shared" ref="AM148:AM161" si="304">IF(AQ147="tak",
AK148*100,
AM147)</f>
        <v>15800</v>
      </c>
      <c r="AN148" s="48">
        <f t="shared" ref="AN148:AN162" si="305">IF(AQ147="tak",
 AM148,
IF(MOD($T148,kapitalizacja_odsetek_mc_EDO)&lt;&gt;1,AN147,AP147))</f>
        <v>15800</v>
      </c>
      <c r="AO148" s="59">
        <f t="shared" si="275"/>
        <v>1.7000000000000001E-2</v>
      </c>
      <c r="AP148" s="48">
        <f t="shared" si="276"/>
        <v>16023.833333333334</v>
      </c>
      <c r="AQ148" s="48" t="str">
        <f t="shared" si="277"/>
        <v>nie</v>
      </c>
      <c r="AR148" s="48">
        <f t="shared" si="278"/>
        <v>223.83333333333394</v>
      </c>
      <c r="AS148" s="48">
        <f t="shared" si="279"/>
        <v>15800</v>
      </c>
      <c r="AT148" s="48">
        <f t="shared" si="262"/>
        <v>0</v>
      </c>
      <c r="AU148" s="59">
        <f t="shared" si="280"/>
        <v>1.4999999999999999E-2</v>
      </c>
      <c r="AV148" s="48">
        <f t="shared" si="281"/>
        <v>33.558718073959227</v>
      </c>
      <c r="AW148" s="48">
        <f t="shared" si="282"/>
        <v>15833.558718073959</v>
      </c>
      <c r="AY148" s="56">
        <f t="shared" si="188"/>
        <v>130</v>
      </c>
      <c r="AZ148" s="48">
        <f t="shared" si="189"/>
        <v>13000</v>
      </c>
      <c r="BA148" s="48">
        <f t="shared" ref="BA148:BA162" si="306">IF(BE147="tak",
AY148*100,
BA147)</f>
        <v>13000</v>
      </c>
      <c r="BB148" s="48">
        <f t="shared" ref="BB148:BB162" si="307">IF(BE147="tak",
 BA148,
IF(MOD($T148,kapitalizacja_odsetek_mc_ROS)&lt;&gt;1,BB147,BD147))</f>
        <v>15826.912841796873</v>
      </c>
      <c r="BC148" s="59">
        <f t="shared" si="283"/>
        <v>6.25E-2</v>
      </c>
      <c r="BD148" s="48">
        <f t="shared" si="284"/>
        <v>16651.231218973793</v>
      </c>
      <c r="BE148" s="48" t="str">
        <f t="shared" si="285"/>
        <v>nie</v>
      </c>
      <c r="BF148" s="48">
        <f t="shared" si="286"/>
        <v>91</v>
      </c>
      <c r="BG148" s="48">
        <f t="shared" si="192"/>
        <v>15883.787287368772</v>
      </c>
      <c r="BH148" s="48">
        <f t="shared" si="263"/>
        <v>0</v>
      </c>
      <c r="BI148" s="59">
        <f t="shared" si="287"/>
        <v>1.4999999999999999E-2</v>
      </c>
      <c r="BJ148" s="48">
        <f t="shared" si="288"/>
        <v>34.54762629124302</v>
      </c>
      <c r="BK148" s="48">
        <f t="shared" si="289"/>
        <v>15918.334913660015</v>
      </c>
      <c r="BL148" s="24"/>
      <c r="BM148" s="56">
        <f t="shared" si="190"/>
        <v>100</v>
      </c>
      <c r="BN148" s="48">
        <f t="shared" si="191"/>
        <v>10000</v>
      </c>
      <c r="BO148" s="48">
        <f t="shared" ref="BO148:BO162" si="308">IF(BS147="tak",
BM148*100,
BO147)</f>
        <v>10000</v>
      </c>
      <c r="BP148" s="48">
        <f t="shared" ref="BP148:BP162" si="309">IF(BS147="tak",
 BO148,
IF(MOD($T148,kapitalizacja_odsetek_mc_ROD)&lt;&gt;1,BP147,BR147))</f>
        <v>17978.217977227669</v>
      </c>
      <c r="BQ148" s="59">
        <f t="shared" si="290"/>
        <v>6.5000000000000002E-2</v>
      </c>
      <c r="BR148" s="48">
        <f t="shared" si="291"/>
        <v>18952.038117660835</v>
      </c>
      <c r="BS148" s="48" t="str">
        <f t="shared" si="292"/>
        <v>nie</v>
      </c>
      <c r="BT148" s="48">
        <f t="shared" si="293"/>
        <v>200</v>
      </c>
      <c r="BU148" s="48">
        <f t="shared" si="294"/>
        <v>17089.150875305277</v>
      </c>
      <c r="BV148" s="48">
        <f t="shared" si="264"/>
        <v>0</v>
      </c>
      <c r="BW148" s="59">
        <f t="shared" si="295"/>
        <v>1.4999999999999999E-2</v>
      </c>
      <c r="BX148" s="48">
        <f t="shared" si="296"/>
        <v>0</v>
      </c>
      <c r="BY148" s="48">
        <f t="shared" si="297"/>
        <v>17089.150875305277</v>
      </c>
    </row>
    <row r="149" spans="1:77" s="25" customFormat="1" ht="14">
      <c r="A149" s="24"/>
      <c r="B149" s="172"/>
      <c r="C149" s="66">
        <f t="shared" si="254"/>
        <v>115</v>
      </c>
      <c r="D149" s="48">
        <f t="shared" si="255"/>
        <v>13578.820174548871</v>
      </c>
      <c r="E149" s="48">
        <f t="shared" si="256"/>
        <v>15327.179763487409</v>
      </c>
      <c r="F149" s="48">
        <f t="shared" si="257"/>
        <v>14935.905792151159</v>
      </c>
      <c r="G149" s="49">
        <f t="shared" si="258"/>
        <v>15930.030592657293</v>
      </c>
      <c r="H149" s="49">
        <f t="shared" si="259"/>
        <v>11234.211113088011</v>
      </c>
      <c r="I149" s="48">
        <f t="shared" si="260"/>
        <v>15965.752889445561</v>
      </c>
      <c r="J149" s="24"/>
      <c r="K149" s="84"/>
      <c r="L149" s="64">
        <f t="shared" si="261"/>
        <v>115</v>
      </c>
      <c r="M149" s="51">
        <f t="shared" si="248"/>
        <v>0.35788201745488712</v>
      </c>
      <c r="N149" s="51">
        <f t="shared" si="249"/>
        <v>0.53271797634874085</v>
      </c>
      <c r="O149" s="51">
        <f t="shared" si="250"/>
        <v>0.49359057921511584</v>
      </c>
      <c r="P149" s="51">
        <f t="shared" si="251"/>
        <v>0.59300305926572938</v>
      </c>
      <c r="Q149" s="51">
        <f t="shared" si="252"/>
        <v>0.12342111130880107</v>
      </c>
      <c r="R149" s="51">
        <f t="shared" si="253"/>
        <v>0.59657528894455614</v>
      </c>
      <c r="S149" s="24"/>
      <c r="T149" s="45">
        <f t="shared" si="298"/>
        <v>131</v>
      </c>
      <c r="U149" s="59">
        <f t="shared" si="247"/>
        <v>0.05</v>
      </c>
      <c r="V149" s="48">
        <f t="shared" si="265"/>
        <v>17035.522971714083</v>
      </c>
      <c r="W149" s="56">
        <f t="shared" si="299"/>
        <v>108</v>
      </c>
      <c r="X149" s="48">
        <f t="shared" si="300"/>
        <v>10789.2</v>
      </c>
      <c r="Y149" s="48">
        <f t="shared" ref="Y149:Y162" si="310">IF(AC148="tak",
W149*100,
Y148)</f>
        <v>10800</v>
      </c>
      <c r="Z149" s="48">
        <f t="shared" si="301"/>
        <v>10800</v>
      </c>
      <c r="AA149" s="59">
        <f t="shared" si="266"/>
        <v>5.7500000000000002E-2</v>
      </c>
      <c r="AB149" s="48">
        <f t="shared" si="267"/>
        <v>11369.25</v>
      </c>
      <c r="AC149" s="48" t="str">
        <f t="shared" si="268"/>
        <v>nie</v>
      </c>
      <c r="AD149" s="48">
        <f t="shared" si="269"/>
        <v>75.599999999999994</v>
      </c>
      <c r="AE149" s="48">
        <f t="shared" si="270"/>
        <v>11199.8565</v>
      </c>
      <c r="AF149" s="48">
        <f t="shared" si="271"/>
        <v>0</v>
      </c>
      <c r="AG149" s="59">
        <f t="shared" si="272"/>
        <v>1.4999999999999999E-2</v>
      </c>
      <c r="AH149" s="48">
        <f t="shared" si="273"/>
        <v>3096.8446306255009</v>
      </c>
      <c r="AI149" s="48">
        <f t="shared" si="274"/>
        <v>14296.701130625501</v>
      </c>
      <c r="AJ149" s="24"/>
      <c r="AK149" s="56">
        <f t="shared" si="302"/>
        <v>158</v>
      </c>
      <c r="AL149" s="48">
        <f t="shared" si="303"/>
        <v>15784.2</v>
      </c>
      <c r="AM149" s="48">
        <f t="shared" si="304"/>
        <v>15800</v>
      </c>
      <c r="AN149" s="48">
        <f t="shared" si="305"/>
        <v>15800</v>
      </c>
      <c r="AO149" s="59">
        <f t="shared" si="275"/>
        <v>1.7000000000000001E-2</v>
      </c>
      <c r="AP149" s="48">
        <f t="shared" si="276"/>
        <v>16046.216666666665</v>
      </c>
      <c r="AQ149" s="48" t="str">
        <f t="shared" si="277"/>
        <v>nie</v>
      </c>
      <c r="AR149" s="48">
        <f t="shared" si="278"/>
        <v>246.21666666666533</v>
      </c>
      <c r="AS149" s="48">
        <f t="shared" si="279"/>
        <v>15800</v>
      </c>
      <c r="AT149" s="48">
        <f t="shared" si="262"/>
        <v>0</v>
      </c>
      <c r="AU149" s="59">
        <f t="shared" si="280"/>
        <v>1.4999999999999999E-2</v>
      </c>
      <c r="AV149" s="48">
        <f t="shared" si="281"/>
        <v>33.592696276009114</v>
      </c>
      <c r="AW149" s="48">
        <f t="shared" si="282"/>
        <v>15833.59269627601</v>
      </c>
      <c r="AY149" s="56">
        <f t="shared" ref="AY149:AY162" si="311">IF(BE148="tak",
ROUNDDOWN(BG148/100,0),
AY148)</f>
        <v>130</v>
      </c>
      <c r="AZ149" s="48">
        <f t="shared" ref="AZ149:AZ162" si="312">IF(BE148="tak",
AY149*100,
AZ148)</f>
        <v>13000</v>
      </c>
      <c r="BA149" s="48">
        <f t="shared" si="306"/>
        <v>13000</v>
      </c>
      <c r="BB149" s="48">
        <f t="shared" si="307"/>
        <v>15826.912841796873</v>
      </c>
      <c r="BC149" s="59">
        <f t="shared" si="283"/>
        <v>6.25E-2</v>
      </c>
      <c r="BD149" s="48">
        <f t="shared" si="284"/>
        <v>16733.663056691486</v>
      </c>
      <c r="BE149" s="48" t="str">
        <f t="shared" si="285"/>
        <v>nie</v>
      </c>
      <c r="BF149" s="48">
        <f t="shared" si="286"/>
        <v>91</v>
      </c>
      <c r="BG149" s="48">
        <f t="shared" si="192"/>
        <v>15950.557075920104</v>
      </c>
      <c r="BH149" s="48">
        <f t="shared" si="263"/>
        <v>0</v>
      </c>
      <c r="BI149" s="59">
        <f t="shared" si="287"/>
        <v>1.4999999999999999E-2</v>
      </c>
      <c r="BJ149" s="48">
        <f t="shared" si="288"/>
        <v>34.582605762862904</v>
      </c>
      <c r="BK149" s="48">
        <f t="shared" si="289"/>
        <v>15985.139681682967</v>
      </c>
      <c r="BL149" s="24"/>
      <c r="BM149" s="56">
        <f t="shared" ref="BM149:BM162" si="313">IF(BS148="tak",
ROUNDDOWN(BU148/100,0),
BM148)</f>
        <v>100</v>
      </c>
      <c r="BN149" s="48">
        <f t="shared" ref="BN149:BN162" si="314">IF(BS148="tak",
BM149*100,
BN148)</f>
        <v>10000</v>
      </c>
      <c r="BO149" s="48">
        <f t="shared" si="308"/>
        <v>10000</v>
      </c>
      <c r="BP149" s="48">
        <f t="shared" si="309"/>
        <v>17978.217977227669</v>
      </c>
      <c r="BQ149" s="59">
        <f t="shared" si="290"/>
        <v>6.5000000000000002E-2</v>
      </c>
      <c r="BR149" s="48">
        <f t="shared" si="291"/>
        <v>19049.420131704152</v>
      </c>
      <c r="BS149" s="48" t="str">
        <f t="shared" si="292"/>
        <v>nie</v>
      </c>
      <c r="BT149" s="48">
        <f t="shared" si="293"/>
        <v>200</v>
      </c>
      <c r="BU149" s="48">
        <f t="shared" si="294"/>
        <v>17168.030306680364</v>
      </c>
      <c r="BV149" s="48">
        <f t="shared" si="264"/>
        <v>0</v>
      </c>
      <c r="BW149" s="59">
        <f t="shared" si="295"/>
        <v>1.4999999999999999E-2</v>
      </c>
      <c r="BX149" s="48">
        <f t="shared" si="296"/>
        <v>0</v>
      </c>
      <c r="BY149" s="48">
        <f t="shared" si="297"/>
        <v>17168.030306680364</v>
      </c>
    </row>
    <row r="150" spans="1:77" s="25" customFormat="1" ht="14">
      <c r="A150" s="24"/>
      <c r="B150" s="172"/>
      <c r="C150" s="66">
        <f t="shared" si="254"/>
        <v>116</v>
      </c>
      <c r="D150" s="48">
        <f t="shared" si="255"/>
        <v>13623.316141144354</v>
      </c>
      <c r="E150" s="48">
        <f t="shared" si="256"/>
        <v>15392.827974905227</v>
      </c>
      <c r="F150" s="48">
        <f t="shared" si="257"/>
        <v>14998.782398581274</v>
      </c>
      <c r="G150" s="49">
        <f t="shared" si="258"/>
        <v>16004.095786436719</v>
      </c>
      <c r="H150" s="49">
        <f t="shared" si="259"/>
        <v>11245.585751840013</v>
      </c>
      <c r="I150" s="48">
        <f t="shared" si="260"/>
        <v>16030.391565111335</v>
      </c>
      <c r="J150" s="24"/>
      <c r="K150" s="84"/>
      <c r="L150" s="64">
        <f t="shared" si="261"/>
        <v>116</v>
      </c>
      <c r="M150" s="51">
        <f t="shared" si="248"/>
        <v>0.36233161411443549</v>
      </c>
      <c r="N150" s="51">
        <f t="shared" si="249"/>
        <v>0.53928279749052277</v>
      </c>
      <c r="O150" s="51">
        <f t="shared" si="250"/>
        <v>0.4998782398581274</v>
      </c>
      <c r="P150" s="51">
        <f t="shared" si="251"/>
        <v>0.60040957864367184</v>
      </c>
      <c r="Q150" s="51">
        <f t="shared" si="252"/>
        <v>0.12455857518400126</v>
      </c>
      <c r="R150" s="51">
        <f t="shared" si="253"/>
        <v>0.60303915651113349</v>
      </c>
      <c r="S150" s="24"/>
      <c r="T150" s="45">
        <f t="shared" si="298"/>
        <v>132</v>
      </c>
      <c r="U150" s="59">
        <f t="shared" si="247"/>
        <v>0.05</v>
      </c>
      <c r="V150" s="48">
        <f t="shared" si="265"/>
        <v>17103.393581163142</v>
      </c>
      <c r="W150" s="56">
        <f t="shared" si="299"/>
        <v>108</v>
      </c>
      <c r="X150" s="48">
        <f t="shared" si="300"/>
        <v>10789.2</v>
      </c>
      <c r="Y150" s="48">
        <f t="shared" si="310"/>
        <v>10800</v>
      </c>
      <c r="Z150" s="48">
        <f t="shared" si="301"/>
        <v>10800</v>
      </c>
      <c r="AA150" s="59">
        <f t="shared" si="266"/>
        <v>5.7500000000000002E-2</v>
      </c>
      <c r="AB150" s="48">
        <f t="shared" si="267"/>
        <v>11421.000000000002</v>
      </c>
      <c r="AC150" s="48" t="str">
        <f t="shared" si="268"/>
        <v>nie</v>
      </c>
      <c r="AD150" s="48">
        <f t="shared" si="269"/>
        <v>75.599999999999994</v>
      </c>
      <c r="AE150" s="48">
        <f t="shared" si="270"/>
        <v>11241.774000000001</v>
      </c>
      <c r="AF150" s="48">
        <f t="shared" si="271"/>
        <v>503.01000000000153</v>
      </c>
      <c r="AG150" s="59">
        <f t="shared" si="272"/>
        <v>1.4999999999999999E-2</v>
      </c>
      <c r="AH150" s="48">
        <f t="shared" si="273"/>
        <v>3602.9901858140111</v>
      </c>
      <c r="AI150" s="48">
        <f t="shared" si="274"/>
        <v>14341.75418581401</v>
      </c>
      <c r="AJ150" s="24"/>
      <c r="AK150" s="56">
        <f t="shared" si="302"/>
        <v>158</v>
      </c>
      <c r="AL150" s="48">
        <f t="shared" si="303"/>
        <v>15784.2</v>
      </c>
      <c r="AM150" s="48">
        <f t="shared" si="304"/>
        <v>15800</v>
      </c>
      <c r="AN150" s="48">
        <f t="shared" si="305"/>
        <v>15800</v>
      </c>
      <c r="AO150" s="59">
        <f t="shared" si="275"/>
        <v>1.7000000000000001E-2</v>
      </c>
      <c r="AP150" s="48">
        <f t="shared" si="276"/>
        <v>16068.599999999999</v>
      </c>
      <c r="AQ150" s="48" t="str">
        <f t="shared" si="277"/>
        <v>nie</v>
      </c>
      <c r="AR150" s="48">
        <f t="shared" si="278"/>
        <v>268.59999999999854</v>
      </c>
      <c r="AS150" s="48">
        <f t="shared" si="279"/>
        <v>15800</v>
      </c>
      <c r="AT150" s="48">
        <f t="shared" si="262"/>
        <v>0</v>
      </c>
      <c r="AU150" s="59">
        <f t="shared" si="280"/>
        <v>1.4999999999999999E-2</v>
      </c>
      <c r="AV150" s="48">
        <f t="shared" si="281"/>
        <v>33.626708880988573</v>
      </c>
      <c r="AW150" s="48">
        <f t="shared" si="282"/>
        <v>15833.626708880989</v>
      </c>
      <c r="AY150" s="56">
        <f t="shared" si="311"/>
        <v>130</v>
      </c>
      <c r="AZ150" s="48">
        <f t="shared" si="312"/>
        <v>13000</v>
      </c>
      <c r="BA150" s="48">
        <f t="shared" si="306"/>
        <v>13000</v>
      </c>
      <c r="BB150" s="48">
        <f t="shared" si="307"/>
        <v>15826.912841796873</v>
      </c>
      <c r="BC150" s="59">
        <f t="shared" si="283"/>
        <v>6.25E-2</v>
      </c>
      <c r="BD150" s="48">
        <f t="shared" si="284"/>
        <v>16816.094894409176</v>
      </c>
      <c r="BE150" s="48" t="str">
        <f t="shared" si="285"/>
        <v>nie</v>
      </c>
      <c r="BF150" s="48">
        <f t="shared" si="286"/>
        <v>91</v>
      </c>
      <c r="BG150" s="48">
        <f t="shared" si="192"/>
        <v>16017.326864471434</v>
      </c>
      <c r="BH150" s="48">
        <f t="shared" si="263"/>
        <v>0</v>
      </c>
      <c r="BI150" s="59">
        <f t="shared" si="287"/>
        <v>1.4999999999999999E-2</v>
      </c>
      <c r="BJ150" s="48">
        <f t="shared" si="288"/>
        <v>34.617620651197804</v>
      </c>
      <c r="BK150" s="48">
        <f t="shared" si="289"/>
        <v>16051.944485122631</v>
      </c>
      <c r="BL150" s="24"/>
      <c r="BM150" s="56">
        <f t="shared" si="313"/>
        <v>100</v>
      </c>
      <c r="BN150" s="48">
        <f t="shared" si="314"/>
        <v>10000</v>
      </c>
      <c r="BO150" s="48">
        <f t="shared" si="308"/>
        <v>10000</v>
      </c>
      <c r="BP150" s="48">
        <f t="shared" si="309"/>
        <v>17978.217977227669</v>
      </c>
      <c r="BQ150" s="59">
        <f t="shared" si="290"/>
        <v>6.5000000000000002E-2</v>
      </c>
      <c r="BR150" s="48">
        <f t="shared" si="291"/>
        <v>19146.802145747468</v>
      </c>
      <c r="BS150" s="48" t="str">
        <f t="shared" si="292"/>
        <v>nie</v>
      </c>
      <c r="BT150" s="48">
        <f t="shared" si="293"/>
        <v>200</v>
      </c>
      <c r="BU150" s="48">
        <f t="shared" si="294"/>
        <v>17246.909738055449</v>
      </c>
      <c r="BV150" s="48">
        <f t="shared" si="264"/>
        <v>0</v>
      </c>
      <c r="BW150" s="59">
        <f t="shared" si="295"/>
        <v>1.4999999999999999E-2</v>
      </c>
      <c r="BX150" s="48">
        <f t="shared" si="296"/>
        <v>0</v>
      </c>
      <c r="BY150" s="48">
        <f t="shared" si="297"/>
        <v>17246.909738055449</v>
      </c>
    </row>
    <row r="151" spans="1:77" s="25" customFormat="1" ht="14">
      <c r="A151" s="24"/>
      <c r="B151" s="172"/>
      <c r="C151" s="66">
        <f t="shared" si="254"/>
        <v>117</v>
      </c>
      <c r="D151" s="48">
        <f t="shared" si="255"/>
        <v>13667.814718437261</v>
      </c>
      <c r="E151" s="48">
        <f t="shared" si="256"/>
        <v>15458.476186323038</v>
      </c>
      <c r="F151" s="48">
        <f t="shared" si="257"/>
        <v>15061.659039894541</v>
      </c>
      <c r="G151" s="49">
        <f t="shared" si="258"/>
        <v>16078.160980216142</v>
      </c>
      <c r="H151" s="49">
        <f t="shared" si="259"/>
        <v>11256.971907413752</v>
      </c>
      <c r="I151" s="48">
        <f t="shared" si="260"/>
        <v>16095.030240777107</v>
      </c>
      <c r="J151" s="24"/>
      <c r="K151" s="84"/>
      <c r="L151" s="64">
        <f t="shared" si="261"/>
        <v>117</v>
      </c>
      <c r="M151" s="51">
        <f t="shared" si="248"/>
        <v>0.36678147184372611</v>
      </c>
      <c r="N151" s="51">
        <f t="shared" si="249"/>
        <v>0.5458476186323038</v>
      </c>
      <c r="O151" s="51">
        <f t="shared" si="250"/>
        <v>0.50616590398945416</v>
      </c>
      <c r="P151" s="51">
        <f t="shared" si="251"/>
        <v>0.60781609802161429</v>
      </c>
      <c r="Q151" s="51">
        <f t="shared" si="252"/>
        <v>0.12569719074137531</v>
      </c>
      <c r="R151" s="51">
        <f t="shared" si="253"/>
        <v>0.60950302407771062</v>
      </c>
      <c r="S151" s="24"/>
      <c r="T151" s="45">
        <f t="shared" si="298"/>
        <v>133</v>
      </c>
      <c r="U151" s="59">
        <f t="shared" si="247"/>
        <v>0.05</v>
      </c>
      <c r="V151" s="48">
        <f t="shared" si="265"/>
        <v>17174.657721084655</v>
      </c>
      <c r="W151" s="56">
        <f t="shared" si="299"/>
        <v>108</v>
      </c>
      <c r="X151" s="48">
        <f t="shared" si="300"/>
        <v>10789.2</v>
      </c>
      <c r="Y151" s="48">
        <f t="shared" si="310"/>
        <v>10800</v>
      </c>
      <c r="Z151" s="48">
        <f t="shared" si="301"/>
        <v>10800</v>
      </c>
      <c r="AA151" s="59">
        <f t="shared" si="266"/>
        <v>5.7500000000000002E-2</v>
      </c>
      <c r="AB151" s="48">
        <f t="shared" si="267"/>
        <v>10851.75</v>
      </c>
      <c r="AC151" s="48" t="str">
        <f t="shared" si="268"/>
        <v>nie</v>
      </c>
      <c r="AD151" s="48">
        <f t="shared" si="269"/>
        <v>75.599999999999994</v>
      </c>
      <c r="AE151" s="48">
        <f t="shared" si="270"/>
        <v>10780.681499999999</v>
      </c>
      <c r="AF151" s="48">
        <f t="shared" si="271"/>
        <v>0</v>
      </c>
      <c r="AG151" s="59">
        <f t="shared" si="272"/>
        <v>1.4999999999999999E-2</v>
      </c>
      <c r="AH151" s="48">
        <f t="shared" si="273"/>
        <v>3606.6382133771481</v>
      </c>
      <c r="AI151" s="48">
        <f t="shared" si="274"/>
        <v>14387.319713377146</v>
      </c>
      <c r="AJ151" s="24"/>
      <c r="AK151" s="56">
        <f t="shared" si="302"/>
        <v>158</v>
      </c>
      <c r="AL151" s="48">
        <f t="shared" si="303"/>
        <v>15784.2</v>
      </c>
      <c r="AM151" s="48">
        <f t="shared" si="304"/>
        <v>15800</v>
      </c>
      <c r="AN151" s="48">
        <f t="shared" si="305"/>
        <v>16068.599999999999</v>
      </c>
      <c r="AO151" s="59">
        <f t="shared" si="275"/>
        <v>6.0000000000000005E-2</v>
      </c>
      <c r="AP151" s="48">
        <f t="shared" si="276"/>
        <v>16148.942999999997</v>
      </c>
      <c r="AQ151" s="48" t="str">
        <f t="shared" si="277"/>
        <v>nie</v>
      </c>
      <c r="AR151" s="48">
        <f t="shared" si="278"/>
        <v>316</v>
      </c>
      <c r="AS151" s="48">
        <f t="shared" si="279"/>
        <v>15826.683829999998</v>
      </c>
      <c r="AT151" s="48">
        <f t="shared" si="262"/>
        <v>0</v>
      </c>
      <c r="AU151" s="59">
        <f t="shared" si="280"/>
        <v>1.4999999999999999E-2</v>
      </c>
      <c r="AV151" s="48">
        <f t="shared" si="281"/>
        <v>33.660755923730576</v>
      </c>
      <c r="AW151" s="48">
        <f t="shared" si="282"/>
        <v>15860.344585923729</v>
      </c>
      <c r="AY151" s="56">
        <f t="shared" si="311"/>
        <v>130</v>
      </c>
      <c r="AZ151" s="48">
        <f t="shared" si="312"/>
        <v>13000</v>
      </c>
      <c r="BA151" s="48">
        <f t="shared" si="306"/>
        <v>13000</v>
      </c>
      <c r="BB151" s="48">
        <f t="shared" si="307"/>
        <v>16816.094894409176</v>
      </c>
      <c r="BC151" s="59">
        <f t="shared" si="283"/>
        <v>6.25E-2</v>
      </c>
      <c r="BD151" s="48">
        <f t="shared" si="284"/>
        <v>16903.678721984223</v>
      </c>
      <c r="BE151" s="48" t="str">
        <f t="shared" si="285"/>
        <v>nie</v>
      </c>
      <c r="BF151" s="48">
        <f t="shared" si="286"/>
        <v>91</v>
      </c>
      <c r="BG151" s="48">
        <f t="shared" si="192"/>
        <v>16088.269764807221</v>
      </c>
      <c r="BH151" s="48">
        <f t="shared" si="263"/>
        <v>0</v>
      </c>
      <c r="BI151" s="59">
        <f t="shared" si="287"/>
        <v>1.4999999999999999E-2</v>
      </c>
      <c r="BJ151" s="48">
        <f t="shared" si="288"/>
        <v>34.652670992107147</v>
      </c>
      <c r="BK151" s="48">
        <f t="shared" si="289"/>
        <v>16122.922435799328</v>
      </c>
      <c r="BL151" s="24"/>
      <c r="BM151" s="56">
        <f t="shared" si="313"/>
        <v>100</v>
      </c>
      <c r="BN151" s="48">
        <f t="shared" si="314"/>
        <v>10000</v>
      </c>
      <c r="BO151" s="48">
        <f t="shared" si="308"/>
        <v>10000</v>
      </c>
      <c r="BP151" s="48">
        <f t="shared" si="309"/>
        <v>19146.802145747468</v>
      </c>
      <c r="BQ151" s="59">
        <f t="shared" si="290"/>
        <v>6.5000000000000002E-2</v>
      </c>
      <c r="BR151" s="48">
        <f t="shared" si="291"/>
        <v>19250.513990703599</v>
      </c>
      <c r="BS151" s="48" t="str">
        <f t="shared" si="292"/>
        <v>nie</v>
      </c>
      <c r="BT151" s="48">
        <f t="shared" si="293"/>
        <v>200</v>
      </c>
      <c r="BU151" s="48">
        <f t="shared" si="294"/>
        <v>17330.916332469915</v>
      </c>
      <c r="BV151" s="48">
        <f t="shared" si="264"/>
        <v>0</v>
      </c>
      <c r="BW151" s="59">
        <f t="shared" si="295"/>
        <v>1.4999999999999999E-2</v>
      </c>
      <c r="BX151" s="48">
        <f t="shared" si="296"/>
        <v>0</v>
      </c>
      <c r="BY151" s="48">
        <f t="shared" si="297"/>
        <v>17330.916332469915</v>
      </c>
    </row>
    <row r="152" spans="1:77" s="25" customFormat="1" ht="14">
      <c r="A152" s="24"/>
      <c r="B152" s="172"/>
      <c r="C152" s="66">
        <f t="shared" si="254"/>
        <v>118</v>
      </c>
      <c r="D152" s="48">
        <f t="shared" si="255"/>
        <v>13712.315909070931</v>
      </c>
      <c r="E152" s="48">
        <f t="shared" si="256"/>
        <v>15524.124397740852</v>
      </c>
      <c r="F152" s="48">
        <f t="shared" si="257"/>
        <v>15124.535716126284</v>
      </c>
      <c r="G152" s="49">
        <f t="shared" si="258"/>
        <v>16152.226173995565</v>
      </c>
      <c r="H152" s="49">
        <f t="shared" si="259"/>
        <v>11268.369591470009</v>
      </c>
      <c r="I152" s="48">
        <f t="shared" si="260"/>
        <v>16159.668916442877</v>
      </c>
      <c r="J152" s="24"/>
      <c r="K152" s="84"/>
      <c r="L152" s="64">
        <f t="shared" si="261"/>
        <v>118</v>
      </c>
      <c r="M152" s="51">
        <f t="shared" si="248"/>
        <v>0.37123159090709312</v>
      </c>
      <c r="N152" s="51">
        <f t="shared" si="249"/>
        <v>0.55241243977408527</v>
      </c>
      <c r="O152" s="51">
        <f t="shared" si="250"/>
        <v>0.51245357161262839</v>
      </c>
      <c r="P152" s="51">
        <f t="shared" si="251"/>
        <v>0.61522261739955653</v>
      </c>
      <c r="Q152" s="51">
        <f t="shared" si="252"/>
        <v>0.12683695914700088</v>
      </c>
      <c r="R152" s="51">
        <f t="shared" si="253"/>
        <v>0.61596689164428775</v>
      </c>
      <c r="S152" s="24"/>
      <c r="T152" s="45">
        <f t="shared" si="298"/>
        <v>134</v>
      </c>
      <c r="U152" s="59">
        <f t="shared" si="247"/>
        <v>0.05</v>
      </c>
      <c r="V152" s="48">
        <f t="shared" si="265"/>
        <v>17245.921861006169</v>
      </c>
      <c r="W152" s="56">
        <f t="shared" si="299"/>
        <v>108</v>
      </c>
      <c r="X152" s="48">
        <f t="shared" si="300"/>
        <v>10789.2</v>
      </c>
      <c r="Y152" s="48">
        <f t="shared" si="310"/>
        <v>10800</v>
      </c>
      <c r="Z152" s="48">
        <f t="shared" si="301"/>
        <v>10800</v>
      </c>
      <c r="AA152" s="59">
        <f t="shared" si="266"/>
        <v>5.7500000000000002E-2</v>
      </c>
      <c r="AB152" s="48">
        <f t="shared" si="267"/>
        <v>10903.5</v>
      </c>
      <c r="AC152" s="48" t="str">
        <f t="shared" si="268"/>
        <v>nie</v>
      </c>
      <c r="AD152" s="48">
        <f t="shared" si="269"/>
        <v>75.599999999999994</v>
      </c>
      <c r="AE152" s="48">
        <f t="shared" si="270"/>
        <v>10822.599</v>
      </c>
      <c r="AF152" s="48">
        <f t="shared" si="271"/>
        <v>0</v>
      </c>
      <c r="AG152" s="59">
        <f t="shared" si="272"/>
        <v>1.4999999999999999E-2</v>
      </c>
      <c r="AH152" s="48">
        <f t="shared" si="273"/>
        <v>3610.2899345681926</v>
      </c>
      <c r="AI152" s="48">
        <f t="shared" si="274"/>
        <v>14432.888934568193</v>
      </c>
      <c r="AJ152" s="24"/>
      <c r="AK152" s="56">
        <f t="shared" si="302"/>
        <v>158</v>
      </c>
      <c r="AL152" s="48">
        <f t="shared" si="303"/>
        <v>15784.2</v>
      </c>
      <c r="AM152" s="48">
        <f t="shared" si="304"/>
        <v>15800</v>
      </c>
      <c r="AN152" s="48">
        <f t="shared" si="305"/>
        <v>16068.599999999999</v>
      </c>
      <c r="AO152" s="59">
        <f t="shared" si="275"/>
        <v>6.0000000000000005E-2</v>
      </c>
      <c r="AP152" s="48">
        <f t="shared" si="276"/>
        <v>16229.285999999998</v>
      </c>
      <c r="AQ152" s="48" t="str">
        <f t="shared" si="277"/>
        <v>nie</v>
      </c>
      <c r="AR152" s="48">
        <f t="shared" si="278"/>
        <v>316</v>
      </c>
      <c r="AS152" s="48">
        <f t="shared" si="279"/>
        <v>15891.761659999998</v>
      </c>
      <c r="AT152" s="48">
        <f t="shared" si="262"/>
        <v>0</v>
      </c>
      <c r="AU152" s="59">
        <f t="shared" si="280"/>
        <v>1.4999999999999999E-2</v>
      </c>
      <c r="AV152" s="48">
        <f t="shared" si="281"/>
        <v>33.69483743910336</v>
      </c>
      <c r="AW152" s="48">
        <f t="shared" si="282"/>
        <v>15925.456497439101</v>
      </c>
      <c r="AY152" s="56">
        <f t="shared" si="311"/>
        <v>130</v>
      </c>
      <c r="AZ152" s="48">
        <f t="shared" si="312"/>
        <v>13000</v>
      </c>
      <c r="BA152" s="48">
        <f t="shared" si="306"/>
        <v>13000</v>
      </c>
      <c r="BB152" s="48">
        <f t="shared" si="307"/>
        <v>16816.094894409176</v>
      </c>
      <c r="BC152" s="59">
        <f t="shared" si="283"/>
        <v>6.25E-2</v>
      </c>
      <c r="BD152" s="48">
        <f t="shared" si="284"/>
        <v>16991.262549559273</v>
      </c>
      <c r="BE152" s="48" t="str">
        <f t="shared" si="285"/>
        <v>nie</v>
      </c>
      <c r="BF152" s="48">
        <f t="shared" si="286"/>
        <v>91</v>
      </c>
      <c r="BG152" s="48">
        <f t="shared" si="192"/>
        <v>16159.212665143012</v>
      </c>
      <c r="BH152" s="48">
        <f t="shared" si="263"/>
        <v>0</v>
      </c>
      <c r="BI152" s="59">
        <f t="shared" si="287"/>
        <v>1.4999999999999999E-2</v>
      </c>
      <c r="BJ152" s="48">
        <f t="shared" si="288"/>
        <v>34.687756821486659</v>
      </c>
      <c r="BK152" s="48">
        <f t="shared" si="289"/>
        <v>16193.900421964498</v>
      </c>
      <c r="BL152" s="24"/>
      <c r="BM152" s="56">
        <f t="shared" si="313"/>
        <v>100</v>
      </c>
      <c r="BN152" s="48">
        <f t="shared" si="314"/>
        <v>10000</v>
      </c>
      <c r="BO152" s="48">
        <f t="shared" si="308"/>
        <v>10000</v>
      </c>
      <c r="BP152" s="48">
        <f t="shared" si="309"/>
        <v>19146.802145747468</v>
      </c>
      <c r="BQ152" s="59">
        <f t="shared" si="290"/>
        <v>6.5000000000000002E-2</v>
      </c>
      <c r="BR152" s="48">
        <f t="shared" si="291"/>
        <v>19354.22583565973</v>
      </c>
      <c r="BS152" s="48" t="str">
        <f t="shared" si="292"/>
        <v>nie</v>
      </c>
      <c r="BT152" s="48">
        <f t="shared" si="293"/>
        <v>200</v>
      </c>
      <c r="BU152" s="48">
        <f t="shared" si="294"/>
        <v>17414.922926884381</v>
      </c>
      <c r="BV152" s="48">
        <f t="shared" si="264"/>
        <v>0</v>
      </c>
      <c r="BW152" s="59">
        <f t="shared" si="295"/>
        <v>1.4999999999999999E-2</v>
      </c>
      <c r="BX152" s="48">
        <f t="shared" si="296"/>
        <v>0</v>
      </c>
      <c r="BY152" s="48">
        <f t="shared" si="297"/>
        <v>17414.922926884381</v>
      </c>
    </row>
    <row r="153" spans="1:77" s="25" customFormat="1" ht="14" customHeight="1">
      <c r="A153" s="24"/>
      <c r="B153" s="172"/>
      <c r="C153" s="66">
        <f t="shared" si="254"/>
        <v>119</v>
      </c>
      <c r="D153" s="48">
        <f t="shared" si="255"/>
        <v>13756.819715691367</v>
      </c>
      <c r="E153" s="48">
        <f t="shared" si="256"/>
        <v>15589.772609158666</v>
      </c>
      <c r="F153" s="48">
        <f t="shared" si="257"/>
        <v>15187.412427311858</v>
      </c>
      <c r="G153" s="49">
        <f t="shared" si="258"/>
        <v>16226.291367774988</v>
      </c>
      <c r="H153" s="49">
        <f t="shared" si="259"/>
        <v>11279.778815681373</v>
      </c>
      <c r="I153" s="48">
        <f t="shared" si="260"/>
        <v>16224.307592108649</v>
      </c>
      <c r="J153" s="24"/>
      <c r="K153" s="84"/>
      <c r="L153" s="64">
        <f t="shared" si="261"/>
        <v>119</v>
      </c>
      <c r="M153" s="51">
        <f t="shared" si="248"/>
        <v>0.37568197156913663</v>
      </c>
      <c r="N153" s="51">
        <f t="shared" si="249"/>
        <v>0.55897726091586675</v>
      </c>
      <c r="O153" s="51">
        <f t="shared" si="250"/>
        <v>0.51874124273118571</v>
      </c>
      <c r="P153" s="51">
        <f t="shared" si="251"/>
        <v>0.62262913677749876</v>
      </c>
      <c r="Q153" s="51">
        <f t="shared" si="252"/>
        <v>0.12797788156813739</v>
      </c>
      <c r="R153" s="51">
        <f t="shared" si="253"/>
        <v>0.62243075921086488</v>
      </c>
      <c r="S153" s="24"/>
      <c r="T153" s="45">
        <f t="shared" si="298"/>
        <v>135</v>
      </c>
      <c r="U153" s="59">
        <f t="shared" si="247"/>
        <v>0.05</v>
      </c>
      <c r="V153" s="48">
        <f t="shared" si="265"/>
        <v>17317.186000927679</v>
      </c>
      <c r="W153" s="56">
        <f t="shared" si="299"/>
        <v>108</v>
      </c>
      <c r="X153" s="48">
        <f t="shared" si="300"/>
        <v>10789.2</v>
      </c>
      <c r="Y153" s="48">
        <f t="shared" si="310"/>
        <v>10800</v>
      </c>
      <c r="Z153" s="48">
        <f t="shared" si="301"/>
        <v>10800</v>
      </c>
      <c r="AA153" s="59">
        <f t="shared" si="266"/>
        <v>5.7500000000000002E-2</v>
      </c>
      <c r="AB153" s="48">
        <f t="shared" si="267"/>
        <v>10955.25</v>
      </c>
      <c r="AC153" s="48" t="str">
        <f t="shared" si="268"/>
        <v>nie</v>
      </c>
      <c r="AD153" s="48">
        <f t="shared" si="269"/>
        <v>75.599999999999994</v>
      </c>
      <c r="AE153" s="48">
        <f t="shared" si="270"/>
        <v>10864.5165</v>
      </c>
      <c r="AF153" s="48">
        <f t="shared" si="271"/>
        <v>0</v>
      </c>
      <c r="AG153" s="59">
        <f t="shared" si="272"/>
        <v>1.4999999999999999E-2</v>
      </c>
      <c r="AH153" s="48">
        <f t="shared" si="273"/>
        <v>3613.9453531269432</v>
      </c>
      <c r="AI153" s="48">
        <f t="shared" si="274"/>
        <v>14478.461853126943</v>
      </c>
      <c r="AJ153" s="24"/>
      <c r="AK153" s="56">
        <f t="shared" si="302"/>
        <v>158</v>
      </c>
      <c r="AL153" s="48">
        <f t="shared" si="303"/>
        <v>15784.2</v>
      </c>
      <c r="AM153" s="48">
        <f t="shared" si="304"/>
        <v>15800</v>
      </c>
      <c r="AN153" s="48">
        <f t="shared" si="305"/>
        <v>16068.599999999999</v>
      </c>
      <c r="AO153" s="59">
        <f t="shared" si="275"/>
        <v>6.0000000000000005E-2</v>
      </c>
      <c r="AP153" s="48">
        <f t="shared" si="276"/>
        <v>16309.628999999997</v>
      </c>
      <c r="AQ153" s="48" t="str">
        <f t="shared" si="277"/>
        <v>nie</v>
      </c>
      <c r="AR153" s="48">
        <f t="shared" si="278"/>
        <v>316</v>
      </c>
      <c r="AS153" s="48">
        <f t="shared" si="279"/>
        <v>15956.839489999998</v>
      </c>
      <c r="AT153" s="48">
        <f t="shared" si="262"/>
        <v>0</v>
      </c>
      <c r="AU153" s="59">
        <f t="shared" si="280"/>
        <v>1.4999999999999999E-2</v>
      </c>
      <c r="AV153" s="48">
        <f t="shared" si="281"/>
        <v>33.728953462010452</v>
      </c>
      <c r="AW153" s="48">
        <f t="shared" si="282"/>
        <v>15990.568443462009</v>
      </c>
      <c r="AY153" s="56">
        <f t="shared" si="311"/>
        <v>130</v>
      </c>
      <c r="AZ153" s="48">
        <f t="shared" si="312"/>
        <v>13000</v>
      </c>
      <c r="BA153" s="48">
        <f t="shared" si="306"/>
        <v>13000</v>
      </c>
      <c r="BB153" s="48">
        <f t="shared" si="307"/>
        <v>16816.094894409176</v>
      </c>
      <c r="BC153" s="59">
        <f t="shared" si="283"/>
        <v>6.25E-2</v>
      </c>
      <c r="BD153" s="48">
        <f t="shared" si="284"/>
        <v>17078.846377134319</v>
      </c>
      <c r="BE153" s="48" t="str">
        <f t="shared" si="285"/>
        <v>nie</v>
      </c>
      <c r="BF153" s="48">
        <f t="shared" si="286"/>
        <v>91</v>
      </c>
      <c r="BG153" s="48">
        <f t="shared" si="192"/>
        <v>16230.155565478799</v>
      </c>
      <c r="BH153" s="48">
        <f t="shared" si="263"/>
        <v>0</v>
      </c>
      <c r="BI153" s="59">
        <f t="shared" si="287"/>
        <v>1.4999999999999999E-2</v>
      </c>
      <c r="BJ153" s="48">
        <f t="shared" si="288"/>
        <v>34.72287817526842</v>
      </c>
      <c r="BK153" s="48">
        <f t="shared" si="289"/>
        <v>16264.878443654068</v>
      </c>
      <c r="BL153" s="24"/>
      <c r="BM153" s="56">
        <f t="shared" si="313"/>
        <v>100</v>
      </c>
      <c r="BN153" s="48">
        <f t="shared" si="314"/>
        <v>10000</v>
      </c>
      <c r="BO153" s="48">
        <f t="shared" si="308"/>
        <v>10000</v>
      </c>
      <c r="BP153" s="48">
        <f t="shared" si="309"/>
        <v>19146.802145747468</v>
      </c>
      <c r="BQ153" s="59">
        <f t="shared" si="290"/>
        <v>6.5000000000000002E-2</v>
      </c>
      <c r="BR153" s="48">
        <f t="shared" si="291"/>
        <v>19457.937680615865</v>
      </c>
      <c r="BS153" s="48" t="str">
        <f t="shared" si="292"/>
        <v>nie</v>
      </c>
      <c r="BT153" s="48">
        <f t="shared" si="293"/>
        <v>200</v>
      </c>
      <c r="BU153" s="48">
        <f t="shared" si="294"/>
        <v>17498.929521298851</v>
      </c>
      <c r="BV153" s="48">
        <f t="shared" si="264"/>
        <v>0</v>
      </c>
      <c r="BW153" s="59">
        <f t="shared" si="295"/>
        <v>1.4999999999999999E-2</v>
      </c>
      <c r="BX153" s="48">
        <f t="shared" si="296"/>
        <v>0</v>
      </c>
      <c r="BY153" s="48">
        <f t="shared" si="297"/>
        <v>17498.929521298851</v>
      </c>
    </row>
    <row r="154" spans="1:77" s="25" customFormat="1" ht="14">
      <c r="A154" s="24"/>
      <c r="B154" s="173"/>
      <c r="C154" s="66">
        <f t="shared" si="254"/>
        <v>120</v>
      </c>
      <c r="D154" s="48">
        <f t="shared" si="255"/>
        <v>13801.326140947254</v>
      </c>
      <c r="E154" s="48">
        <f t="shared" si="256"/>
        <v>15817.420820576481</v>
      </c>
      <c r="F154" s="48">
        <f t="shared" si="257"/>
        <v>15250.289173486652</v>
      </c>
      <c r="G154" s="49">
        <f t="shared" si="258"/>
        <v>16300.356561554412</v>
      </c>
      <c r="H154" s="49">
        <f t="shared" si="259"/>
        <v>11291.199591732251</v>
      </c>
      <c r="I154" s="48">
        <f t="shared" si="260"/>
        <v>16288.94626777442</v>
      </c>
      <c r="J154" s="24"/>
      <c r="K154" s="84"/>
      <c r="L154" s="64">
        <f t="shared" si="261"/>
        <v>120</v>
      </c>
      <c r="M154" s="51">
        <f t="shared" si="248"/>
        <v>0.38013261409472543</v>
      </c>
      <c r="N154" s="51">
        <f t="shared" si="249"/>
        <v>0.58174208205764799</v>
      </c>
      <c r="O154" s="51">
        <f t="shared" si="250"/>
        <v>0.52502891734866508</v>
      </c>
      <c r="P154" s="51">
        <f t="shared" si="251"/>
        <v>0.63003565615544121</v>
      </c>
      <c r="Q154" s="51">
        <f t="shared" si="252"/>
        <v>0.12911995917322505</v>
      </c>
      <c r="R154" s="51">
        <f t="shared" si="253"/>
        <v>0.62889462677744201</v>
      </c>
      <c r="S154" s="24"/>
      <c r="T154" s="45">
        <f t="shared" si="298"/>
        <v>136</v>
      </c>
      <c r="U154" s="59">
        <f t="shared" si="247"/>
        <v>0.05</v>
      </c>
      <c r="V154" s="48">
        <f t="shared" si="265"/>
        <v>17388.450140849192</v>
      </c>
      <c r="W154" s="56">
        <f t="shared" si="299"/>
        <v>108</v>
      </c>
      <c r="X154" s="48">
        <f t="shared" si="300"/>
        <v>10789.2</v>
      </c>
      <c r="Y154" s="48">
        <f t="shared" si="310"/>
        <v>10800</v>
      </c>
      <c r="Z154" s="48">
        <f t="shared" si="301"/>
        <v>10800</v>
      </c>
      <c r="AA154" s="59">
        <f t="shared" si="266"/>
        <v>5.7500000000000002E-2</v>
      </c>
      <c r="AB154" s="48">
        <f t="shared" si="267"/>
        <v>11007.000000000002</v>
      </c>
      <c r="AC154" s="48" t="str">
        <f t="shared" si="268"/>
        <v>nie</v>
      </c>
      <c r="AD154" s="48">
        <f t="shared" si="269"/>
        <v>75.599999999999994</v>
      </c>
      <c r="AE154" s="48">
        <f t="shared" si="270"/>
        <v>10906.434000000001</v>
      </c>
      <c r="AF154" s="48">
        <f t="shared" si="271"/>
        <v>0</v>
      </c>
      <c r="AG154" s="59">
        <f t="shared" si="272"/>
        <v>1.4999999999999999E-2</v>
      </c>
      <c r="AH154" s="48">
        <f t="shared" si="273"/>
        <v>3617.6044727969847</v>
      </c>
      <c r="AI154" s="48">
        <f t="shared" si="274"/>
        <v>14524.038472796987</v>
      </c>
      <c r="AJ154" s="24"/>
      <c r="AK154" s="56">
        <f t="shared" si="302"/>
        <v>158</v>
      </c>
      <c r="AL154" s="48">
        <f t="shared" si="303"/>
        <v>15784.2</v>
      </c>
      <c r="AM154" s="48">
        <f t="shared" si="304"/>
        <v>15800</v>
      </c>
      <c r="AN154" s="48">
        <f t="shared" si="305"/>
        <v>16068.599999999999</v>
      </c>
      <c r="AO154" s="59">
        <f t="shared" si="275"/>
        <v>6.0000000000000005E-2</v>
      </c>
      <c r="AP154" s="48">
        <f t="shared" si="276"/>
        <v>16389.971999999998</v>
      </c>
      <c r="AQ154" s="48" t="str">
        <f t="shared" si="277"/>
        <v>nie</v>
      </c>
      <c r="AR154" s="48">
        <f t="shared" si="278"/>
        <v>316</v>
      </c>
      <c r="AS154" s="48">
        <f t="shared" si="279"/>
        <v>16021.917319999999</v>
      </c>
      <c r="AT154" s="48">
        <f t="shared" si="262"/>
        <v>0</v>
      </c>
      <c r="AU154" s="59">
        <f t="shared" si="280"/>
        <v>1.4999999999999999E-2</v>
      </c>
      <c r="AV154" s="48">
        <f t="shared" si="281"/>
        <v>33.763104027390739</v>
      </c>
      <c r="AW154" s="48">
        <f t="shared" si="282"/>
        <v>16055.680424027389</v>
      </c>
      <c r="AY154" s="56">
        <f t="shared" si="311"/>
        <v>130</v>
      </c>
      <c r="AZ154" s="48">
        <f t="shared" si="312"/>
        <v>13000</v>
      </c>
      <c r="BA154" s="48">
        <f t="shared" si="306"/>
        <v>13000</v>
      </c>
      <c r="BB154" s="48">
        <f t="shared" si="307"/>
        <v>16816.094894409176</v>
      </c>
      <c r="BC154" s="59">
        <f t="shared" si="283"/>
        <v>6.25E-2</v>
      </c>
      <c r="BD154" s="48">
        <f t="shared" si="284"/>
        <v>17166.430204709366</v>
      </c>
      <c r="BE154" s="48" t="str">
        <f t="shared" si="285"/>
        <v>nie</v>
      </c>
      <c r="BF154" s="48">
        <f t="shared" si="286"/>
        <v>91</v>
      </c>
      <c r="BG154" s="48">
        <f t="shared" si="192"/>
        <v>16301.098465814586</v>
      </c>
      <c r="BH154" s="48">
        <f t="shared" si="263"/>
        <v>0</v>
      </c>
      <c r="BI154" s="59">
        <f t="shared" si="287"/>
        <v>1.4999999999999999E-2</v>
      </c>
      <c r="BJ154" s="48">
        <f t="shared" si="288"/>
        <v>34.758035089420879</v>
      </c>
      <c r="BK154" s="48">
        <f t="shared" si="289"/>
        <v>16335.856500904007</v>
      </c>
      <c r="BL154" s="24"/>
      <c r="BM154" s="56">
        <f t="shared" si="313"/>
        <v>100</v>
      </c>
      <c r="BN154" s="48">
        <f t="shared" si="314"/>
        <v>10000</v>
      </c>
      <c r="BO154" s="48">
        <f t="shared" si="308"/>
        <v>10000</v>
      </c>
      <c r="BP154" s="48">
        <f t="shared" si="309"/>
        <v>19146.802145747468</v>
      </c>
      <c r="BQ154" s="59">
        <f t="shared" si="290"/>
        <v>6.5000000000000002E-2</v>
      </c>
      <c r="BR154" s="48">
        <f t="shared" si="291"/>
        <v>19561.649525571996</v>
      </c>
      <c r="BS154" s="48" t="str">
        <f t="shared" si="292"/>
        <v>nie</v>
      </c>
      <c r="BT154" s="48">
        <f t="shared" si="293"/>
        <v>200</v>
      </c>
      <c r="BU154" s="48">
        <f t="shared" si="294"/>
        <v>17582.936115713317</v>
      </c>
      <c r="BV154" s="48">
        <f t="shared" si="264"/>
        <v>0</v>
      </c>
      <c r="BW154" s="59">
        <f t="shared" si="295"/>
        <v>1.4999999999999999E-2</v>
      </c>
      <c r="BX154" s="48">
        <f t="shared" si="296"/>
        <v>0</v>
      </c>
      <c r="BY154" s="48">
        <f t="shared" si="297"/>
        <v>17582.936115713317</v>
      </c>
    </row>
    <row r="155" spans="1:77" s="25" customFormat="1" ht="14">
      <c r="A155" s="24"/>
      <c r="B155" s="171">
        <f>ROUNDUP(C166/12,0)</f>
        <v>11</v>
      </c>
      <c r="C155" s="66">
        <f t="shared" si="254"/>
        <v>121</v>
      </c>
      <c r="D155" s="48">
        <f t="shared" si="255"/>
        <v>13846.344485114963</v>
      </c>
      <c r="E155" s="48">
        <f t="shared" si="256"/>
        <v>15833.254456657314</v>
      </c>
      <c r="F155" s="48">
        <f t="shared" si="257"/>
        <v>15317.093589306758</v>
      </c>
      <c r="G155" s="49">
        <f t="shared" si="258"/>
        <v>16379.235992929498</v>
      </c>
      <c r="H155" s="49">
        <f t="shared" si="259"/>
        <v>11302.631931318881</v>
      </c>
      <c r="I155" s="48">
        <f t="shared" si="260"/>
        <v>16356.816877223479</v>
      </c>
      <c r="J155" s="24"/>
      <c r="K155" s="84"/>
      <c r="L155" s="64">
        <f t="shared" si="261"/>
        <v>121</v>
      </c>
      <c r="M155" s="51">
        <f t="shared" si="248"/>
        <v>0.38463444851149631</v>
      </c>
      <c r="N155" s="51">
        <f t="shared" si="249"/>
        <v>0.58332544566573152</v>
      </c>
      <c r="O155" s="51">
        <f t="shared" si="250"/>
        <v>0.53170935893067583</v>
      </c>
      <c r="P155" s="51">
        <f t="shared" si="251"/>
        <v>0.63792359929294973</v>
      </c>
      <c r="Q155" s="51">
        <f t="shared" si="252"/>
        <v>0.13026319313188806</v>
      </c>
      <c r="R155" s="51">
        <f t="shared" si="253"/>
        <v>0.6356816877223479</v>
      </c>
      <c r="S155" s="24"/>
      <c r="T155" s="45">
        <f t="shared" si="298"/>
        <v>137</v>
      </c>
      <c r="U155" s="59">
        <f t="shared" si="247"/>
        <v>0.05</v>
      </c>
      <c r="V155" s="48">
        <f t="shared" si="265"/>
        <v>17459.714280770706</v>
      </c>
      <c r="W155" s="56">
        <f t="shared" si="299"/>
        <v>108</v>
      </c>
      <c r="X155" s="48">
        <f t="shared" si="300"/>
        <v>10789.2</v>
      </c>
      <c r="Y155" s="48">
        <f t="shared" si="310"/>
        <v>10800</v>
      </c>
      <c r="Z155" s="48">
        <f t="shared" si="301"/>
        <v>10800</v>
      </c>
      <c r="AA155" s="59">
        <f t="shared" si="266"/>
        <v>5.7500000000000002E-2</v>
      </c>
      <c r="AB155" s="48">
        <f t="shared" si="267"/>
        <v>11058.75</v>
      </c>
      <c r="AC155" s="48" t="str">
        <f t="shared" si="268"/>
        <v>nie</v>
      </c>
      <c r="AD155" s="48">
        <f t="shared" si="269"/>
        <v>75.599999999999994</v>
      </c>
      <c r="AE155" s="48">
        <f t="shared" si="270"/>
        <v>10948.351499999999</v>
      </c>
      <c r="AF155" s="48">
        <f t="shared" si="271"/>
        <v>0</v>
      </c>
      <c r="AG155" s="59">
        <f t="shared" si="272"/>
        <v>1.4999999999999999E-2</v>
      </c>
      <c r="AH155" s="48">
        <f t="shared" si="273"/>
        <v>3621.2672973256922</v>
      </c>
      <c r="AI155" s="48">
        <f t="shared" si="274"/>
        <v>14569.618797325691</v>
      </c>
      <c r="AJ155" s="24"/>
      <c r="AK155" s="56">
        <f t="shared" si="302"/>
        <v>158</v>
      </c>
      <c r="AL155" s="48">
        <f t="shared" si="303"/>
        <v>15784.2</v>
      </c>
      <c r="AM155" s="48">
        <f t="shared" si="304"/>
        <v>15800</v>
      </c>
      <c r="AN155" s="48">
        <f t="shared" si="305"/>
        <v>16068.599999999999</v>
      </c>
      <c r="AO155" s="59">
        <f t="shared" si="275"/>
        <v>6.0000000000000005E-2</v>
      </c>
      <c r="AP155" s="48">
        <f t="shared" si="276"/>
        <v>16470.314999999999</v>
      </c>
      <c r="AQ155" s="48" t="str">
        <f t="shared" si="277"/>
        <v>nie</v>
      </c>
      <c r="AR155" s="48">
        <f t="shared" si="278"/>
        <v>316</v>
      </c>
      <c r="AS155" s="48">
        <f t="shared" si="279"/>
        <v>16086.995149999999</v>
      </c>
      <c r="AT155" s="48">
        <f t="shared" si="262"/>
        <v>0</v>
      </c>
      <c r="AU155" s="59">
        <f t="shared" si="280"/>
        <v>1.4999999999999999E-2</v>
      </c>
      <c r="AV155" s="48">
        <f t="shared" si="281"/>
        <v>33.797289170218477</v>
      </c>
      <c r="AW155" s="48">
        <f t="shared" si="282"/>
        <v>16120.792439170218</v>
      </c>
      <c r="AY155" s="56">
        <f t="shared" si="311"/>
        <v>130</v>
      </c>
      <c r="AZ155" s="48">
        <f t="shared" si="312"/>
        <v>13000</v>
      </c>
      <c r="BA155" s="48">
        <f t="shared" si="306"/>
        <v>13000</v>
      </c>
      <c r="BB155" s="48">
        <f t="shared" si="307"/>
        <v>16816.094894409176</v>
      </c>
      <c r="BC155" s="59">
        <f t="shared" si="283"/>
        <v>6.25E-2</v>
      </c>
      <c r="BD155" s="48">
        <f t="shared" si="284"/>
        <v>17254.014032284416</v>
      </c>
      <c r="BE155" s="48" t="str">
        <f t="shared" si="285"/>
        <v>nie</v>
      </c>
      <c r="BF155" s="48">
        <f t="shared" si="286"/>
        <v>91</v>
      </c>
      <c r="BG155" s="48">
        <f t="shared" ref="BG155:BG162" si="315">BD155-BF155
-(BD155-BA155-BF155)*podatek_Belki</f>
        <v>16372.041366150377</v>
      </c>
      <c r="BH155" s="48">
        <f t="shared" si="263"/>
        <v>0</v>
      </c>
      <c r="BI155" s="59">
        <f t="shared" si="287"/>
        <v>1.4999999999999999E-2</v>
      </c>
      <c r="BJ155" s="48">
        <f t="shared" si="288"/>
        <v>34.793227599948921</v>
      </c>
      <c r="BK155" s="48">
        <f t="shared" si="289"/>
        <v>16406.834593750325</v>
      </c>
      <c r="BL155" s="24"/>
      <c r="BM155" s="56">
        <f t="shared" si="313"/>
        <v>100</v>
      </c>
      <c r="BN155" s="48">
        <f t="shared" si="314"/>
        <v>10000</v>
      </c>
      <c r="BO155" s="48">
        <f t="shared" si="308"/>
        <v>10000</v>
      </c>
      <c r="BP155" s="48">
        <f t="shared" si="309"/>
        <v>19146.802145747468</v>
      </c>
      <c r="BQ155" s="59">
        <f t="shared" si="290"/>
        <v>6.5000000000000002E-2</v>
      </c>
      <c r="BR155" s="48">
        <f t="shared" si="291"/>
        <v>19665.361370528128</v>
      </c>
      <c r="BS155" s="48" t="str">
        <f t="shared" si="292"/>
        <v>nie</v>
      </c>
      <c r="BT155" s="48">
        <f t="shared" si="293"/>
        <v>200</v>
      </c>
      <c r="BU155" s="48">
        <f t="shared" si="294"/>
        <v>17666.942710127783</v>
      </c>
      <c r="BV155" s="48">
        <f t="shared" si="264"/>
        <v>0</v>
      </c>
      <c r="BW155" s="59">
        <f t="shared" si="295"/>
        <v>1.4999999999999999E-2</v>
      </c>
      <c r="BX155" s="48">
        <f t="shared" si="296"/>
        <v>0</v>
      </c>
      <c r="BY155" s="48">
        <f t="shared" si="297"/>
        <v>17666.942710127783</v>
      </c>
    </row>
    <row r="156" spans="1:77" s="25" customFormat="1" ht="14">
      <c r="A156" s="24"/>
      <c r="B156" s="172"/>
      <c r="C156" s="66">
        <f t="shared" si="254"/>
        <v>122</v>
      </c>
      <c r="D156" s="48">
        <f t="shared" si="255"/>
        <v>13891.365968887394</v>
      </c>
      <c r="E156" s="48">
        <f t="shared" si="256"/>
        <v>15833.28812679468</v>
      </c>
      <c r="F156" s="48">
        <f t="shared" si="257"/>
        <v>15383.898040186976</v>
      </c>
      <c r="G156" s="49">
        <f t="shared" si="258"/>
        <v>16458.115424304582</v>
      </c>
      <c r="H156" s="49">
        <f t="shared" si="259"/>
        <v>11314.075846149342</v>
      </c>
      <c r="I156" s="48">
        <f t="shared" si="260"/>
        <v>16424.687486672537</v>
      </c>
      <c r="J156" s="24"/>
      <c r="K156" s="84"/>
      <c r="L156" s="64">
        <f t="shared" si="261"/>
        <v>122</v>
      </c>
      <c r="M156" s="51">
        <f t="shared" si="248"/>
        <v>0.38913659688873947</v>
      </c>
      <c r="N156" s="51">
        <f t="shared" si="249"/>
        <v>0.58332881267946801</v>
      </c>
      <c r="O156" s="51">
        <f t="shared" si="250"/>
        <v>0.53838980401869763</v>
      </c>
      <c r="P156" s="51">
        <f t="shared" si="251"/>
        <v>0.64581154243045824</v>
      </c>
      <c r="Q156" s="51">
        <f t="shared" si="252"/>
        <v>0.13140758461493429</v>
      </c>
      <c r="R156" s="51">
        <f t="shared" si="253"/>
        <v>0.64246874866725379</v>
      </c>
      <c r="S156" s="24"/>
      <c r="T156" s="45">
        <f t="shared" si="298"/>
        <v>138</v>
      </c>
      <c r="U156" s="59">
        <f t="shared" si="247"/>
        <v>0.05</v>
      </c>
      <c r="V156" s="48">
        <f t="shared" si="265"/>
        <v>17530.97842069222</v>
      </c>
      <c r="W156" s="56">
        <f t="shared" si="299"/>
        <v>108</v>
      </c>
      <c r="X156" s="48">
        <f t="shared" si="300"/>
        <v>10789.2</v>
      </c>
      <c r="Y156" s="48">
        <f t="shared" si="310"/>
        <v>10800</v>
      </c>
      <c r="Z156" s="48">
        <f t="shared" si="301"/>
        <v>10800</v>
      </c>
      <c r="AA156" s="59">
        <f t="shared" si="266"/>
        <v>5.7500000000000002E-2</v>
      </c>
      <c r="AB156" s="48">
        <f t="shared" si="267"/>
        <v>11110.5</v>
      </c>
      <c r="AC156" s="48" t="str">
        <f t="shared" si="268"/>
        <v>nie</v>
      </c>
      <c r="AD156" s="48">
        <f t="shared" si="269"/>
        <v>75.599999999999994</v>
      </c>
      <c r="AE156" s="48">
        <f t="shared" si="270"/>
        <v>10990.269</v>
      </c>
      <c r="AF156" s="48">
        <f t="shared" si="271"/>
        <v>0</v>
      </c>
      <c r="AG156" s="59">
        <f t="shared" si="272"/>
        <v>1.4999999999999999E-2</v>
      </c>
      <c r="AH156" s="48">
        <f t="shared" si="273"/>
        <v>3624.9338304642347</v>
      </c>
      <c r="AI156" s="48">
        <f t="shared" si="274"/>
        <v>14615.202830464235</v>
      </c>
      <c r="AJ156" s="24"/>
      <c r="AK156" s="56">
        <f t="shared" si="302"/>
        <v>158</v>
      </c>
      <c r="AL156" s="48">
        <f t="shared" si="303"/>
        <v>15784.2</v>
      </c>
      <c r="AM156" s="48">
        <f t="shared" si="304"/>
        <v>15800</v>
      </c>
      <c r="AN156" s="48">
        <f t="shared" si="305"/>
        <v>16068.599999999999</v>
      </c>
      <c r="AO156" s="59">
        <f t="shared" si="275"/>
        <v>6.0000000000000005E-2</v>
      </c>
      <c r="AP156" s="48">
        <f t="shared" si="276"/>
        <v>16550.657999999999</v>
      </c>
      <c r="AQ156" s="48" t="str">
        <f t="shared" si="277"/>
        <v>nie</v>
      </c>
      <c r="AR156" s="48">
        <f t="shared" si="278"/>
        <v>316</v>
      </c>
      <c r="AS156" s="48">
        <f t="shared" si="279"/>
        <v>16152.072979999999</v>
      </c>
      <c r="AT156" s="48">
        <f t="shared" si="262"/>
        <v>0</v>
      </c>
      <c r="AU156" s="59">
        <f t="shared" si="280"/>
        <v>1.4999999999999999E-2</v>
      </c>
      <c r="AV156" s="48">
        <f t="shared" si="281"/>
        <v>33.831508925503329</v>
      </c>
      <c r="AW156" s="48">
        <f t="shared" si="282"/>
        <v>16185.904488925502</v>
      </c>
      <c r="AY156" s="56">
        <f t="shared" si="311"/>
        <v>130</v>
      </c>
      <c r="AZ156" s="48">
        <f t="shared" si="312"/>
        <v>13000</v>
      </c>
      <c r="BA156" s="48">
        <f t="shared" si="306"/>
        <v>13000</v>
      </c>
      <c r="BB156" s="48">
        <f t="shared" si="307"/>
        <v>16816.094894409176</v>
      </c>
      <c r="BC156" s="59">
        <f t="shared" si="283"/>
        <v>6.25E-2</v>
      </c>
      <c r="BD156" s="48">
        <f t="shared" si="284"/>
        <v>17341.597859859463</v>
      </c>
      <c r="BE156" s="48" t="str">
        <f t="shared" si="285"/>
        <v>nie</v>
      </c>
      <c r="BF156" s="48">
        <f t="shared" si="286"/>
        <v>91</v>
      </c>
      <c r="BG156" s="48">
        <f t="shared" si="315"/>
        <v>16442.984266486164</v>
      </c>
      <c r="BH156" s="48">
        <f t="shared" si="263"/>
        <v>0</v>
      </c>
      <c r="BI156" s="59">
        <f t="shared" si="287"/>
        <v>1.4999999999999999E-2</v>
      </c>
      <c r="BJ156" s="48">
        <f t="shared" si="288"/>
        <v>34.828455742893873</v>
      </c>
      <c r="BK156" s="48">
        <f t="shared" si="289"/>
        <v>16477.812722229057</v>
      </c>
      <c r="BL156" s="24"/>
      <c r="BM156" s="56">
        <f t="shared" si="313"/>
        <v>100</v>
      </c>
      <c r="BN156" s="48">
        <f t="shared" si="314"/>
        <v>10000</v>
      </c>
      <c r="BO156" s="48">
        <f t="shared" si="308"/>
        <v>10000</v>
      </c>
      <c r="BP156" s="48">
        <f t="shared" si="309"/>
        <v>19146.802145747468</v>
      </c>
      <c r="BQ156" s="59">
        <f t="shared" si="290"/>
        <v>6.5000000000000002E-2</v>
      </c>
      <c r="BR156" s="48">
        <f t="shared" si="291"/>
        <v>19769.073215484259</v>
      </c>
      <c r="BS156" s="48" t="str">
        <f t="shared" si="292"/>
        <v>nie</v>
      </c>
      <c r="BT156" s="48">
        <f t="shared" si="293"/>
        <v>200</v>
      </c>
      <c r="BU156" s="48">
        <f t="shared" si="294"/>
        <v>17750.94930454225</v>
      </c>
      <c r="BV156" s="48">
        <f t="shared" si="264"/>
        <v>0</v>
      </c>
      <c r="BW156" s="59">
        <f t="shared" si="295"/>
        <v>1.4999999999999999E-2</v>
      </c>
      <c r="BX156" s="48">
        <f t="shared" si="296"/>
        <v>0</v>
      </c>
      <c r="BY156" s="48">
        <f t="shared" si="297"/>
        <v>17750.94930454225</v>
      </c>
    </row>
    <row r="157" spans="1:77" s="25" customFormat="1" ht="14">
      <c r="A157" s="24"/>
      <c r="B157" s="172"/>
      <c r="C157" s="66">
        <f t="shared" si="254"/>
        <v>123</v>
      </c>
      <c r="D157" s="48">
        <f t="shared" si="255"/>
        <v>13936.390595443392</v>
      </c>
      <c r="E157" s="48">
        <f t="shared" si="256"/>
        <v>15833.321831023059</v>
      </c>
      <c r="F157" s="48">
        <f t="shared" si="257"/>
        <v>15450.7025261628</v>
      </c>
      <c r="G157" s="49">
        <f t="shared" si="258"/>
        <v>16536.994855679673</v>
      </c>
      <c r="H157" s="49">
        <f t="shared" si="259"/>
        <v>11325.53134794357</v>
      </c>
      <c r="I157" s="48">
        <f t="shared" si="260"/>
        <v>16492.5580961216</v>
      </c>
      <c r="J157" s="24"/>
      <c r="K157" s="84"/>
      <c r="L157" s="64">
        <f t="shared" si="261"/>
        <v>123</v>
      </c>
      <c r="M157" s="51">
        <f t="shared" si="248"/>
        <v>0.39363905954433931</v>
      </c>
      <c r="N157" s="51">
        <f t="shared" si="249"/>
        <v>0.58333218310230595</v>
      </c>
      <c r="O157" s="51">
        <f t="shared" si="250"/>
        <v>0.54507025261628006</v>
      </c>
      <c r="P157" s="51">
        <f t="shared" si="251"/>
        <v>0.65369948556796742</v>
      </c>
      <c r="Q157" s="51">
        <f t="shared" si="252"/>
        <v>0.13255313479435693</v>
      </c>
      <c r="R157" s="51">
        <f t="shared" si="253"/>
        <v>0.64925580961216012</v>
      </c>
      <c r="S157" s="24"/>
      <c r="T157" s="45">
        <f t="shared" si="298"/>
        <v>139</v>
      </c>
      <c r="U157" s="59">
        <f t="shared" si="247"/>
        <v>0.05</v>
      </c>
      <c r="V157" s="48">
        <f t="shared" si="265"/>
        <v>17602.242560613733</v>
      </c>
      <c r="W157" s="56">
        <f t="shared" si="299"/>
        <v>108</v>
      </c>
      <c r="X157" s="48">
        <f t="shared" si="300"/>
        <v>10789.2</v>
      </c>
      <c r="Y157" s="48">
        <f t="shared" si="310"/>
        <v>10800</v>
      </c>
      <c r="Z157" s="48">
        <f t="shared" si="301"/>
        <v>10800</v>
      </c>
      <c r="AA157" s="59">
        <f t="shared" si="266"/>
        <v>5.7500000000000002E-2</v>
      </c>
      <c r="AB157" s="48">
        <f t="shared" si="267"/>
        <v>11162.249999999998</v>
      </c>
      <c r="AC157" s="48" t="str">
        <f t="shared" si="268"/>
        <v>nie</v>
      </c>
      <c r="AD157" s="48">
        <f t="shared" si="269"/>
        <v>75.599999999999994</v>
      </c>
      <c r="AE157" s="48">
        <f t="shared" si="270"/>
        <v>11032.186499999998</v>
      </c>
      <c r="AF157" s="48">
        <f t="shared" si="271"/>
        <v>0</v>
      </c>
      <c r="AG157" s="59">
        <f t="shared" si="272"/>
        <v>1.4999999999999999E-2</v>
      </c>
      <c r="AH157" s="48">
        <f t="shared" si="273"/>
        <v>3628.6040759675802</v>
      </c>
      <c r="AI157" s="48">
        <f t="shared" si="274"/>
        <v>14660.790575967578</v>
      </c>
      <c r="AJ157" s="24"/>
      <c r="AK157" s="56">
        <f t="shared" si="302"/>
        <v>158</v>
      </c>
      <c r="AL157" s="48">
        <f t="shared" si="303"/>
        <v>15784.2</v>
      </c>
      <c r="AM157" s="48">
        <f t="shared" si="304"/>
        <v>15800</v>
      </c>
      <c r="AN157" s="48">
        <f t="shared" si="305"/>
        <v>16068.599999999999</v>
      </c>
      <c r="AO157" s="59">
        <f t="shared" si="275"/>
        <v>6.0000000000000005E-2</v>
      </c>
      <c r="AP157" s="48">
        <f t="shared" si="276"/>
        <v>16631.000999999997</v>
      </c>
      <c r="AQ157" s="48" t="str">
        <f t="shared" si="277"/>
        <v>nie</v>
      </c>
      <c r="AR157" s="48">
        <f t="shared" si="278"/>
        <v>316</v>
      </c>
      <c r="AS157" s="48">
        <f t="shared" si="279"/>
        <v>16217.150809999997</v>
      </c>
      <c r="AT157" s="48">
        <f t="shared" si="262"/>
        <v>0</v>
      </c>
      <c r="AU157" s="59">
        <f t="shared" si="280"/>
        <v>1.4999999999999999E-2</v>
      </c>
      <c r="AV157" s="48">
        <f t="shared" si="281"/>
        <v>33.865763328290406</v>
      </c>
      <c r="AW157" s="48">
        <f t="shared" si="282"/>
        <v>16251.016573328288</v>
      </c>
      <c r="AY157" s="56">
        <f t="shared" si="311"/>
        <v>130</v>
      </c>
      <c r="AZ157" s="48">
        <f t="shared" si="312"/>
        <v>13000</v>
      </c>
      <c r="BA157" s="48">
        <f t="shared" si="306"/>
        <v>13000</v>
      </c>
      <c r="BB157" s="48">
        <f t="shared" si="307"/>
        <v>16816.094894409176</v>
      </c>
      <c r="BC157" s="59">
        <f t="shared" si="283"/>
        <v>6.25E-2</v>
      </c>
      <c r="BD157" s="48">
        <f t="shared" si="284"/>
        <v>17429.18168743451</v>
      </c>
      <c r="BE157" s="48" t="str">
        <f t="shared" si="285"/>
        <v>nie</v>
      </c>
      <c r="BF157" s="48">
        <f t="shared" si="286"/>
        <v>91</v>
      </c>
      <c r="BG157" s="48">
        <f t="shared" si="315"/>
        <v>16513.927166821952</v>
      </c>
      <c r="BH157" s="48">
        <f t="shared" si="263"/>
        <v>0</v>
      </c>
      <c r="BI157" s="59">
        <f t="shared" si="287"/>
        <v>1.4999999999999999E-2</v>
      </c>
      <c r="BJ157" s="48">
        <f t="shared" si="288"/>
        <v>34.863719554333557</v>
      </c>
      <c r="BK157" s="48">
        <f t="shared" si="289"/>
        <v>16548.790886376286</v>
      </c>
      <c r="BL157" s="24"/>
      <c r="BM157" s="56">
        <f t="shared" si="313"/>
        <v>100</v>
      </c>
      <c r="BN157" s="48">
        <f t="shared" si="314"/>
        <v>10000</v>
      </c>
      <c r="BO157" s="48">
        <f t="shared" si="308"/>
        <v>10000</v>
      </c>
      <c r="BP157" s="48">
        <f t="shared" si="309"/>
        <v>19146.802145747468</v>
      </c>
      <c r="BQ157" s="59">
        <f t="shared" si="290"/>
        <v>6.5000000000000002E-2</v>
      </c>
      <c r="BR157" s="48">
        <f t="shared" si="291"/>
        <v>19872.78506044039</v>
      </c>
      <c r="BS157" s="48" t="str">
        <f t="shared" si="292"/>
        <v>nie</v>
      </c>
      <c r="BT157" s="48">
        <f t="shared" si="293"/>
        <v>200</v>
      </c>
      <c r="BU157" s="48">
        <f t="shared" si="294"/>
        <v>17834.955898956716</v>
      </c>
      <c r="BV157" s="48">
        <f t="shared" si="264"/>
        <v>0</v>
      </c>
      <c r="BW157" s="59">
        <f t="shared" si="295"/>
        <v>1.4999999999999999E-2</v>
      </c>
      <c r="BX157" s="48">
        <f t="shared" si="296"/>
        <v>0</v>
      </c>
      <c r="BY157" s="48">
        <f t="shared" si="297"/>
        <v>17834.955898956716</v>
      </c>
    </row>
    <row r="158" spans="1:77" s="25" customFormat="1" ht="14">
      <c r="A158" s="24"/>
      <c r="B158" s="172"/>
      <c r="C158" s="66">
        <f t="shared" si="254"/>
        <v>124</v>
      </c>
      <c r="D158" s="48">
        <f t="shared" si="255"/>
        <v>13981.41836796503</v>
      </c>
      <c r="E158" s="48">
        <f t="shared" si="256"/>
        <v>15833.35556937697</v>
      </c>
      <c r="F158" s="48">
        <f t="shared" si="257"/>
        <v>15517.507047269766</v>
      </c>
      <c r="G158" s="49">
        <f t="shared" si="258"/>
        <v>16615.874287054758</v>
      </c>
      <c r="H158" s="49">
        <f t="shared" si="259"/>
        <v>11336.998448433364</v>
      </c>
      <c r="I158" s="48">
        <f t="shared" si="260"/>
        <v>16560.428705570659</v>
      </c>
      <c r="J158" s="24"/>
      <c r="K158" s="84"/>
      <c r="L158" s="64">
        <f t="shared" si="261"/>
        <v>124</v>
      </c>
      <c r="M158" s="51">
        <f t="shared" si="248"/>
        <v>0.39814183679650306</v>
      </c>
      <c r="N158" s="51">
        <f t="shared" si="249"/>
        <v>0.58333555693769701</v>
      </c>
      <c r="O158" s="51">
        <f t="shared" si="250"/>
        <v>0.55175070472697652</v>
      </c>
      <c r="P158" s="51">
        <f t="shared" si="251"/>
        <v>0.66158742870547571</v>
      </c>
      <c r="Q158" s="51">
        <f t="shared" si="252"/>
        <v>0.13369984484333641</v>
      </c>
      <c r="R158" s="51">
        <f t="shared" si="253"/>
        <v>0.656042870557066</v>
      </c>
      <c r="S158" s="24"/>
      <c r="T158" s="45">
        <f t="shared" si="298"/>
        <v>140</v>
      </c>
      <c r="U158" s="59">
        <f t="shared" si="247"/>
        <v>0.05</v>
      </c>
      <c r="V158" s="48">
        <f t="shared" si="265"/>
        <v>17673.506700535247</v>
      </c>
      <c r="W158" s="56">
        <f t="shared" si="299"/>
        <v>108</v>
      </c>
      <c r="X158" s="48">
        <f t="shared" si="300"/>
        <v>10789.2</v>
      </c>
      <c r="Y158" s="48">
        <f t="shared" si="310"/>
        <v>10800</v>
      </c>
      <c r="Z158" s="48">
        <f t="shared" si="301"/>
        <v>10800</v>
      </c>
      <c r="AA158" s="59">
        <f t="shared" si="266"/>
        <v>5.7500000000000002E-2</v>
      </c>
      <c r="AB158" s="48">
        <f t="shared" si="267"/>
        <v>11214</v>
      </c>
      <c r="AC158" s="48" t="str">
        <f t="shared" si="268"/>
        <v>nie</v>
      </c>
      <c r="AD158" s="48">
        <f t="shared" si="269"/>
        <v>75.599999999999994</v>
      </c>
      <c r="AE158" s="48">
        <f t="shared" si="270"/>
        <v>11074.103999999999</v>
      </c>
      <c r="AF158" s="48">
        <f t="shared" si="271"/>
        <v>0</v>
      </c>
      <c r="AG158" s="59">
        <f t="shared" si="272"/>
        <v>1.4999999999999999E-2</v>
      </c>
      <c r="AH158" s="48">
        <f t="shared" si="273"/>
        <v>3632.2780375944976</v>
      </c>
      <c r="AI158" s="48">
        <f t="shared" si="274"/>
        <v>14706.382037594496</v>
      </c>
      <c r="AJ158" s="24"/>
      <c r="AK158" s="56">
        <f t="shared" si="302"/>
        <v>158</v>
      </c>
      <c r="AL158" s="48">
        <f t="shared" si="303"/>
        <v>15784.2</v>
      </c>
      <c r="AM158" s="48">
        <f t="shared" si="304"/>
        <v>15800</v>
      </c>
      <c r="AN158" s="48">
        <f t="shared" si="305"/>
        <v>16068.599999999999</v>
      </c>
      <c r="AO158" s="59">
        <f t="shared" si="275"/>
        <v>6.0000000000000005E-2</v>
      </c>
      <c r="AP158" s="48">
        <f t="shared" si="276"/>
        <v>16711.343999999997</v>
      </c>
      <c r="AQ158" s="48" t="str">
        <f t="shared" si="277"/>
        <v>nie</v>
      </c>
      <c r="AR158" s="48">
        <f t="shared" si="278"/>
        <v>316</v>
      </c>
      <c r="AS158" s="48">
        <f t="shared" si="279"/>
        <v>16282.228639999998</v>
      </c>
      <c r="AT158" s="48">
        <f t="shared" si="262"/>
        <v>0</v>
      </c>
      <c r="AU158" s="59">
        <f t="shared" si="280"/>
        <v>1.4999999999999999E-2</v>
      </c>
      <c r="AV158" s="48">
        <f t="shared" si="281"/>
        <v>33.900052413660305</v>
      </c>
      <c r="AW158" s="48">
        <f t="shared" si="282"/>
        <v>16316.128692413658</v>
      </c>
      <c r="AY158" s="56">
        <f t="shared" si="311"/>
        <v>130</v>
      </c>
      <c r="AZ158" s="48">
        <f t="shared" si="312"/>
        <v>13000</v>
      </c>
      <c r="BA158" s="48">
        <f t="shared" si="306"/>
        <v>13000</v>
      </c>
      <c r="BB158" s="48">
        <f t="shared" si="307"/>
        <v>16816.094894409176</v>
      </c>
      <c r="BC158" s="59">
        <f t="shared" si="283"/>
        <v>6.25E-2</v>
      </c>
      <c r="BD158" s="48">
        <f t="shared" si="284"/>
        <v>17516.76551500956</v>
      </c>
      <c r="BE158" s="48" t="str">
        <f t="shared" si="285"/>
        <v>nie</v>
      </c>
      <c r="BF158" s="48">
        <f t="shared" si="286"/>
        <v>91</v>
      </c>
      <c r="BG158" s="48">
        <f t="shared" si="315"/>
        <v>16584.870067157743</v>
      </c>
      <c r="BH158" s="48">
        <f t="shared" si="263"/>
        <v>0</v>
      </c>
      <c r="BI158" s="59">
        <f t="shared" si="287"/>
        <v>1.4999999999999999E-2</v>
      </c>
      <c r="BJ158" s="48">
        <f t="shared" si="288"/>
        <v>34.899019070382323</v>
      </c>
      <c r="BK158" s="48">
        <f t="shared" si="289"/>
        <v>16619.769086228123</v>
      </c>
      <c r="BL158" s="24"/>
      <c r="BM158" s="56">
        <f t="shared" si="313"/>
        <v>100</v>
      </c>
      <c r="BN158" s="48">
        <f t="shared" si="314"/>
        <v>10000</v>
      </c>
      <c r="BO158" s="48">
        <f t="shared" si="308"/>
        <v>10000</v>
      </c>
      <c r="BP158" s="48">
        <f t="shared" si="309"/>
        <v>19146.802145747468</v>
      </c>
      <c r="BQ158" s="59">
        <f t="shared" si="290"/>
        <v>6.5000000000000002E-2</v>
      </c>
      <c r="BR158" s="48">
        <f t="shared" si="291"/>
        <v>19976.496905396529</v>
      </c>
      <c r="BS158" s="48" t="str">
        <f t="shared" si="292"/>
        <v>nie</v>
      </c>
      <c r="BT158" s="48">
        <f t="shared" si="293"/>
        <v>200</v>
      </c>
      <c r="BU158" s="48">
        <f t="shared" si="294"/>
        <v>17918.962493371189</v>
      </c>
      <c r="BV158" s="48">
        <f t="shared" si="264"/>
        <v>0</v>
      </c>
      <c r="BW158" s="59">
        <f t="shared" si="295"/>
        <v>1.4999999999999999E-2</v>
      </c>
      <c r="BX158" s="48">
        <f t="shared" si="296"/>
        <v>0</v>
      </c>
      <c r="BY158" s="48">
        <f t="shared" si="297"/>
        <v>17918.962493371189</v>
      </c>
    </row>
    <row r="159" spans="1:77" s="25" customFormat="1" ht="14">
      <c r="A159" s="24"/>
      <c r="B159" s="172"/>
      <c r="C159" s="66">
        <f t="shared" si="254"/>
        <v>125</v>
      </c>
      <c r="D159" s="48">
        <f t="shared" si="255"/>
        <v>14026.449289637592</v>
      </c>
      <c r="E159" s="48">
        <f t="shared" si="256"/>
        <v>15833.389341890965</v>
      </c>
      <c r="F159" s="48">
        <f t="shared" si="257"/>
        <v>15584.311603543447</v>
      </c>
      <c r="G159" s="49">
        <f t="shared" si="258"/>
        <v>16694.753718429842</v>
      </c>
      <c r="H159" s="49">
        <f t="shared" si="259"/>
        <v>11348.477159362403</v>
      </c>
      <c r="I159" s="48">
        <f t="shared" si="260"/>
        <v>16628.299315019718</v>
      </c>
      <c r="J159" s="24"/>
      <c r="K159" s="84"/>
      <c r="L159" s="64">
        <f t="shared" si="261"/>
        <v>125</v>
      </c>
      <c r="M159" s="51">
        <f t="shared" si="248"/>
        <v>0.40264492896375925</v>
      </c>
      <c r="N159" s="51">
        <f t="shared" si="249"/>
        <v>0.58333893418909644</v>
      </c>
      <c r="O159" s="51">
        <f t="shared" si="250"/>
        <v>0.55843116035434459</v>
      </c>
      <c r="P159" s="51">
        <f t="shared" si="251"/>
        <v>0.66947537184298422</v>
      </c>
      <c r="Q159" s="51">
        <f t="shared" si="252"/>
        <v>0.13484771593624023</v>
      </c>
      <c r="R159" s="51">
        <f t="shared" si="253"/>
        <v>0.66282993150197189</v>
      </c>
      <c r="S159" s="24"/>
      <c r="T159" s="45">
        <f t="shared" si="298"/>
        <v>141</v>
      </c>
      <c r="U159" s="59">
        <f t="shared" ref="U159:U162" si="316">MAX(INDEX(scenariusz_I_inflacja,MATCH(ROUNDUP(T159/12,0)-1,scenariusz_I_rok,0)),0)</f>
        <v>0.05</v>
      </c>
      <c r="V159" s="48">
        <f t="shared" si="265"/>
        <v>17744.77084045676</v>
      </c>
      <c r="W159" s="56">
        <f t="shared" si="299"/>
        <v>108</v>
      </c>
      <c r="X159" s="48">
        <f t="shared" si="300"/>
        <v>10789.2</v>
      </c>
      <c r="Y159" s="48">
        <f t="shared" si="310"/>
        <v>10800</v>
      </c>
      <c r="Z159" s="48">
        <f t="shared" si="301"/>
        <v>10800</v>
      </c>
      <c r="AA159" s="59">
        <f t="shared" si="266"/>
        <v>5.7500000000000002E-2</v>
      </c>
      <c r="AB159" s="48">
        <f t="shared" si="267"/>
        <v>11265.75</v>
      </c>
      <c r="AC159" s="48" t="str">
        <f t="shared" si="268"/>
        <v>nie</v>
      </c>
      <c r="AD159" s="48">
        <f t="shared" si="269"/>
        <v>75.599999999999994</v>
      </c>
      <c r="AE159" s="48">
        <f t="shared" si="270"/>
        <v>11116.021499999999</v>
      </c>
      <c r="AF159" s="48">
        <f t="shared" si="271"/>
        <v>0</v>
      </c>
      <c r="AG159" s="59">
        <f t="shared" si="272"/>
        <v>1.4999999999999999E-2</v>
      </c>
      <c r="AH159" s="48">
        <f t="shared" si="273"/>
        <v>3635.9557191075623</v>
      </c>
      <c r="AI159" s="48">
        <f t="shared" si="274"/>
        <v>14751.977219107561</v>
      </c>
      <c r="AJ159" s="24"/>
      <c r="AK159" s="56">
        <f t="shared" si="302"/>
        <v>158</v>
      </c>
      <c r="AL159" s="48">
        <f t="shared" si="303"/>
        <v>15784.2</v>
      </c>
      <c r="AM159" s="48">
        <f t="shared" si="304"/>
        <v>15800</v>
      </c>
      <c r="AN159" s="48">
        <f t="shared" si="305"/>
        <v>16068.599999999999</v>
      </c>
      <c r="AO159" s="59">
        <f t="shared" si="275"/>
        <v>6.0000000000000005E-2</v>
      </c>
      <c r="AP159" s="48">
        <f t="shared" si="276"/>
        <v>16791.686999999998</v>
      </c>
      <c r="AQ159" s="48" t="str">
        <f t="shared" si="277"/>
        <v>nie</v>
      </c>
      <c r="AR159" s="48">
        <f t="shared" si="278"/>
        <v>316</v>
      </c>
      <c r="AS159" s="48">
        <f t="shared" si="279"/>
        <v>16347.306469999998</v>
      </c>
      <c r="AT159" s="48">
        <f t="shared" si="262"/>
        <v>0</v>
      </c>
      <c r="AU159" s="59">
        <f t="shared" si="280"/>
        <v>1.4999999999999999E-2</v>
      </c>
      <c r="AV159" s="48">
        <f t="shared" si="281"/>
        <v>33.934376216729142</v>
      </c>
      <c r="AW159" s="48">
        <f t="shared" si="282"/>
        <v>16381.240846216728</v>
      </c>
      <c r="AY159" s="56">
        <f t="shared" si="311"/>
        <v>130</v>
      </c>
      <c r="AZ159" s="48">
        <f t="shared" si="312"/>
        <v>13000</v>
      </c>
      <c r="BA159" s="48">
        <f t="shared" si="306"/>
        <v>13000</v>
      </c>
      <c r="BB159" s="48">
        <f t="shared" si="307"/>
        <v>16816.094894409176</v>
      </c>
      <c r="BC159" s="59">
        <f t="shared" si="283"/>
        <v>6.25E-2</v>
      </c>
      <c r="BD159" s="48">
        <f t="shared" si="284"/>
        <v>17604.349342584606</v>
      </c>
      <c r="BE159" s="48" t="str">
        <f t="shared" si="285"/>
        <v>nie</v>
      </c>
      <c r="BF159" s="48">
        <f t="shared" si="286"/>
        <v>91</v>
      </c>
      <c r="BG159" s="48">
        <f t="shared" si="315"/>
        <v>16655.81296749353</v>
      </c>
      <c r="BH159" s="48">
        <f t="shared" si="263"/>
        <v>0</v>
      </c>
      <c r="BI159" s="59">
        <f t="shared" si="287"/>
        <v>1.4999999999999999E-2</v>
      </c>
      <c r="BJ159" s="48">
        <f t="shared" si="288"/>
        <v>34.934354327191087</v>
      </c>
      <c r="BK159" s="48">
        <f t="shared" si="289"/>
        <v>16690.74732182072</v>
      </c>
      <c r="BL159" s="24"/>
      <c r="BM159" s="56">
        <f t="shared" si="313"/>
        <v>100</v>
      </c>
      <c r="BN159" s="48">
        <f t="shared" si="314"/>
        <v>10000</v>
      </c>
      <c r="BO159" s="48">
        <f t="shared" si="308"/>
        <v>10000</v>
      </c>
      <c r="BP159" s="48">
        <f t="shared" si="309"/>
        <v>19146.802145747468</v>
      </c>
      <c r="BQ159" s="59">
        <f t="shared" si="290"/>
        <v>6.5000000000000002E-2</v>
      </c>
      <c r="BR159" s="48">
        <f t="shared" si="291"/>
        <v>20080.20875035266</v>
      </c>
      <c r="BS159" s="48" t="str">
        <f t="shared" si="292"/>
        <v>nie</v>
      </c>
      <c r="BT159" s="48">
        <f t="shared" si="293"/>
        <v>200</v>
      </c>
      <c r="BU159" s="48">
        <f t="shared" si="294"/>
        <v>18002.969087785656</v>
      </c>
      <c r="BV159" s="48">
        <f t="shared" si="264"/>
        <v>0</v>
      </c>
      <c r="BW159" s="59">
        <f t="shared" si="295"/>
        <v>1.4999999999999999E-2</v>
      </c>
      <c r="BX159" s="48">
        <f t="shared" si="296"/>
        <v>0</v>
      </c>
      <c r="BY159" s="48">
        <f t="shared" si="297"/>
        <v>18002.969087785656</v>
      </c>
    </row>
    <row r="160" spans="1:77" s="25" customFormat="1" ht="14">
      <c r="A160" s="24"/>
      <c r="B160" s="172"/>
      <c r="C160" s="66">
        <f t="shared" si="254"/>
        <v>126</v>
      </c>
      <c r="D160" s="48">
        <f t="shared" si="255"/>
        <v>14071.483363649602</v>
      </c>
      <c r="E160" s="48">
        <f t="shared" si="256"/>
        <v>15833.423148599628</v>
      </c>
      <c r="F160" s="48">
        <f t="shared" si="257"/>
        <v>15651.116195019446</v>
      </c>
      <c r="G160" s="49">
        <f t="shared" si="258"/>
        <v>16773.633149804929</v>
      </c>
      <c r="H160" s="49">
        <f t="shared" si="259"/>
        <v>11359.967492486257</v>
      </c>
      <c r="I160" s="48">
        <f t="shared" si="260"/>
        <v>16696.169924468777</v>
      </c>
      <c r="J160" s="24"/>
      <c r="K160" s="84"/>
      <c r="L160" s="64">
        <f t="shared" si="261"/>
        <v>126</v>
      </c>
      <c r="M160" s="51">
        <f t="shared" si="248"/>
        <v>0.40714833636496017</v>
      </c>
      <c r="N160" s="51">
        <f t="shared" si="249"/>
        <v>0.5833423148599628</v>
      </c>
      <c r="O160" s="51">
        <f t="shared" si="250"/>
        <v>0.56511161950194455</v>
      </c>
      <c r="P160" s="51">
        <f t="shared" si="251"/>
        <v>0.67736331498049296</v>
      </c>
      <c r="Q160" s="51">
        <f t="shared" si="252"/>
        <v>0.13599674924862581</v>
      </c>
      <c r="R160" s="51">
        <f t="shared" si="253"/>
        <v>0.66961699244687778</v>
      </c>
      <c r="S160" s="24"/>
      <c r="T160" s="45">
        <f t="shared" si="298"/>
        <v>142</v>
      </c>
      <c r="U160" s="59">
        <f t="shared" si="316"/>
        <v>0.05</v>
      </c>
      <c r="V160" s="48">
        <f t="shared" si="265"/>
        <v>17816.034980378274</v>
      </c>
      <c r="W160" s="56">
        <f t="shared" si="299"/>
        <v>108</v>
      </c>
      <c r="X160" s="48">
        <f t="shared" si="300"/>
        <v>10789.2</v>
      </c>
      <c r="Y160" s="48">
        <f t="shared" si="310"/>
        <v>10800</v>
      </c>
      <c r="Z160" s="48">
        <f t="shared" si="301"/>
        <v>10800</v>
      </c>
      <c r="AA160" s="59">
        <f t="shared" si="266"/>
        <v>5.7500000000000002E-2</v>
      </c>
      <c r="AB160" s="48">
        <f t="shared" si="267"/>
        <v>11317.5</v>
      </c>
      <c r="AC160" s="48" t="str">
        <f t="shared" si="268"/>
        <v>nie</v>
      </c>
      <c r="AD160" s="48">
        <f t="shared" si="269"/>
        <v>75.599999999999994</v>
      </c>
      <c r="AE160" s="48">
        <f t="shared" si="270"/>
        <v>11157.939</v>
      </c>
      <c r="AF160" s="48">
        <f t="shared" si="271"/>
        <v>0</v>
      </c>
      <c r="AG160" s="59">
        <f t="shared" si="272"/>
        <v>1.4999999999999999E-2</v>
      </c>
      <c r="AH160" s="48">
        <f t="shared" si="273"/>
        <v>3639.6371242731589</v>
      </c>
      <c r="AI160" s="48">
        <f t="shared" si="274"/>
        <v>14797.576124273159</v>
      </c>
      <c r="AJ160" s="24"/>
      <c r="AK160" s="56">
        <f t="shared" si="302"/>
        <v>158</v>
      </c>
      <c r="AL160" s="48">
        <f t="shared" si="303"/>
        <v>15784.2</v>
      </c>
      <c r="AM160" s="48">
        <f t="shared" si="304"/>
        <v>15800</v>
      </c>
      <c r="AN160" s="48">
        <f t="shared" si="305"/>
        <v>16068.599999999999</v>
      </c>
      <c r="AO160" s="59">
        <f t="shared" si="275"/>
        <v>6.0000000000000005E-2</v>
      </c>
      <c r="AP160" s="48">
        <f t="shared" si="276"/>
        <v>16872.03</v>
      </c>
      <c r="AQ160" s="48" t="str">
        <f t="shared" si="277"/>
        <v>nie</v>
      </c>
      <c r="AR160" s="48">
        <f t="shared" si="278"/>
        <v>316</v>
      </c>
      <c r="AS160" s="48">
        <f t="shared" si="279"/>
        <v>16412.384299999998</v>
      </c>
      <c r="AT160" s="48">
        <f t="shared" si="262"/>
        <v>0</v>
      </c>
      <c r="AU160" s="59">
        <f t="shared" si="280"/>
        <v>1.4999999999999999E-2</v>
      </c>
      <c r="AV160" s="48">
        <f t="shared" si="281"/>
        <v>33.968734772648581</v>
      </c>
      <c r="AW160" s="48">
        <f t="shared" si="282"/>
        <v>16446.353034772648</v>
      </c>
      <c r="AY160" s="56">
        <f t="shared" si="311"/>
        <v>130</v>
      </c>
      <c r="AZ160" s="48">
        <f t="shared" si="312"/>
        <v>13000</v>
      </c>
      <c r="BA160" s="48">
        <f t="shared" si="306"/>
        <v>13000</v>
      </c>
      <c r="BB160" s="48">
        <f t="shared" si="307"/>
        <v>16816.094894409176</v>
      </c>
      <c r="BC160" s="59">
        <f t="shared" si="283"/>
        <v>6.25E-2</v>
      </c>
      <c r="BD160" s="48">
        <f t="shared" si="284"/>
        <v>17691.933170159653</v>
      </c>
      <c r="BE160" s="48" t="str">
        <f t="shared" si="285"/>
        <v>nie</v>
      </c>
      <c r="BF160" s="48">
        <f t="shared" si="286"/>
        <v>91</v>
      </c>
      <c r="BG160" s="48">
        <f t="shared" si="315"/>
        <v>16726.755867829317</v>
      </c>
      <c r="BH160" s="48">
        <f t="shared" si="263"/>
        <v>0</v>
      </c>
      <c r="BI160" s="59">
        <f t="shared" si="287"/>
        <v>1.4999999999999999E-2</v>
      </c>
      <c r="BJ160" s="48">
        <f t="shared" si="288"/>
        <v>34.969725360947372</v>
      </c>
      <c r="BK160" s="48">
        <f t="shared" si="289"/>
        <v>16761.725593190265</v>
      </c>
      <c r="BL160" s="24"/>
      <c r="BM160" s="56">
        <f t="shared" si="313"/>
        <v>100</v>
      </c>
      <c r="BN160" s="48">
        <f t="shared" si="314"/>
        <v>10000</v>
      </c>
      <c r="BO160" s="48">
        <f t="shared" si="308"/>
        <v>10000</v>
      </c>
      <c r="BP160" s="48">
        <f t="shared" si="309"/>
        <v>19146.802145747468</v>
      </c>
      <c r="BQ160" s="59">
        <f t="shared" si="290"/>
        <v>6.5000000000000002E-2</v>
      </c>
      <c r="BR160" s="48">
        <f t="shared" si="291"/>
        <v>20183.920595308791</v>
      </c>
      <c r="BS160" s="48" t="str">
        <f t="shared" si="292"/>
        <v>nie</v>
      </c>
      <c r="BT160" s="48">
        <f t="shared" si="293"/>
        <v>200</v>
      </c>
      <c r="BU160" s="48">
        <f t="shared" si="294"/>
        <v>18086.975682200122</v>
      </c>
      <c r="BV160" s="48">
        <f t="shared" si="264"/>
        <v>0</v>
      </c>
      <c r="BW160" s="59">
        <f t="shared" si="295"/>
        <v>1.4999999999999999E-2</v>
      </c>
      <c r="BX160" s="48">
        <f t="shared" si="296"/>
        <v>0</v>
      </c>
      <c r="BY160" s="48">
        <f t="shared" si="297"/>
        <v>18086.975682200122</v>
      </c>
    </row>
    <row r="161" spans="1:77" s="25" customFormat="1" ht="14">
      <c r="A161" s="24"/>
      <c r="B161" s="172"/>
      <c r="C161" s="66">
        <f t="shared" si="254"/>
        <v>127</v>
      </c>
      <c r="D161" s="48">
        <f t="shared" si="255"/>
        <v>14116.520593192796</v>
      </c>
      <c r="E161" s="48">
        <f t="shared" si="256"/>
        <v>15833.456989537586</v>
      </c>
      <c r="F161" s="48">
        <f t="shared" si="257"/>
        <v>15717.920821733403</v>
      </c>
      <c r="G161" s="49">
        <f t="shared" si="258"/>
        <v>16852.512581180014</v>
      </c>
      <c r="H161" s="49">
        <f t="shared" si="259"/>
        <v>11371.469459572401</v>
      </c>
      <c r="I161" s="48">
        <f t="shared" si="260"/>
        <v>16764.04053391784</v>
      </c>
      <c r="J161" s="24"/>
      <c r="K161" s="84"/>
      <c r="L161" s="64">
        <f t="shared" si="261"/>
        <v>127</v>
      </c>
      <c r="M161" s="51">
        <f t="shared" si="248"/>
        <v>0.41165205931927962</v>
      </c>
      <c r="N161" s="51">
        <f t="shared" si="249"/>
        <v>0.58334569895375865</v>
      </c>
      <c r="O161" s="51">
        <f t="shared" si="250"/>
        <v>0.57179208217334043</v>
      </c>
      <c r="P161" s="51">
        <f t="shared" si="251"/>
        <v>0.68525125811800125</v>
      </c>
      <c r="Q161" s="51">
        <f t="shared" si="252"/>
        <v>0.13714694595724009</v>
      </c>
      <c r="R161" s="51">
        <f t="shared" si="253"/>
        <v>0.67640405339178389</v>
      </c>
      <c r="S161" s="24"/>
      <c r="T161" s="45">
        <f t="shared" si="298"/>
        <v>143</v>
      </c>
      <c r="U161" s="59">
        <f t="shared" si="316"/>
        <v>0.05</v>
      </c>
      <c r="V161" s="48">
        <f t="shared" si="265"/>
        <v>17887.299120299787</v>
      </c>
      <c r="W161" s="56">
        <f t="shared" si="299"/>
        <v>108</v>
      </c>
      <c r="X161" s="48">
        <f t="shared" si="300"/>
        <v>10789.2</v>
      </c>
      <c r="Y161" s="48">
        <f t="shared" si="310"/>
        <v>10800</v>
      </c>
      <c r="Z161" s="48">
        <f t="shared" si="301"/>
        <v>10800</v>
      </c>
      <c r="AA161" s="59">
        <f t="shared" si="266"/>
        <v>5.7500000000000002E-2</v>
      </c>
      <c r="AB161" s="48">
        <f t="shared" si="267"/>
        <v>11369.25</v>
      </c>
      <c r="AC161" s="48" t="str">
        <f t="shared" si="268"/>
        <v>nie</v>
      </c>
      <c r="AD161" s="48">
        <f t="shared" si="269"/>
        <v>75.599999999999994</v>
      </c>
      <c r="AE161" s="48">
        <f t="shared" si="270"/>
        <v>11199.8565</v>
      </c>
      <c r="AF161" s="48">
        <f t="shared" si="271"/>
        <v>0</v>
      </c>
      <c r="AG161" s="59">
        <f t="shared" si="272"/>
        <v>1.4999999999999999E-2</v>
      </c>
      <c r="AH161" s="48">
        <f t="shared" si="273"/>
        <v>3643.3222568614856</v>
      </c>
      <c r="AI161" s="48">
        <f t="shared" si="274"/>
        <v>14843.178756861485</v>
      </c>
      <c r="AJ161" s="24"/>
      <c r="AK161" s="56">
        <f t="shared" si="302"/>
        <v>158</v>
      </c>
      <c r="AL161" s="48">
        <f t="shared" si="303"/>
        <v>15784.2</v>
      </c>
      <c r="AM161" s="48">
        <f t="shared" si="304"/>
        <v>15800</v>
      </c>
      <c r="AN161" s="48">
        <f t="shared" si="305"/>
        <v>16068.599999999999</v>
      </c>
      <c r="AO161" s="59">
        <f t="shared" si="275"/>
        <v>6.0000000000000005E-2</v>
      </c>
      <c r="AP161" s="48">
        <f t="shared" si="276"/>
        <v>16952.372999999996</v>
      </c>
      <c r="AQ161" s="48" t="str">
        <f t="shared" si="277"/>
        <v>nie</v>
      </c>
      <c r="AR161" s="48">
        <f t="shared" si="278"/>
        <v>316</v>
      </c>
      <c r="AS161" s="48">
        <f t="shared" si="279"/>
        <v>16477.462129999996</v>
      </c>
      <c r="AT161" s="48">
        <f t="shared" si="262"/>
        <v>0</v>
      </c>
      <c r="AU161" s="59">
        <f t="shared" si="280"/>
        <v>1.4999999999999999E-2</v>
      </c>
      <c r="AV161" s="48">
        <f t="shared" si="281"/>
        <v>34.003128116605893</v>
      </c>
      <c r="AW161" s="48">
        <f t="shared" si="282"/>
        <v>16511.465258116601</v>
      </c>
      <c r="AY161" s="56">
        <f t="shared" si="311"/>
        <v>130</v>
      </c>
      <c r="AZ161" s="48">
        <f t="shared" si="312"/>
        <v>13000</v>
      </c>
      <c r="BA161" s="48">
        <f t="shared" si="306"/>
        <v>13000</v>
      </c>
      <c r="BB161" s="48">
        <f t="shared" si="307"/>
        <v>16816.094894409176</v>
      </c>
      <c r="BC161" s="59">
        <f t="shared" si="283"/>
        <v>6.25E-2</v>
      </c>
      <c r="BD161" s="48">
        <f t="shared" si="284"/>
        <v>17779.516997734703</v>
      </c>
      <c r="BE161" s="48" t="str">
        <f t="shared" si="285"/>
        <v>nie</v>
      </c>
      <c r="BF161" s="48">
        <f t="shared" si="286"/>
        <v>91</v>
      </c>
      <c r="BG161" s="48">
        <f t="shared" si="315"/>
        <v>16797.698768165108</v>
      </c>
      <c r="BH161" s="48">
        <f t="shared" si="263"/>
        <v>0</v>
      </c>
      <c r="BI161" s="59">
        <f t="shared" si="287"/>
        <v>1.4999999999999999E-2</v>
      </c>
      <c r="BJ161" s="48">
        <f t="shared" si="288"/>
        <v>35.005132207875334</v>
      </c>
      <c r="BK161" s="48">
        <f t="shared" si="289"/>
        <v>16832.703900372984</v>
      </c>
      <c r="BL161" s="24"/>
      <c r="BM161" s="56">
        <f t="shared" si="313"/>
        <v>100</v>
      </c>
      <c r="BN161" s="48">
        <f t="shared" si="314"/>
        <v>10000</v>
      </c>
      <c r="BO161" s="48">
        <f t="shared" si="308"/>
        <v>10000</v>
      </c>
      <c r="BP161" s="48">
        <f t="shared" si="309"/>
        <v>19146.802145747468</v>
      </c>
      <c r="BQ161" s="59">
        <f t="shared" si="290"/>
        <v>6.5000000000000002E-2</v>
      </c>
      <c r="BR161" s="48">
        <f t="shared" si="291"/>
        <v>20287.632440264922</v>
      </c>
      <c r="BS161" s="48" t="str">
        <f t="shared" si="292"/>
        <v>nie</v>
      </c>
      <c r="BT161" s="48">
        <f t="shared" si="293"/>
        <v>200</v>
      </c>
      <c r="BU161" s="48">
        <f t="shared" si="294"/>
        <v>18170.982276614588</v>
      </c>
      <c r="BV161" s="48">
        <f t="shared" si="264"/>
        <v>0</v>
      </c>
      <c r="BW161" s="59">
        <f t="shared" si="295"/>
        <v>1.4999999999999999E-2</v>
      </c>
      <c r="BX161" s="48">
        <f t="shared" si="296"/>
        <v>0</v>
      </c>
      <c r="BY161" s="48">
        <f t="shared" si="297"/>
        <v>18170.982276614588</v>
      </c>
    </row>
    <row r="162" spans="1:77" s="25" customFormat="1" ht="14">
      <c r="A162" s="24"/>
      <c r="B162" s="172"/>
      <c r="C162" s="66">
        <f t="shared" si="254"/>
        <v>128</v>
      </c>
      <c r="D162" s="48">
        <f t="shared" si="255"/>
        <v>14161.560981462155</v>
      </c>
      <c r="E162" s="48">
        <f t="shared" si="256"/>
        <v>15833.490864739493</v>
      </c>
      <c r="F162" s="48">
        <f t="shared" si="257"/>
        <v>15784.725483721004</v>
      </c>
      <c r="G162" s="49">
        <f t="shared" si="258"/>
        <v>16931.392012555105</v>
      </c>
      <c r="H162" s="49">
        <f t="shared" si="259"/>
        <v>11382.983072400219</v>
      </c>
      <c r="I162" s="48">
        <f t="shared" si="260"/>
        <v>16831.911143366902</v>
      </c>
      <c r="J162" s="24"/>
      <c r="K162" s="84"/>
      <c r="L162" s="64">
        <f t="shared" si="261"/>
        <v>128</v>
      </c>
      <c r="M162" s="51">
        <f t="shared" ref="M162:M178" si="317">D162/zakup_domyslny_wartosc-1</f>
        <v>0.41615609814621557</v>
      </c>
      <c r="N162" s="51">
        <f t="shared" ref="N162:N178" si="318">E162/zakup_domyslny_wartosc-1</f>
        <v>0.58334908647394923</v>
      </c>
      <c r="O162" s="51">
        <f t="shared" ref="O162:O178" si="319">F162/zakup_domyslny_wartosc-1</f>
        <v>0.57847254837210049</v>
      </c>
      <c r="P162" s="51">
        <f t="shared" ref="P162:P178" si="320">G162/zakup_domyslny_wartosc-1</f>
        <v>0.69313920125551043</v>
      </c>
      <c r="Q162" s="51">
        <f t="shared" ref="Q162:Q178" si="321">H162/zakup_domyslny_wartosc-1</f>
        <v>0.1382983072400219</v>
      </c>
      <c r="R162" s="51">
        <f t="shared" ref="R162:R178" si="322">I162/zakup_domyslny_wartosc-1</f>
        <v>0.68319111433669022</v>
      </c>
      <c r="S162" s="24"/>
      <c r="T162" s="45">
        <f t="shared" si="298"/>
        <v>144</v>
      </c>
      <c r="U162" s="59">
        <f t="shared" si="316"/>
        <v>0.05</v>
      </c>
      <c r="V162" s="48">
        <f t="shared" si="265"/>
        <v>17958.563260221301</v>
      </c>
      <c r="W162" s="56">
        <f t="shared" si="299"/>
        <v>108</v>
      </c>
      <c r="X162" s="48">
        <f t="shared" si="300"/>
        <v>10789.2</v>
      </c>
      <c r="Y162" s="48">
        <f t="shared" si="310"/>
        <v>10800</v>
      </c>
      <c r="Z162" s="48">
        <f t="shared" si="301"/>
        <v>10800</v>
      </c>
      <c r="AA162" s="59">
        <f t="shared" si="266"/>
        <v>5.7500000000000002E-2</v>
      </c>
      <c r="AB162" s="48">
        <f t="shared" si="267"/>
        <v>11421.000000000002</v>
      </c>
      <c r="AC162" s="48" t="str">
        <f t="shared" si="268"/>
        <v>tak</v>
      </c>
      <c r="AD162" s="48">
        <f t="shared" si="269"/>
        <v>0</v>
      </c>
      <c r="AE162" s="48">
        <f t="shared" si="270"/>
        <v>11303.010000000002</v>
      </c>
      <c r="AF162" s="58"/>
      <c r="AG162" s="59">
        <f t="shared" si="272"/>
        <v>1.4999999999999999E-2</v>
      </c>
      <c r="AH162" s="48">
        <f t="shared" si="273"/>
        <v>3647.0111206465581</v>
      </c>
      <c r="AI162" s="48">
        <f t="shared" si="274"/>
        <v>14950.021120646561</v>
      </c>
      <c r="AJ162" s="24"/>
      <c r="AK162" s="56">
        <f t="shared" si="302"/>
        <v>158</v>
      </c>
      <c r="AL162" s="48">
        <f t="shared" si="303"/>
        <v>15784.2</v>
      </c>
      <c r="AM162" s="48">
        <f>IF(AQ161="tak",
AK162*100,
AM161)</f>
        <v>15800</v>
      </c>
      <c r="AN162" s="48">
        <f t="shared" si="305"/>
        <v>16068.599999999999</v>
      </c>
      <c r="AO162" s="59">
        <f t="shared" si="275"/>
        <v>6.0000000000000005E-2</v>
      </c>
      <c r="AP162" s="48">
        <f t="shared" si="276"/>
        <v>17032.716</v>
      </c>
      <c r="AQ162" s="48" t="str">
        <f t="shared" si="277"/>
        <v>nie</v>
      </c>
      <c r="AR162" s="48">
        <f t="shared" si="278"/>
        <v>316</v>
      </c>
      <c r="AS162" s="48">
        <f t="shared" si="279"/>
        <v>16542.539960000002</v>
      </c>
      <c r="AT162" s="48" t="e">
        <f>IF(AND(AQ162="tak",#REF!&lt;&gt;""),
 AS162-#REF!,
0)</f>
        <v>#REF!</v>
      </c>
      <c r="AU162" s="59">
        <f t="shared" si="280"/>
        <v>1.4999999999999999E-2</v>
      </c>
      <c r="AV162" s="48" t="e">
        <f t="shared" si="281"/>
        <v>#REF!</v>
      </c>
      <c r="AW162" s="48">
        <f t="shared" si="282"/>
        <v>16576.577516283825</v>
      </c>
      <c r="AY162" s="56">
        <f t="shared" si="311"/>
        <v>130</v>
      </c>
      <c r="AZ162" s="48">
        <f t="shared" si="312"/>
        <v>13000</v>
      </c>
      <c r="BA162" s="48">
        <f t="shared" si="306"/>
        <v>13000</v>
      </c>
      <c r="BB162" s="48">
        <f t="shared" si="307"/>
        <v>16816.094894409176</v>
      </c>
      <c r="BC162" s="59">
        <f t="shared" si="283"/>
        <v>6.25E-2</v>
      </c>
      <c r="BD162" s="48">
        <f t="shared" si="284"/>
        <v>17867.10082530975</v>
      </c>
      <c r="BE162" s="48" t="str">
        <f t="shared" si="285"/>
        <v>tak</v>
      </c>
      <c r="BF162" s="48">
        <f t="shared" si="286"/>
        <v>0</v>
      </c>
      <c r="BG162" s="48">
        <f t="shared" si="315"/>
        <v>16942.351668500898</v>
      </c>
      <c r="BH162" s="48" t="e">
        <f>IF(AND(BE162="tak",#REF!&lt;&gt;""),
 BG162-#REF!,
0)</f>
        <v>#REF!</v>
      </c>
      <c r="BI162" s="59">
        <f t="shared" si="287"/>
        <v>1.4999999999999999E-2</v>
      </c>
      <c r="BJ162" s="48" t="e">
        <f t="shared" si="288"/>
        <v>#REF!</v>
      </c>
      <c r="BK162" s="48">
        <f t="shared" si="289"/>
        <v>16977.392243405135</v>
      </c>
      <c r="BL162" s="24"/>
      <c r="BM162" s="56">
        <f t="shared" si="313"/>
        <v>100</v>
      </c>
      <c r="BN162" s="48">
        <f t="shared" si="314"/>
        <v>10000</v>
      </c>
      <c r="BO162" s="48">
        <f t="shared" si="308"/>
        <v>10000</v>
      </c>
      <c r="BP162" s="48">
        <f t="shared" si="309"/>
        <v>19146.802145747468</v>
      </c>
      <c r="BQ162" s="59">
        <f t="shared" si="290"/>
        <v>6.5000000000000002E-2</v>
      </c>
      <c r="BR162" s="48">
        <f t="shared" si="291"/>
        <v>20391.344285221054</v>
      </c>
      <c r="BS162" s="48" t="str">
        <f t="shared" si="292"/>
        <v>tak</v>
      </c>
      <c r="BT162" s="48">
        <f t="shared" si="293"/>
        <v>0</v>
      </c>
      <c r="BU162" s="48">
        <f t="shared" si="294"/>
        <v>18416.988871029054</v>
      </c>
      <c r="BV162" s="48" t="e">
        <f>IF(AND(BS162="tak",#REF!&lt;&gt;""),
 BU162-#REF!,
0)</f>
        <v>#REF!</v>
      </c>
      <c r="BW162" s="59">
        <f t="shared" si="295"/>
        <v>1.4999999999999999E-2</v>
      </c>
      <c r="BX162" s="48" t="e">
        <f t="shared" si="296"/>
        <v>#REF!</v>
      </c>
      <c r="BY162" s="48">
        <f t="shared" si="297"/>
        <v>18416.988871029054</v>
      </c>
    </row>
    <row r="163" spans="1:77" s="25" customFormat="1" ht="14">
      <c r="A163" s="24"/>
      <c r="B163" s="172"/>
      <c r="C163" s="66">
        <f t="shared" ref="C163:C178" si="323">T147</f>
        <v>129</v>
      </c>
      <c r="D163" s="48">
        <f t="shared" ref="D163:D178" si="324">AI147</f>
        <v>14206.604531655885</v>
      </c>
      <c r="E163" s="48">
        <f t="shared" ref="E163:E178" si="325">AW147</f>
        <v>15833.524774240041</v>
      </c>
      <c r="F163" s="48">
        <f t="shared" ref="F163:F178" si="326">BK147</f>
        <v>15851.530181017955</v>
      </c>
      <c r="G163" s="49">
        <f t="shared" ref="G163:G178" si="327">BY147</f>
        <v>17010.271443930189</v>
      </c>
      <c r="H163" s="49">
        <f t="shared" ref="H163:H178" si="328">FV(INDEX(scenariusz_I_konto,MATCH(ROUNDUP(C163/12,0),scenariusz_I_rok,0))/12*(1-podatek_Belki),1,0,-H162,1)</f>
        <v>11394.508342761024</v>
      </c>
      <c r="I163" s="48">
        <f t="shared" ref="I163:I178" si="329">V147</f>
        <v>16899.781752815961</v>
      </c>
      <c r="J163" s="24"/>
      <c r="K163" s="84"/>
      <c r="L163" s="64">
        <f t="shared" ref="L163:L178" si="330">C163</f>
        <v>129</v>
      </c>
      <c r="M163" s="51">
        <f t="shared" si="317"/>
        <v>0.42066045316558842</v>
      </c>
      <c r="N163" s="51">
        <f t="shared" si="318"/>
        <v>0.58335247742400398</v>
      </c>
      <c r="O163" s="51">
        <f t="shared" si="319"/>
        <v>0.58515301810179543</v>
      </c>
      <c r="P163" s="51">
        <f t="shared" si="320"/>
        <v>0.70102714439301894</v>
      </c>
      <c r="Q163" s="51">
        <f t="shared" si="321"/>
        <v>0.1394508342761025</v>
      </c>
      <c r="R163" s="51">
        <f t="shared" si="322"/>
        <v>0.68997817528159611</v>
      </c>
      <c r="S163" s="24"/>
      <c r="AJ163" s="24"/>
      <c r="BL163" s="24"/>
    </row>
    <row r="164" spans="1:77" s="25" customFormat="1" ht="14">
      <c r="A164" s="24"/>
      <c r="B164" s="172"/>
      <c r="C164" s="66">
        <f t="shared" si="323"/>
        <v>130</v>
      </c>
      <c r="D164" s="48">
        <f t="shared" si="324"/>
        <v>14251.651246975438</v>
      </c>
      <c r="E164" s="48">
        <f t="shared" si="325"/>
        <v>15833.558718073959</v>
      </c>
      <c r="F164" s="48">
        <f t="shared" si="326"/>
        <v>15918.334913660015</v>
      </c>
      <c r="G164" s="49">
        <f t="shared" si="327"/>
        <v>17089.150875305277</v>
      </c>
      <c r="H164" s="49">
        <f t="shared" si="328"/>
        <v>11406.045282458072</v>
      </c>
      <c r="I164" s="48">
        <f t="shared" si="329"/>
        <v>16967.65236226502</v>
      </c>
      <c r="J164" s="24"/>
      <c r="K164" s="84"/>
      <c r="L164" s="64">
        <f t="shared" si="330"/>
        <v>130</v>
      </c>
      <c r="M164" s="51">
        <f t="shared" si="317"/>
        <v>0.42516512469754386</v>
      </c>
      <c r="N164" s="51">
        <f t="shared" si="318"/>
        <v>0.5833558718073959</v>
      </c>
      <c r="O164" s="51">
        <f t="shared" si="319"/>
        <v>0.5918334913660015</v>
      </c>
      <c r="P164" s="51">
        <f t="shared" si="320"/>
        <v>0.70891508753052768</v>
      </c>
      <c r="Q164" s="51">
        <f t="shared" si="321"/>
        <v>0.14060452824580727</v>
      </c>
      <c r="R164" s="51">
        <f t="shared" si="322"/>
        <v>0.69676523622650199</v>
      </c>
      <c r="S164" s="24"/>
      <c r="AJ164" s="24"/>
      <c r="BL164" s="24"/>
    </row>
    <row r="165" spans="1:77" s="25" customFormat="1" ht="14" customHeight="1">
      <c r="A165" s="24"/>
      <c r="B165" s="172"/>
      <c r="C165" s="66">
        <f t="shared" si="323"/>
        <v>131</v>
      </c>
      <c r="D165" s="48">
        <f t="shared" si="324"/>
        <v>14296.701130625501</v>
      </c>
      <c r="E165" s="48">
        <f t="shared" si="325"/>
        <v>15833.59269627601</v>
      </c>
      <c r="F165" s="48">
        <f t="shared" si="326"/>
        <v>15985.139681682967</v>
      </c>
      <c r="G165" s="49">
        <f t="shared" si="327"/>
        <v>17168.030306680364</v>
      </c>
      <c r="H165" s="49">
        <f t="shared" si="328"/>
        <v>11417.593903306561</v>
      </c>
      <c r="I165" s="48">
        <f t="shared" si="329"/>
        <v>17035.522971714083</v>
      </c>
      <c r="J165" s="24"/>
      <c r="K165" s="84"/>
      <c r="L165" s="64">
        <f t="shared" si="330"/>
        <v>131</v>
      </c>
      <c r="M165" s="51">
        <f t="shared" si="317"/>
        <v>0.42967011306254999</v>
      </c>
      <c r="N165" s="51">
        <f t="shared" si="318"/>
        <v>0.58335926962760087</v>
      </c>
      <c r="O165" s="51">
        <f t="shared" si="319"/>
        <v>0.59851396816829672</v>
      </c>
      <c r="P165" s="51">
        <f t="shared" si="320"/>
        <v>0.71680303066803641</v>
      </c>
      <c r="Q165" s="51">
        <f t="shared" si="321"/>
        <v>0.14175939033065599</v>
      </c>
      <c r="R165" s="51">
        <f t="shared" si="322"/>
        <v>0.70355229717140833</v>
      </c>
      <c r="S165" s="24"/>
      <c r="AJ165" s="24"/>
      <c r="BL165" s="24"/>
    </row>
    <row r="166" spans="1:77" s="25" customFormat="1" ht="14">
      <c r="A166" s="24"/>
      <c r="B166" s="173"/>
      <c r="C166" s="66">
        <f t="shared" si="323"/>
        <v>132</v>
      </c>
      <c r="D166" s="48">
        <f t="shared" si="324"/>
        <v>14341.75418581401</v>
      </c>
      <c r="E166" s="48">
        <f t="shared" si="325"/>
        <v>15833.626708880989</v>
      </c>
      <c r="F166" s="48">
        <f t="shared" si="326"/>
        <v>16051.944485122631</v>
      </c>
      <c r="G166" s="49">
        <f t="shared" si="327"/>
        <v>17246.909738055449</v>
      </c>
      <c r="H166" s="49">
        <f t="shared" si="328"/>
        <v>11429.154217133659</v>
      </c>
      <c r="I166" s="48">
        <f t="shared" si="329"/>
        <v>17103.393581163142</v>
      </c>
      <c r="J166" s="24"/>
      <c r="K166" s="84"/>
      <c r="L166" s="64">
        <f t="shared" si="330"/>
        <v>132</v>
      </c>
      <c r="M166" s="51">
        <f t="shared" si="317"/>
        <v>0.43417541858140107</v>
      </c>
      <c r="N166" s="51">
        <f t="shared" si="318"/>
        <v>0.58336267088809901</v>
      </c>
      <c r="O166" s="51">
        <f t="shared" si="319"/>
        <v>0.60519444851226312</v>
      </c>
      <c r="P166" s="51">
        <f t="shared" si="320"/>
        <v>0.72469097380554492</v>
      </c>
      <c r="Q166" s="51">
        <f t="shared" si="321"/>
        <v>0.14291542171336591</v>
      </c>
      <c r="R166" s="51">
        <f t="shared" si="322"/>
        <v>0.71033935811631421</v>
      </c>
      <c r="S166" s="24"/>
      <c r="AJ166" s="24"/>
      <c r="BL166" s="24"/>
    </row>
    <row r="167" spans="1:77" s="25" customFormat="1" ht="14">
      <c r="A167" s="24"/>
      <c r="B167" s="171">
        <f>ROUNDUP(C178/12,0)</f>
        <v>12</v>
      </c>
      <c r="C167" s="66">
        <f t="shared" si="323"/>
        <v>133</v>
      </c>
      <c r="D167" s="48">
        <f t="shared" si="324"/>
        <v>14387.319713377146</v>
      </c>
      <c r="E167" s="48">
        <f t="shared" si="325"/>
        <v>15860.344585923729</v>
      </c>
      <c r="F167" s="48">
        <f t="shared" si="326"/>
        <v>16122.922435799328</v>
      </c>
      <c r="G167" s="49">
        <f t="shared" si="327"/>
        <v>17330.916332469915</v>
      </c>
      <c r="H167" s="49">
        <f t="shared" si="328"/>
        <v>11440.726235778508</v>
      </c>
      <c r="I167" s="48">
        <f t="shared" si="329"/>
        <v>17174.657721084655</v>
      </c>
      <c r="J167" s="24"/>
      <c r="K167" s="84"/>
      <c r="L167" s="64">
        <f t="shared" si="330"/>
        <v>133</v>
      </c>
      <c r="M167" s="51">
        <f t="shared" si="317"/>
        <v>0.43873197133771469</v>
      </c>
      <c r="N167" s="51">
        <f t="shared" si="318"/>
        <v>0.58603445859237291</v>
      </c>
      <c r="O167" s="51">
        <f t="shared" si="319"/>
        <v>0.61229224357993273</v>
      </c>
      <c r="P167" s="51">
        <f t="shared" si="320"/>
        <v>0.73309163324699145</v>
      </c>
      <c r="Q167" s="51">
        <f t="shared" si="321"/>
        <v>0.14407262357785067</v>
      </c>
      <c r="R167" s="51">
        <f t="shared" si="322"/>
        <v>0.71746577210846563</v>
      </c>
      <c r="S167" s="24"/>
      <c r="AJ167" s="24"/>
      <c r="BL167" s="24"/>
    </row>
    <row r="168" spans="1:77" s="25" customFormat="1" ht="14">
      <c r="A168" s="24"/>
      <c r="B168" s="172"/>
      <c r="C168" s="66">
        <f t="shared" si="323"/>
        <v>134</v>
      </c>
      <c r="D168" s="48">
        <f t="shared" si="324"/>
        <v>14432.888934568193</v>
      </c>
      <c r="E168" s="48">
        <f t="shared" si="325"/>
        <v>15925.456497439101</v>
      </c>
      <c r="F168" s="48">
        <f t="shared" si="326"/>
        <v>16193.900421964498</v>
      </c>
      <c r="G168" s="49">
        <f t="shared" si="327"/>
        <v>17414.922926884381</v>
      </c>
      <c r="H168" s="49">
        <f t="shared" si="328"/>
        <v>11452.309971092234</v>
      </c>
      <c r="I168" s="48">
        <f t="shared" si="329"/>
        <v>17245.921861006169</v>
      </c>
      <c r="J168" s="24"/>
      <c r="K168" s="84"/>
      <c r="L168" s="64">
        <f t="shared" si="330"/>
        <v>134</v>
      </c>
      <c r="M168" s="51">
        <f t="shared" si="317"/>
        <v>0.44328889345681932</v>
      </c>
      <c r="N168" s="51">
        <f t="shared" si="318"/>
        <v>0.59254564974391011</v>
      </c>
      <c r="O168" s="51">
        <f t="shared" si="319"/>
        <v>0.61939004219644977</v>
      </c>
      <c r="P168" s="51">
        <f t="shared" si="320"/>
        <v>0.74149229268843819</v>
      </c>
      <c r="Q168" s="51">
        <f t="shared" si="321"/>
        <v>0.14523099710922338</v>
      </c>
      <c r="R168" s="51">
        <f t="shared" si="322"/>
        <v>0.72459218610061682</v>
      </c>
      <c r="S168" s="24"/>
      <c r="AJ168" s="24"/>
      <c r="BL168" s="24"/>
    </row>
    <row r="169" spans="1:77" s="25" customFormat="1" ht="14">
      <c r="A169" s="24"/>
      <c r="B169" s="172"/>
      <c r="C169" s="66">
        <f t="shared" si="323"/>
        <v>135</v>
      </c>
      <c r="D169" s="48">
        <f t="shared" si="324"/>
        <v>14478.461853126943</v>
      </c>
      <c r="E169" s="48">
        <f t="shared" si="325"/>
        <v>15990.568443462009</v>
      </c>
      <c r="F169" s="48">
        <f t="shared" si="326"/>
        <v>16264.878443654068</v>
      </c>
      <c r="G169" s="49">
        <f t="shared" si="327"/>
        <v>17498.929521298851</v>
      </c>
      <c r="H169" s="49">
        <f t="shared" si="328"/>
        <v>11463.905434937966</v>
      </c>
      <c r="I169" s="48">
        <f t="shared" si="329"/>
        <v>17317.186000927679</v>
      </c>
      <c r="J169" s="24"/>
      <c r="K169" s="84"/>
      <c r="L169" s="64">
        <f t="shared" si="330"/>
        <v>135</v>
      </c>
      <c r="M169" s="51">
        <f t="shared" si="317"/>
        <v>0.44784618531269427</v>
      </c>
      <c r="N169" s="51">
        <f t="shared" si="318"/>
        <v>0.59905684434620099</v>
      </c>
      <c r="O169" s="51">
        <f t="shared" si="319"/>
        <v>0.62648784436540672</v>
      </c>
      <c r="P169" s="51">
        <f t="shared" si="320"/>
        <v>0.74989295212988516</v>
      </c>
      <c r="Q169" s="51">
        <f t="shared" si="321"/>
        <v>0.14639054349379665</v>
      </c>
      <c r="R169" s="51">
        <f t="shared" si="322"/>
        <v>0.73171860009276779</v>
      </c>
      <c r="S169" s="24"/>
      <c r="AJ169" s="24"/>
      <c r="BL169" s="24"/>
    </row>
    <row r="170" spans="1:77" s="25" customFormat="1" ht="14">
      <c r="A170" s="24"/>
      <c r="B170" s="172"/>
      <c r="C170" s="66">
        <f t="shared" si="323"/>
        <v>136</v>
      </c>
      <c r="D170" s="48">
        <f t="shared" si="324"/>
        <v>14524.038472796987</v>
      </c>
      <c r="E170" s="48">
        <f t="shared" si="325"/>
        <v>16055.680424027389</v>
      </c>
      <c r="F170" s="48">
        <f t="shared" si="326"/>
        <v>16335.856500904007</v>
      </c>
      <c r="G170" s="49">
        <f t="shared" si="327"/>
        <v>17582.936115713317</v>
      </c>
      <c r="H170" s="49">
        <f t="shared" si="328"/>
        <v>11475.512639190842</v>
      </c>
      <c r="I170" s="48">
        <f t="shared" si="329"/>
        <v>17388.450140849192</v>
      </c>
      <c r="J170" s="24"/>
      <c r="K170" s="84"/>
      <c r="L170" s="64">
        <f t="shared" si="330"/>
        <v>136</v>
      </c>
      <c r="M170" s="51">
        <f t="shared" si="317"/>
        <v>0.45240384727969873</v>
      </c>
      <c r="N170" s="51">
        <f t="shared" si="318"/>
        <v>0.60556804240273876</v>
      </c>
      <c r="O170" s="51">
        <f t="shared" si="319"/>
        <v>0.63358565009040069</v>
      </c>
      <c r="P170" s="51">
        <f t="shared" si="320"/>
        <v>0.75829361157133168</v>
      </c>
      <c r="Q170" s="51">
        <f t="shared" si="321"/>
        <v>0.14755126391908413</v>
      </c>
      <c r="R170" s="51">
        <f t="shared" si="322"/>
        <v>0.7388450140849192</v>
      </c>
      <c r="S170" s="24"/>
      <c r="AJ170" s="24"/>
      <c r="BL170" s="24"/>
    </row>
    <row r="171" spans="1:77" s="25" customFormat="1" ht="14">
      <c r="A171" s="24"/>
      <c r="B171" s="172"/>
      <c r="C171" s="66">
        <f t="shared" si="323"/>
        <v>137</v>
      </c>
      <c r="D171" s="48">
        <f t="shared" si="324"/>
        <v>14569.618797325691</v>
      </c>
      <c r="E171" s="48">
        <f t="shared" si="325"/>
        <v>16120.792439170218</v>
      </c>
      <c r="F171" s="48">
        <f t="shared" si="326"/>
        <v>16406.834593750325</v>
      </c>
      <c r="G171" s="49">
        <f t="shared" si="327"/>
        <v>17666.942710127783</v>
      </c>
      <c r="H171" s="49">
        <f t="shared" si="328"/>
        <v>11487.131595738023</v>
      </c>
      <c r="I171" s="48">
        <f t="shared" si="329"/>
        <v>17459.714280770706</v>
      </c>
      <c r="J171" s="24"/>
      <c r="K171" s="84"/>
      <c r="L171" s="64">
        <f t="shared" si="330"/>
        <v>137</v>
      </c>
      <c r="M171" s="51">
        <f t="shared" si="317"/>
        <v>0.45696187973256919</v>
      </c>
      <c r="N171" s="51">
        <f t="shared" si="318"/>
        <v>0.61207924391702173</v>
      </c>
      <c r="O171" s="51">
        <f t="shared" si="319"/>
        <v>0.64068345937503257</v>
      </c>
      <c r="P171" s="51">
        <f t="shared" si="320"/>
        <v>0.76669427101277843</v>
      </c>
      <c r="Q171" s="51">
        <f t="shared" si="321"/>
        <v>0.14871315957380227</v>
      </c>
      <c r="R171" s="51">
        <f t="shared" si="322"/>
        <v>0.74597142807707062</v>
      </c>
      <c r="S171" s="24"/>
      <c r="AJ171" s="24"/>
      <c r="BL171" s="24"/>
    </row>
    <row r="172" spans="1:77" s="25" customFormat="1" ht="14">
      <c r="A172" s="24"/>
      <c r="B172" s="172"/>
      <c r="C172" s="66">
        <f t="shared" si="323"/>
        <v>138</v>
      </c>
      <c r="D172" s="48">
        <f t="shared" si="324"/>
        <v>14615.202830464235</v>
      </c>
      <c r="E172" s="48">
        <f t="shared" si="325"/>
        <v>16185.904488925502</v>
      </c>
      <c r="F172" s="48">
        <f t="shared" si="326"/>
        <v>16477.812722229057</v>
      </c>
      <c r="G172" s="49">
        <f t="shared" si="327"/>
        <v>17750.94930454225</v>
      </c>
      <c r="H172" s="49">
        <f t="shared" si="328"/>
        <v>11498.762316478709</v>
      </c>
      <c r="I172" s="48">
        <f t="shared" si="329"/>
        <v>17530.97842069222</v>
      </c>
      <c r="J172" s="24"/>
      <c r="K172" s="84"/>
      <c r="L172" s="64">
        <f t="shared" si="330"/>
        <v>138</v>
      </c>
      <c r="M172" s="51">
        <f t="shared" si="317"/>
        <v>0.46152028304642356</v>
      </c>
      <c r="N172" s="51">
        <f t="shared" si="318"/>
        <v>0.61859044889255022</v>
      </c>
      <c r="O172" s="51">
        <f t="shared" si="319"/>
        <v>0.64778127222290571</v>
      </c>
      <c r="P172" s="51">
        <f t="shared" si="320"/>
        <v>0.77509493045422495</v>
      </c>
      <c r="Q172" s="51">
        <f t="shared" si="321"/>
        <v>0.14987623164787101</v>
      </c>
      <c r="R172" s="51">
        <f t="shared" si="322"/>
        <v>0.75309784206922203</v>
      </c>
      <c r="S172" s="24"/>
      <c r="AJ172" s="24"/>
      <c r="BL172" s="24"/>
    </row>
    <row r="173" spans="1:77" s="25" customFormat="1" ht="14">
      <c r="A173" s="24"/>
      <c r="B173" s="172"/>
      <c r="C173" s="66">
        <f t="shared" si="323"/>
        <v>139</v>
      </c>
      <c r="D173" s="48">
        <f t="shared" si="324"/>
        <v>14660.790575967578</v>
      </c>
      <c r="E173" s="48">
        <f t="shared" si="325"/>
        <v>16251.016573328288</v>
      </c>
      <c r="F173" s="48">
        <f t="shared" si="326"/>
        <v>16548.790886376286</v>
      </c>
      <c r="G173" s="49">
        <f t="shared" si="327"/>
        <v>17834.955898956716</v>
      </c>
      <c r="H173" s="49">
        <f t="shared" si="328"/>
        <v>11510.404813324145</v>
      </c>
      <c r="I173" s="48">
        <f t="shared" si="329"/>
        <v>17602.242560613733</v>
      </c>
      <c r="J173" s="24"/>
      <c r="K173" s="84"/>
      <c r="L173" s="64">
        <f t="shared" si="330"/>
        <v>139</v>
      </c>
      <c r="M173" s="51">
        <f t="shared" si="317"/>
        <v>0.46607905759675772</v>
      </c>
      <c r="N173" s="51">
        <f t="shared" si="318"/>
        <v>0.62510165733282874</v>
      </c>
      <c r="O173" s="51">
        <f t="shared" si="319"/>
        <v>0.65487908863762856</v>
      </c>
      <c r="P173" s="51">
        <f t="shared" si="320"/>
        <v>0.78349558989567147</v>
      </c>
      <c r="Q173" s="51">
        <f t="shared" si="321"/>
        <v>0.15104048133241443</v>
      </c>
      <c r="R173" s="51">
        <f t="shared" si="322"/>
        <v>0.76022425606137323</v>
      </c>
      <c r="S173" s="24"/>
      <c r="AJ173" s="24"/>
      <c r="BL173" s="24"/>
    </row>
    <row r="174" spans="1:77" s="25" customFormat="1" ht="14">
      <c r="A174" s="24"/>
      <c r="B174" s="172"/>
      <c r="C174" s="66">
        <f t="shared" si="323"/>
        <v>140</v>
      </c>
      <c r="D174" s="48">
        <f t="shared" si="324"/>
        <v>14706.382037594496</v>
      </c>
      <c r="E174" s="48">
        <f t="shared" si="325"/>
        <v>16316.128692413658</v>
      </c>
      <c r="F174" s="48">
        <f t="shared" si="326"/>
        <v>16619.769086228123</v>
      </c>
      <c r="G174" s="49">
        <f t="shared" si="327"/>
        <v>17918.962493371189</v>
      </c>
      <c r="H174" s="49">
        <f t="shared" si="328"/>
        <v>11522.059098197637</v>
      </c>
      <c r="I174" s="48">
        <f t="shared" si="329"/>
        <v>17673.506700535247</v>
      </c>
      <c r="J174" s="24"/>
      <c r="K174" s="84"/>
      <c r="L174" s="64">
        <f t="shared" si="330"/>
        <v>140</v>
      </c>
      <c r="M174" s="51">
        <f t="shared" si="317"/>
        <v>0.47063820375944965</v>
      </c>
      <c r="N174" s="51">
        <f t="shared" si="318"/>
        <v>0.63161286924136584</v>
      </c>
      <c r="O174" s="51">
        <f t="shared" si="319"/>
        <v>0.66197690862281244</v>
      </c>
      <c r="P174" s="51">
        <f t="shared" si="320"/>
        <v>0.79189624933711888</v>
      </c>
      <c r="Q174" s="51">
        <f t="shared" si="321"/>
        <v>0.15220590981976367</v>
      </c>
      <c r="R174" s="51">
        <f t="shared" si="322"/>
        <v>0.76735067005352464</v>
      </c>
      <c r="S174" s="24"/>
      <c r="AJ174" s="24"/>
      <c r="BL174" s="24"/>
    </row>
    <row r="175" spans="1:77" s="25" customFormat="1" ht="14">
      <c r="A175" s="24"/>
      <c r="B175" s="172"/>
      <c r="C175" s="66">
        <f t="shared" si="323"/>
        <v>141</v>
      </c>
      <c r="D175" s="48">
        <f t="shared" si="324"/>
        <v>14751.977219107561</v>
      </c>
      <c r="E175" s="48">
        <f t="shared" si="325"/>
        <v>16381.240846216728</v>
      </c>
      <c r="F175" s="48">
        <f t="shared" si="326"/>
        <v>16690.74732182072</v>
      </c>
      <c r="G175" s="49">
        <f t="shared" si="327"/>
        <v>18002.969087785656</v>
      </c>
      <c r="H175" s="49">
        <f t="shared" si="328"/>
        <v>11533.725183034563</v>
      </c>
      <c r="I175" s="48">
        <f t="shared" si="329"/>
        <v>17744.77084045676</v>
      </c>
      <c r="J175" s="24"/>
      <c r="K175" s="84"/>
      <c r="L175" s="64">
        <f t="shared" si="330"/>
        <v>141</v>
      </c>
      <c r="M175" s="51">
        <f t="shared" si="317"/>
        <v>0.47519772191075615</v>
      </c>
      <c r="N175" s="51">
        <f t="shared" si="318"/>
        <v>0.63812408462167269</v>
      </c>
      <c r="O175" s="51">
        <f t="shared" si="319"/>
        <v>0.66907473218207203</v>
      </c>
      <c r="P175" s="51">
        <f t="shared" si="320"/>
        <v>0.80029690877856563</v>
      </c>
      <c r="Q175" s="51">
        <f t="shared" si="321"/>
        <v>0.15337251830345622</v>
      </c>
      <c r="R175" s="51">
        <f t="shared" si="322"/>
        <v>0.77447708404567606</v>
      </c>
      <c r="S175" s="24"/>
      <c r="AJ175" s="24"/>
      <c r="BL175" s="24"/>
    </row>
    <row r="176" spans="1:77" s="25" customFormat="1" ht="14">
      <c r="A176" s="24"/>
      <c r="B176" s="172"/>
      <c r="C176" s="66">
        <f t="shared" si="323"/>
        <v>142</v>
      </c>
      <c r="D176" s="48">
        <f t="shared" si="324"/>
        <v>14797.576124273159</v>
      </c>
      <c r="E176" s="48">
        <f t="shared" si="325"/>
        <v>16446.353034772648</v>
      </c>
      <c r="F176" s="48">
        <f t="shared" si="326"/>
        <v>16761.725593190265</v>
      </c>
      <c r="G176" s="49">
        <f t="shared" si="327"/>
        <v>18086.975682200122</v>
      </c>
      <c r="H176" s="49">
        <f t="shared" si="328"/>
        <v>11545.403079782387</v>
      </c>
      <c r="I176" s="48">
        <f t="shared" si="329"/>
        <v>17816.034980378274</v>
      </c>
      <c r="J176" s="24"/>
      <c r="K176" s="84"/>
      <c r="L176" s="64">
        <f t="shared" si="330"/>
        <v>142</v>
      </c>
      <c r="M176" s="51">
        <f t="shared" si="317"/>
        <v>0.47975761242731596</v>
      </c>
      <c r="N176" s="51">
        <f t="shared" si="318"/>
        <v>0.64463530347726472</v>
      </c>
      <c r="O176" s="51">
        <f t="shared" si="319"/>
        <v>0.67617255931902664</v>
      </c>
      <c r="P176" s="51">
        <f t="shared" si="320"/>
        <v>0.80869756822001215</v>
      </c>
      <c r="Q176" s="51">
        <f t="shared" si="321"/>
        <v>0.15454030797823881</v>
      </c>
      <c r="R176" s="51">
        <f t="shared" si="322"/>
        <v>0.78160349803782747</v>
      </c>
      <c r="S176" s="24"/>
      <c r="AJ176" s="24"/>
      <c r="BL176" s="24"/>
    </row>
    <row r="177" spans="1:64" s="25" customFormat="1" ht="14">
      <c r="A177" s="24"/>
      <c r="B177" s="172"/>
      <c r="C177" s="66">
        <f t="shared" si="323"/>
        <v>143</v>
      </c>
      <c r="D177" s="48">
        <f t="shared" si="324"/>
        <v>14843.178756861485</v>
      </c>
      <c r="E177" s="48">
        <f t="shared" si="325"/>
        <v>16511.465258116601</v>
      </c>
      <c r="F177" s="48">
        <f t="shared" si="326"/>
        <v>16832.703900372984</v>
      </c>
      <c r="G177" s="49">
        <f t="shared" si="327"/>
        <v>18170.982276614588</v>
      </c>
      <c r="H177" s="49">
        <f t="shared" si="328"/>
        <v>11557.092800400667</v>
      </c>
      <c r="I177" s="48">
        <f t="shared" si="329"/>
        <v>17887.299120299787</v>
      </c>
      <c r="J177" s="24"/>
      <c r="K177" s="84"/>
      <c r="L177" s="64">
        <f t="shared" si="330"/>
        <v>143</v>
      </c>
      <c r="M177" s="51">
        <f t="shared" si="317"/>
        <v>0.48431787568614859</v>
      </c>
      <c r="N177" s="51">
        <f t="shared" si="318"/>
        <v>0.65114652581165999</v>
      </c>
      <c r="O177" s="51">
        <f t="shared" si="319"/>
        <v>0.6832703900372985</v>
      </c>
      <c r="P177" s="51">
        <f t="shared" si="320"/>
        <v>0.8170982276614589</v>
      </c>
      <c r="Q177" s="51">
        <f t="shared" si="321"/>
        <v>0.15570928004006679</v>
      </c>
      <c r="R177" s="51">
        <f t="shared" si="322"/>
        <v>0.78872991202997866</v>
      </c>
      <c r="S177" s="24"/>
      <c r="AJ177" s="24"/>
      <c r="BL177" s="24"/>
    </row>
    <row r="178" spans="1:64">
      <c r="B178" s="173"/>
      <c r="C178" s="66">
        <f t="shared" si="323"/>
        <v>144</v>
      </c>
      <c r="D178" s="48">
        <f t="shared" si="324"/>
        <v>14950.021120646561</v>
      </c>
      <c r="E178" s="48">
        <f t="shared" si="325"/>
        <v>16576.577516283825</v>
      </c>
      <c r="F178" s="48">
        <f t="shared" si="326"/>
        <v>16977.392243405135</v>
      </c>
      <c r="G178" s="49">
        <f t="shared" si="327"/>
        <v>18416.988871029054</v>
      </c>
      <c r="H178" s="49">
        <f t="shared" si="328"/>
        <v>11568.794356861074</v>
      </c>
      <c r="I178" s="48">
        <f t="shared" si="329"/>
        <v>17958.563260221301</v>
      </c>
      <c r="K178" s="84"/>
      <c r="L178" s="64">
        <f t="shared" si="330"/>
        <v>144</v>
      </c>
      <c r="M178" s="51">
        <f t="shared" si="317"/>
        <v>0.49500211206465616</v>
      </c>
      <c r="N178" s="51">
        <f t="shared" si="318"/>
        <v>0.65765775162838258</v>
      </c>
      <c r="O178" s="51">
        <f t="shared" si="319"/>
        <v>0.69773922434051339</v>
      </c>
      <c r="P178" s="51">
        <f t="shared" si="320"/>
        <v>0.84169888710290541</v>
      </c>
      <c r="Q178" s="51">
        <f t="shared" si="321"/>
        <v>0.1568794356861074</v>
      </c>
      <c r="R178" s="51">
        <f t="shared" si="322"/>
        <v>0.79585632602213008</v>
      </c>
    </row>
    <row r="179" spans="1:64">
      <c r="C179" s="25"/>
      <c r="D179" s="25"/>
      <c r="E179" s="25"/>
      <c r="F179" s="25"/>
      <c r="G179" s="25"/>
      <c r="H179" s="25"/>
      <c r="I179" s="25"/>
      <c r="L179" s="25"/>
      <c r="M179" s="25"/>
      <c r="N179" s="25"/>
      <c r="O179" s="25"/>
      <c r="P179" s="25"/>
      <c r="Q179" s="25"/>
      <c r="R179" s="25"/>
    </row>
  </sheetData>
  <mergeCells count="16">
    <mergeCell ref="B155:B166"/>
    <mergeCell ref="B167:B178"/>
    <mergeCell ref="B95:B106"/>
    <mergeCell ref="B107:B118"/>
    <mergeCell ref="B119:B130"/>
    <mergeCell ref="B131:B142"/>
    <mergeCell ref="B143:B154"/>
    <mergeCell ref="B35:B46"/>
    <mergeCell ref="B47:B58"/>
    <mergeCell ref="B59:B70"/>
    <mergeCell ref="B71:B82"/>
    <mergeCell ref="B83:B94"/>
    <mergeCell ref="A28:A31"/>
    <mergeCell ref="L16:R16"/>
    <mergeCell ref="C16:I16"/>
    <mergeCell ref="B33:B34"/>
  </mergeCells>
  <conditionalFormatting sqref="K31">
    <cfRule type="colorScale" priority="6">
      <colorScale>
        <cfvo type="min"/>
        <cfvo type="percentile" val="3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errorTitle="Uwaga" error="Wpisz liczbę z przedziału od 1 do 144. _x000a__x000a_Dziękuję :)" sqref="C31" xr:uid="{F842CB76-D0DB-4726-8E85-DDBE36F8108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71AD-6959-4519-95F7-5957D204C079}">
  <dimension ref="A1:CL187"/>
  <sheetViews>
    <sheetView topLeftCell="BA1" zoomScale="60" zoomScaleNormal="60" workbookViewId="0">
      <selection activeCell="BO16" sqref="BO16:BO159"/>
    </sheetView>
  </sheetViews>
  <sheetFormatPr defaultRowHeight="14.5"/>
  <cols>
    <col min="1" max="1" width="9.26953125" style="106" customWidth="1"/>
    <col min="2" max="2" width="4.453125" style="106" customWidth="1"/>
    <col min="3" max="9" width="20.453125" customWidth="1"/>
    <col min="10" max="10" width="4.08984375" style="106" customWidth="1"/>
    <col min="11" max="18" width="20.453125" style="106" customWidth="1"/>
    <col min="19" max="19" width="8.1796875" bestFit="1" customWidth="1"/>
    <col min="20" max="20" width="15.453125" bestFit="1" customWidth="1"/>
    <col min="21" max="21" width="14.26953125" bestFit="1" customWidth="1"/>
    <col min="22" max="22" width="9" bestFit="1" customWidth="1"/>
    <col min="23" max="23" width="11" bestFit="1" customWidth="1"/>
    <col min="24" max="24" width="12.1796875" bestFit="1" customWidth="1"/>
    <col min="25" max="25" width="12.453125" bestFit="1" customWidth="1"/>
    <col min="26" max="26" width="10.81640625" bestFit="1" customWidth="1"/>
    <col min="27" max="27" width="12.1796875" bestFit="1" customWidth="1"/>
    <col min="28" max="29" width="12.7265625" bestFit="1" customWidth="1"/>
    <col min="30" max="35" width="12.7265625" customWidth="1"/>
    <col min="36" max="37" width="18.26953125" customWidth="1"/>
    <col min="38" max="39" width="12.7265625" customWidth="1"/>
    <col min="40" max="41" width="19.1796875" customWidth="1"/>
    <col min="42" max="42" width="20" customWidth="1"/>
    <col min="43" max="43" width="19.1796875" customWidth="1"/>
    <col min="44" max="44" width="20" customWidth="1"/>
    <col min="45" max="46" width="19.1796875" customWidth="1"/>
    <col min="47" max="47" width="13.54296875" bestFit="1" customWidth="1"/>
    <col min="48" max="48" width="11" bestFit="1" customWidth="1"/>
    <col min="49" max="49" width="19.1796875" customWidth="1"/>
    <col min="50" max="51" width="12.7265625" customWidth="1"/>
    <col min="52" max="52" width="14.7265625" bestFit="1" customWidth="1"/>
    <col min="53" max="53" width="19.1796875" customWidth="1"/>
    <col min="54" max="54" width="12.7265625" customWidth="1"/>
    <col min="55" max="55" width="14.7265625" bestFit="1" customWidth="1"/>
    <col min="56" max="56" width="8.7265625" style="106"/>
    <col min="57" max="57" width="9" bestFit="1" customWidth="1"/>
    <col min="58" max="58" width="11" bestFit="1" customWidth="1"/>
    <col min="59" max="59" width="12.1796875" bestFit="1" customWidth="1"/>
    <col min="60" max="60" width="12.453125" bestFit="1" customWidth="1"/>
    <col min="61" max="61" width="10.81640625" bestFit="1" customWidth="1"/>
    <col min="62" max="62" width="12.1796875" bestFit="1" customWidth="1"/>
    <col min="63" max="63" width="12.7265625" bestFit="1" customWidth="1"/>
    <col min="64" max="65" width="9.54296875" bestFit="1" customWidth="1"/>
    <col min="66" max="66" width="11.1796875" bestFit="1" customWidth="1"/>
    <col min="67" max="68" width="9.54296875" customWidth="1"/>
    <col min="69" max="69" width="15.26953125" customWidth="1"/>
    <col min="70" max="70" width="12.7265625" bestFit="1" customWidth="1"/>
    <col min="71" max="71" width="12.7265625" customWidth="1"/>
    <col min="72" max="72" width="14.7265625" bestFit="1" customWidth="1"/>
    <col min="73" max="73" width="8.7265625" style="16"/>
    <col min="74" max="75" width="11.1796875" style="16" bestFit="1" customWidth="1"/>
    <col min="76" max="90" width="8.7265625" style="16"/>
  </cols>
  <sheetData>
    <row r="1" spans="2:72" ht="25.5" customHeight="1">
      <c r="C1" s="107"/>
      <c r="D1" s="107"/>
      <c r="E1" s="107"/>
      <c r="F1" s="107"/>
      <c r="G1" s="107"/>
      <c r="H1" s="107"/>
      <c r="I1" s="10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2:72" ht="33" customHeight="1">
      <c r="C2" s="106"/>
      <c r="D2" s="106"/>
      <c r="E2" s="106"/>
      <c r="F2" s="106"/>
      <c r="G2" s="106"/>
      <c r="H2" s="106"/>
      <c r="I2" s="10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2:72" ht="18.649999999999999" customHeight="1">
      <c r="C3" s="106"/>
      <c r="D3" s="106"/>
      <c r="E3" s="106"/>
      <c r="F3" s="106"/>
      <c r="G3" s="106"/>
      <c r="H3" s="106"/>
      <c r="I3" s="10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2:72" ht="9" customHeight="1">
      <c r="B4" s="107"/>
      <c r="C4" s="106"/>
      <c r="D4" s="106"/>
      <c r="E4" s="106"/>
      <c r="F4" s="106"/>
      <c r="G4" s="106"/>
      <c r="H4" s="106"/>
      <c r="I4" s="10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2:72" ht="9" customHeight="1">
      <c r="B5" s="107"/>
      <c r="C5" s="106"/>
      <c r="D5" s="106"/>
      <c r="E5" s="106"/>
      <c r="F5" s="106"/>
      <c r="G5" s="106"/>
      <c r="H5" s="106"/>
      <c r="I5" s="10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2:72" ht="9" customHeight="1">
      <c r="B6" s="107"/>
      <c r="C6" s="106"/>
      <c r="D6" s="106"/>
      <c r="E6" s="106"/>
      <c r="F6" s="106"/>
      <c r="G6" s="106"/>
      <c r="H6" s="106"/>
      <c r="I6" s="10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2:72" ht="9" customHeight="1">
      <c r="C7" s="106"/>
      <c r="D7" s="106"/>
      <c r="E7" s="106"/>
      <c r="F7" s="106"/>
      <c r="G7" s="106"/>
      <c r="H7" s="106"/>
      <c r="I7" s="10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2:72" ht="9" customHeight="1">
      <c r="C8" s="106"/>
      <c r="D8" s="106"/>
      <c r="E8" s="106"/>
      <c r="F8" s="106"/>
      <c r="G8" s="106"/>
      <c r="H8" s="106"/>
      <c r="I8" s="10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2:72" ht="33" customHeight="1">
      <c r="C9" s="106"/>
      <c r="D9" s="106"/>
      <c r="E9" s="106"/>
      <c r="F9" s="106"/>
      <c r="G9" s="106"/>
      <c r="H9" s="106"/>
      <c r="I9" s="10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2:72" ht="18.649999999999999" customHeight="1">
      <c r="C10" s="106"/>
      <c r="D10" s="106"/>
      <c r="E10" s="106"/>
      <c r="F10" s="106"/>
      <c r="G10" s="106"/>
      <c r="H10" s="106"/>
      <c r="I10" s="10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2:72" ht="46" customHeight="1">
      <c r="B11" s="107"/>
      <c r="C11" s="106"/>
      <c r="D11" s="106"/>
      <c r="E11" s="106"/>
      <c r="F11" s="106"/>
      <c r="G11" s="106"/>
      <c r="H11" s="106"/>
      <c r="I11" s="10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2:72" ht="46" customHeight="1">
      <c r="B12" s="107"/>
      <c r="C12" s="106"/>
      <c r="D12" s="106"/>
      <c r="E12" s="106"/>
      <c r="F12" s="106"/>
      <c r="G12" s="106"/>
      <c r="H12" s="106"/>
      <c r="I12" s="10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2:72" ht="46" customHeight="1">
      <c r="B13" s="107"/>
      <c r="C13" s="106"/>
      <c r="D13" s="106"/>
      <c r="E13" s="106"/>
      <c r="F13" s="106"/>
      <c r="G13" s="106"/>
      <c r="H13" s="106"/>
      <c r="I13" s="106"/>
      <c r="S13" s="33" t="s">
        <v>67</v>
      </c>
      <c r="T13" s="25"/>
      <c r="U13" s="25"/>
      <c r="V13" s="2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E13" s="33" t="s">
        <v>68</v>
      </c>
      <c r="BF13" s="25"/>
      <c r="BG13" s="25"/>
      <c r="BH13" s="25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2:72" ht="51.65" customHeight="1">
      <c r="C14" s="106"/>
      <c r="D14" s="106"/>
      <c r="E14" s="106"/>
      <c r="F14" s="106"/>
      <c r="G14" s="106"/>
      <c r="H14" s="106"/>
      <c r="I14" s="106"/>
      <c r="S14" s="20" t="s">
        <v>16</v>
      </c>
      <c r="T14" s="21" t="s">
        <v>15</v>
      </c>
      <c r="U14" s="22" t="s">
        <v>25</v>
      </c>
      <c r="V14" s="22" t="s">
        <v>31</v>
      </c>
      <c r="W14" s="22" t="s">
        <v>29</v>
      </c>
      <c r="X14" s="22" t="s">
        <v>17</v>
      </c>
      <c r="Y14" s="22" t="s">
        <v>18</v>
      </c>
      <c r="Z14" s="22" t="s">
        <v>20</v>
      </c>
      <c r="AA14" s="22" t="s">
        <v>21</v>
      </c>
      <c r="AB14" s="23" t="s">
        <v>10</v>
      </c>
      <c r="AC14" s="22" t="s">
        <v>19</v>
      </c>
      <c r="AD14" s="22" t="s">
        <v>36</v>
      </c>
      <c r="AE14" s="22" t="s">
        <v>37</v>
      </c>
      <c r="AF14" s="22" t="s">
        <v>38</v>
      </c>
      <c r="AG14" s="22" t="s">
        <v>39</v>
      </c>
      <c r="AH14" s="22" t="s">
        <v>35</v>
      </c>
      <c r="AI14" s="22" t="s">
        <v>20</v>
      </c>
      <c r="AJ14" s="22" t="s">
        <v>41</v>
      </c>
      <c r="AK14" s="22" t="s">
        <v>44</v>
      </c>
      <c r="AL14" s="22" t="s">
        <v>40</v>
      </c>
      <c r="AM14" s="22" t="s">
        <v>20</v>
      </c>
      <c r="AN14" s="22" t="s">
        <v>42</v>
      </c>
      <c r="AO14" s="22" t="s">
        <v>45</v>
      </c>
      <c r="AP14" s="22" t="s">
        <v>48</v>
      </c>
      <c r="AQ14" s="22" t="s">
        <v>43</v>
      </c>
      <c r="AR14" s="22" t="s">
        <v>53</v>
      </c>
      <c r="AS14" s="22" t="s">
        <v>47</v>
      </c>
      <c r="AT14" s="22" t="s">
        <v>53</v>
      </c>
      <c r="AU14" s="22" t="s">
        <v>101</v>
      </c>
      <c r="AV14" s="22" t="s">
        <v>46</v>
      </c>
      <c r="AW14" s="22" t="s">
        <v>49</v>
      </c>
      <c r="AX14" s="23" t="s">
        <v>51</v>
      </c>
      <c r="AY14" s="22" t="s">
        <v>52</v>
      </c>
      <c r="AZ14" s="22" t="s">
        <v>54</v>
      </c>
      <c r="BA14" s="22" t="s">
        <v>50</v>
      </c>
      <c r="BB14" s="23" t="s">
        <v>13</v>
      </c>
      <c r="BC14" s="22" t="s">
        <v>23</v>
      </c>
      <c r="BE14" s="110" t="s">
        <v>31</v>
      </c>
      <c r="BF14" s="110" t="s">
        <v>29</v>
      </c>
      <c r="BG14" s="110" t="s">
        <v>17</v>
      </c>
      <c r="BH14" s="110" t="s">
        <v>18</v>
      </c>
      <c r="BI14" s="110" t="s">
        <v>20</v>
      </c>
      <c r="BJ14" s="110" t="s">
        <v>21</v>
      </c>
      <c r="BK14" s="111" t="s">
        <v>10</v>
      </c>
      <c r="BL14" s="110" t="s">
        <v>56</v>
      </c>
      <c r="BM14" s="110" t="s">
        <v>55</v>
      </c>
      <c r="BN14" s="110" t="s">
        <v>49</v>
      </c>
      <c r="BO14" s="111" t="s">
        <v>51</v>
      </c>
      <c r="BP14" s="110" t="s">
        <v>52</v>
      </c>
      <c r="BQ14" s="110" t="s">
        <v>54</v>
      </c>
      <c r="BR14" s="110" t="s">
        <v>50</v>
      </c>
      <c r="BS14" s="111" t="s">
        <v>13</v>
      </c>
      <c r="BT14" s="110" t="s">
        <v>23</v>
      </c>
    </row>
    <row r="15" spans="2:72" ht="9.5" customHeight="1" thickBot="1">
      <c r="C15" s="106"/>
      <c r="D15" s="106"/>
      <c r="E15" s="106"/>
      <c r="F15" s="106"/>
      <c r="G15" s="106"/>
      <c r="H15" s="106"/>
      <c r="I15" s="106"/>
      <c r="S15" s="1"/>
      <c r="T15" s="7"/>
      <c r="U15" s="5"/>
      <c r="V15" s="6"/>
      <c r="W15" s="6"/>
      <c r="X15" s="3"/>
      <c r="Y15" s="3"/>
      <c r="Z15" s="3"/>
      <c r="AA15" s="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3"/>
      <c r="AQ15" s="1"/>
      <c r="AR15" s="3"/>
      <c r="AS15" s="1"/>
      <c r="AT15" s="1"/>
      <c r="AU15" s="3"/>
      <c r="AV15" s="3"/>
      <c r="AW15" s="1"/>
      <c r="AX15" s="1"/>
      <c r="AY15" s="1"/>
      <c r="AZ15" s="3"/>
      <c r="BA15" s="1"/>
      <c r="BB15" s="1"/>
      <c r="BC15" s="3"/>
      <c r="BE15" s="6"/>
      <c r="BF15" s="6"/>
      <c r="BG15" s="3"/>
      <c r="BH15" s="3"/>
      <c r="BI15" s="3"/>
      <c r="BJ15" s="3"/>
      <c r="BK15" s="1"/>
      <c r="BL15" s="3"/>
      <c r="BM15" s="3"/>
      <c r="BN15" s="3"/>
      <c r="BO15" s="3"/>
      <c r="BP15" s="3"/>
      <c r="BQ15" s="3"/>
      <c r="BR15" s="1"/>
      <c r="BS15" s="1"/>
      <c r="BT15" s="3"/>
    </row>
    <row r="16" spans="2:72" ht="81.650000000000006" customHeight="1" thickBot="1">
      <c r="C16" s="174" t="s">
        <v>73</v>
      </c>
      <c r="D16" s="169"/>
      <c r="E16" s="169"/>
      <c r="F16" s="169"/>
      <c r="G16" s="169"/>
      <c r="H16" s="169"/>
      <c r="I16" s="170"/>
      <c r="K16" s="168" t="s">
        <v>79</v>
      </c>
      <c r="L16" s="169"/>
      <c r="M16" s="169"/>
      <c r="N16" s="169"/>
      <c r="O16" s="169"/>
      <c r="P16" s="169"/>
      <c r="Q16" s="170"/>
      <c r="S16" s="1">
        <v>1</v>
      </c>
      <c r="T16" s="8"/>
      <c r="U16" s="3">
        <f t="shared" ref="U16:U47" si="0">zakup_domyslny_wartosc*IFERROR((INDEX(scenariusz_I_inflacja_skumulowana,MATCH(ROUNDDOWN(S16/12,0),scenariusz_I_rok,0))+1),1)
*(1+MOD(S16,12)*INDEX(scenariusz_I_inflacja,MATCH(ROUNDUP(S16/12,0),scenariusz_I_rok,0))/12)</f>
        <v>10041.666666666666</v>
      </c>
      <c r="V16" s="6">
        <f>zakup_domyslny_ilosc</f>
        <v>100</v>
      </c>
      <c r="W16" s="3">
        <f>zakup_domyslny_wartosc</f>
        <v>10000</v>
      </c>
      <c r="X16" s="3">
        <f>zakup_domyslny_wartosc</f>
        <v>10000</v>
      </c>
      <c r="Y16" s="3">
        <f t="shared" ref="Y16:Y47" si="1">X16</f>
        <v>10000</v>
      </c>
      <c r="Z16" s="9">
        <f t="shared" ref="Z16:Z47" si="2">IF(AND(MOD($S16,zapadalnosc_COI)&lt;=12,MOD($S16,zapadalnosc_COI)&lt;&gt;0),proc_I_okres_COI,(marza_COI+$T16))</f>
        <v>1.2999999999999999E-2</v>
      </c>
      <c r="AA16" s="3">
        <f t="shared" ref="AA16:AA47" si="3">Y16*(1+Z16*IF(MOD($S16,12)&lt;&gt;0,MOD($S16,12),12)/12)</f>
        <v>10010.833333333334</v>
      </c>
      <c r="AB16" s="3" t="str">
        <f t="shared" ref="AB16:AB47" si="4">IF(MOD($S16,zapadalnosc_COI)=0,"tak","nie")</f>
        <v>nie</v>
      </c>
      <c r="AC16" s="3">
        <f t="shared" ref="AC16:AC47" si="5">IF(MOD($S16,zapadalnosc_COI)=0,0,
IF(AND(MOD($S16,zapadalnosc_COI)&lt;zapadalnosc_COI,MOD($S16,zapadalnosc_COI)&lt;=12),
MIN(AA16-X16,V16*koszt_wczesniejszy_wykup_COI),V16*koszt_wczesniejszy_wykup_COI))</f>
        <v>10.83333333333394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3">
        <f t="shared" ref="AP16:AP47" si="6">IF(MOD(S16,wyplata_odsetek_COI)=0, (AA16-X16),0)
-IF(AND(AB16="tak",W17&lt;&gt;""),W17-X16,0)</f>
        <v>0</v>
      </c>
      <c r="AQ16" s="7"/>
      <c r="AR16" s="3">
        <f t="shared" ref="AR16:AR26" si="7">AV15+AP16+AQ16</f>
        <v>0</v>
      </c>
      <c r="AS16" s="7"/>
      <c r="AT16" s="3">
        <f t="shared" ref="AT16:AT47" si="8">AR16-AS16*zamiana_COI</f>
        <v>0</v>
      </c>
      <c r="AU16" s="1">
        <f t="shared" ref="AU16:AU26" si="9">ROUNDDOWN(AT16/100,0)</f>
        <v>0</v>
      </c>
      <c r="AV16" s="3">
        <f>AT16-AU16*100</f>
        <v>0</v>
      </c>
      <c r="AW16" s="3">
        <f t="shared" ref="AW16:AW27" si="10">AA16+AJ16+AN16+AV15</f>
        <v>10010.833333333334</v>
      </c>
      <c r="AX16" s="3">
        <f>MIN(IF(MOD(S16,12)=0,INDEX(IKE_oplata_wskaznik,MATCH(ROUNDUP(S16/12,0),IKE_oplata_rok,0)),0)*AW16,200)</f>
        <v>0</v>
      </c>
      <c r="AY16" s="3">
        <f>AX16+AY15</f>
        <v>0</v>
      </c>
      <c r="AZ16" s="3">
        <f t="shared" ref="AZ16:AZ47" si="11">AW16-AY16</f>
        <v>10010.833333333334</v>
      </c>
      <c r="BA16" s="3">
        <f>AC16+AK16+AO16</f>
        <v>10.83333333333394</v>
      </c>
      <c r="BB16" s="3">
        <f t="shared" ref="BB16:BB47" si="12">(AW16-BA16-zakup_domyslny_wartosc)*podatek_Belki</f>
        <v>0</v>
      </c>
      <c r="BC16" s="3">
        <f t="shared" ref="BC16:BC47" si="13">AW16-AY16-BA16-BB16</f>
        <v>10000</v>
      </c>
      <c r="BE16" s="6">
        <f>zakup_domyslny_ilosc</f>
        <v>100</v>
      </c>
      <c r="BF16" s="3">
        <f>zakup_domyslny_wartosc</f>
        <v>10000</v>
      </c>
      <c r="BG16" s="3">
        <f>zakup_domyslny_wartosc</f>
        <v>10000</v>
      </c>
      <c r="BH16" s="3">
        <f>zakup_domyslny_wartosc</f>
        <v>10000</v>
      </c>
      <c r="BI16" s="9">
        <f t="shared" ref="BI16:BI47" si="14">IF(AND(MOD($S16,zapadalnosc_EDO)&lt;=12,MOD($S16,zapadalnosc_EDO)&lt;&gt;0),proc_I_okres_EDO,(marza_EDO+$T16))</f>
        <v>1.7000000000000001E-2</v>
      </c>
      <c r="BJ16" s="3">
        <f t="shared" ref="BJ16:BJ47" si="15">BH16*(1+BI16*IF(MOD($S16,12)&lt;&gt;0,MOD($S16,12),12)/12)</f>
        <v>10014.166666666666</v>
      </c>
      <c r="BK16" s="3" t="str">
        <f t="shared" ref="BK16:BK47" si="16">IF(MOD($S16,zapadalnosc_EDO)=0,"tak","nie")</f>
        <v>nie</v>
      </c>
      <c r="BL16" s="3">
        <f>IF(AND(BK16="tak",BF17&lt;&gt;""),
 BJ16-BF17,
0)</f>
        <v>0</v>
      </c>
      <c r="BM16" s="3">
        <f>BM15+BL16</f>
        <v>0</v>
      </c>
      <c r="BN16" s="3">
        <f>BM15+BJ16</f>
        <v>10014.166666666666</v>
      </c>
      <c r="BO16" s="3">
        <f>MIN(IF(MOD(S16,12)=0,INDEX(IKE_oplata_wskaznik,MATCH(ROUNDUP(S16/12,0),IKE_oplata_rok,0)),0)*BN16,200)</f>
        <v>0</v>
      </c>
      <c r="BP16" s="3">
        <f>BO16+BP15</f>
        <v>0</v>
      </c>
      <c r="BQ16" s="3">
        <f t="shared" ref="BQ16" si="17">BN16-BP16</f>
        <v>10014.166666666666</v>
      </c>
      <c r="BR16" s="3">
        <f t="shared" ref="BR16:BR47" si="18">IF(AND(MOD($S16,zapadalnosc_EDO)&lt;zapadalnosc_EDO,MOD($S16,zapadalnosc_EDO)&lt;&gt;0),MIN(BJ16-BG16,BE16*koszt_wczesniejszy_wykup_EDO),0)</f>
        <v>14.16666666666606</v>
      </c>
      <c r="BS16" s="3">
        <f t="shared" ref="BS16:BS47" si="19">(BJ16-BR16-zakup_domyslny_wartosc)*podatek_Belki</f>
        <v>0</v>
      </c>
      <c r="BT16" s="3">
        <f>BN16-BP16-BR16-BS16</f>
        <v>10000</v>
      </c>
    </row>
    <row r="17" spans="1:72" ht="64.5" customHeight="1">
      <c r="C17" s="85" t="s">
        <v>9</v>
      </c>
      <c r="D17" s="100" t="s">
        <v>98</v>
      </c>
      <c r="E17" s="153" t="s">
        <v>97</v>
      </c>
      <c r="F17" s="101" t="s">
        <v>100</v>
      </c>
      <c r="G17" s="108" t="s">
        <v>99</v>
      </c>
      <c r="H17" s="125" t="s">
        <v>81</v>
      </c>
      <c r="I17" s="90" t="s">
        <v>80</v>
      </c>
      <c r="K17" s="85" t="s">
        <v>9</v>
      </c>
      <c r="L17" s="100" t="s">
        <v>98</v>
      </c>
      <c r="M17" s="153" t="s">
        <v>97</v>
      </c>
      <c r="N17" s="101" t="s">
        <v>100</v>
      </c>
      <c r="O17" s="152" t="s">
        <v>99</v>
      </c>
      <c r="P17" s="125" t="s">
        <v>81</v>
      </c>
      <c r="Q17" s="90" t="str">
        <f>OBLIGACJE!$R$17</f>
        <v>INFLACJA</v>
      </c>
      <c r="S17" s="1">
        <f t="shared" ref="S17:S48" si="20">S16+1</f>
        <v>2</v>
      </c>
      <c r="T17" s="8"/>
      <c r="U17" s="3">
        <f t="shared" si="0"/>
        <v>10083.333333333334</v>
      </c>
      <c r="V17" s="6">
        <f t="shared" ref="V17:V48" si="21">IF(AB16="tak",
ROUNDDOWN(AA16/zamiana_COI,0),
V16)</f>
        <v>100</v>
      </c>
      <c r="W17" s="3">
        <f t="shared" ref="W17:W48" si="22">IF(AB16="tak",
V17*zamiana_COI,
W16)</f>
        <v>10000</v>
      </c>
      <c r="X17" s="3">
        <f t="shared" ref="X17:X48" si="23">IF(AB16="tak",
V17*100,
X16)</f>
        <v>10000</v>
      </c>
      <c r="Y17" s="3">
        <f t="shared" si="1"/>
        <v>10000</v>
      </c>
      <c r="Z17" s="9">
        <f t="shared" si="2"/>
        <v>1.2999999999999999E-2</v>
      </c>
      <c r="AA17" s="3">
        <f t="shared" si="3"/>
        <v>10021.666666666666</v>
      </c>
      <c r="AB17" s="3" t="str">
        <f t="shared" si="4"/>
        <v>nie</v>
      </c>
      <c r="AC17" s="3">
        <f t="shared" si="5"/>
        <v>21.66666666666606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3">
        <f t="shared" si="6"/>
        <v>0</v>
      </c>
      <c r="AQ17" s="7"/>
      <c r="AR17" s="3">
        <f t="shared" si="7"/>
        <v>0</v>
      </c>
      <c r="AS17" s="7"/>
      <c r="AT17" s="3">
        <f t="shared" si="8"/>
        <v>0</v>
      </c>
      <c r="AU17" s="1">
        <f t="shared" si="9"/>
        <v>0</v>
      </c>
      <c r="AV17" s="3">
        <f t="shared" ref="AV17:AV28" si="24">AT17-AU17*100</f>
        <v>0</v>
      </c>
      <c r="AW17" s="3">
        <f t="shared" si="10"/>
        <v>10021.666666666666</v>
      </c>
      <c r="AX17" s="3">
        <f>MIN(IF(MOD(S17,12)=0,INDEX(IKE_oplata_wskaznik,MATCH(ROUNDUP(S17/12,0),IKE_oplata_rok,0)),0)*AW17,200)</f>
        <v>0</v>
      </c>
      <c r="AY17" s="3">
        <f t="shared" ref="AY17:AY80" si="25">AX17+AY16</f>
        <v>0</v>
      </c>
      <c r="AZ17" s="3">
        <f t="shared" si="11"/>
        <v>10021.666666666666</v>
      </c>
      <c r="BA17" s="3">
        <f t="shared" ref="BA17:BA80" si="26">AC17+AK17+AO17</f>
        <v>21.66666666666606</v>
      </c>
      <c r="BB17" s="3">
        <f t="shared" si="12"/>
        <v>0</v>
      </c>
      <c r="BC17" s="3">
        <f t="shared" si="13"/>
        <v>10000</v>
      </c>
      <c r="BE17" s="6">
        <f t="shared" ref="BE17:BE48" si="27">IF(BK16="tak",
ROUNDDOWN(BJ16/zamiana_EDO,0),
BE16)</f>
        <v>100</v>
      </c>
      <c r="BF17" s="3">
        <f t="shared" ref="BF17:BF48" si="28">IF(BK16="tak",
BE17*zamiana_EDO,
BF16)</f>
        <v>10000</v>
      </c>
      <c r="BG17" s="3">
        <f t="shared" ref="BG17:BG48" si="29">IF(BK16="tak",
BE17*100,
BG16)</f>
        <v>10000</v>
      </c>
      <c r="BH17" s="3">
        <f t="shared" ref="BH17:BH48" si="30">IF(BK16="tak",
 BG17,
IF(MOD($S17,kapitalizacja_odsetek_mc_EDO)&lt;&gt;1,BH16,BJ16))</f>
        <v>10000</v>
      </c>
      <c r="BI17" s="9">
        <f t="shared" si="14"/>
        <v>1.7000000000000001E-2</v>
      </c>
      <c r="BJ17" s="3">
        <f t="shared" si="15"/>
        <v>10028.333333333332</v>
      </c>
      <c r="BK17" s="3" t="str">
        <f t="shared" si="16"/>
        <v>nie</v>
      </c>
      <c r="BL17" s="3">
        <f t="shared" ref="BL17:BL80" si="31">IF(AND(BK17="tak",BF18&lt;&gt;""),
 BJ17-BF18,
0)</f>
        <v>0</v>
      </c>
      <c r="BM17" s="3">
        <f t="shared" ref="BM17:BM80" si="32">BM16+BL17</f>
        <v>0</v>
      </c>
      <c r="BN17" s="3">
        <f t="shared" ref="BN17:BN80" si="33">BM16+BJ17</f>
        <v>10028.333333333332</v>
      </c>
      <c r="BO17" s="3">
        <f>MIN(IF(MOD(S17,12)=0,INDEX(IKE_oplata_wskaznik,MATCH(ROUNDUP(S17/12,0),IKE_oplata_rok,0)),0)*BN17,200)</f>
        <v>0</v>
      </c>
      <c r="BP17" s="3">
        <f t="shared" ref="BP17:BP80" si="34">BO17+BP16</f>
        <v>0</v>
      </c>
      <c r="BQ17" s="3">
        <f t="shared" ref="BQ17:BQ80" si="35">BN17-BP17</f>
        <v>10028.333333333332</v>
      </c>
      <c r="BR17" s="3">
        <f t="shared" si="18"/>
        <v>28.333333333332121</v>
      </c>
      <c r="BS17" s="3">
        <f t="shared" si="19"/>
        <v>0</v>
      </c>
      <c r="BT17" s="3">
        <f t="shared" ref="BT17:BT80" si="36">BN17-BP17-BR17-BS17</f>
        <v>10000</v>
      </c>
    </row>
    <row r="18" spans="1:72">
      <c r="C18" s="114">
        <v>0</v>
      </c>
      <c r="D18" s="3">
        <f t="shared" ref="D18:I18" si="37">zakup_domyslny_wartosc</f>
        <v>10000</v>
      </c>
      <c r="E18" s="3">
        <f t="shared" si="37"/>
        <v>10000</v>
      </c>
      <c r="F18" s="3">
        <f t="shared" si="37"/>
        <v>10000</v>
      </c>
      <c r="G18" s="3">
        <f t="shared" si="37"/>
        <v>10000</v>
      </c>
      <c r="H18" s="120">
        <f t="shared" si="37"/>
        <v>10000</v>
      </c>
      <c r="I18" s="103">
        <f t="shared" si="37"/>
        <v>10000</v>
      </c>
      <c r="K18" s="114">
        <v>0</v>
      </c>
      <c r="L18" s="51">
        <f t="shared" ref="L18:L31" si="38">D18/zakup_domyslny_wartosc-1</f>
        <v>0</v>
      </c>
      <c r="M18" s="51">
        <f t="shared" ref="M18:M31" si="39">E18/zakup_domyslny_wartosc-1</f>
        <v>0</v>
      </c>
      <c r="N18" s="51">
        <f t="shared" ref="N18:N31" si="40">F18/zakup_domyslny_wartosc-1</f>
        <v>0</v>
      </c>
      <c r="O18" s="51">
        <f t="shared" ref="O18:O31" si="41">G18/zakup_domyslny_wartosc-1</f>
        <v>0</v>
      </c>
      <c r="P18" s="51">
        <f t="shared" ref="P18:P31" si="42">H18/zakup_domyslny_wartosc-1</f>
        <v>0</v>
      </c>
      <c r="Q18" s="53">
        <f t="shared" ref="Q18:Q31" si="43">I18/zakup_domyslny_wartosc-1</f>
        <v>0</v>
      </c>
      <c r="S18" s="1">
        <f t="shared" si="20"/>
        <v>3</v>
      </c>
      <c r="T18" s="8"/>
      <c r="U18" s="3">
        <f t="shared" si="0"/>
        <v>10125</v>
      </c>
      <c r="V18" s="6">
        <f t="shared" si="21"/>
        <v>100</v>
      </c>
      <c r="W18" s="3">
        <f t="shared" si="22"/>
        <v>10000</v>
      </c>
      <c r="X18" s="3">
        <f t="shared" si="23"/>
        <v>10000</v>
      </c>
      <c r="Y18" s="3">
        <f t="shared" si="1"/>
        <v>10000</v>
      </c>
      <c r="Z18" s="9">
        <f t="shared" si="2"/>
        <v>1.2999999999999999E-2</v>
      </c>
      <c r="AA18" s="3">
        <f t="shared" si="3"/>
        <v>10032.5</v>
      </c>
      <c r="AB18" s="3" t="str">
        <f t="shared" si="4"/>
        <v>nie</v>
      </c>
      <c r="AC18" s="3">
        <f t="shared" si="5"/>
        <v>32.5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3">
        <f t="shared" si="6"/>
        <v>0</v>
      </c>
      <c r="AQ18" s="7"/>
      <c r="AR18" s="3">
        <f t="shared" si="7"/>
        <v>0</v>
      </c>
      <c r="AS18" s="7"/>
      <c r="AT18" s="3">
        <f t="shared" si="8"/>
        <v>0</v>
      </c>
      <c r="AU18" s="1">
        <f t="shared" si="9"/>
        <v>0</v>
      </c>
      <c r="AV18" s="3">
        <f t="shared" si="24"/>
        <v>0</v>
      </c>
      <c r="AW18" s="3">
        <f t="shared" si="10"/>
        <v>10032.5</v>
      </c>
      <c r="AX18" s="3">
        <f>MIN(IF(MOD(S18,12)=0,INDEX(IKE_oplata_wskaznik,MATCH(ROUNDUP(S18/12,0),IKE_oplata_rok,0)),0)*AW18,200)</f>
        <v>0</v>
      </c>
      <c r="AY18" s="3">
        <f t="shared" si="25"/>
        <v>0</v>
      </c>
      <c r="AZ18" s="3">
        <f t="shared" si="11"/>
        <v>10032.5</v>
      </c>
      <c r="BA18" s="3">
        <f t="shared" si="26"/>
        <v>32.5</v>
      </c>
      <c r="BB18" s="3">
        <f t="shared" si="12"/>
        <v>0</v>
      </c>
      <c r="BC18" s="3">
        <f t="shared" si="13"/>
        <v>10000</v>
      </c>
      <c r="BE18" s="6">
        <f t="shared" si="27"/>
        <v>100</v>
      </c>
      <c r="BF18" s="3">
        <f t="shared" si="28"/>
        <v>10000</v>
      </c>
      <c r="BG18" s="3">
        <f t="shared" si="29"/>
        <v>10000</v>
      </c>
      <c r="BH18" s="3">
        <f t="shared" si="30"/>
        <v>10000</v>
      </c>
      <c r="BI18" s="9">
        <f t="shared" si="14"/>
        <v>1.7000000000000001E-2</v>
      </c>
      <c r="BJ18" s="3">
        <f t="shared" si="15"/>
        <v>10042.5</v>
      </c>
      <c r="BK18" s="3" t="str">
        <f t="shared" si="16"/>
        <v>nie</v>
      </c>
      <c r="BL18" s="3">
        <f t="shared" si="31"/>
        <v>0</v>
      </c>
      <c r="BM18" s="3">
        <f t="shared" si="32"/>
        <v>0</v>
      </c>
      <c r="BN18" s="3">
        <f t="shared" si="33"/>
        <v>10042.5</v>
      </c>
      <c r="BO18" s="3">
        <f>MIN(IF(MOD(S18,12)=0,INDEX(IKE_oplata_wskaznik,MATCH(ROUNDUP(S18/12,0),IKE_oplata_rok,0)),0)*BN18,200)</f>
        <v>0</v>
      </c>
      <c r="BP18" s="3">
        <f t="shared" si="34"/>
        <v>0</v>
      </c>
      <c r="BQ18" s="3">
        <f t="shared" si="35"/>
        <v>10042.5</v>
      </c>
      <c r="BR18" s="3">
        <f t="shared" si="18"/>
        <v>42.5</v>
      </c>
      <c r="BS18" s="3">
        <f t="shared" si="19"/>
        <v>0</v>
      </c>
      <c r="BT18" s="3">
        <f t="shared" si="36"/>
        <v>10000</v>
      </c>
    </row>
    <row r="19" spans="1:72">
      <c r="C19" s="47">
        <v>1</v>
      </c>
      <c r="D19" s="3">
        <f t="shared" ref="D19:D30" si="44">INDEX(IKE_wyniki_COI_preferencje,MATCH(C19*12,IKE_wyniki_mc,0))</f>
        <v>10129.999999999998</v>
      </c>
      <c r="E19" s="3">
        <f t="shared" ref="E19:E30" si="45">INDEX(IKE_wyniki_COI_I,MATCH(C19*12,IKE_wyniki_mc,0))</f>
        <v>10048.599999999999</v>
      </c>
      <c r="F19" s="3">
        <f t="shared" ref="F19:F30" si="46">INDEX(IKE_wyniki_EDO_preferencje,MATCH(C19*12,IKE_wyniki_mc,0))</f>
        <v>10169.999999999998</v>
      </c>
      <c r="G19" s="3">
        <f t="shared" ref="G19:G30" si="47">INDEX(IKE_wyniki_EDO_I,MATCH(C19*12,IKE_wyniki_mc,0))</f>
        <v>10000</v>
      </c>
      <c r="H19" s="120">
        <f t="shared" ref="H19:H30" si="48">FV(INDEX(scenariusz_I_konto,MATCH(C19,scenariusz_I_rok,0))/12*(1-podatek_Belki),12,0,-H18,1)</f>
        <v>10122.17889187117</v>
      </c>
      <c r="I19" s="103">
        <f t="shared" ref="I19:I30" si="49">INDEX(IKE_wyniki_skumulowana_inflacja,MATCH(C19*12,IKE_wyniki_mc,0))</f>
        <v>10500</v>
      </c>
      <c r="K19" s="47">
        <v>1</v>
      </c>
      <c r="L19" s="51">
        <f t="shared" si="38"/>
        <v>1.2999999999999901E-2</v>
      </c>
      <c r="M19" s="51">
        <f t="shared" si="39"/>
        <v>4.8599999999998644E-3</v>
      </c>
      <c r="N19" s="51">
        <f t="shared" si="40"/>
        <v>1.6999999999999904E-2</v>
      </c>
      <c r="O19" s="52">
        <f t="shared" si="41"/>
        <v>0</v>
      </c>
      <c r="P19" s="51">
        <f t="shared" si="42"/>
        <v>1.221788918711697E-2</v>
      </c>
      <c r="Q19" s="53">
        <f t="shared" si="43"/>
        <v>5.0000000000000044E-2</v>
      </c>
      <c r="S19" s="1">
        <f t="shared" si="20"/>
        <v>4</v>
      </c>
      <c r="T19" s="8"/>
      <c r="U19" s="3">
        <f t="shared" si="0"/>
        <v>10166.666666666666</v>
      </c>
      <c r="V19" s="6">
        <f t="shared" si="21"/>
        <v>100</v>
      </c>
      <c r="W19" s="3">
        <f t="shared" si="22"/>
        <v>10000</v>
      </c>
      <c r="X19" s="3">
        <f t="shared" si="23"/>
        <v>10000</v>
      </c>
      <c r="Y19" s="3">
        <f t="shared" si="1"/>
        <v>10000</v>
      </c>
      <c r="Z19" s="9">
        <f t="shared" si="2"/>
        <v>1.2999999999999999E-2</v>
      </c>
      <c r="AA19" s="3">
        <f t="shared" si="3"/>
        <v>10043.333333333332</v>
      </c>
      <c r="AB19" s="3" t="str">
        <f t="shared" si="4"/>
        <v>nie</v>
      </c>
      <c r="AC19" s="3">
        <f t="shared" si="5"/>
        <v>43.333333333332121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3">
        <f t="shared" si="6"/>
        <v>0</v>
      </c>
      <c r="AQ19" s="7"/>
      <c r="AR19" s="3">
        <f t="shared" si="7"/>
        <v>0</v>
      </c>
      <c r="AS19" s="7"/>
      <c r="AT19" s="3">
        <f t="shared" si="8"/>
        <v>0</v>
      </c>
      <c r="AU19" s="1">
        <f t="shared" si="9"/>
        <v>0</v>
      </c>
      <c r="AV19" s="3">
        <f t="shared" si="24"/>
        <v>0</v>
      </c>
      <c r="AW19" s="3">
        <f t="shared" si="10"/>
        <v>10043.333333333332</v>
      </c>
      <c r="AX19" s="3">
        <f>MIN(IF(MOD(S19,12)=0,INDEX(IKE_oplata_wskaznik,MATCH(ROUNDUP(S19/12,0),IKE_oplata_rok,0)),0)*AW19,200)</f>
        <v>0</v>
      </c>
      <c r="AY19" s="3">
        <f t="shared" si="25"/>
        <v>0</v>
      </c>
      <c r="AZ19" s="3">
        <f t="shared" si="11"/>
        <v>10043.333333333332</v>
      </c>
      <c r="BA19" s="3">
        <f t="shared" si="26"/>
        <v>43.333333333332121</v>
      </c>
      <c r="BB19" s="3">
        <f t="shared" si="12"/>
        <v>0</v>
      </c>
      <c r="BC19" s="3">
        <f t="shared" si="13"/>
        <v>10000</v>
      </c>
      <c r="BE19" s="6">
        <f t="shared" si="27"/>
        <v>100</v>
      </c>
      <c r="BF19" s="3">
        <f t="shared" si="28"/>
        <v>10000</v>
      </c>
      <c r="BG19" s="3">
        <f t="shared" si="29"/>
        <v>10000</v>
      </c>
      <c r="BH19" s="3">
        <f t="shared" si="30"/>
        <v>10000</v>
      </c>
      <c r="BI19" s="9">
        <f t="shared" si="14"/>
        <v>1.7000000000000001E-2</v>
      </c>
      <c r="BJ19" s="3">
        <f t="shared" si="15"/>
        <v>10056.666666666668</v>
      </c>
      <c r="BK19" s="3" t="str">
        <f t="shared" si="16"/>
        <v>nie</v>
      </c>
      <c r="BL19" s="3">
        <f t="shared" si="31"/>
        <v>0</v>
      </c>
      <c r="BM19" s="3">
        <f t="shared" si="32"/>
        <v>0</v>
      </c>
      <c r="BN19" s="3">
        <f t="shared" si="33"/>
        <v>10056.666666666668</v>
      </c>
      <c r="BO19" s="3">
        <f>MIN(IF(MOD(S19,12)=0,INDEX(IKE_oplata_wskaznik,MATCH(ROUNDUP(S19/12,0),IKE_oplata_rok,0)),0)*BN19,200)</f>
        <v>0</v>
      </c>
      <c r="BP19" s="3">
        <f t="shared" si="34"/>
        <v>0</v>
      </c>
      <c r="BQ19" s="3">
        <f t="shared" si="35"/>
        <v>10056.666666666668</v>
      </c>
      <c r="BR19" s="3">
        <f t="shared" si="18"/>
        <v>56.666666666667879</v>
      </c>
      <c r="BS19" s="3">
        <f t="shared" si="19"/>
        <v>0</v>
      </c>
      <c r="BT19" s="3">
        <f t="shared" si="36"/>
        <v>10000</v>
      </c>
    </row>
    <row r="20" spans="1:72">
      <c r="C20" s="47">
        <v>2</v>
      </c>
      <c r="D20" s="3">
        <f t="shared" si="44"/>
        <v>10689.169919999998</v>
      </c>
      <c r="E20" s="3">
        <f t="shared" si="45"/>
        <v>10497.705919999999</v>
      </c>
      <c r="F20" s="3">
        <f t="shared" si="46"/>
        <v>10762.951679999998</v>
      </c>
      <c r="G20" s="3">
        <f t="shared" si="47"/>
        <v>10452.713679999999</v>
      </c>
      <c r="H20" s="120">
        <f t="shared" si="48"/>
        <v>10245.850551904226</v>
      </c>
      <c r="I20" s="103">
        <f t="shared" si="49"/>
        <v>11025</v>
      </c>
      <c r="K20" s="47">
        <v>2</v>
      </c>
      <c r="L20" s="51">
        <f t="shared" si="38"/>
        <v>6.8916991999999899E-2</v>
      </c>
      <c r="M20" s="51">
        <f t="shared" si="39"/>
        <v>4.977059199999978E-2</v>
      </c>
      <c r="N20" s="51">
        <f t="shared" si="40"/>
        <v>7.6295167999999913E-2</v>
      </c>
      <c r="O20" s="52">
        <f t="shared" si="41"/>
        <v>4.5271367999999867E-2</v>
      </c>
      <c r="P20" s="122">
        <f t="shared" si="42"/>
        <v>2.4585055190422755E-2</v>
      </c>
      <c r="Q20" s="53">
        <f t="shared" si="43"/>
        <v>0.10250000000000004</v>
      </c>
      <c r="S20" s="1">
        <f t="shared" si="20"/>
        <v>5</v>
      </c>
      <c r="T20" s="8"/>
      <c r="U20" s="3">
        <f t="shared" si="0"/>
        <v>10208.333333333332</v>
      </c>
      <c r="V20" s="6">
        <f t="shared" si="21"/>
        <v>100</v>
      </c>
      <c r="W20" s="3">
        <f t="shared" si="22"/>
        <v>10000</v>
      </c>
      <c r="X20" s="3">
        <f t="shared" si="23"/>
        <v>10000</v>
      </c>
      <c r="Y20" s="3">
        <f t="shared" si="1"/>
        <v>10000</v>
      </c>
      <c r="Z20" s="9">
        <f t="shared" si="2"/>
        <v>1.2999999999999999E-2</v>
      </c>
      <c r="AA20" s="3">
        <f t="shared" si="3"/>
        <v>10054.166666666666</v>
      </c>
      <c r="AB20" s="3" t="str">
        <f t="shared" si="4"/>
        <v>nie</v>
      </c>
      <c r="AC20" s="3">
        <f t="shared" si="5"/>
        <v>54.16666666666606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3">
        <f t="shared" si="6"/>
        <v>0</v>
      </c>
      <c r="AQ20" s="7"/>
      <c r="AR20" s="3">
        <f t="shared" si="7"/>
        <v>0</v>
      </c>
      <c r="AS20" s="7"/>
      <c r="AT20" s="3">
        <f t="shared" si="8"/>
        <v>0</v>
      </c>
      <c r="AU20" s="1">
        <f t="shared" si="9"/>
        <v>0</v>
      </c>
      <c r="AV20" s="3">
        <f t="shared" si="24"/>
        <v>0</v>
      </c>
      <c r="AW20" s="3">
        <f t="shared" si="10"/>
        <v>10054.166666666666</v>
      </c>
      <c r="AX20" s="3">
        <f>MIN(IF(MOD(S20,12)=0,INDEX(IKE_oplata_wskaznik,MATCH(ROUNDUP(S20/12,0),IKE_oplata_rok,0)),0)*AW20,200)</f>
        <v>0</v>
      </c>
      <c r="AY20" s="3">
        <f t="shared" si="25"/>
        <v>0</v>
      </c>
      <c r="AZ20" s="3">
        <f t="shared" si="11"/>
        <v>10054.166666666666</v>
      </c>
      <c r="BA20" s="3">
        <f t="shared" si="26"/>
        <v>54.16666666666606</v>
      </c>
      <c r="BB20" s="3">
        <f t="shared" si="12"/>
        <v>0</v>
      </c>
      <c r="BC20" s="3">
        <f t="shared" si="13"/>
        <v>10000</v>
      </c>
      <c r="BE20" s="6">
        <f t="shared" si="27"/>
        <v>100</v>
      </c>
      <c r="BF20" s="3">
        <f t="shared" si="28"/>
        <v>10000</v>
      </c>
      <c r="BG20" s="3">
        <f t="shared" si="29"/>
        <v>10000</v>
      </c>
      <c r="BH20" s="3">
        <f t="shared" si="30"/>
        <v>10000</v>
      </c>
      <c r="BI20" s="9">
        <f t="shared" si="14"/>
        <v>1.7000000000000001E-2</v>
      </c>
      <c r="BJ20" s="3">
        <f t="shared" si="15"/>
        <v>10070.833333333334</v>
      </c>
      <c r="BK20" s="3" t="str">
        <f t="shared" si="16"/>
        <v>nie</v>
      </c>
      <c r="BL20" s="3">
        <f t="shared" si="31"/>
        <v>0</v>
      </c>
      <c r="BM20" s="3">
        <f t="shared" si="32"/>
        <v>0</v>
      </c>
      <c r="BN20" s="3">
        <f t="shared" si="33"/>
        <v>10070.833333333334</v>
      </c>
      <c r="BO20" s="3">
        <f>MIN(IF(MOD(S20,12)=0,INDEX(IKE_oplata_wskaznik,MATCH(ROUNDUP(S20/12,0),IKE_oplata_rok,0)),0)*BN20,200)</f>
        <v>0</v>
      </c>
      <c r="BP20" s="3">
        <f t="shared" si="34"/>
        <v>0</v>
      </c>
      <c r="BQ20" s="3">
        <f t="shared" si="35"/>
        <v>10070.833333333334</v>
      </c>
      <c r="BR20" s="3">
        <f t="shared" si="18"/>
        <v>70.83333333333394</v>
      </c>
      <c r="BS20" s="3">
        <f t="shared" si="19"/>
        <v>0</v>
      </c>
      <c r="BT20" s="3">
        <f t="shared" si="36"/>
        <v>10000</v>
      </c>
    </row>
    <row r="21" spans="1:72">
      <c r="C21" s="47">
        <v>3</v>
      </c>
      <c r="D21" s="3">
        <f t="shared" si="44"/>
        <v>11260.777645</v>
      </c>
      <c r="E21" s="3">
        <f t="shared" si="45"/>
        <v>10954.087145</v>
      </c>
      <c r="F21" s="3">
        <f t="shared" si="46"/>
        <v>11392.623161999998</v>
      </c>
      <c r="G21" s="3">
        <f t="shared" si="47"/>
        <v>10959.490881999998</v>
      </c>
      <c r="H21" s="120">
        <f t="shared" si="48"/>
        <v>10371.033218575154</v>
      </c>
      <c r="I21" s="103">
        <f t="shared" si="49"/>
        <v>11576.250000000002</v>
      </c>
      <c r="K21" s="47">
        <v>3</v>
      </c>
      <c r="L21" s="51">
        <f t="shared" si="38"/>
        <v>0.12607776449999997</v>
      </c>
      <c r="M21" s="51">
        <f t="shared" si="39"/>
        <v>9.5408714499999991E-2</v>
      </c>
      <c r="N21" s="51">
        <f t="shared" si="40"/>
        <v>0.13926231619999974</v>
      </c>
      <c r="O21" s="52">
        <f t="shared" si="41"/>
        <v>9.594908819999981E-2</v>
      </c>
      <c r="P21" s="122">
        <f t="shared" si="42"/>
        <v>3.7103321857515414E-2</v>
      </c>
      <c r="Q21" s="53">
        <f t="shared" si="43"/>
        <v>0.15762500000000013</v>
      </c>
      <c r="S21" s="1">
        <f t="shared" si="20"/>
        <v>6</v>
      </c>
      <c r="T21" s="8"/>
      <c r="U21" s="3">
        <f t="shared" si="0"/>
        <v>10250</v>
      </c>
      <c r="V21" s="6">
        <f t="shared" si="21"/>
        <v>100</v>
      </c>
      <c r="W21" s="3">
        <f t="shared" si="22"/>
        <v>10000</v>
      </c>
      <c r="X21" s="3">
        <f t="shared" si="23"/>
        <v>10000</v>
      </c>
      <c r="Y21" s="3">
        <f t="shared" si="1"/>
        <v>10000</v>
      </c>
      <c r="Z21" s="9">
        <f t="shared" si="2"/>
        <v>1.2999999999999999E-2</v>
      </c>
      <c r="AA21" s="3">
        <f t="shared" si="3"/>
        <v>10065</v>
      </c>
      <c r="AB21" s="3" t="str">
        <f t="shared" si="4"/>
        <v>nie</v>
      </c>
      <c r="AC21" s="3">
        <f t="shared" si="5"/>
        <v>65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3">
        <f t="shared" si="6"/>
        <v>0</v>
      </c>
      <c r="AQ21" s="7"/>
      <c r="AR21" s="3">
        <f t="shared" si="7"/>
        <v>0</v>
      </c>
      <c r="AS21" s="7"/>
      <c r="AT21" s="3">
        <f t="shared" si="8"/>
        <v>0</v>
      </c>
      <c r="AU21" s="1">
        <f t="shared" si="9"/>
        <v>0</v>
      </c>
      <c r="AV21" s="3">
        <f t="shared" si="24"/>
        <v>0</v>
      </c>
      <c r="AW21" s="3">
        <f t="shared" si="10"/>
        <v>10065</v>
      </c>
      <c r="AX21" s="3">
        <f>MIN(IF(MOD(S21,12)=0,INDEX(IKE_oplata_wskaznik,MATCH(ROUNDUP(S21/12,0),IKE_oplata_rok,0)),0)*AW21,200)</f>
        <v>0</v>
      </c>
      <c r="AY21" s="3">
        <f t="shared" si="25"/>
        <v>0</v>
      </c>
      <c r="AZ21" s="3">
        <f t="shared" si="11"/>
        <v>10065</v>
      </c>
      <c r="BA21" s="3">
        <f t="shared" si="26"/>
        <v>65</v>
      </c>
      <c r="BB21" s="3">
        <f t="shared" si="12"/>
        <v>0</v>
      </c>
      <c r="BC21" s="3">
        <f t="shared" si="13"/>
        <v>10000</v>
      </c>
      <c r="BE21" s="6">
        <f t="shared" si="27"/>
        <v>100</v>
      </c>
      <c r="BF21" s="3">
        <f t="shared" si="28"/>
        <v>10000</v>
      </c>
      <c r="BG21" s="3">
        <f t="shared" si="29"/>
        <v>10000</v>
      </c>
      <c r="BH21" s="3">
        <f t="shared" si="30"/>
        <v>10000</v>
      </c>
      <c r="BI21" s="9">
        <f t="shared" si="14"/>
        <v>1.7000000000000001E-2</v>
      </c>
      <c r="BJ21" s="3">
        <f t="shared" si="15"/>
        <v>10085</v>
      </c>
      <c r="BK21" s="3" t="str">
        <f t="shared" si="16"/>
        <v>nie</v>
      </c>
      <c r="BL21" s="3">
        <f t="shared" si="31"/>
        <v>0</v>
      </c>
      <c r="BM21" s="3">
        <f t="shared" si="32"/>
        <v>0</v>
      </c>
      <c r="BN21" s="3">
        <f t="shared" si="33"/>
        <v>10085</v>
      </c>
      <c r="BO21" s="3">
        <f>MIN(IF(MOD(S21,12)=0,INDEX(IKE_oplata_wskaznik,MATCH(ROUNDUP(S21/12,0),IKE_oplata_rok,0)),0)*BN21,200)</f>
        <v>0</v>
      </c>
      <c r="BP21" s="3">
        <f t="shared" si="34"/>
        <v>0</v>
      </c>
      <c r="BQ21" s="3">
        <f t="shared" si="35"/>
        <v>10085</v>
      </c>
      <c r="BR21" s="3">
        <f t="shared" si="18"/>
        <v>85</v>
      </c>
      <c r="BS21" s="3">
        <f t="shared" si="19"/>
        <v>0</v>
      </c>
      <c r="BT21" s="3">
        <f t="shared" si="36"/>
        <v>10000</v>
      </c>
    </row>
    <row r="22" spans="1:72">
      <c r="C22" s="47">
        <v>4</v>
      </c>
      <c r="D22" s="3">
        <f t="shared" si="44"/>
        <v>11865.844405000003</v>
      </c>
      <c r="E22" s="3">
        <f t="shared" si="45"/>
        <v>11494.886405000003</v>
      </c>
      <c r="F22" s="3">
        <f t="shared" si="46"/>
        <v>12061.286196191999</v>
      </c>
      <c r="G22" s="3">
        <f t="shared" si="47"/>
        <v>11497.885979391998</v>
      </c>
      <c r="H22" s="120">
        <f t="shared" si="48"/>
        <v>10497.745353195614</v>
      </c>
      <c r="I22" s="103">
        <f t="shared" si="49"/>
        <v>12155.062500000002</v>
      </c>
      <c r="K22" s="47">
        <v>4</v>
      </c>
      <c r="L22" s="51">
        <f t="shared" si="38"/>
        <v>0.18658444050000034</v>
      </c>
      <c r="M22" s="51">
        <f t="shared" si="39"/>
        <v>0.14948864050000021</v>
      </c>
      <c r="N22" s="51">
        <f t="shared" si="40"/>
        <v>0.20612861961919982</v>
      </c>
      <c r="O22" s="52">
        <f t="shared" si="41"/>
        <v>0.14978859793919974</v>
      </c>
      <c r="P22" s="122">
        <f t="shared" si="42"/>
        <v>4.977453531956133E-2</v>
      </c>
      <c r="Q22" s="53">
        <f t="shared" si="43"/>
        <v>0.21550625000000023</v>
      </c>
      <c r="S22" s="1">
        <f t="shared" si="20"/>
        <v>7</v>
      </c>
      <c r="T22" s="8"/>
      <c r="U22" s="3">
        <f t="shared" si="0"/>
        <v>10291.666666666666</v>
      </c>
      <c r="V22" s="6">
        <f t="shared" si="21"/>
        <v>100</v>
      </c>
      <c r="W22" s="3">
        <f t="shared" si="22"/>
        <v>10000</v>
      </c>
      <c r="X22" s="3">
        <f t="shared" si="23"/>
        <v>10000</v>
      </c>
      <c r="Y22" s="3">
        <f t="shared" si="1"/>
        <v>10000</v>
      </c>
      <c r="Z22" s="9">
        <f t="shared" si="2"/>
        <v>1.2999999999999999E-2</v>
      </c>
      <c r="AA22" s="3">
        <f t="shared" si="3"/>
        <v>10075.833333333332</v>
      </c>
      <c r="AB22" s="3" t="str">
        <f t="shared" si="4"/>
        <v>nie</v>
      </c>
      <c r="AC22" s="3">
        <f t="shared" si="5"/>
        <v>70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3">
        <f t="shared" si="6"/>
        <v>0</v>
      </c>
      <c r="AQ22" s="7"/>
      <c r="AR22" s="3">
        <f t="shared" si="7"/>
        <v>0</v>
      </c>
      <c r="AS22" s="7"/>
      <c r="AT22" s="3">
        <f t="shared" si="8"/>
        <v>0</v>
      </c>
      <c r="AU22" s="1">
        <f t="shared" si="9"/>
        <v>0</v>
      </c>
      <c r="AV22" s="3">
        <f t="shared" si="24"/>
        <v>0</v>
      </c>
      <c r="AW22" s="3">
        <f t="shared" si="10"/>
        <v>10075.833333333332</v>
      </c>
      <c r="AX22" s="3">
        <f>MIN(IF(MOD(S22,12)=0,INDEX(IKE_oplata_wskaznik,MATCH(ROUNDUP(S22/12,0),IKE_oplata_rok,0)),0)*AW22,200)</f>
        <v>0</v>
      </c>
      <c r="AY22" s="3">
        <f t="shared" si="25"/>
        <v>0</v>
      </c>
      <c r="AZ22" s="3">
        <f t="shared" si="11"/>
        <v>10075.833333333332</v>
      </c>
      <c r="BA22" s="3">
        <f t="shared" si="26"/>
        <v>70</v>
      </c>
      <c r="BB22" s="3">
        <f t="shared" si="12"/>
        <v>1.1083333333331029</v>
      </c>
      <c r="BC22" s="3">
        <f t="shared" si="13"/>
        <v>10004.724999999999</v>
      </c>
      <c r="BE22" s="6">
        <f t="shared" si="27"/>
        <v>100</v>
      </c>
      <c r="BF22" s="3">
        <f t="shared" si="28"/>
        <v>10000</v>
      </c>
      <c r="BG22" s="3">
        <f t="shared" si="29"/>
        <v>10000</v>
      </c>
      <c r="BH22" s="3">
        <f t="shared" si="30"/>
        <v>10000</v>
      </c>
      <c r="BI22" s="9">
        <f t="shared" si="14"/>
        <v>1.7000000000000001E-2</v>
      </c>
      <c r="BJ22" s="3">
        <f t="shared" si="15"/>
        <v>10099.166666666666</v>
      </c>
      <c r="BK22" s="3" t="str">
        <f t="shared" si="16"/>
        <v>nie</v>
      </c>
      <c r="BL22" s="3">
        <f t="shared" si="31"/>
        <v>0</v>
      </c>
      <c r="BM22" s="3">
        <f t="shared" si="32"/>
        <v>0</v>
      </c>
      <c r="BN22" s="3">
        <f t="shared" si="33"/>
        <v>10099.166666666666</v>
      </c>
      <c r="BO22" s="3">
        <f>MIN(IF(MOD(S22,12)=0,INDEX(IKE_oplata_wskaznik,MATCH(ROUNDUP(S22/12,0),IKE_oplata_rok,0)),0)*BN22,200)</f>
        <v>0</v>
      </c>
      <c r="BP22" s="3">
        <f t="shared" si="34"/>
        <v>0</v>
      </c>
      <c r="BQ22" s="3">
        <f t="shared" si="35"/>
        <v>10099.166666666666</v>
      </c>
      <c r="BR22" s="3">
        <f t="shared" si="18"/>
        <v>99.16666666666606</v>
      </c>
      <c r="BS22" s="3">
        <f t="shared" si="19"/>
        <v>0</v>
      </c>
      <c r="BT22" s="3">
        <f t="shared" si="36"/>
        <v>10000</v>
      </c>
    </row>
    <row r="23" spans="1:72" ht="14.5" customHeight="1">
      <c r="C23" s="47">
        <v>5</v>
      </c>
      <c r="D23" s="3">
        <f t="shared" si="44"/>
        <v>12068.668645000003</v>
      </c>
      <c r="E23" s="3">
        <f t="shared" si="45"/>
        <v>11595.507645000003</v>
      </c>
      <c r="F23" s="3">
        <f t="shared" si="46"/>
        <v>12771.352951503839</v>
      </c>
      <c r="G23" s="3">
        <f t="shared" si="47"/>
        <v>12069.868721695839</v>
      </c>
      <c r="H23" s="120">
        <f t="shared" si="48"/>
        <v>10626.005642635531</v>
      </c>
      <c r="I23" s="103">
        <f t="shared" si="49"/>
        <v>12762.815625000003</v>
      </c>
      <c r="K23" s="47">
        <v>5</v>
      </c>
      <c r="L23" s="51">
        <f t="shared" si="38"/>
        <v>0.20686686450000025</v>
      </c>
      <c r="M23" s="51">
        <f t="shared" si="39"/>
        <v>0.15955076450000027</v>
      </c>
      <c r="N23" s="51">
        <f t="shared" si="40"/>
        <v>0.27713529515038382</v>
      </c>
      <c r="O23" s="52">
        <f t="shared" si="41"/>
        <v>0.20698687216958378</v>
      </c>
      <c r="P23" s="122">
        <f t="shared" si="42"/>
        <v>6.2600564263553204E-2</v>
      </c>
      <c r="Q23" s="53">
        <f t="shared" si="43"/>
        <v>0.27628156250000035</v>
      </c>
      <c r="S23" s="1">
        <f t="shared" si="20"/>
        <v>8</v>
      </c>
      <c r="T23" s="8"/>
      <c r="U23" s="3">
        <f t="shared" si="0"/>
        <v>10333.333333333334</v>
      </c>
      <c r="V23" s="6">
        <f t="shared" si="21"/>
        <v>100</v>
      </c>
      <c r="W23" s="3">
        <f t="shared" si="22"/>
        <v>10000</v>
      </c>
      <c r="X23" s="3">
        <f t="shared" si="23"/>
        <v>10000</v>
      </c>
      <c r="Y23" s="3">
        <f t="shared" si="1"/>
        <v>10000</v>
      </c>
      <c r="Z23" s="9">
        <f t="shared" si="2"/>
        <v>1.2999999999999999E-2</v>
      </c>
      <c r="AA23" s="3">
        <f t="shared" si="3"/>
        <v>10086.666666666666</v>
      </c>
      <c r="AB23" s="3" t="str">
        <f t="shared" si="4"/>
        <v>nie</v>
      </c>
      <c r="AC23" s="3">
        <f t="shared" si="5"/>
        <v>70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3">
        <f t="shared" si="6"/>
        <v>0</v>
      </c>
      <c r="AQ23" s="7"/>
      <c r="AR23" s="3">
        <f t="shared" si="7"/>
        <v>0</v>
      </c>
      <c r="AS23" s="7"/>
      <c r="AT23" s="3">
        <f t="shared" si="8"/>
        <v>0</v>
      </c>
      <c r="AU23" s="1">
        <f t="shared" si="9"/>
        <v>0</v>
      </c>
      <c r="AV23" s="3">
        <f t="shared" si="24"/>
        <v>0</v>
      </c>
      <c r="AW23" s="3">
        <f t="shared" si="10"/>
        <v>10086.666666666666</v>
      </c>
      <c r="AX23" s="3">
        <f>MIN(IF(MOD(S23,12)=0,INDEX(IKE_oplata_wskaznik,MATCH(ROUNDUP(S23/12,0),IKE_oplata_rok,0)),0)*AW23,200)</f>
        <v>0</v>
      </c>
      <c r="AY23" s="3">
        <f t="shared" si="25"/>
        <v>0</v>
      </c>
      <c r="AZ23" s="3">
        <f t="shared" si="11"/>
        <v>10086.666666666666</v>
      </c>
      <c r="BA23" s="3">
        <f t="shared" si="26"/>
        <v>70</v>
      </c>
      <c r="BB23" s="3">
        <f t="shared" si="12"/>
        <v>3.1666666666665515</v>
      </c>
      <c r="BC23" s="3">
        <f t="shared" si="13"/>
        <v>10013.5</v>
      </c>
      <c r="BE23" s="6">
        <f t="shared" si="27"/>
        <v>100</v>
      </c>
      <c r="BF23" s="3">
        <f t="shared" si="28"/>
        <v>10000</v>
      </c>
      <c r="BG23" s="3">
        <f t="shared" si="29"/>
        <v>10000</v>
      </c>
      <c r="BH23" s="3">
        <f t="shared" si="30"/>
        <v>10000</v>
      </c>
      <c r="BI23" s="9">
        <f t="shared" si="14"/>
        <v>1.7000000000000001E-2</v>
      </c>
      <c r="BJ23" s="3">
        <f t="shared" si="15"/>
        <v>10113.333333333334</v>
      </c>
      <c r="BK23" s="3" t="str">
        <f t="shared" si="16"/>
        <v>nie</v>
      </c>
      <c r="BL23" s="3">
        <f t="shared" si="31"/>
        <v>0</v>
      </c>
      <c r="BM23" s="3">
        <f t="shared" si="32"/>
        <v>0</v>
      </c>
      <c r="BN23" s="3">
        <f t="shared" si="33"/>
        <v>10113.333333333334</v>
      </c>
      <c r="BO23" s="3">
        <f>MIN(IF(MOD(S23,12)=0,INDEX(IKE_oplata_wskaznik,MATCH(ROUNDUP(S23/12,0),IKE_oplata_rok,0)),0)*BN23,200)</f>
        <v>0</v>
      </c>
      <c r="BP23" s="3">
        <f t="shared" si="34"/>
        <v>0</v>
      </c>
      <c r="BQ23" s="3">
        <f t="shared" si="35"/>
        <v>10113.333333333334</v>
      </c>
      <c r="BR23" s="3">
        <f t="shared" si="18"/>
        <v>113.33333333333394</v>
      </c>
      <c r="BS23" s="3">
        <f t="shared" si="19"/>
        <v>0</v>
      </c>
      <c r="BT23" s="3">
        <f t="shared" si="36"/>
        <v>10000</v>
      </c>
    </row>
    <row r="24" spans="1:72" ht="15" customHeight="1">
      <c r="C24" s="47">
        <v>6</v>
      </c>
      <c r="D24" s="3">
        <f t="shared" si="44"/>
        <v>12735.787405000003</v>
      </c>
      <c r="E24" s="3">
        <f t="shared" si="45"/>
        <v>12131.817405000002</v>
      </c>
      <c r="F24" s="3">
        <f t="shared" si="46"/>
        <v>13525.38468754681</v>
      </c>
      <c r="G24" s="3">
        <f t="shared" si="47"/>
        <v>12677.53140395033</v>
      </c>
      <c r="H24" s="120">
        <f t="shared" si="48"/>
        <v>10755.833002078933</v>
      </c>
      <c r="I24" s="103">
        <f t="shared" si="49"/>
        <v>13400.956406250005</v>
      </c>
      <c r="K24" s="47">
        <v>6</v>
      </c>
      <c r="L24" s="51">
        <f t="shared" si="38"/>
        <v>0.27357874050000031</v>
      </c>
      <c r="M24" s="51">
        <f t="shared" si="39"/>
        <v>0.21318174050000005</v>
      </c>
      <c r="N24" s="51">
        <f t="shared" si="40"/>
        <v>0.35253846875468109</v>
      </c>
      <c r="O24" s="52">
        <f t="shared" si="41"/>
        <v>0.26775314039503306</v>
      </c>
      <c r="P24" s="122">
        <f t="shared" si="42"/>
        <v>7.5583300207893167E-2</v>
      </c>
      <c r="Q24" s="53">
        <f t="shared" si="43"/>
        <v>0.34009564062500042</v>
      </c>
      <c r="S24" s="1">
        <f t="shared" si="20"/>
        <v>9</v>
      </c>
      <c r="T24" s="8"/>
      <c r="U24" s="3">
        <f t="shared" si="0"/>
        <v>10375</v>
      </c>
      <c r="V24" s="6">
        <f t="shared" si="21"/>
        <v>100</v>
      </c>
      <c r="W24" s="3">
        <f t="shared" si="22"/>
        <v>10000</v>
      </c>
      <c r="X24" s="3">
        <f t="shared" si="23"/>
        <v>10000</v>
      </c>
      <c r="Y24" s="3">
        <f t="shared" si="1"/>
        <v>10000</v>
      </c>
      <c r="Z24" s="9">
        <f t="shared" si="2"/>
        <v>1.2999999999999999E-2</v>
      </c>
      <c r="AA24" s="3">
        <f t="shared" si="3"/>
        <v>10097.5</v>
      </c>
      <c r="AB24" s="3" t="str">
        <f t="shared" si="4"/>
        <v>nie</v>
      </c>
      <c r="AC24" s="3">
        <f t="shared" si="5"/>
        <v>70</v>
      </c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3">
        <f t="shared" si="6"/>
        <v>0</v>
      </c>
      <c r="AQ24" s="7"/>
      <c r="AR24" s="3">
        <f t="shared" si="7"/>
        <v>0</v>
      </c>
      <c r="AS24" s="7"/>
      <c r="AT24" s="3">
        <f t="shared" si="8"/>
        <v>0</v>
      </c>
      <c r="AU24" s="1">
        <f t="shared" si="9"/>
        <v>0</v>
      </c>
      <c r="AV24" s="3">
        <f t="shared" si="24"/>
        <v>0</v>
      </c>
      <c r="AW24" s="3">
        <f t="shared" si="10"/>
        <v>10097.5</v>
      </c>
      <c r="AX24" s="3">
        <f>MIN(IF(MOD(S24,12)=0,INDEX(IKE_oplata_wskaznik,MATCH(ROUNDUP(S24/12,0),IKE_oplata_rok,0)),0)*AW24,200)</f>
        <v>0</v>
      </c>
      <c r="AY24" s="3">
        <f t="shared" si="25"/>
        <v>0</v>
      </c>
      <c r="AZ24" s="3">
        <f t="shared" si="11"/>
        <v>10097.5</v>
      </c>
      <c r="BA24" s="3">
        <f t="shared" si="26"/>
        <v>70</v>
      </c>
      <c r="BB24" s="3">
        <f t="shared" si="12"/>
        <v>5.2249999999999996</v>
      </c>
      <c r="BC24" s="3">
        <f t="shared" si="13"/>
        <v>10022.275</v>
      </c>
      <c r="BE24" s="6">
        <f t="shared" si="27"/>
        <v>100</v>
      </c>
      <c r="BF24" s="3">
        <f t="shared" si="28"/>
        <v>10000</v>
      </c>
      <c r="BG24" s="3">
        <f t="shared" si="29"/>
        <v>10000</v>
      </c>
      <c r="BH24" s="3">
        <f t="shared" si="30"/>
        <v>10000</v>
      </c>
      <c r="BI24" s="9">
        <f t="shared" si="14"/>
        <v>1.7000000000000001E-2</v>
      </c>
      <c r="BJ24" s="3">
        <f t="shared" si="15"/>
        <v>10127.5</v>
      </c>
      <c r="BK24" s="3" t="str">
        <f t="shared" si="16"/>
        <v>nie</v>
      </c>
      <c r="BL24" s="3">
        <f t="shared" si="31"/>
        <v>0</v>
      </c>
      <c r="BM24" s="3">
        <f t="shared" si="32"/>
        <v>0</v>
      </c>
      <c r="BN24" s="3">
        <f t="shared" si="33"/>
        <v>10127.5</v>
      </c>
      <c r="BO24" s="3">
        <f>MIN(IF(MOD(S24,12)=0,INDEX(IKE_oplata_wskaznik,MATCH(ROUNDUP(S24/12,0),IKE_oplata_rok,0)),0)*BN24,200)</f>
        <v>0</v>
      </c>
      <c r="BP24" s="3">
        <f t="shared" si="34"/>
        <v>0</v>
      </c>
      <c r="BQ24" s="3">
        <f t="shared" si="35"/>
        <v>10127.5</v>
      </c>
      <c r="BR24" s="3">
        <f t="shared" si="18"/>
        <v>127.5</v>
      </c>
      <c r="BS24" s="3">
        <f t="shared" si="19"/>
        <v>0</v>
      </c>
      <c r="BT24" s="3">
        <f t="shared" si="36"/>
        <v>10000</v>
      </c>
    </row>
    <row r="25" spans="1:72">
      <c r="C25" s="47">
        <v>7</v>
      </c>
      <c r="D25" s="3">
        <f t="shared" si="44"/>
        <v>13399.691310000004</v>
      </c>
      <c r="E25" s="3">
        <f t="shared" si="45"/>
        <v>12662.789810000002</v>
      </c>
      <c r="F25" s="3">
        <f t="shared" si="46"/>
        <v>14326.100961689524</v>
      </c>
      <c r="G25" s="3">
        <f t="shared" si="47"/>
        <v>13323.096481077255</v>
      </c>
      <c r="H25" s="120">
        <f t="shared" si="48"/>
        <v>10887.246577813468</v>
      </c>
      <c r="I25" s="103">
        <f t="shared" si="49"/>
        <v>14071.004226562505</v>
      </c>
      <c r="K25" s="47">
        <v>7</v>
      </c>
      <c r="L25" s="51">
        <f t="shared" si="38"/>
        <v>0.33996913100000037</v>
      </c>
      <c r="M25" s="51">
        <f t="shared" si="39"/>
        <v>0.26627898100000014</v>
      </c>
      <c r="N25" s="51">
        <f t="shared" si="40"/>
        <v>0.43261009616895252</v>
      </c>
      <c r="O25" s="52">
        <f t="shared" si="41"/>
        <v>0.33230964810772545</v>
      </c>
      <c r="P25" s="122">
        <f t="shared" si="42"/>
        <v>8.872465778134675E-2</v>
      </c>
      <c r="Q25" s="53">
        <f t="shared" si="43"/>
        <v>0.40710042265625046</v>
      </c>
      <c r="S25" s="1">
        <f t="shared" si="20"/>
        <v>10</v>
      </c>
      <c r="T25" s="8"/>
      <c r="U25" s="3">
        <f t="shared" si="0"/>
        <v>10416.666666666668</v>
      </c>
      <c r="V25" s="6">
        <f t="shared" si="21"/>
        <v>100</v>
      </c>
      <c r="W25" s="3">
        <f t="shared" si="22"/>
        <v>10000</v>
      </c>
      <c r="X25" s="3">
        <f t="shared" si="23"/>
        <v>10000</v>
      </c>
      <c r="Y25" s="3">
        <f t="shared" si="1"/>
        <v>10000</v>
      </c>
      <c r="Z25" s="9">
        <f t="shared" si="2"/>
        <v>1.2999999999999999E-2</v>
      </c>
      <c r="AA25" s="3">
        <f t="shared" si="3"/>
        <v>10108.333333333332</v>
      </c>
      <c r="AB25" s="3" t="str">
        <f t="shared" si="4"/>
        <v>nie</v>
      </c>
      <c r="AC25" s="3">
        <f t="shared" si="5"/>
        <v>70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3">
        <f t="shared" si="6"/>
        <v>0</v>
      </c>
      <c r="AQ25" s="7"/>
      <c r="AR25" s="3">
        <f t="shared" si="7"/>
        <v>0</v>
      </c>
      <c r="AS25" s="7"/>
      <c r="AT25" s="3">
        <f t="shared" si="8"/>
        <v>0</v>
      </c>
      <c r="AU25" s="1">
        <f t="shared" si="9"/>
        <v>0</v>
      </c>
      <c r="AV25" s="3">
        <f t="shared" si="24"/>
        <v>0</v>
      </c>
      <c r="AW25" s="3">
        <f t="shared" si="10"/>
        <v>10108.333333333332</v>
      </c>
      <c r="AX25" s="3">
        <f>MIN(IF(MOD(S25,12)=0,INDEX(IKE_oplata_wskaznik,MATCH(ROUNDUP(S25/12,0),IKE_oplata_rok,0)),0)*AW25,200)</f>
        <v>0</v>
      </c>
      <c r="AY25" s="3">
        <f t="shared" si="25"/>
        <v>0</v>
      </c>
      <c r="AZ25" s="3">
        <f t="shared" si="11"/>
        <v>10108.333333333332</v>
      </c>
      <c r="BA25" s="3">
        <f t="shared" si="26"/>
        <v>70</v>
      </c>
      <c r="BB25" s="3">
        <f t="shared" si="12"/>
        <v>7.2833333333331032</v>
      </c>
      <c r="BC25" s="3">
        <f t="shared" si="13"/>
        <v>10031.049999999999</v>
      </c>
      <c r="BE25" s="6">
        <f t="shared" si="27"/>
        <v>100</v>
      </c>
      <c r="BF25" s="3">
        <f t="shared" si="28"/>
        <v>10000</v>
      </c>
      <c r="BG25" s="3">
        <f t="shared" si="29"/>
        <v>10000</v>
      </c>
      <c r="BH25" s="3">
        <f t="shared" si="30"/>
        <v>10000</v>
      </c>
      <c r="BI25" s="9">
        <f t="shared" si="14"/>
        <v>1.7000000000000001E-2</v>
      </c>
      <c r="BJ25" s="3">
        <f t="shared" si="15"/>
        <v>10141.666666666666</v>
      </c>
      <c r="BK25" s="3" t="str">
        <f t="shared" si="16"/>
        <v>nie</v>
      </c>
      <c r="BL25" s="3">
        <f t="shared" si="31"/>
        <v>0</v>
      </c>
      <c r="BM25" s="3">
        <f t="shared" si="32"/>
        <v>0</v>
      </c>
      <c r="BN25" s="3">
        <f t="shared" si="33"/>
        <v>10141.666666666666</v>
      </c>
      <c r="BO25" s="3">
        <f>MIN(IF(MOD(S25,12)=0,INDEX(IKE_oplata_wskaznik,MATCH(ROUNDUP(S25/12,0),IKE_oplata_rok,0)),0)*BN25,200)</f>
        <v>0</v>
      </c>
      <c r="BP25" s="3">
        <f t="shared" si="34"/>
        <v>0</v>
      </c>
      <c r="BQ25" s="3">
        <f t="shared" si="35"/>
        <v>10141.666666666666</v>
      </c>
      <c r="BR25" s="3">
        <f t="shared" si="18"/>
        <v>141.66666666666606</v>
      </c>
      <c r="BS25" s="3">
        <f t="shared" si="19"/>
        <v>0</v>
      </c>
      <c r="BT25" s="3">
        <f t="shared" si="36"/>
        <v>10000</v>
      </c>
    </row>
    <row r="26" spans="1:72">
      <c r="C26" s="47">
        <v>8</v>
      </c>
      <c r="D26" s="3">
        <f t="shared" si="44"/>
        <v>14107.522810000008</v>
      </c>
      <c r="E26" s="3">
        <f t="shared" si="45"/>
        <v>13289.564810000007</v>
      </c>
      <c r="F26" s="3">
        <f t="shared" si="46"/>
        <v>15176.389404254192</v>
      </c>
      <c r="G26" s="3">
        <f t="shared" si="47"/>
        <v>14008.924654805187</v>
      </c>
      <c r="H26" s="120">
        <f t="shared" si="48"/>
        <v>11020.265750054012</v>
      </c>
      <c r="I26" s="103">
        <f t="shared" si="49"/>
        <v>14774.554437890631</v>
      </c>
      <c r="K26" s="47">
        <v>8</v>
      </c>
      <c r="L26" s="51">
        <f t="shared" si="38"/>
        <v>0.41075228100000083</v>
      </c>
      <c r="M26" s="51">
        <f t="shared" si="39"/>
        <v>0.32895648100000074</v>
      </c>
      <c r="N26" s="51">
        <f t="shared" si="40"/>
        <v>0.51763894042541914</v>
      </c>
      <c r="O26" s="52">
        <f t="shared" si="41"/>
        <v>0.4008924654805186</v>
      </c>
      <c r="P26" s="122">
        <f t="shared" si="42"/>
        <v>0.10202657500540124</v>
      </c>
      <c r="Q26" s="53">
        <f t="shared" si="43"/>
        <v>0.47745544378906302</v>
      </c>
      <c r="S26" s="1">
        <f t="shared" si="20"/>
        <v>11</v>
      </c>
      <c r="T26" s="8"/>
      <c r="U26" s="3">
        <f t="shared" si="0"/>
        <v>10458.333333333334</v>
      </c>
      <c r="V26" s="6">
        <f t="shared" si="21"/>
        <v>100</v>
      </c>
      <c r="W26" s="3">
        <f t="shared" si="22"/>
        <v>10000</v>
      </c>
      <c r="X26" s="3">
        <f t="shared" si="23"/>
        <v>10000</v>
      </c>
      <c r="Y26" s="3">
        <f t="shared" si="1"/>
        <v>10000</v>
      </c>
      <c r="Z26" s="9">
        <f t="shared" si="2"/>
        <v>1.2999999999999999E-2</v>
      </c>
      <c r="AA26" s="3">
        <f t="shared" si="3"/>
        <v>10119.166666666666</v>
      </c>
      <c r="AB26" s="3" t="str">
        <f t="shared" si="4"/>
        <v>nie</v>
      </c>
      <c r="AC26" s="3">
        <f t="shared" si="5"/>
        <v>70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3">
        <f t="shared" si="6"/>
        <v>0</v>
      </c>
      <c r="AQ26" s="7"/>
      <c r="AR26" s="3">
        <f t="shared" si="7"/>
        <v>0</v>
      </c>
      <c r="AS26" s="7"/>
      <c r="AT26" s="3">
        <f t="shared" si="8"/>
        <v>0</v>
      </c>
      <c r="AU26" s="1">
        <f t="shared" si="9"/>
        <v>0</v>
      </c>
      <c r="AV26" s="3">
        <f t="shared" si="24"/>
        <v>0</v>
      </c>
      <c r="AW26" s="3">
        <f t="shared" si="10"/>
        <v>10119.166666666666</v>
      </c>
      <c r="AX26" s="3">
        <f>MIN(IF(MOD(S26,12)=0,INDEX(IKE_oplata_wskaznik,MATCH(ROUNDUP(S26/12,0),IKE_oplata_rok,0)),0)*AW26,200)</f>
        <v>0</v>
      </c>
      <c r="AY26" s="3">
        <f t="shared" si="25"/>
        <v>0</v>
      </c>
      <c r="AZ26" s="3">
        <f t="shared" si="11"/>
        <v>10119.166666666666</v>
      </c>
      <c r="BA26" s="3">
        <f t="shared" si="26"/>
        <v>70</v>
      </c>
      <c r="BB26" s="3">
        <f t="shared" si="12"/>
        <v>9.3416666666665513</v>
      </c>
      <c r="BC26" s="3">
        <f t="shared" si="13"/>
        <v>10039.824999999999</v>
      </c>
      <c r="BE26" s="6">
        <f t="shared" si="27"/>
        <v>100</v>
      </c>
      <c r="BF26" s="3">
        <f t="shared" si="28"/>
        <v>10000</v>
      </c>
      <c r="BG26" s="3">
        <f t="shared" si="29"/>
        <v>10000</v>
      </c>
      <c r="BH26" s="3">
        <f t="shared" si="30"/>
        <v>10000</v>
      </c>
      <c r="BI26" s="9">
        <f t="shared" si="14"/>
        <v>1.7000000000000001E-2</v>
      </c>
      <c r="BJ26" s="3">
        <f t="shared" si="15"/>
        <v>10155.833333333332</v>
      </c>
      <c r="BK26" s="3" t="str">
        <f t="shared" si="16"/>
        <v>nie</v>
      </c>
      <c r="BL26" s="3">
        <f t="shared" si="31"/>
        <v>0</v>
      </c>
      <c r="BM26" s="3">
        <f t="shared" si="32"/>
        <v>0</v>
      </c>
      <c r="BN26" s="3">
        <f t="shared" si="33"/>
        <v>10155.833333333332</v>
      </c>
      <c r="BO26" s="3">
        <f>MIN(IF(MOD(S26,12)=0,INDEX(IKE_oplata_wskaznik,MATCH(ROUNDUP(S26/12,0),IKE_oplata_rok,0)),0)*BN26,200)</f>
        <v>0</v>
      </c>
      <c r="BP26" s="3">
        <f t="shared" si="34"/>
        <v>0</v>
      </c>
      <c r="BQ26" s="3">
        <f t="shared" si="35"/>
        <v>10155.833333333332</v>
      </c>
      <c r="BR26" s="3">
        <f t="shared" si="18"/>
        <v>155.83333333333212</v>
      </c>
      <c r="BS26" s="3">
        <f t="shared" si="19"/>
        <v>0</v>
      </c>
      <c r="BT26" s="3">
        <f t="shared" si="36"/>
        <v>10000</v>
      </c>
    </row>
    <row r="27" spans="1:72">
      <c r="A27" s="161" t="s">
        <v>74</v>
      </c>
      <c r="C27" s="47">
        <v>9</v>
      </c>
      <c r="D27" s="3">
        <f t="shared" si="44"/>
        <v>14409.038260000007</v>
      </c>
      <c r="E27" s="3">
        <f t="shared" si="45"/>
        <v>13466.959760000005</v>
      </c>
      <c r="F27" s="3">
        <f t="shared" si="46"/>
        <v>16077.695153372742</v>
      </c>
      <c r="G27" s="3">
        <f t="shared" si="47"/>
        <v>14735.902518956796</v>
      </c>
      <c r="H27" s="120">
        <f t="shared" si="48"/>
        <v>11154.910135800752</v>
      </c>
      <c r="I27" s="103">
        <f t="shared" si="49"/>
        <v>15513.282159785162</v>
      </c>
      <c r="K27" s="47">
        <v>9</v>
      </c>
      <c r="L27" s="51">
        <f t="shared" si="38"/>
        <v>0.44090382600000066</v>
      </c>
      <c r="M27" s="51">
        <f t="shared" si="39"/>
        <v>0.34669597600000057</v>
      </c>
      <c r="N27" s="51">
        <f t="shared" si="40"/>
        <v>0.60776951533727419</v>
      </c>
      <c r="O27" s="52">
        <f t="shared" si="41"/>
        <v>0.4735902518956796</v>
      </c>
      <c r="P27" s="122">
        <f t="shared" si="42"/>
        <v>0.1154910135800753</v>
      </c>
      <c r="Q27" s="53">
        <f t="shared" si="43"/>
        <v>0.55132821597851622</v>
      </c>
      <c r="S27" s="1">
        <f t="shared" si="20"/>
        <v>12</v>
      </c>
      <c r="T27" s="8"/>
      <c r="U27" s="3">
        <f t="shared" si="0"/>
        <v>10500</v>
      </c>
      <c r="V27" s="6">
        <f t="shared" si="21"/>
        <v>100</v>
      </c>
      <c r="W27" s="3">
        <f t="shared" si="22"/>
        <v>10000</v>
      </c>
      <c r="X27" s="3">
        <f t="shared" si="23"/>
        <v>10000</v>
      </c>
      <c r="Y27" s="3">
        <f t="shared" si="1"/>
        <v>10000</v>
      </c>
      <c r="Z27" s="9">
        <f t="shared" si="2"/>
        <v>1.2999999999999999E-2</v>
      </c>
      <c r="AA27" s="3">
        <f t="shared" si="3"/>
        <v>10129.999999999998</v>
      </c>
      <c r="AB27" s="3" t="str">
        <f t="shared" si="4"/>
        <v>nie</v>
      </c>
      <c r="AC27" s="3">
        <f t="shared" si="5"/>
        <v>70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3">
        <f t="shared" si="6"/>
        <v>129.99999999999818</v>
      </c>
      <c r="AQ27" s="7"/>
      <c r="AR27" s="3">
        <f>AV26+AP27+AQ27</f>
        <v>129.99999999999818</v>
      </c>
      <c r="AS27" s="1">
        <f t="shared" ref="AS27:AS58" si="50">IF(AP27&lt;&gt;0,MIN(IF(AG27&lt;&gt;"",AG27,0),ROUNDDOWN(AR27/zamiana_COI,0)),0)</f>
        <v>0</v>
      </c>
      <c r="AT27" s="3">
        <f t="shared" si="8"/>
        <v>129.99999999999818</v>
      </c>
      <c r="AU27" s="1">
        <f>ROUNDDOWN(AT27/100,0)</f>
        <v>1</v>
      </c>
      <c r="AV27" s="3">
        <f t="shared" si="24"/>
        <v>29.999999999998181</v>
      </c>
      <c r="AW27" s="3">
        <f t="shared" si="10"/>
        <v>10129.999999999998</v>
      </c>
      <c r="AX27" s="3">
        <f>MIN(IF(MOD(S27,12)=0,INDEX(IKE_oplata_wskaznik,MATCH(ROUNDUP(S27/12,0),IKE_oplata_rok,0)),0)*AW27,200)</f>
        <v>0</v>
      </c>
      <c r="AY27" s="3">
        <f t="shared" si="25"/>
        <v>0</v>
      </c>
      <c r="AZ27" s="3">
        <f t="shared" si="11"/>
        <v>10129.999999999998</v>
      </c>
      <c r="BA27" s="3">
        <f t="shared" si="26"/>
        <v>70</v>
      </c>
      <c r="BB27" s="3">
        <f t="shared" si="12"/>
        <v>11.399999999999654</v>
      </c>
      <c r="BC27" s="3">
        <f t="shared" si="13"/>
        <v>10048.599999999999</v>
      </c>
      <c r="BE27" s="6">
        <f t="shared" si="27"/>
        <v>100</v>
      </c>
      <c r="BF27" s="3">
        <f t="shared" si="28"/>
        <v>10000</v>
      </c>
      <c r="BG27" s="3">
        <f t="shared" si="29"/>
        <v>10000</v>
      </c>
      <c r="BH27" s="3">
        <f t="shared" si="30"/>
        <v>10000</v>
      </c>
      <c r="BI27" s="9">
        <f t="shared" si="14"/>
        <v>1.7000000000000001E-2</v>
      </c>
      <c r="BJ27" s="3">
        <f t="shared" si="15"/>
        <v>10169.999999999998</v>
      </c>
      <c r="BK27" s="3" t="str">
        <f t="shared" si="16"/>
        <v>nie</v>
      </c>
      <c r="BL27" s="3">
        <f t="shared" si="31"/>
        <v>0</v>
      </c>
      <c r="BM27" s="3">
        <f t="shared" si="32"/>
        <v>0</v>
      </c>
      <c r="BN27" s="3">
        <f t="shared" si="33"/>
        <v>10169.999999999998</v>
      </c>
      <c r="BO27" s="3">
        <f>MIN(IF(MOD(S27,12)=0,INDEX(IKE_oplata_wskaznik,MATCH(ROUNDUP(S27/12,0),IKE_oplata_rok,0)),0)*BN27,200)</f>
        <v>0</v>
      </c>
      <c r="BP27" s="3">
        <f t="shared" si="34"/>
        <v>0</v>
      </c>
      <c r="BQ27" s="3">
        <f t="shared" si="35"/>
        <v>10169.999999999998</v>
      </c>
      <c r="BR27" s="3">
        <f t="shared" si="18"/>
        <v>169.99999999999818</v>
      </c>
      <c r="BS27" s="3">
        <f t="shared" si="19"/>
        <v>0</v>
      </c>
      <c r="BT27" s="3">
        <f t="shared" si="36"/>
        <v>10000</v>
      </c>
    </row>
    <row r="28" spans="1:72">
      <c r="A28" s="161"/>
      <c r="C28" s="47">
        <v>10</v>
      </c>
      <c r="D28" s="3">
        <f t="shared" si="44"/>
        <v>15201.046360000008</v>
      </c>
      <c r="E28" s="3">
        <f t="shared" si="45"/>
        <v>14103.870360000006</v>
      </c>
      <c r="F28" s="3">
        <f t="shared" si="46"/>
        <v>17033.079247438407</v>
      </c>
      <c r="G28" s="3">
        <f t="shared" si="47"/>
        <v>15668.499054957505</v>
      </c>
      <c r="H28" s="120">
        <f t="shared" si="48"/>
        <v>11291.199591732213</v>
      </c>
      <c r="I28" s="103">
        <f t="shared" si="49"/>
        <v>16288.94626777442</v>
      </c>
      <c r="K28" s="47">
        <v>10</v>
      </c>
      <c r="L28" s="51">
        <f t="shared" si="38"/>
        <v>0.52010463600000079</v>
      </c>
      <c r="M28" s="51">
        <f t="shared" si="39"/>
        <v>0.41038703600000059</v>
      </c>
      <c r="N28" s="51">
        <f t="shared" si="40"/>
        <v>0.70330792474384074</v>
      </c>
      <c r="O28" s="52">
        <f t="shared" si="41"/>
        <v>0.56684990549575054</v>
      </c>
      <c r="P28" s="122">
        <f t="shared" si="42"/>
        <v>0.12911995917322128</v>
      </c>
      <c r="Q28" s="53">
        <f t="shared" si="43"/>
        <v>0.62889462677744201</v>
      </c>
      <c r="S28" s="1">
        <f t="shared" si="20"/>
        <v>13</v>
      </c>
      <c r="T28" s="9">
        <f t="shared" ref="T28:T59" si="51">MAX(INDEX(scenariusz_I_inflacja,MATCH(ROUNDUP(S28/12,0)-1,scenariusz_I_rok,0)),0)</f>
        <v>0.05</v>
      </c>
      <c r="U28" s="3">
        <f t="shared" si="0"/>
        <v>10543.75</v>
      </c>
      <c r="V28" s="6">
        <f t="shared" si="21"/>
        <v>100</v>
      </c>
      <c r="W28" s="3">
        <f t="shared" si="22"/>
        <v>10000</v>
      </c>
      <c r="X28" s="3">
        <f t="shared" si="23"/>
        <v>10000</v>
      </c>
      <c r="Y28" s="3">
        <f t="shared" si="1"/>
        <v>10000</v>
      </c>
      <c r="Z28" s="9">
        <f t="shared" si="2"/>
        <v>5.7500000000000002E-2</v>
      </c>
      <c r="AA28" s="3">
        <f t="shared" si="3"/>
        <v>10047.916666666668</v>
      </c>
      <c r="AB28" s="3" t="str">
        <f t="shared" si="4"/>
        <v>nie</v>
      </c>
      <c r="AC28" s="3">
        <f t="shared" si="5"/>
        <v>70</v>
      </c>
      <c r="AD28" s="1">
        <f t="shared" ref="AD28:AD59" si="52">IF(AP27&lt;&gt;0,AS27+AU27,AD27)</f>
        <v>1</v>
      </c>
      <c r="AE28" s="7"/>
      <c r="AF28" s="7"/>
      <c r="AG28" s="7"/>
      <c r="AH28" s="3">
        <f>AD28*100</f>
        <v>100</v>
      </c>
      <c r="AI28" s="9">
        <f t="shared" ref="AI28:AI59" si="53">proc_I_okres_COI</f>
        <v>1.2999999999999999E-2</v>
      </c>
      <c r="AJ28" s="3">
        <f>AH28*(1+AI28*IF(MOD($S28,12)&lt;&gt;0,MOD($S28,12),12)/12)</f>
        <v>100.10833333333333</v>
      </c>
      <c r="AK28" s="3">
        <f t="shared" ref="AK28:AK59" si="54">MIN(AD28*koszt_wczesniejszy_wykup_COI,AJ28-AH28)</f>
        <v>0.10833333333333428</v>
      </c>
      <c r="AL28" s="7"/>
      <c r="AM28" s="7"/>
      <c r="AN28" s="7"/>
      <c r="AO28" s="7"/>
      <c r="AP28" s="3">
        <f t="shared" si="6"/>
        <v>0</v>
      </c>
      <c r="AQ28" s="3">
        <f t="shared" ref="AQ28" si="55">IF(MOD(S28,12)=0,AJ28-AH28+AN28-AL28+AG28*100,0)</f>
        <v>0</v>
      </c>
      <c r="AR28" s="3">
        <f t="shared" ref="AR28" si="56">AV27+AP28+AQ28</f>
        <v>29.999999999998181</v>
      </c>
      <c r="AS28" s="1">
        <f t="shared" si="50"/>
        <v>0</v>
      </c>
      <c r="AT28" s="3">
        <f t="shared" si="8"/>
        <v>29.999999999998181</v>
      </c>
      <c r="AU28" s="1">
        <f t="shared" ref="AU28:AU91" si="57">ROUNDDOWN(AT28/100,0)</f>
        <v>0</v>
      </c>
      <c r="AV28" s="3">
        <f t="shared" si="24"/>
        <v>29.999999999998181</v>
      </c>
      <c r="AW28" s="3">
        <f>AA28+AJ28+AN28+AV27</f>
        <v>10178.025</v>
      </c>
      <c r="AX28" s="3">
        <f>MIN(IF(MOD(S28,12)=0,INDEX(IKE_oplata_wskaznik,MATCH(ROUNDUP(S28/12,0),IKE_oplata_rok,0)),0)*AW28,200)</f>
        <v>0</v>
      </c>
      <c r="AY28" s="3">
        <f t="shared" si="25"/>
        <v>0</v>
      </c>
      <c r="AZ28" s="3">
        <f t="shared" si="11"/>
        <v>10178.025</v>
      </c>
      <c r="BA28" s="3">
        <f t="shared" si="26"/>
        <v>70.108333333333334</v>
      </c>
      <c r="BB28" s="3">
        <f t="shared" si="12"/>
        <v>20.504166666666553</v>
      </c>
      <c r="BC28" s="3">
        <f t="shared" si="13"/>
        <v>10087.4125</v>
      </c>
      <c r="BE28" s="6">
        <f t="shared" si="27"/>
        <v>100</v>
      </c>
      <c r="BF28" s="3">
        <f t="shared" si="28"/>
        <v>10000</v>
      </c>
      <c r="BG28" s="3">
        <f t="shared" si="29"/>
        <v>10000</v>
      </c>
      <c r="BH28" s="3">
        <f t="shared" si="30"/>
        <v>10169.999999999998</v>
      </c>
      <c r="BI28" s="9">
        <f t="shared" si="14"/>
        <v>6.0000000000000005E-2</v>
      </c>
      <c r="BJ28" s="3">
        <f t="shared" si="15"/>
        <v>10220.849999999997</v>
      </c>
      <c r="BK28" s="3" t="str">
        <f t="shared" si="16"/>
        <v>nie</v>
      </c>
      <c r="BL28" s="3">
        <f t="shared" si="31"/>
        <v>0</v>
      </c>
      <c r="BM28" s="3">
        <f t="shared" si="32"/>
        <v>0</v>
      </c>
      <c r="BN28" s="3">
        <f t="shared" si="33"/>
        <v>10220.849999999997</v>
      </c>
      <c r="BO28" s="3">
        <f>MIN(IF(MOD(S28,12)=0,INDEX(IKE_oplata_wskaznik,MATCH(ROUNDUP(S28/12,0),IKE_oplata_rok,0)),0)*BN28,200)</f>
        <v>0</v>
      </c>
      <c r="BP28" s="3">
        <f t="shared" si="34"/>
        <v>0</v>
      </c>
      <c r="BQ28" s="3">
        <f t="shared" si="35"/>
        <v>10220.849999999997</v>
      </c>
      <c r="BR28" s="3">
        <f t="shared" si="18"/>
        <v>200</v>
      </c>
      <c r="BS28" s="3">
        <f t="shared" si="19"/>
        <v>3.9614999999993779</v>
      </c>
      <c r="BT28" s="3">
        <f t="shared" si="36"/>
        <v>10016.888499999997</v>
      </c>
    </row>
    <row r="29" spans="1:72" ht="15.75" customHeight="1">
      <c r="A29" s="161"/>
      <c r="C29" s="47">
        <v>11</v>
      </c>
      <c r="D29" s="3">
        <f t="shared" si="44"/>
        <v>15972.516860000009</v>
      </c>
      <c r="E29" s="3">
        <f t="shared" si="45"/>
        <v>14721.160860000007</v>
      </c>
      <c r="F29" s="3">
        <f t="shared" si="46"/>
        <v>17323.389446425346</v>
      </c>
      <c r="G29" s="3">
        <f t="shared" si="47"/>
        <v>15683.689446425349</v>
      </c>
      <c r="H29" s="120">
        <f t="shared" si="48"/>
        <v>11429.154217133617</v>
      </c>
      <c r="I29" s="103">
        <f t="shared" si="49"/>
        <v>17103.393581163142</v>
      </c>
      <c r="K29" s="47">
        <v>11</v>
      </c>
      <c r="L29" s="51">
        <f t="shared" si="38"/>
        <v>0.59725168600000078</v>
      </c>
      <c r="M29" s="51">
        <f t="shared" si="39"/>
        <v>0.47211608600000066</v>
      </c>
      <c r="N29" s="51">
        <f t="shared" si="40"/>
        <v>0.73233894464253457</v>
      </c>
      <c r="O29" s="52">
        <f t="shared" si="41"/>
        <v>0.56836894464253485</v>
      </c>
      <c r="P29" s="122">
        <f t="shared" si="42"/>
        <v>0.14291542171336169</v>
      </c>
      <c r="Q29" s="53">
        <f t="shared" si="43"/>
        <v>0.71033935811631421</v>
      </c>
      <c r="S29" s="1">
        <f t="shared" si="20"/>
        <v>14</v>
      </c>
      <c r="T29" s="9">
        <f t="shared" si="51"/>
        <v>0.05</v>
      </c>
      <c r="U29" s="3">
        <f t="shared" si="0"/>
        <v>10587.5</v>
      </c>
      <c r="V29" s="6">
        <f t="shared" si="21"/>
        <v>100</v>
      </c>
      <c r="W29" s="3">
        <f t="shared" si="22"/>
        <v>10000</v>
      </c>
      <c r="X29" s="3">
        <f t="shared" si="23"/>
        <v>10000</v>
      </c>
      <c r="Y29" s="3">
        <f t="shared" si="1"/>
        <v>10000</v>
      </c>
      <c r="Z29" s="9">
        <f t="shared" si="2"/>
        <v>5.7500000000000002E-2</v>
      </c>
      <c r="AA29" s="3">
        <f t="shared" si="3"/>
        <v>10095.833333333332</v>
      </c>
      <c r="AB29" s="3" t="str">
        <f t="shared" si="4"/>
        <v>nie</v>
      </c>
      <c r="AC29" s="3">
        <f t="shared" si="5"/>
        <v>70</v>
      </c>
      <c r="AD29" s="1">
        <f t="shared" si="52"/>
        <v>1</v>
      </c>
      <c r="AE29" s="7"/>
      <c r="AF29" s="7"/>
      <c r="AG29" s="7"/>
      <c r="AH29" s="3">
        <f t="shared" ref="AH29:AH92" si="58">AD29*100</f>
        <v>100</v>
      </c>
      <c r="AI29" s="9">
        <f t="shared" si="53"/>
        <v>1.2999999999999999E-2</v>
      </c>
      <c r="AJ29" s="3">
        <f t="shared" ref="AJ29:AJ92" si="59">AH29*(1+AI29*IF(MOD($S29,12)&lt;&gt;0,MOD($S29,12),12)/12)</f>
        <v>100.21666666666667</v>
      </c>
      <c r="AK29" s="3">
        <f t="shared" si="54"/>
        <v>0.21666666666666856</v>
      </c>
      <c r="AL29" s="7"/>
      <c r="AM29" s="7"/>
      <c r="AN29" s="7"/>
      <c r="AO29" s="7"/>
      <c r="AP29" s="3">
        <f t="shared" si="6"/>
        <v>0</v>
      </c>
      <c r="AQ29" s="3">
        <f t="shared" ref="AQ29:AQ92" si="60">IF(MOD(S29,12)=0,AJ29-AH29+AN29-AL29+AG29*100,0)</f>
        <v>0</v>
      </c>
      <c r="AR29" s="3">
        <f t="shared" ref="AR29:AR92" si="61">AV28+AP29+AQ29</f>
        <v>29.999999999998181</v>
      </c>
      <c r="AS29" s="1">
        <f t="shared" si="50"/>
        <v>0</v>
      </c>
      <c r="AT29" s="3">
        <f t="shared" si="8"/>
        <v>29.999999999998181</v>
      </c>
      <c r="AU29" s="1">
        <f t="shared" si="57"/>
        <v>0</v>
      </c>
      <c r="AV29" s="3">
        <f t="shared" ref="AV29:AV92" si="62">AT29-AU29*100</f>
        <v>29.999999999998181</v>
      </c>
      <c r="AW29" s="3">
        <f t="shared" ref="AW29:AW92" si="63">AA29+AJ29+AN29+AV28</f>
        <v>10226.049999999997</v>
      </c>
      <c r="AX29" s="3">
        <f>MIN(IF(MOD(S29,12)=0,INDEX(IKE_oplata_wskaznik,MATCH(ROUNDUP(S29/12,0),IKE_oplata_rok,0)),0)*AW29,200)</f>
        <v>0</v>
      </c>
      <c r="AY29" s="3">
        <f t="shared" si="25"/>
        <v>0</v>
      </c>
      <c r="AZ29" s="3">
        <f t="shared" si="11"/>
        <v>10226.049999999997</v>
      </c>
      <c r="BA29" s="3">
        <f t="shared" si="26"/>
        <v>70.216666666666669</v>
      </c>
      <c r="BB29" s="3">
        <f t="shared" si="12"/>
        <v>29.608333333332759</v>
      </c>
      <c r="BC29" s="3">
        <f t="shared" si="13"/>
        <v>10126.224999999997</v>
      </c>
      <c r="BE29" s="6">
        <f t="shared" si="27"/>
        <v>100</v>
      </c>
      <c r="BF29" s="3">
        <f t="shared" si="28"/>
        <v>10000</v>
      </c>
      <c r="BG29" s="3">
        <f t="shared" si="29"/>
        <v>10000</v>
      </c>
      <c r="BH29" s="3">
        <f t="shared" si="30"/>
        <v>10169.999999999998</v>
      </c>
      <c r="BI29" s="9">
        <f t="shared" si="14"/>
        <v>6.0000000000000005E-2</v>
      </c>
      <c r="BJ29" s="3">
        <f t="shared" si="15"/>
        <v>10271.699999999999</v>
      </c>
      <c r="BK29" s="3" t="str">
        <f t="shared" si="16"/>
        <v>nie</v>
      </c>
      <c r="BL29" s="3">
        <f t="shared" si="31"/>
        <v>0</v>
      </c>
      <c r="BM29" s="3">
        <f t="shared" si="32"/>
        <v>0</v>
      </c>
      <c r="BN29" s="3">
        <f t="shared" si="33"/>
        <v>10271.699999999999</v>
      </c>
      <c r="BO29" s="3">
        <f>MIN(IF(MOD(S29,12)=0,INDEX(IKE_oplata_wskaznik,MATCH(ROUNDUP(S29/12,0),IKE_oplata_rok,0)),0)*BN29,200)</f>
        <v>0</v>
      </c>
      <c r="BP29" s="3">
        <f t="shared" si="34"/>
        <v>0</v>
      </c>
      <c r="BQ29" s="3">
        <f t="shared" si="35"/>
        <v>10271.699999999999</v>
      </c>
      <c r="BR29" s="3">
        <f t="shared" si="18"/>
        <v>200</v>
      </c>
      <c r="BS29" s="3">
        <f t="shared" si="19"/>
        <v>13.622999999999793</v>
      </c>
      <c r="BT29" s="3">
        <f t="shared" si="36"/>
        <v>10058.076999999999</v>
      </c>
    </row>
    <row r="30" spans="1:72" ht="15" customHeight="1" thickBot="1">
      <c r="A30" s="161"/>
      <c r="C30" s="60">
        <v>12</v>
      </c>
      <c r="D30" s="104">
        <f t="shared" si="44"/>
        <v>16797.845060000011</v>
      </c>
      <c r="E30" s="104">
        <f t="shared" si="45"/>
        <v>15444.853060000009</v>
      </c>
      <c r="F30" s="104">
        <f t="shared" si="46"/>
        <v>18348.298203412287</v>
      </c>
      <c r="G30" s="104">
        <f t="shared" si="47"/>
        <v>16468.791223412289</v>
      </c>
      <c r="H30" s="120">
        <f t="shared" si="48"/>
        <v>11568.794356861026</v>
      </c>
      <c r="I30" s="105">
        <f t="shared" si="49"/>
        <v>17958.563260221301</v>
      </c>
      <c r="K30" s="60">
        <v>12</v>
      </c>
      <c r="L30" s="61">
        <f t="shared" si="38"/>
        <v>0.67978450600000095</v>
      </c>
      <c r="M30" s="61">
        <f t="shared" si="39"/>
        <v>0.54448530600000078</v>
      </c>
      <c r="N30" s="61">
        <f t="shared" si="40"/>
        <v>0.83482982034122877</v>
      </c>
      <c r="O30" s="62">
        <f t="shared" si="41"/>
        <v>0.64687912234122891</v>
      </c>
      <c r="P30" s="123">
        <f t="shared" si="42"/>
        <v>0.15687943568610252</v>
      </c>
      <c r="Q30" s="63">
        <f t="shared" si="43"/>
        <v>0.79585632602213008</v>
      </c>
      <c r="S30" s="1">
        <f t="shared" si="20"/>
        <v>15</v>
      </c>
      <c r="T30" s="9">
        <f t="shared" si="51"/>
        <v>0.05</v>
      </c>
      <c r="U30" s="3">
        <f t="shared" si="0"/>
        <v>10631.25</v>
      </c>
      <c r="V30" s="6">
        <f t="shared" si="21"/>
        <v>100</v>
      </c>
      <c r="W30" s="3">
        <f t="shared" si="22"/>
        <v>10000</v>
      </c>
      <c r="X30" s="3">
        <f t="shared" si="23"/>
        <v>10000</v>
      </c>
      <c r="Y30" s="3">
        <f t="shared" si="1"/>
        <v>10000</v>
      </c>
      <c r="Z30" s="9">
        <f t="shared" si="2"/>
        <v>5.7500000000000002E-2</v>
      </c>
      <c r="AA30" s="3">
        <f t="shared" si="3"/>
        <v>10143.75</v>
      </c>
      <c r="AB30" s="3" t="str">
        <f t="shared" si="4"/>
        <v>nie</v>
      </c>
      <c r="AC30" s="3">
        <f t="shared" si="5"/>
        <v>70</v>
      </c>
      <c r="AD30" s="1">
        <f t="shared" si="52"/>
        <v>1</v>
      </c>
      <c r="AE30" s="7"/>
      <c r="AF30" s="7"/>
      <c r="AG30" s="7"/>
      <c r="AH30" s="3">
        <f t="shared" si="58"/>
        <v>100</v>
      </c>
      <c r="AI30" s="9">
        <f t="shared" si="53"/>
        <v>1.2999999999999999E-2</v>
      </c>
      <c r="AJ30" s="3">
        <f t="shared" si="59"/>
        <v>100.325</v>
      </c>
      <c r="AK30" s="3">
        <f t="shared" si="54"/>
        <v>0.32500000000000284</v>
      </c>
      <c r="AL30" s="7"/>
      <c r="AM30" s="7"/>
      <c r="AN30" s="7"/>
      <c r="AO30" s="7"/>
      <c r="AP30" s="3">
        <f t="shared" si="6"/>
        <v>0</v>
      </c>
      <c r="AQ30" s="3">
        <f t="shared" si="60"/>
        <v>0</v>
      </c>
      <c r="AR30" s="3">
        <f t="shared" si="61"/>
        <v>29.999999999998181</v>
      </c>
      <c r="AS30" s="1">
        <f t="shared" si="50"/>
        <v>0</v>
      </c>
      <c r="AT30" s="3">
        <f t="shared" si="8"/>
        <v>29.999999999998181</v>
      </c>
      <c r="AU30" s="1">
        <f t="shared" si="57"/>
        <v>0</v>
      </c>
      <c r="AV30" s="3">
        <f t="shared" si="62"/>
        <v>29.999999999998181</v>
      </c>
      <c r="AW30" s="3">
        <f t="shared" si="63"/>
        <v>10274.074999999999</v>
      </c>
      <c r="AX30" s="3">
        <f>MIN(IF(MOD(S30,12)=0,INDEX(IKE_oplata_wskaznik,MATCH(ROUNDUP(S30/12,0),IKE_oplata_rok,0)),0)*AW30,200)</f>
        <v>0</v>
      </c>
      <c r="AY30" s="3">
        <f t="shared" si="25"/>
        <v>0</v>
      </c>
      <c r="AZ30" s="3">
        <f t="shared" si="11"/>
        <v>10274.074999999999</v>
      </c>
      <c r="BA30" s="3">
        <f t="shared" si="26"/>
        <v>70.325000000000003</v>
      </c>
      <c r="BB30" s="3">
        <f t="shared" si="12"/>
        <v>38.712499999999658</v>
      </c>
      <c r="BC30" s="3">
        <f t="shared" si="13"/>
        <v>10165.037499999999</v>
      </c>
      <c r="BE30" s="6">
        <f t="shared" si="27"/>
        <v>100</v>
      </c>
      <c r="BF30" s="3">
        <f t="shared" si="28"/>
        <v>10000</v>
      </c>
      <c r="BG30" s="3">
        <f t="shared" si="29"/>
        <v>10000</v>
      </c>
      <c r="BH30" s="3">
        <f t="shared" si="30"/>
        <v>10169.999999999998</v>
      </c>
      <c r="BI30" s="9">
        <f t="shared" si="14"/>
        <v>6.0000000000000005E-2</v>
      </c>
      <c r="BJ30" s="3">
        <f t="shared" si="15"/>
        <v>10322.549999999997</v>
      </c>
      <c r="BK30" s="3" t="str">
        <f t="shared" si="16"/>
        <v>nie</v>
      </c>
      <c r="BL30" s="3">
        <f t="shared" si="31"/>
        <v>0</v>
      </c>
      <c r="BM30" s="3">
        <f t="shared" si="32"/>
        <v>0</v>
      </c>
      <c r="BN30" s="3">
        <f t="shared" si="33"/>
        <v>10322.549999999997</v>
      </c>
      <c r="BO30" s="3">
        <f>MIN(IF(MOD(S30,12)=0,INDEX(IKE_oplata_wskaznik,MATCH(ROUNDUP(S30/12,0),IKE_oplata_rok,0)),0)*BN30,200)</f>
        <v>0</v>
      </c>
      <c r="BP30" s="3">
        <f t="shared" si="34"/>
        <v>0</v>
      </c>
      <c r="BQ30" s="3">
        <f t="shared" si="35"/>
        <v>10322.549999999997</v>
      </c>
      <c r="BR30" s="3">
        <f t="shared" si="18"/>
        <v>200</v>
      </c>
      <c r="BS30" s="3">
        <f t="shared" si="19"/>
        <v>23.284499999999518</v>
      </c>
      <c r="BT30" s="3">
        <f t="shared" si="36"/>
        <v>10099.265499999998</v>
      </c>
    </row>
    <row r="31" spans="1:72" ht="23.5" customHeight="1" thickBot="1">
      <c r="A31" s="161"/>
      <c r="C31" s="102">
        <v>48</v>
      </c>
      <c r="D31" s="104">
        <f>INDEX(IKE_wyniki_COI_preferencje,MATCH(IKE_zakup_domyslny_mc,IKE_wyniki_mc,0))</f>
        <v>11865.844405000003</v>
      </c>
      <c r="E31" s="104">
        <f>INDEX(IKE_wyniki_COI_I,MATCH(IKE_zakup_domyslny_mc,IKE_wyniki_mc,0))</f>
        <v>11494.886405000003</v>
      </c>
      <c r="F31" s="104">
        <f>INDEX(IKE_wyniki_EDO_preferencje,MATCH(IKE_zakup_domyslny_mc,IKE_wyniki_mc,0))</f>
        <v>12061.286196191999</v>
      </c>
      <c r="G31" s="104">
        <f>INDEX(IKE_wyniki_EDO_I,MATCH(IKE_zakup_domyslny_mc,IKE_wyniki_mc,0))</f>
        <v>11497.885979391998</v>
      </c>
      <c r="H31" s="121">
        <f>INDEX(H34:H178,MATCH(zakup_domyslny_mc,C34:C178,0))</f>
        <v>10497.745353195629</v>
      </c>
      <c r="I31" s="105">
        <f>INDEX(IKE_wyniki_skumulowana_inflacja,MATCH(IKE_zakup_domyslny_mc,IKE_wyniki_mc,0))</f>
        <v>12155.062500000002</v>
      </c>
      <c r="K31" s="112">
        <f>zakup_domyslny_mc</f>
        <v>48</v>
      </c>
      <c r="L31" s="96">
        <f t="shared" si="38"/>
        <v>0.18658444050000034</v>
      </c>
      <c r="M31" s="96">
        <f t="shared" si="39"/>
        <v>0.14948864050000021</v>
      </c>
      <c r="N31" s="96">
        <f t="shared" si="40"/>
        <v>0.20612861961919982</v>
      </c>
      <c r="O31" s="96">
        <f t="shared" si="41"/>
        <v>0.14978859793919974</v>
      </c>
      <c r="P31" s="96">
        <f t="shared" si="42"/>
        <v>4.9774535319562885E-2</v>
      </c>
      <c r="Q31" s="97">
        <f t="shared" si="43"/>
        <v>0.21550625000000023</v>
      </c>
      <c r="S31" s="1">
        <f t="shared" si="20"/>
        <v>16</v>
      </c>
      <c r="T31" s="9">
        <f t="shared" si="51"/>
        <v>0.05</v>
      </c>
      <c r="U31" s="3">
        <f t="shared" si="0"/>
        <v>10675</v>
      </c>
      <c r="V31" s="6">
        <f t="shared" si="21"/>
        <v>100</v>
      </c>
      <c r="W31" s="3">
        <f t="shared" si="22"/>
        <v>10000</v>
      </c>
      <c r="X31" s="3">
        <f t="shared" si="23"/>
        <v>10000</v>
      </c>
      <c r="Y31" s="3">
        <f t="shared" si="1"/>
        <v>10000</v>
      </c>
      <c r="Z31" s="9">
        <f t="shared" si="2"/>
        <v>5.7500000000000002E-2</v>
      </c>
      <c r="AA31" s="3">
        <f t="shared" si="3"/>
        <v>10191.666666666668</v>
      </c>
      <c r="AB31" s="3" t="str">
        <f t="shared" si="4"/>
        <v>nie</v>
      </c>
      <c r="AC31" s="3">
        <f t="shared" si="5"/>
        <v>70</v>
      </c>
      <c r="AD31" s="1">
        <f t="shared" si="52"/>
        <v>1</v>
      </c>
      <c r="AE31" s="7"/>
      <c r="AF31" s="7"/>
      <c r="AG31" s="7"/>
      <c r="AH31" s="3">
        <f t="shared" si="58"/>
        <v>100</v>
      </c>
      <c r="AI31" s="9">
        <f t="shared" si="53"/>
        <v>1.2999999999999999E-2</v>
      </c>
      <c r="AJ31" s="3">
        <f t="shared" si="59"/>
        <v>100.43333333333334</v>
      </c>
      <c r="AK31" s="3">
        <f t="shared" si="54"/>
        <v>0.43333333333333712</v>
      </c>
      <c r="AL31" s="7"/>
      <c r="AM31" s="7"/>
      <c r="AN31" s="7"/>
      <c r="AO31" s="7"/>
      <c r="AP31" s="3">
        <f t="shared" si="6"/>
        <v>0</v>
      </c>
      <c r="AQ31" s="3">
        <f t="shared" si="60"/>
        <v>0</v>
      </c>
      <c r="AR31" s="3">
        <f t="shared" si="61"/>
        <v>29.999999999998181</v>
      </c>
      <c r="AS31" s="1">
        <f t="shared" si="50"/>
        <v>0</v>
      </c>
      <c r="AT31" s="3">
        <f t="shared" si="8"/>
        <v>29.999999999998181</v>
      </c>
      <c r="AU31" s="1">
        <f t="shared" si="57"/>
        <v>0</v>
      </c>
      <c r="AV31" s="3">
        <f t="shared" si="62"/>
        <v>29.999999999998181</v>
      </c>
      <c r="AW31" s="3">
        <f t="shared" si="63"/>
        <v>10322.099999999999</v>
      </c>
      <c r="AX31" s="3">
        <f>MIN(IF(MOD(S31,12)=0,INDEX(IKE_oplata_wskaznik,MATCH(ROUNDUP(S31/12,0),IKE_oplata_rok,0)),0)*AW31,200)</f>
        <v>0</v>
      </c>
      <c r="AY31" s="3">
        <f t="shared" si="25"/>
        <v>0</v>
      </c>
      <c r="AZ31" s="3">
        <f t="shared" si="11"/>
        <v>10322.099999999999</v>
      </c>
      <c r="BA31" s="3">
        <f t="shared" si="26"/>
        <v>70.433333333333337</v>
      </c>
      <c r="BB31" s="3">
        <f t="shared" si="12"/>
        <v>47.816666666666549</v>
      </c>
      <c r="BC31" s="3">
        <f t="shared" si="13"/>
        <v>10203.85</v>
      </c>
      <c r="BE31" s="6">
        <f t="shared" si="27"/>
        <v>100</v>
      </c>
      <c r="BF31" s="3">
        <f t="shared" si="28"/>
        <v>10000</v>
      </c>
      <c r="BG31" s="3">
        <f t="shared" si="29"/>
        <v>10000</v>
      </c>
      <c r="BH31" s="3">
        <f t="shared" si="30"/>
        <v>10169.999999999998</v>
      </c>
      <c r="BI31" s="9">
        <f t="shared" si="14"/>
        <v>6.0000000000000005E-2</v>
      </c>
      <c r="BJ31" s="3">
        <f t="shared" si="15"/>
        <v>10373.399999999998</v>
      </c>
      <c r="BK31" s="3" t="str">
        <f t="shared" si="16"/>
        <v>nie</v>
      </c>
      <c r="BL31" s="3">
        <f t="shared" si="31"/>
        <v>0</v>
      </c>
      <c r="BM31" s="3">
        <f t="shared" si="32"/>
        <v>0</v>
      </c>
      <c r="BN31" s="3">
        <f t="shared" si="33"/>
        <v>10373.399999999998</v>
      </c>
      <c r="BO31" s="3">
        <f>MIN(IF(MOD(S31,12)=0,INDEX(IKE_oplata_wskaznik,MATCH(ROUNDUP(S31/12,0),IKE_oplata_rok,0)),0)*BN31,200)</f>
        <v>0</v>
      </c>
      <c r="BP31" s="3">
        <f t="shared" si="34"/>
        <v>0</v>
      </c>
      <c r="BQ31" s="3">
        <f t="shared" si="35"/>
        <v>10373.399999999998</v>
      </c>
      <c r="BR31" s="3">
        <f t="shared" si="18"/>
        <v>200</v>
      </c>
      <c r="BS31" s="3">
        <f t="shared" si="19"/>
        <v>32.945999999999586</v>
      </c>
      <c r="BT31" s="3">
        <f t="shared" si="36"/>
        <v>10140.453999999998</v>
      </c>
    </row>
    <row r="32" spans="1:72">
      <c r="S32" s="1">
        <f t="shared" si="20"/>
        <v>17</v>
      </c>
      <c r="T32" s="9">
        <f t="shared" si="51"/>
        <v>0.05</v>
      </c>
      <c r="U32" s="3">
        <f t="shared" si="0"/>
        <v>10718.75</v>
      </c>
      <c r="V32" s="6">
        <f t="shared" si="21"/>
        <v>100</v>
      </c>
      <c r="W32" s="3">
        <f t="shared" si="22"/>
        <v>10000</v>
      </c>
      <c r="X32" s="3">
        <f t="shared" si="23"/>
        <v>10000</v>
      </c>
      <c r="Y32" s="3">
        <f t="shared" si="1"/>
        <v>10000</v>
      </c>
      <c r="Z32" s="9">
        <f t="shared" si="2"/>
        <v>5.7500000000000002E-2</v>
      </c>
      <c r="AA32" s="3">
        <f t="shared" si="3"/>
        <v>10239.583333333334</v>
      </c>
      <c r="AB32" s="3" t="str">
        <f t="shared" si="4"/>
        <v>nie</v>
      </c>
      <c r="AC32" s="3">
        <f t="shared" si="5"/>
        <v>70</v>
      </c>
      <c r="AD32" s="1">
        <f t="shared" si="52"/>
        <v>1</v>
      </c>
      <c r="AE32" s="7"/>
      <c r="AF32" s="7"/>
      <c r="AG32" s="7"/>
      <c r="AH32" s="3">
        <f t="shared" si="58"/>
        <v>100</v>
      </c>
      <c r="AI32" s="9">
        <f t="shared" si="53"/>
        <v>1.2999999999999999E-2</v>
      </c>
      <c r="AJ32" s="3">
        <f t="shared" si="59"/>
        <v>100.54166666666666</v>
      </c>
      <c r="AK32" s="3">
        <f t="shared" si="54"/>
        <v>0.54166666666665719</v>
      </c>
      <c r="AL32" s="7"/>
      <c r="AM32" s="7"/>
      <c r="AN32" s="7"/>
      <c r="AO32" s="7"/>
      <c r="AP32" s="3">
        <f t="shared" si="6"/>
        <v>0</v>
      </c>
      <c r="AQ32" s="3">
        <f t="shared" si="60"/>
        <v>0</v>
      </c>
      <c r="AR32" s="3">
        <f t="shared" si="61"/>
        <v>29.999999999998181</v>
      </c>
      <c r="AS32" s="1">
        <f t="shared" si="50"/>
        <v>0</v>
      </c>
      <c r="AT32" s="3">
        <f t="shared" si="8"/>
        <v>29.999999999998181</v>
      </c>
      <c r="AU32" s="1">
        <f t="shared" si="57"/>
        <v>0</v>
      </c>
      <c r="AV32" s="3">
        <f t="shared" si="62"/>
        <v>29.999999999998181</v>
      </c>
      <c r="AW32" s="3">
        <f t="shared" si="63"/>
        <v>10370.124999999998</v>
      </c>
      <c r="AX32" s="3">
        <f>MIN(IF(MOD(S32,12)=0,INDEX(IKE_oplata_wskaznik,MATCH(ROUNDUP(S32/12,0),IKE_oplata_rok,0)),0)*AW32,200)</f>
        <v>0</v>
      </c>
      <c r="AY32" s="3">
        <f t="shared" si="25"/>
        <v>0</v>
      </c>
      <c r="AZ32" s="3">
        <f t="shared" si="11"/>
        <v>10370.124999999998</v>
      </c>
      <c r="BA32" s="3">
        <f t="shared" si="26"/>
        <v>70.541666666666657</v>
      </c>
      <c r="BB32" s="3">
        <f t="shared" si="12"/>
        <v>56.920833333333107</v>
      </c>
      <c r="BC32" s="3">
        <f t="shared" si="13"/>
        <v>10242.662499999999</v>
      </c>
      <c r="BE32" s="6">
        <f t="shared" si="27"/>
        <v>100</v>
      </c>
      <c r="BF32" s="3">
        <f t="shared" si="28"/>
        <v>10000</v>
      </c>
      <c r="BG32" s="3">
        <f t="shared" si="29"/>
        <v>10000</v>
      </c>
      <c r="BH32" s="3">
        <f t="shared" si="30"/>
        <v>10169.999999999998</v>
      </c>
      <c r="BI32" s="9">
        <f t="shared" si="14"/>
        <v>6.0000000000000005E-2</v>
      </c>
      <c r="BJ32" s="3">
        <f t="shared" si="15"/>
        <v>10424.249999999996</v>
      </c>
      <c r="BK32" s="3" t="str">
        <f t="shared" si="16"/>
        <v>nie</v>
      </c>
      <c r="BL32" s="3">
        <f t="shared" si="31"/>
        <v>0</v>
      </c>
      <c r="BM32" s="3">
        <f t="shared" si="32"/>
        <v>0</v>
      </c>
      <c r="BN32" s="3">
        <f t="shared" si="33"/>
        <v>10424.249999999996</v>
      </c>
      <c r="BO32" s="3">
        <f>MIN(IF(MOD(S32,12)=0,INDEX(IKE_oplata_wskaznik,MATCH(ROUNDUP(S32/12,0),IKE_oplata_rok,0)),0)*BN32,200)</f>
        <v>0</v>
      </c>
      <c r="BP32" s="3">
        <f t="shared" si="34"/>
        <v>0</v>
      </c>
      <c r="BQ32" s="3">
        <f t="shared" si="35"/>
        <v>10424.249999999996</v>
      </c>
      <c r="BR32" s="3">
        <f t="shared" si="18"/>
        <v>200</v>
      </c>
      <c r="BS32" s="3">
        <f t="shared" si="19"/>
        <v>42.607499999999312</v>
      </c>
      <c r="BT32" s="3">
        <f t="shared" si="36"/>
        <v>10181.642499999996</v>
      </c>
    </row>
    <row r="33" spans="2:72" ht="29">
      <c r="C33" s="10" t="s">
        <v>16</v>
      </c>
      <c r="D33" s="14" t="s">
        <v>57</v>
      </c>
      <c r="E33" s="13" t="s">
        <v>0</v>
      </c>
      <c r="F33" s="14" t="s">
        <v>58</v>
      </c>
      <c r="G33" s="13" t="s">
        <v>1</v>
      </c>
      <c r="H33" s="13" t="s">
        <v>78</v>
      </c>
      <c r="I33" s="14" t="s">
        <v>59</v>
      </c>
      <c r="S33" s="1">
        <f t="shared" si="20"/>
        <v>18</v>
      </c>
      <c r="T33" s="9">
        <f t="shared" si="51"/>
        <v>0.05</v>
      </c>
      <c r="U33" s="3">
        <f t="shared" si="0"/>
        <v>10762.499999999998</v>
      </c>
      <c r="V33" s="6">
        <f t="shared" si="21"/>
        <v>100</v>
      </c>
      <c r="W33" s="3">
        <f t="shared" si="22"/>
        <v>10000</v>
      </c>
      <c r="X33" s="3">
        <f t="shared" si="23"/>
        <v>10000</v>
      </c>
      <c r="Y33" s="3">
        <f t="shared" si="1"/>
        <v>10000</v>
      </c>
      <c r="Z33" s="9">
        <f t="shared" si="2"/>
        <v>5.7500000000000002E-2</v>
      </c>
      <c r="AA33" s="3">
        <f t="shared" si="3"/>
        <v>10287.5</v>
      </c>
      <c r="AB33" s="3" t="str">
        <f t="shared" si="4"/>
        <v>nie</v>
      </c>
      <c r="AC33" s="3">
        <f t="shared" si="5"/>
        <v>70</v>
      </c>
      <c r="AD33" s="1">
        <f t="shared" si="52"/>
        <v>1</v>
      </c>
      <c r="AE33" s="7"/>
      <c r="AF33" s="7"/>
      <c r="AG33" s="7"/>
      <c r="AH33" s="3">
        <f t="shared" si="58"/>
        <v>100</v>
      </c>
      <c r="AI33" s="9">
        <f t="shared" si="53"/>
        <v>1.2999999999999999E-2</v>
      </c>
      <c r="AJ33" s="3">
        <f t="shared" si="59"/>
        <v>100.64999999999999</v>
      </c>
      <c r="AK33" s="3">
        <f t="shared" si="54"/>
        <v>0.64999999999999147</v>
      </c>
      <c r="AL33" s="7"/>
      <c r="AM33" s="7"/>
      <c r="AN33" s="7"/>
      <c r="AO33" s="7"/>
      <c r="AP33" s="3">
        <f t="shared" si="6"/>
        <v>0</v>
      </c>
      <c r="AQ33" s="3">
        <f t="shared" si="60"/>
        <v>0</v>
      </c>
      <c r="AR33" s="3">
        <f t="shared" si="61"/>
        <v>29.999999999998181</v>
      </c>
      <c r="AS33" s="1">
        <f t="shared" si="50"/>
        <v>0</v>
      </c>
      <c r="AT33" s="3">
        <f t="shared" si="8"/>
        <v>29.999999999998181</v>
      </c>
      <c r="AU33" s="1">
        <f t="shared" si="57"/>
        <v>0</v>
      </c>
      <c r="AV33" s="3">
        <f t="shared" si="62"/>
        <v>29.999999999998181</v>
      </c>
      <c r="AW33" s="3">
        <f t="shared" si="63"/>
        <v>10418.149999999998</v>
      </c>
      <c r="AX33" s="3">
        <f>MIN(IF(MOD(S33,12)=0,INDEX(IKE_oplata_wskaznik,MATCH(ROUNDUP(S33/12,0),IKE_oplata_rok,0)),0)*AW33,200)</f>
        <v>0</v>
      </c>
      <c r="AY33" s="3">
        <f t="shared" si="25"/>
        <v>0</v>
      </c>
      <c r="AZ33" s="3">
        <f t="shared" si="11"/>
        <v>10418.149999999998</v>
      </c>
      <c r="BA33" s="3">
        <f t="shared" si="26"/>
        <v>70.649999999999991</v>
      </c>
      <c r="BB33" s="3">
        <f t="shared" si="12"/>
        <v>66.02499999999965</v>
      </c>
      <c r="BC33" s="3">
        <f t="shared" si="13"/>
        <v>10281.474999999999</v>
      </c>
      <c r="BE33" s="6">
        <f t="shared" si="27"/>
        <v>100</v>
      </c>
      <c r="BF33" s="3">
        <f t="shared" si="28"/>
        <v>10000</v>
      </c>
      <c r="BG33" s="3">
        <f t="shared" si="29"/>
        <v>10000</v>
      </c>
      <c r="BH33" s="3">
        <f t="shared" si="30"/>
        <v>10169.999999999998</v>
      </c>
      <c r="BI33" s="9">
        <f t="shared" si="14"/>
        <v>6.0000000000000005E-2</v>
      </c>
      <c r="BJ33" s="3">
        <f t="shared" si="15"/>
        <v>10475.099999999999</v>
      </c>
      <c r="BK33" s="3" t="str">
        <f t="shared" si="16"/>
        <v>nie</v>
      </c>
      <c r="BL33" s="3">
        <f t="shared" si="31"/>
        <v>0</v>
      </c>
      <c r="BM33" s="3">
        <f t="shared" si="32"/>
        <v>0</v>
      </c>
      <c r="BN33" s="3">
        <f t="shared" si="33"/>
        <v>10475.099999999999</v>
      </c>
      <c r="BO33" s="3">
        <f>MIN(IF(MOD(S33,12)=0,INDEX(IKE_oplata_wskaznik,MATCH(ROUNDUP(S33/12,0),IKE_oplata_rok,0)),0)*BN33,200)</f>
        <v>0</v>
      </c>
      <c r="BP33" s="3">
        <f t="shared" si="34"/>
        <v>0</v>
      </c>
      <c r="BQ33" s="3">
        <f t="shared" si="35"/>
        <v>10475.099999999999</v>
      </c>
      <c r="BR33" s="3">
        <f t="shared" si="18"/>
        <v>200</v>
      </c>
      <c r="BS33" s="3">
        <f t="shared" si="19"/>
        <v>52.268999999999721</v>
      </c>
      <c r="BT33" s="3">
        <f t="shared" si="36"/>
        <v>10222.830999999998</v>
      </c>
    </row>
    <row r="34" spans="2:72">
      <c r="B34" s="171">
        <f>ROUNDUP(C35/12,0)</f>
        <v>1</v>
      </c>
      <c r="C34" s="1">
        <v>0</v>
      </c>
      <c r="D34" s="3">
        <f t="shared" ref="D34:I34" si="64">zakup_domyslny_wartosc</f>
        <v>10000</v>
      </c>
      <c r="E34" s="3">
        <f t="shared" si="64"/>
        <v>10000</v>
      </c>
      <c r="F34" s="3">
        <f t="shared" si="64"/>
        <v>10000</v>
      </c>
      <c r="G34" s="3">
        <f t="shared" si="64"/>
        <v>10000</v>
      </c>
      <c r="H34" s="49">
        <f t="shared" si="64"/>
        <v>10000</v>
      </c>
      <c r="I34" s="3">
        <f t="shared" si="64"/>
        <v>10000</v>
      </c>
      <c r="S34" s="1">
        <f t="shared" si="20"/>
        <v>19</v>
      </c>
      <c r="T34" s="9">
        <f t="shared" si="51"/>
        <v>0.05</v>
      </c>
      <c r="U34" s="3">
        <f t="shared" si="0"/>
        <v>10806.249999999998</v>
      </c>
      <c r="V34" s="6">
        <f t="shared" si="21"/>
        <v>100</v>
      </c>
      <c r="W34" s="3">
        <f t="shared" si="22"/>
        <v>10000</v>
      </c>
      <c r="X34" s="3">
        <f t="shared" si="23"/>
        <v>10000</v>
      </c>
      <c r="Y34" s="3">
        <f t="shared" si="1"/>
        <v>10000</v>
      </c>
      <c r="Z34" s="9">
        <f t="shared" si="2"/>
        <v>5.7500000000000002E-2</v>
      </c>
      <c r="AA34" s="3">
        <f t="shared" si="3"/>
        <v>10335.416666666666</v>
      </c>
      <c r="AB34" s="3" t="str">
        <f t="shared" si="4"/>
        <v>nie</v>
      </c>
      <c r="AC34" s="3">
        <f t="shared" si="5"/>
        <v>70</v>
      </c>
      <c r="AD34" s="1">
        <f t="shared" si="52"/>
        <v>1</v>
      </c>
      <c r="AE34" s="7"/>
      <c r="AF34" s="7"/>
      <c r="AG34" s="7"/>
      <c r="AH34" s="3">
        <f t="shared" si="58"/>
        <v>100</v>
      </c>
      <c r="AI34" s="9">
        <f t="shared" si="53"/>
        <v>1.2999999999999999E-2</v>
      </c>
      <c r="AJ34" s="3">
        <f t="shared" si="59"/>
        <v>100.75833333333333</v>
      </c>
      <c r="AK34" s="3">
        <f t="shared" si="54"/>
        <v>0.7</v>
      </c>
      <c r="AL34" s="7"/>
      <c r="AM34" s="7"/>
      <c r="AN34" s="7"/>
      <c r="AO34" s="7"/>
      <c r="AP34" s="3">
        <f t="shared" si="6"/>
        <v>0</v>
      </c>
      <c r="AQ34" s="3">
        <f t="shared" si="60"/>
        <v>0</v>
      </c>
      <c r="AR34" s="3">
        <f t="shared" si="61"/>
        <v>29.999999999998181</v>
      </c>
      <c r="AS34" s="1">
        <f t="shared" si="50"/>
        <v>0</v>
      </c>
      <c r="AT34" s="3">
        <f t="shared" si="8"/>
        <v>29.999999999998181</v>
      </c>
      <c r="AU34" s="1">
        <f t="shared" si="57"/>
        <v>0</v>
      </c>
      <c r="AV34" s="3">
        <f t="shared" si="62"/>
        <v>29.999999999998181</v>
      </c>
      <c r="AW34" s="3">
        <f t="shared" si="63"/>
        <v>10466.174999999997</v>
      </c>
      <c r="AX34" s="3">
        <f>MIN(IF(MOD(S34,12)=0,INDEX(IKE_oplata_wskaznik,MATCH(ROUNDUP(S34/12,0),IKE_oplata_rok,0)),0)*AW34,200)</f>
        <v>0</v>
      </c>
      <c r="AY34" s="3">
        <f t="shared" si="25"/>
        <v>0</v>
      </c>
      <c r="AZ34" s="3">
        <f t="shared" si="11"/>
        <v>10466.174999999997</v>
      </c>
      <c r="BA34" s="3">
        <f t="shared" si="26"/>
        <v>70.7</v>
      </c>
      <c r="BB34" s="3">
        <f t="shared" si="12"/>
        <v>75.140249999999384</v>
      </c>
      <c r="BC34" s="3">
        <f t="shared" si="13"/>
        <v>10320.334749999998</v>
      </c>
      <c r="BE34" s="6">
        <f t="shared" si="27"/>
        <v>100</v>
      </c>
      <c r="BF34" s="3">
        <f t="shared" si="28"/>
        <v>10000</v>
      </c>
      <c r="BG34" s="3">
        <f t="shared" si="29"/>
        <v>10000</v>
      </c>
      <c r="BH34" s="3">
        <f t="shared" si="30"/>
        <v>10169.999999999998</v>
      </c>
      <c r="BI34" s="9">
        <f t="shared" si="14"/>
        <v>6.0000000000000005E-2</v>
      </c>
      <c r="BJ34" s="3">
        <f t="shared" si="15"/>
        <v>10525.949999999997</v>
      </c>
      <c r="BK34" s="3" t="str">
        <f t="shared" si="16"/>
        <v>nie</v>
      </c>
      <c r="BL34" s="3">
        <f t="shared" si="31"/>
        <v>0</v>
      </c>
      <c r="BM34" s="3">
        <f t="shared" si="32"/>
        <v>0</v>
      </c>
      <c r="BN34" s="3">
        <f t="shared" si="33"/>
        <v>10525.949999999997</v>
      </c>
      <c r="BO34" s="3">
        <f>MIN(IF(MOD(S34,12)=0,INDEX(IKE_oplata_wskaznik,MATCH(ROUNDUP(S34/12,0),IKE_oplata_rok,0)),0)*BN34,200)</f>
        <v>0</v>
      </c>
      <c r="BP34" s="3">
        <f t="shared" si="34"/>
        <v>0</v>
      </c>
      <c r="BQ34" s="3">
        <f t="shared" si="35"/>
        <v>10525.949999999997</v>
      </c>
      <c r="BR34" s="3">
        <f t="shared" si="18"/>
        <v>200</v>
      </c>
      <c r="BS34" s="3">
        <f t="shared" si="19"/>
        <v>61.930499999999448</v>
      </c>
      <c r="BT34" s="3">
        <f t="shared" si="36"/>
        <v>10264.019499999999</v>
      </c>
    </row>
    <row r="35" spans="2:72">
      <c r="B35" s="172"/>
      <c r="C35" s="1">
        <f t="shared" ref="C35:C66" si="65">S16</f>
        <v>1</v>
      </c>
      <c r="D35" s="3">
        <f>AZ16</f>
        <v>10010.833333333334</v>
      </c>
      <c r="E35" s="3">
        <f>BC16</f>
        <v>10000</v>
      </c>
      <c r="F35" s="3">
        <f>BQ16</f>
        <v>10014.166666666666</v>
      </c>
      <c r="G35" s="3">
        <f>BT16</f>
        <v>10000</v>
      </c>
      <c r="H35" s="49">
        <f t="shared" ref="H35:H66" si="66">FV(INDEX(scenariusz_I_konto,MATCH(ROUNDUP(C35/12,0),scenariusz_I_rok,0))/12*(1-podatek_Belki),1,0,-H34,1)</f>
        <v>10010.125</v>
      </c>
      <c r="I35" s="3">
        <f>U16</f>
        <v>10041.666666666666</v>
      </c>
      <c r="S35" s="1">
        <f t="shared" si="20"/>
        <v>20</v>
      </c>
      <c r="T35" s="9">
        <f t="shared" si="51"/>
        <v>0.05</v>
      </c>
      <c r="U35" s="3">
        <f t="shared" si="0"/>
        <v>10850.000000000002</v>
      </c>
      <c r="V35" s="6">
        <f t="shared" si="21"/>
        <v>100</v>
      </c>
      <c r="W35" s="3">
        <f t="shared" si="22"/>
        <v>10000</v>
      </c>
      <c r="X35" s="3">
        <f t="shared" si="23"/>
        <v>10000</v>
      </c>
      <c r="Y35" s="3">
        <f t="shared" si="1"/>
        <v>10000</v>
      </c>
      <c r="Z35" s="9">
        <f t="shared" si="2"/>
        <v>5.7500000000000002E-2</v>
      </c>
      <c r="AA35" s="3">
        <f t="shared" si="3"/>
        <v>10383.333333333334</v>
      </c>
      <c r="AB35" s="3" t="str">
        <f t="shared" si="4"/>
        <v>nie</v>
      </c>
      <c r="AC35" s="3">
        <f t="shared" si="5"/>
        <v>70</v>
      </c>
      <c r="AD35" s="1">
        <f t="shared" si="52"/>
        <v>1</v>
      </c>
      <c r="AE35" s="7"/>
      <c r="AF35" s="7"/>
      <c r="AG35" s="7"/>
      <c r="AH35" s="3">
        <f t="shared" si="58"/>
        <v>100</v>
      </c>
      <c r="AI35" s="9">
        <f t="shared" si="53"/>
        <v>1.2999999999999999E-2</v>
      </c>
      <c r="AJ35" s="3">
        <f t="shared" si="59"/>
        <v>100.86666666666666</v>
      </c>
      <c r="AK35" s="3">
        <f t="shared" si="54"/>
        <v>0.7</v>
      </c>
      <c r="AL35" s="7"/>
      <c r="AM35" s="7"/>
      <c r="AN35" s="7"/>
      <c r="AO35" s="7"/>
      <c r="AP35" s="3">
        <f t="shared" si="6"/>
        <v>0</v>
      </c>
      <c r="AQ35" s="3">
        <f t="shared" si="60"/>
        <v>0</v>
      </c>
      <c r="AR35" s="3">
        <f t="shared" si="61"/>
        <v>29.999999999998181</v>
      </c>
      <c r="AS35" s="1">
        <f t="shared" si="50"/>
        <v>0</v>
      </c>
      <c r="AT35" s="3">
        <f t="shared" si="8"/>
        <v>29.999999999998181</v>
      </c>
      <c r="AU35" s="1">
        <f t="shared" si="57"/>
        <v>0</v>
      </c>
      <c r="AV35" s="3">
        <f t="shared" si="62"/>
        <v>29.999999999998181</v>
      </c>
      <c r="AW35" s="3">
        <f t="shared" si="63"/>
        <v>10514.199999999999</v>
      </c>
      <c r="AX35" s="3">
        <f>MIN(IF(MOD(S35,12)=0,INDEX(IKE_oplata_wskaznik,MATCH(ROUNDUP(S35/12,0),IKE_oplata_rok,0)),0)*AW35,200)</f>
        <v>0</v>
      </c>
      <c r="AY35" s="3">
        <f t="shared" si="25"/>
        <v>0</v>
      </c>
      <c r="AZ35" s="3">
        <f t="shared" si="11"/>
        <v>10514.199999999999</v>
      </c>
      <c r="BA35" s="3">
        <f t="shared" si="26"/>
        <v>70.7</v>
      </c>
      <c r="BB35" s="3">
        <f t="shared" si="12"/>
        <v>84.26499999999966</v>
      </c>
      <c r="BC35" s="3">
        <f t="shared" si="13"/>
        <v>10359.234999999999</v>
      </c>
      <c r="BE35" s="6">
        <f t="shared" si="27"/>
        <v>100</v>
      </c>
      <c r="BF35" s="3">
        <f t="shared" si="28"/>
        <v>10000</v>
      </c>
      <c r="BG35" s="3">
        <f t="shared" si="29"/>
        <v>10000</v>
      </c>
      <c r="BH35" s="3">
        <f t="shared" si="30"/>
        <v>10169.999999999998</v>
      </c>
      <c r="BI35" s="9">
        <f t="shared" si="14"/>
        <v>6.0000000000000005E-2</v>
      </c>
      <c r="BJ35" s="3">
        <f t="shared" si="15"/>
        <v>10576.8</v>
      </c>
      <c r="BK35" s="3" t="str">
        <f t="shared" si="16"/>
        <v>nie</v>
      </c>
      <c r="BL35" s="3">
        <f t="shared" si="31"/>
        <v>0</v>
      </c>
      <c r="BM35" s="3">
        <f t="shared" si="32"/>
        <v>0</v>
      </c>
      <c r="BN35" s="3">
        <f t="shared" si="33"/>
        <v>10576.8</v>
      </c>
      <c r="BO35" s="3">
        <f>MIN(IF(MOD(S35,12)=0,INDEX(IKE_oplata_wskaznik,MATCH(ROUNDUP(S35/12,0),IKE_oplata_rok,0)),0)*BN35,200)</f>
        <v>0</v>
      </c>
      <c r="BP35" s="3">
        <f t="shared" si="34"/>
        <v>0</v>
      </c>
      <c r="BQ35" s="3">
        <f t="shared" si="35"/>
        <v>10576.8</v>
      </c>
      <c r="BR35" s="3">
        <f t="shared" si="18"/>
        <v>200</v>
      </c>
      <c r="BS35" s="3">
        <f t="shared" si="19"/>
        <v>71.591999999999857</v>
      </c>
      <c r="BT35" s="3">
        <f t="shared" si="36"/>
        <v>10305.207999999999</v>
      </c>
    </row>
    <row r="36" spans="2:72">
      <c r="B36" s="172"/>
      <c r="C36" s="1">
        <f t="shared" si="65"/>
        <v>2</v>
      </c>
      <c r="D36" s="3">
        <f t="shared" ref="D36:D99" si="67">AZ17</f>
        <v>10021.666666666666</v>
      </c>
      <c r="E36" s="3">
        <f t="shared" ref="E36:E99" si="68">BC17</f>
        <v>10000</v>
      </c>
      <c r="F36" s="3">
        <f t="shared" ref="F36:F99" si="69">BQ17</f>
        <v>10028.333333333332</v>
      </c>
      <c r="G36" s="3">
        <f t="shared" ref="G36:G99" si="70">BT17</f>
        <v>10000</v>
      </c>
      <c r="H36" s="49">
        <f t="shared" si="66"/>
        <v>10020.2602515625</v>
      </c>
      <c r="I36" s="3">
        <f t="shared" ref="I36:I99" si="71">U17</f>
        <v>10083.333333333334</v>
      </c>
      <c r="S36" s="1">
        <f t="shared" si="20"/>
        <v>21</v>
      </c>
      <c r="T36" s="9">
        <f t="shared" si="51"/>
        <v>0.05</v>
      </c>
      <c r="U36" s="3">
        <f t="shared" si="0"/>
        <v>10893.750000000002</v>
      </c>
      <c r="V36" s="6">
        <f t="shared" si="21"/>
        <v>100</v>
      </c>
      <c r="W36" s="3">
        <f t="shared" si="22"/>
        <v>10000</v>
      </c>
      <c r="X36" s="3">
        <f t="shared" si="23"/>
        <v>10000</v>
      </c>
      <c r="Y36" s="3">
        <f t="shared" si="1"/>
        <v>10000</v>
      </c>
      <c r="Z36" s="9">
        <f t="shared" si="2"/>
        <v>5.7500000000000002E-2</v>
      </c>
      <c r="AA36" s="3">
        <f t="shared" si="3"/>
        <v>10431.25</v>
      </c>
      <c r="AB36" s="3" t="str">
        <f t="shared" si="4"/>
        <v>nie</v>
      </c>
      <c r="AC36" s="3">
        <f t="shared" si="5"/>
        <v>70</v>
      </c>
      <c r="AD36" s="1">
        <f t="shared" si="52"/>
        <v>1</v>
      </c>
      <c r="AE36" s="7"/>
      <c r="AF36" s="7"/>
      <c r="AG36" s="7"/>
      <c r="AH36" s="3">
        <f t="shared" si="58"/>
        <v>100</v>
      </c>
      <c r="AI36" s="9">
        <f t="shared" si="53"/>
        <v>1.2999999999999999E-2</v>
      </c>
      <c r="AJ36" s="3">
        <f t="shared" si="59"/>
        <v>100.97499999999999</v>
      </c>
      <c r="AK36" s="3">
        <f t="shared" si="54"/>
        <v>0.7</v>
      </c>
      <c r="AL36" s="7"/>
      <c r="AM36" s="7"/>
      <c r="AN36" s="7"/>
      <c r="AO36" s="7"/>
      <c r="AP36" s="3">
        <f t="shared" si="6"/>
        <v>0</v>
      </c>
      <c r="AQ36" s="3">
        <f t="shared" si="60"/>
        <v>0</v>
      </c>
      <c r="AR36" s="3">
        <f t="shared" si="61"/>
        <v>29.999999999998181</v>
      </c>
      <c r="AS36" s="1">
        <f t="shared" si="50"/>
        <v>0</v>
      </c>
      <c r="AT36" s="3">
        <f t="shared" si="8"/>
        <v>29.999999999998181</v>
      </c>
      <c r="AU36" s="1">
        <f t="shared" si="57"/>
        <v>0</v>
      </c>
      <c r="AV36" s="3">
        <f t="shared" si="62"/>
        <v>29.999999999998181</v>
      </c>
      <c r="AW36" s="3">
        <f t="shared" si="63"/>
        <v>10562.224999999999</v>
      </c>
      <c r="AX36" s="3">
        <f>MIN(IF(MOD(S36,12)=0,INDEX(IKE_oplata_wskaznik,MATCH(ROUNDUP(S36/12,0),IKE_oplata_rok,0)),0)*AW36,200)</f>
        <v>0</v>
      </c>
      <c r="AY36" s="3">
        <f t="shared" si="25"/>
        <v>0</v>
      </c>
      <c r="AZ36" s="3">
        <f t="shared" si="11"/>
        <v>10562.224999999999</v>
      </c>
      <c r="BA36" s="3">
        <f t="shared" si="26"/>
        <v>70.7</v>
      </c>
      <c r="BB36" s="3">
        <f t="shared" si="12"/>
        <v>93.38974999999958</v>
      </c>
      <c r="BC36" s="3">
        <f t="shared" si="13"/>
        <v>10398.135249999998</v>
      </c>
      <c r="BE36" s="6">
        <f t="shared" si="27"/>
        <v>100</v>
      </c>
      <c r="BF36" s="3">
        <f t="shared" si="28"/>
        <v>10000</v>
      </c>
      <c r="BG36" s="3">
        <f t="shared" si="29"/>
        <v>10000</v>
      </c>
      <c r="BH36" s="3">
        <f t="shared" si="30"/>
        <v>10169.999999999998</v>
      </c>
      <c r="BI36" s="9">
        <f t="shared" si="14"/>
        <v>6.0000000000000005E-2</v>
      </c>
      <c r="BJ36" s="3">
        <f t="shared" si="15"/>
        <v>10627.649999999998</v>
      </c>
      <c r="BK36" s="3" t="str">
        <f t="shared" si="16"/>
        <v>nie</v>
      </c>
      <c r="BL36" s="3">
        <f t="shared" si="31"/>
        <v>0</v>
      </c>
      <c r="BM36" s="3">
        <f t="shared" si="32"/>
        <v>0</v>
      </c>
      <c r="BN36" s="3">
        <f t="shared" si="33"/>
        <v>10627.649999999998</v>
      </c>
      <c r="BO36" s="3">
        <f>MIN(IF(MOD(S36,12)=0,INDEX(IKE_oplata_wskaznik,MATCH(ROUNDUP(S36/12,0),IKE_oplata_rok,0)),0)*BN36,200)</f>
        <v>0</v>
      </c>
      <c r="BP36" s="3">
        <f t="shared" si="34"/>
        <v>0</v>
      </c>
      <c r="BQ36" s="3">
        <f t="shared" si="35"/>
        <v>10627.649999999998</v>
      </c>
      <c r="BR36" s="3">
        <f t="shared" si="18"/>
        <v>200</v>
      </c>
      <c r="BS36" s="3">
        <f t="shared" si="19"/>
        <v>81.25349999999959</v>
      </c>
      <c r="BT36" s="3">
        <f t="shared" si="36"/>
        <v>10346.396499999999</v>
      </c>
    </row>
    <row r="37" spans="2:72">
      <c r="B37" s="172"/>
      <c r="C37" s="1">
        <f t="shared" si="65"/>
        <v>3</v>
      </c>
      <c r="D37" s="3">
        <f t="shared" si="67"/>
        <v>10032.5</v>
      </c>
      <c r="E37" s="3">
        <f t="shared" si="68"/>
        <v>10000</v>
      </c>
      <c r="F37" s="3">
        <f t="shared" si="69"/>
        <v>10042.5</v>
      </c>
      <c r="G37" s="3">
        <f t="shared" si="70"/>
        <v>10000</v>
      </c>
      <c r="H37" s="3">
        <f t="shared" si="66"/>
        <v>10030.405765067208</v>
      </c>
      <c r="I37" s="3">
        <f t="shared" si="71"/>
        <v>10125</v>
      </c>
      <c r="S37" s="1">
        <f t="shared" si="20"/>
        <v>22</v>
      </c>
      <c r="T37" s="9">
        <f t="shared" si="51"/>
        <v>0.05</v>
      </c>
      <c r="U37" s="3">
        <f t="shared" si="0"/>
        <v>10937.5</v>
      </c>
      <c r="V37" s="6">
        <f t="shared" si="21"/>
        <v>100</v>
      </c>
      <c r="W37" s="3">
        <f t="shared" si="22"/>
        <v>10000</v>
      </c>
      <c r="X37" s="3">
        <f t="shared" si="23"/>
        <v>10000</v>
      </c>
      <c r="Y37" s="3">
        <f t="shared" si="1"/>
        <v>10000</v>
      </c>
      <c r="Z37" s="9">
        <f t="shared" si="2"/>
        <v>5.7500000000000002E-2</v>
      </c>
      <c r="AA37" s="3">
        <f t="shared" si="3"/>
        <v>10479.166666666666</v>
      </c>
      <c r="AB37" s="3" t="str">
        <f t="shared" si="4"/>
        <v>nie</v>
      </c>
      <c r="AC37" s="3">
        <f t="shared" si="5"/>
        <v>70</v>
      </c>
      <c r="AD37" s="1">
        <f t="shared" si="52"/>
        <v>1</v>
      </c>
      <c r="AE37" s="7"/>
      <c r="AF37" s="7"/>
      <c r="AG37" s="7"/>
      <c r="AH37" s="3">
        <f t="shared" si="58"/>
        <v>100</v>
      </c>
      <c r="AI37" s="9">
        <f t="shared" si="53"/>
        <v>1.2999999999999999E-2</v>
      </c>
      <c r="AJ37" s="3">
        <f t="shared" si="59"/>
        <v>101.08333333333333</v>
      </c>
      <c r="AK37" s="3">
        <f t="shared" si="54"/>
        <v>0.7</v>
      </c>
      <c r="AL37" s="7"/>
      <c r="AM37" s="7"/>
      <c r="AN37" s="7"/>
      <c r="AO37" s="7"/>
      <c r="AP37" s="3">
        <f t="shared" si="6"/>
        <v>0</v>
      </c>
      <c r="AQ37" s="3">
        <f t="shared" si="60"/>
        <v>0</v>
      </c>
      <c r="AR37" s="3">
        <f t="shared" si="61"/>
        <v>29.999999999998181</v>
      </c>
      <c r="AS37" s="1">
        <f t="shared" si="50"/>
        <v>0</v>
      </c>
      <c r="AT37" s="3">
        <f t="shared" si="8"/>
        <v>29.999999999998181</v>
      </c>
      <c r="AU37" s="1">
        <f t="shared" si="57"/>
        <v>0</v>
      </c>
      <c r="AV37" s="3">
        <f t="shared" si="62"/>
        <v>29.999999999998181</v>
      </c>
      <c r="AW37" s="3">
        <f t="shared" si="63"/>
        <v>10610.249999999998</v>
      </c>
      <c r="AX37" s="3">
        <f>MIN(IF(MOD(S37,12)=0,INDEX(IKE_oplata_wskaznik,MATCH(ROUNDUP(S37/12,0),IKE_oplata_rok,0)),0)*AW37,200)</f>
        <v>0</v>
      </c>
      <c r="AY37" s="3">
        <f t="shared" si="25"/>
        <v>0</v>
      </c>
      <c r="AZ37" s="3">
        <f t="shared" si="11"/>
        <v>10610.249999999998</v>
      </c>
      <c r="BA37" s="3">
        <f t="shared" si="26"/>
        <v>70.7</v>
      </c>
      <c r="BB37" s="3">
        <f t="shared" si="12"/>
        <v>102.51449999999952</v>
      </c>
      <c r="BC37" s="3">
        <f t="shared" si="13"/>
        <v>10437.035499999998</v>
      </c>
      <c r="BE37" s="6">
        <f t="shared" si="27"/>
        <v>100</v>
      </c>
      <c r="BF37" s="3">
        <f t="shared" si="28"/>
        <v>10000</v>
      </c>
      <c r="BG37" s="3">
        <f t="shared" si="29"/>
        <v>10000</v>
      </c>
      <c r="BH37" s="3">
        <f t="shared" si="30"/>
        <v>10169.999999999998</v>
      </c>
      <c r="BI37" s="9">
        <f t="shared" si="14"/>
        <v>6.0000000000000005E-2</v>
      </c>
      <c r="BJ37" s="3">
        <f t="shared" si="15"/>
        <v>10678.499999999998</v>
      </c>
      <c r="BK37" s="3" t="str">
        <f t="shared" si="16"/>
        <v>nie</v>
      </c>
      <c r="BL37" s="3">
        <f t="shared" si="31"/>
        <v>0</v>
      </c>
      <c r="BM37" s="3">
        <f t="shared" si="32"/>
        <v>0</v>
      </c>
      <c r="BN37" s="3">
        <f t="shared" si="33"/>
        <v>10678.499999999998</v>
      </c>
      <c r="BO37" s="3">
        <f>MIN(IF(MOD(S37,12)=0,INDEX(IKE_oplata_wskaznik,MATCH(ROUNDUP(S37/12,0),IKE_oplata_rok,0)),0)*BN37,200)</f>
        <v>0</v>
      </c>
      <c r="BP37" s="3">
        <f t="shared" si="34"/>
        <v>0</v>
      </c>
      <c r="BQ37" s="3">
        <f t="shared" si="35"/>
        <v>10678.499999999998</v>
      </c>
      <c r="BR37" s="3">
        <f t="shared" si="18"/>
        <v>200</v>
      </c>
      <c r="BS37" s="3">
        <f t="shared" si="19"/>
        <v>90.914999999999651</v>
      </c>
      <c r="BT37" s="3">
        <f t="shared" si="36"/>
        <v>10387.584999999999</v>
      </c>
    </row>
    <row r="38" spans="2:72">
      <c r="B38" s="172"/>
      <c r="C38" s="1">
        <f t="shared" si="65"/>
        <v>4</v>
      </c>
      <c r="D38" s="3">
        <f t="shared" si="67"/>
        <v>10043.333333333332</v>
      </c>
      <c r="E38" s="3">
        <f t="shared" si="68"/>
        <v>10000</v>
      </c>
      <c r="F38" s="3">
        <f t="shared" si="69"/>
        <v>10056.666666666668</v>
      </c>
      <c r="G38" s="3">
        <f t="shared" si="70"/>
        <v>10000</v>
      </c>
      <c r="H38" s="3">
        <f t="shared" si="66"/>
        <v>10040.561550904338</v>
      </c>
      <c r="I38" s="3">
        <f t="shared" si="71"/>
        <v>10166.666666666666</v>
      </c>
      <c r="S38" s="1">
        <f t="shared" si="20"/>
        <v>23</v>
      </c>
      <c r="T38" s="9">
        <f t="shared" si="51"/>
        <v>0.05</v>
      </c>
      <c r="U38" s="3">
        <f t="shared" si="0"/>
        <v>10981.25</v>
      </c>
      <c r="V38" s="6">
        <f t="shared" si="21"/>
        <v>100</v>
      </c>
      <c r="W38" s="3">
        <f t="shared" si="22"/>
        <v>10000</v>
      </c>
      <c r="X38" s="3">
        <f t="shared" si="23"/>
        <v>10000</v>
      </c>
      <c r="Y38" s="3">
        <f t="shared" si="1"/>
        <v>10000</v>
      </c>
      <c r="Z38" s="9">
        <f t="shared" si="2"/>
        <v>5.7500000000000002E-2</v>
      </c>
      <c r="AA38" s="3">
        <f t="shared" si="3"/>
        <v>10527.083333333334</v>
      </c>
      <c r="AB38" s="3" t="str">
        <f t="shared" si="4"/>
        <v>nie</v>
      </c>
      <c r="AC38" s="3">
        <f t="shared" si="5"/>
        <v>70</v>
      </c>
      <c r="AD38" s="1">
        <f t="shared" si="52"/>
        <v>1</v>
      </c>
      <c r="AE38" s="7"/>
      <c r="AF38" s="7"/>
      <c r="AG38" s="7"/>
      <c r="AH38" s="3">
        <f t="shared" si="58"/>
        <v>100</v>
      </c>
      <c r="AI38" s="9">
        <f t="shared" si="53"/>
        <v>1.2999999999999999E-2</v>
      </c>
      <c r="AJ38" s="3">
        <f t="shared" si="59"/>
        <v>101.19166666666666</v>
      </c>
      <c r="AK38" s="3">
        <f t="shared" si="54"/>
        <v>0.7</v>
      </c>
      <c r="AL38" s="7"/>
      <c r="AM38" s="7"/>
      <c r="AN38" s="7"/>
      <c r="AO38" s="7"/>
      <c r="AP38" s="3">
        <f t="shared" si="6"/>
        <v>0</v>
      </c>
      <c r="AQ38" s="3">
        <f t="shared" si="60"/>
        <v>0</v>
      </c>
      <c r="AR38" s="3">
        <f t="shared" si="61"/>
        <v>29.999999999998181</v>
      </c>
      <c r="AS38" s="1">
        <f t="shared" si="50"/>
        <v>0</v>
      </c>
      <c r="AT38" s="3">
        <f t="shared" si="8"/>
        <v>29.999999999998181</v>
      </c>
      <c r="AU38" s="1">
        <f t="shared" si="57"/>
        <v>0</v>
      </c>
      <c r="AV38" s="3">
        <f t="shared" si="62"/>
        <v>29.999999999998181</v>
      </c>
      <c r="AW38" s="3">
        <f t="shared" si="63"/>
        <v>10658.275</v>
      </c>
      <c r="AX38" s="3">
        <f>MIN(IF(MOD(S38,12)=0,INDEX(IKE_oplata_wskaznik,MATCH(ROUNDUP(S38/12,0),IKE_oplata_rok,0)),0)*AW38,200)</f>
        <v>0</v>
      </c>
      <c r="AY38" s="3">
        <f t="shared" si="25"/>
        <v>0</v>
      </c>
      <c r="AZ38" s="3">
        <f t="shared" si="11"/>
        <v>10658.275</v>
      </c>
      <c r="BA38" s="3">
        <f t="shared" si="26"/>
        <v>70.7</v>
      </c>
      <c r="BB38" s="3">
        <f t="shared" si="12"/>
        <v>111.63924999999979</v>
      </c>
      <c r="BC38" s="3">
        <f t="shared" si="13"/>
        <v>10475.935749999999</v>
      </c>
      <c r="BE38" s="6">
        <f t="shared" si="27"/>
        <v>100</v>
      </c>
      <c r="BF38" s="3">
        <f t="shared" si="28"/>
        <v>10000</v>
      </c>
      <c r="BG38" s="3">
        <f t="shared" si="29"/>
        <v>10000</v>
      </c>
      <c r="BH38" s="3">
        <f t="shared" si="30"/>
        <v>10169.999999999998</v>
      </c>
      <c r="BI38" s="9">
        <f t="shared" si="14"/>
        <v>6.0000000000000005E-2</v>
      </c>
      <c r="BJ38" s="3">
        <f t="shared" si="15"/>
        <v>10729.349999999997</v>
      </c>
      <c r="BK38" s="3" t="str">
        <f t="shared" si="16"/>
        <v>nie</v>
      </c>
      <c r="BL38" s="3">
        <f t="shared" si="31"/>
        <v>0</v>
      </c>
      <c r="BM38" s="3">
        <f t="shared" si="32"/>
        <v>0</v>
      </c>
      <c r="BN38" s="3">
        <f t="shared" si="33"/>
        <v>10729.349999999997</v>
      </c>
      <c r="BO38" s="3">
        <f>MIN(IF(MOD(S38,12)=0,INDEX(IKE_oplata_wskaznik,MATCH(ROUNDUP(S38/12,0),IKE_oplata_rok,0)),0)*BN38,200)</f>
        <v>0</v>
      </c>
      <c r="BP38" s="3">
        <f t="shared" si="34"/>
        <v>0</v>
      </c>
      <c r="BQ38" s="3">
        <f t="shared" si="35"/>
        <v>10729.349999999997</v>
      </c>
      <c r="BR38" s="3">
        <f t="shared" si="18"/>
        <v>200</v>
      </c>
      <c r="BS38" s="3">
        <f t="shared" si="19"/>
        <v>100.57649999999938</v>
      </c>
      <c r="BT38" s="3">
        <f t="shared" si="36"/>
        <v>10428.773499999998</v>
      </c>
    </row>
    <row r="39" spans="2:72">
      <c r="B39" s="172"/>
      <c r="C39" s="1">
        <f t="shared" si="65"/>
        <v>5</v>
      </c>
      <c r="D39" s="3">
        <f t="shared" si="67"/>
        <v>10054.166666666666</v>
      </c>
      <c r="E39" s="3">
        <f t="shared" si="68"/>
        <v>10000</v>
      </c>
      <c r="F39" s="3">
        <f t="shared" si="69"/>
        <v>10070.833333333334</v>
      </c>
      <c r="G39" s="3">
        <f t="shared" si="70"/>
        <v>10000</v>
      </c>
      <c r="H39" s="3">
        <f t="shared" si="66"/>
        <v>10050.72761947463</v>
      </c>
      <c r="I39" s="3">
        <f t="shared" si="71"/>
        <v>10208.333333333332</v>
      </c>
      <c r="S39" s="1">
        <f t="shared" si="20"/>
        <v>24</v>
      </c>
      <c r="T39" s="9">
        <f t="shared" si="51"/>
        <v>0.05</v>
      </c>
      <c r="U39" s="3">
        <f t="shared" si="0"/>
        <v>11025</v>
      </c>
      <c r="V39" s="6">
        <f t="shared" si="21"/>
        <v>100</v>
      </c>
      <c r="W39" s="3">
        <f t="shared" si="22"/>
        <v>10000</v>
      </c>
      <c r="X39" s="3">
        <f t="shared" si="23"/>
        <v>10000</v>
      </c>
      <c r="Y39" s="3">
        <f t="shared" si="1"/>
        <v>10000</v>
      </c>
      <c r="Z39" s="9">
        <f t="shared" si="2"/>
        <v>5.7500000000000002E-2</v>
      </c>
      <c r="AA39" s="3">
        <f t="shared" si="3"/>
        <v>10575.000000000002</v>
      </c>
      <c r="AB39" s="3" t="str">
        <f t="shared" si="4"/>
        <v>nie</v>
      </c>
      <c r="AC39" s="3">
        <f t="shared" si="5"/>
        <v>70</v>
      </c>
      <c r="AD39" s="1">
        <f t="shared" si="52"/>
        <v>1</v>
      </c>
      <c r="AE39" s="7"/>
      <c r="AF39" s="7"/>
      <c r="AG39" s="7"/>
      <c r="AH39" s="3">
        <f t="shared" si="58"/>
        <v>100</v>
      </c>
      <c r="AI39" s="9">
        <f t="shared" si="53"/>
        <v>1.2999999999999999E-2</v>
      </c>
      <c r="AJ39" s="3">
        <f t="shared" si="59"/>
        <v>101.29999999999998</v>
      </c>
      <c r="AK39" s="3">
        <f t="shared" si="54"/>
        <v>0.7</v>
      </c>
      <c r="AL39" s="7"/>
      <c r="AM39" s="7"/>
      <c r="AN39" s="7"/>
      <c r="AO39" s="7"/>
      <c r="AP39" s="3">
        <f t="shared" si="6"/>
        <v>575.00000000000182</v>
      </c>
      <c r="AQ39" s="3">
        <f t="shared" si="60"/>
        <v>1.2999999999999829</v>
      </c>
      <c r="AR39" s="3">
        <f t="shared" si="61"/>
        <v>606.29999999999995</v>
      </c>
      <c r="AS39" s="1">
        <f t="shared" si="50"/>
        <v>0</v>
      </c>
      <c r="AT39" s="3">
        <f t="shared" si="8"/>
        <v>606.29999999999995</v>
      </c>
      <c r="AU39" s="1">
        <f t="shared" si="57"/>
        <v>6</v>
      </c>
      <c r="AV39" s="3">
        <f t="shared" si="62"/>
        <v>6.2999999999999545</v>
      </c>
      <c r="AW39" s="3">
        <f t="shared" si="63"/>
        <v>10706.3</v>
      </c>
      <c r="AX39" s="3">
        <f>MIN(IF(MOD(S39,12)=0,INDEX(IKE_oplata_wskaznik,MATCH(ROUNDUP(S39/12,0),IKE_oplata_rok,0)),0)*AW39,200)</f>
        <v>17.13008</v>
      </c>
      <c r="AY39" s="3">
        <f t="shared" si="25"/>
        <v>17.13008</v>
      </c>
      <c r="AZ39" s="3">
        <f t="shared" si="11"/>
        <v>10689.169919999998</v>
      </c>
      <c r="BA39" s="3">
        <f t="shared" si="26"/>
        <v>70.7</v>
      </c>
      <c r="BB39" s="3">
        <f t="shared" si="12"/>
        <v>120.76399999999973</v>
      </c>
      <c r="BC39" s="3">
        <f t="shared" si="13"/>
        <v>10497.705919999999</v>
      </c>
      <c r="BE39" s="6">
        <f t="shared" si="27"/>
        <v>100</v>
      </c>
      <c r="BF39" s="3">
        <f t="shared" si="28"/>
        <v>10000</v>
      </c>
      <c r="BG39" s="3">
        <f t="shared" si="29"/>
        <v>10000</v>
      </c>
      <c r="BH39" s="3">
        <f t="shared" si="30"/>
        <v>10169.999999999998</v>
      </c>
      <c r="BI39" s="9">
        <f t="shared" si="14"/>
        <v>6.0000000000000005E-2</v>
      </c>
      <c r="BJ39" s="3">
        <f t="shared" si="15"/>
        <v>10780.199999999999</v>
      </c>
      <c r="BK39" s="3" t="str">
        <f t="shared" si="16"/>
        <v>nie</v>
      </c>
      <c r="BL39" s="3">
        <f t="shared" si="31"/>
        <v>0</v>
      </c>
      <c r="BM39" s="3">
        <f t="shared" si="32"/>
        <v>0</v>
      </c>
      <c r="BN39" s="3">
        <f t="shared" si="33"/>
        <v>10780.199999999999</v>
      </c>
      <c r="BO39" s="3">
        <f>MIN(IF(MOD(S39,12)=0,INDEX(IKE_oplata_wskaznik,MATCH(ROUNDUP(S39/12,0),IKE_oplata_rok,0)),0)*BN39,200)</f>
        <v>17.24832</v>
      </c>
      <c r="BP39" s="3">
        <f t="shared" si="34"/>
        <v>17.24832</v>
      </c>
      <c r="BQ39" s="3">
        <f t="shared" si="35"/>
        <v>10762.951679999998</v>
      </c>
      <c r="BR39" s="3">
        <f t="shared" si="18"/>
        <v>200</v>
      </c>
      <c r="BS39" s="3">
        <f t="shared" si="19"/>
        <v>110.2379999999998</v>
      </c>
      <c r="BT39" s="3">
        <f t="shared" si="36"/>
        <v>10452.713679999999</v>
      </c>
    </row>
    <row r="40" spans="2:72">
      <c r="B40" s="172"/>
      <c r="C40" s="1">
        <f t="shared" si="65"/>
        <v>6</v>
      </c>
      <c r="D40" s="3">
        <f t="shared" si="67"/>
        <v>10065</v>
      </c>
      <c r="E40" s="3">
        <f t="shared" si="68"/>
        <v>10000</v>
      </c>
      <c r="F40" s="3">
        <f t="shared" si="69"/>
        <v>10085</v>
      </c>
      <c r="G40" s="3">
        <f t="shared" si="70"/>
        <v>10000</v>
      </c>
      <c r="H40" s="3">
        <f t="shared" si="66"/>
        <v>10060.903981189349</v>
      </c>
      <c r="I40" s="3">
        <f t="shared" si="71"/>
        <v>10250</v>
      </c>
      <c r="S40" s="1">
        <f t="shared" si="20"/>
        <v>25</v>
      </c>
      <c r="T40" s="9">
        <f t="shared" si="51"/>
        <v>0.05</v>
      </c>
      <c r="U40" s="3">
        <f t="shared" si="0"/>
        <v>11070.9375</v>
      </c>
      <c r="V40" s="6">
        <f t="shared" si="21"/>
        <v>100</v>
      </c>
      <c r="W40" s="3">
        <f t="shared" si="22"/>
        <v>10000</v>
      </c>
      <c r="X40" s="3">
        <f t="shared" si="23"/>
        <v>10000</v>
      </c>
      <c r="Y40" s="3">
        <f t="shared" si="1"/>
        <v>10000</v>
      </c>
      <c r="Z40" s="9">
        <f t="shared" si="2"/>
        <v>5.7500000000000002E-2</v>
      </c>
      <c r="AA40" s="3">
        <f t="shared" si="3"/>
        <v>10047.916666666668</v>
      </c>
      <c r="AB40" s="3" t="str">
        <f t="shared" si="4"/>
        <v>nie</v>
      </c>
      <c r="AC40" s="3">
        <f t="shared" si="5"/>
        <v>70</v>
      </c>
      <c r="AD40" s="1">
        <f t="shared" si="52"/>
        <v>6</v>
      </c>
      <c r="AE40" s="1">
        <f t="shared" ref="AE40:AG103" si="72">AD28</f>
        <v>1</v>
      </c>
      <c r="AF40" s="7"/>
      <c r="AG40" s="7"/>
      <c r="AH40" s="3">
        <f t="shared" si="58"/>
        <v>600</v>
      </c>
      <c r="AI40" s="9">
        <f t="shared" si="53"/>
        <v>1.2999999999999999E-2</v>
      </c>
      <c r="AJ40" s="3">
        <f t="shared" si="59"/>
        <v>600.65</v>
      </c>
      <c r="AK40" s="3">
        <f t="shared" si="54"/>
        <v>0.64999999999997726</v>
      </c>
      <c r="AL40" s="3">
        <f>SUM(AE40:AG40)*100</f>
        <v>100</v>
      </c>
      <c r="AM40" s="9">
        <f t="shared" ref="AM40:AM71" si="73">marza_COI+T40</f>
        <v>5.7500000000000002E-2</v>
      </c>
      <c r="AN40" s="3">
        <f t="shared" ref="AN40:AN92" si="74">AL40*(1+AM40*IF(MOD($S40,12)&lt;&gt;0,MOD($S40,12),12)/12)</f>
        <v>100.47916666666667</v>
      </c>
      <c r="AO40" s="3">
        <f t="shared" ref="AO40:AO71" si="75">SUM(AE40:AG40)*koszt_wczesniejszy_wykup_COI</f>
        <v>0.7</v>
      </c>
      <c r="AP40" s="3">
        <f t="shared" si="6"/>
        <v>0</v>
      </c>
      <c r="AQ40" s="3">
        <f t="shared" si="60"/>
        <v>0</v>
      </c>
      <c r="AR40" s="3">
        <f t="shared" si="61"/>
        <v>6.2999999999999545</v>
      </c>
      <c r="AS40" s="1">
        <f t="shared" si="50"/>
        <v>0</v>
      </c>
      <c r="AT40" s="3">
        <f t="shared" si="8"/>
        <v>6.2999999999999545</v>
      </c>
      <c r="AU40" s="1">
        <f t="shared" si="57"/>
        <v>0</v>
      </c>
      <c r="AV40" s="3">
        <f t="shared" si="62"/>
        <v>6.2999999999999545</v>
      </c>
      <c r="AW40" s="3">
        <f t="shared" si="63"/>
        <v>10755.345833333333</v>
      </c>
      <c r="AX40" s="3">
        <f>MIN(IF(MOD(S40,12)=0,INDEX(IKE_oplata_wskaznik,MATCH(ROUNDUP(S40/12,0),IKE_oplata_rok,0)),0)*AW40,200)</f>
        <v>0</v>
      </c>
      <c r="AY40" s="3">
        <f t="shared" si="25"/>
        <v>17.13008</v>
      </c>
      <c r="AZ40" s="3">
        <f t="shared" si="11"/>
        <v>10738.215753333332</v>
      </c>
      <c r="BA40" s="3">
        <f t="shared" si="26"/>
        <v>71.34999999999998</v>
      </c>
      <c r="BB40" s="3">
        <f t="shared" si="12"/>
        <v>129.95920833333318</v>
      </c>
      <c r="BC40" s="3">
        <f t="shared" si="13"/>
        <v>10536.906544999998</v>
      </c>
      <c r="BE40" s="6">
        <f t="shared" si="27"/>
        <v>100</v>
      </c>
      <c r="BF40" s="3">
        <f t="shared" si="28"/>
        <v>10000</v>
      </c>
      <c r="BG40" s="3">
        <f t="shared" si="29"/>
        <v>10000</v>
      </c>
      <c r="BH40" s="3">
        <f t="shared" si="30"/>
        <v>10780.199999999999</v>
      </c>
      <c r="BI40" s="9">
        <f t="shared" si="14"/>
        <v>6.0000000000000005E-2</v>
      </c>
      <c r="BJ40" s="3">
        <f t="shared" si="15"/>
        <v>10834.100999999997</v>
      </c>
      <c r="BK40" s="3" t="str">
        <f t="shared" si="16"/>
        <v>nie</v>
      </c>
      <c r="BL40" s="3">
        <f t="shared" si="31"/>
        <v>0</v>
      </c>
      <c r="BM40" s="3">
        <f t="shared" si="32"/>
        <v>0</v>
      </c>
      <c r="BN40" s="3">
        <f t="shared" si="33"/>
        <v>10834.100999999997</v>
      </c>
      <c r="BO40" s="3">
        <f>MIN(IF(MOD(S40,12)=0,INDEX(IKE_oplata_wskaznik,MATCH(ROUNDUP(S40/12,0),IKE_oplata_rok,0)),0)*BN40,200)</f>
        <v>0</v>
      </c>
      <c r="BP40" s="3">
        <f t="shared" si="34"/>
        <v>17.24832</v>
      </c>
      <c r="BQ40" s="3">
        <f t="shared" si="35"/>
        <v>10816.852679999996</v>
      </c>
      <c r="BR40" s="3">
        <f t="shared" si="18"/>
        <v>200</v>
      </c>
      <c r="BS40" s="3">
        <f t="shared" si="19"/>
        <v>120.47918999999942</v>
      </c>
      <c r="BT40" s="3">
        <f t="shared" si="36"/>
        <v>10496.373489999996</v>
      </c>
    </row>
    <row r="41" spans="2:72">
      <c r="B41" s="172"/>
      <c r="C41" s="1">
        <f t="shared" si="65"/>
        <v>7</v>
      </c>
      <c r="D41" s="3">
        <f t="shared" si="67"/>
        <v>10075.833333333332</v>
      </c>
      <c r="E41" s="3">
        <f t="shared" si="68"/>
        <v>10004.724999999999</v>
      </c>
      <c r="F41" s="3">
        <f t="shared" si="69"/>
        <v>10099.166666666666</v>
      </c>
      <c r="G41" s="3">
        <f t="shared" si="70"/>
        <v>10000</v>
      </c>
      <c r="H41" s="3">
        <f t="shared" si="66"/>
        <v>10071.090646470304</v>
      </c>
      <c r="I41" s="3">
        <f t="shared" si="71"/>
        <v>10291.666666666666</v>
      </c>
      <c r="S41" s="1">
        <f t="shared" si="20"/>
        <v>26</v>
      </c>
      <c r="T41" s="9">
        <f t="shared" si="51"/>
        <v>0.05</v>
      </c>
      <c r="U41" s="3">
        <f t="shared" si="0"/>
        <v>11116.875</v>
      </c>
      <c r="V41" s="6">
        <f t="shared" si="21"/>
        <v>100</v>
      </c>
      <c r="W41" s="3">
        <f t="shared" si="22"/>
        <v>10000</v>
      </c>
      <c r="X41" s="3">
        <f t="shared" si="23"/>
        <v>10000</v>
      </c>
      <c r="Y41" s="3">
        <f t="shared" si="1"/>
        <v>10000</v>
      </c>
      <c r="Z41" s="9">
        <f t="shared" si="2"/>
        <v>5.7500000000000002E-2</v>
      </c>
      <c r="AA41" s="3">
        <f t="shared" si="3"/>
        <v>10095.833333333332</v>
      </c>
      <c r="AB41" s="3" t="str">
        <f t="shared" si="4"/>
        <v>nie</v>
      </c>
      <c r="AC41" s="3">
        <f t="shared" si="5"/>
        <v>70</v>
      </c>
      <c r="AD41" s="1">
        <f t="shared" si="52"/>
        <v>6</v>
      </c>
      <c r="AE41" s="1">
        <f t="shared" si="72"/>
        <v>1</v>
      </c>
      <c r="AF41" s="7"/>
      <c r="AG41" s="7"/>
      <c r="AH41" s="3">
        <f t="shared" si="58"/>
        <v>600</v>
      </c>
      <c r="AI41" s="9">
        <f t="shared" si="53"/>
        <v>1.2999999999999999E-2</v>
      </c>
      <c r="AJ41" s="3">
        <f t="shared" si="59"/>
        <v>601.29999999999995</v>
      </c>
      <c r="AK41" s="3">
        <f t="shared" si="54"/>
        <v>1.2999999999999545</v>
      </c>
      <c r="AL41" s="3">
        <f t="shared" ref="AL41:AL104" si="76">SUM(AE41:AG41)*100</f>
        <v>100</v>
      </c>
      <c r="AM41" s="9">
        <f t="shared" si="73"/>
        <v>5.7500000000000002E-2</v>
      </c>
      <c r="AN41" s="3">
        <f t="shared" si="74"/>
        <v>100.95833333333333</v>
      </c>
      <c r="AO41" s="3">
        <f t="shared" si="75"/>
        <v>0.7</v>
      </c>
      <c r="AP41" s="3">
        <f t="shared" si="6"/>
        <v>0</v>
      </c>
      <c r="AQ41" s="3">
        <f t="shared" si="60"/>
        <v>0</v>
      </c>
      <c r="AR41" s="3">
        <f t="shared" si="61"/>
        <v>6.2999999999999545</v>
      </c>
      <c r="AS41" s="1">
        <f t="shared" si="50"/>
        <v>0</v>
      </c>
      <c r="AT41" s="3">
        <f t="shared" si="8"/>
        <v>6.2999999999999545</v>
      </c>
      <c r="AU41" s="1">
        <f t="shared" si="57"/>
        <v>0</v>
      </c>
      <c r="AV41" s="3">
        <f t="shared" si="62"/>
        <v>6.2999999999999545</v>
      </c>
      <c r="AW41" s="3">
        <f t="shared" si="63"/>
        <v>10804.391666666665</v>
      </c>
      <c r="AX41" s="3">
        <f>MIN(IF(MOD(S41,12)=0,INDEX(IKE_oplata_wskaznik,MATCH(ROUNDUP(S41/12,0),IKE_oplata_rok,0)),0)*AW41,200)</f>
        <v>0</v>
      </c>
      <c r="AY41" s="3">
        <f t="shared" si="25"/>
        <v>17.13008</v>
      </c>
      <c r="AZ41" s="3">
        <f t="shared" si="11"/>
        <v>10787.261586666664</v>
      </c>
      <c r="BA41" s="3">
        <f t="shared" si="26"/>
        <v>71.999999999999957</v>
      </c>
      <c r="BB41" s="3">
        <f t="shared" si="12"/>
        <v>139.15441666666626</v>
      </c>
      <c r="BC41" s="3">
        <f t="shared" si="13"/>
        <v>10576.107169999997</v>
      </c>
      <c r="BE41" s="6">
        <f t="shared" si="27"/>
        <v>100</v>
      </c>
      <c r="BF41" s="3">
        <f t="shared" si="28"/>
        <v>10000</v>
      </c>
      <c r="BG41" s="3">
        <f t="shared" si="29"/>
        <v>10000</v>
      </c>
      <c r="BH41" s="3">
        <f t="shared" si="30"/>
        <v>10780.199999999999</v>
      </c>
      <c r="BI41" s="9">
        <f t="shared" si="14"/>
        <v>6.0000000000000005E-2</v>
      </c>
      <c r="BJ41" s="3">
        <f t="shared" si="15"/>
        <v>10888.001999999999</v>
      </c>
      <c r="BK41" s="3" t="str">
        <f t="shared" si="16"/>
        <v>nie</v>
      </c>
      <c r="BL41" s="3">
        <f t="shared" si="31"/>
        <v>0</v>
      </c>
      <c r="BM41" s="3">
        <f t="shared" si="32"/>
        <v>0</v>
      </c>
      <c r="BN41" s="3">
        <f t="shared" si="33"/>
        <v>10888.001999999999</v>
      </c>
      <c r="BO41" s="3">
        <f>MIN(IF(MOD(S41,12)=0,INDEX(IKE_oplata_wskaznik,MATCH(ROUNDUP(S41/12,0),IKE_oplata_rok,0)),0)*BN41,200)</f>
        <v>0</v>
      </c>
      <c r="BP41" s="3">
        <f t="shared" si="34"/>
        <v>17.24832</v>
      </c>
      <c r="BQ41" s="3">
        <f t="shared" si="35"/>
        <v>10870.753679999998</v>
      </c>
      <c r="BR41" s="3">
        <f t="shared" si="18"/>
        <v>200</v>
      </c>
      <c r="BS41" s="3">
        <f t="shared" si="19"/>
        <v>130.72037999999972</v>
      </c>
      <c r="BT41" s="3">
        <f t="shared" si="36"/>
        <v>10540.033299999999</v>
      </c>
    </row>
    <row r="42" spans="2:72">
      <c r="B42" s="172"/>
      <c r="C42" s="1">
        <f t="shared" si="65"/>
        <v>8</v>
      </c>
      <c r="D42" s="3">
        <f t="shared" si="67"/>
        <v>10086.666666666666</v>
      </c>
      <c r="E42" s="3">
        <f t="shared" si="68"/>
        <v>10013.5</v>
      </c>
      <c r="F42" s="3">
        <f t="shared" si="69"/>
        <v>10113.333333333334</v>
      </c>
      <c r="G42" s="3">
        <f t="shared" si="70"/>
        <v>10000</v>
      </c>
      <c r="H42" s="3">
        <f t="shared" si="66"/>
        <v>10081.287625749856</v>
      </c>
      <c r="I42" s="3">
        <f t="shared" si="71"/>
        <v>10333.333333333334</v>
      </c>
      <c r="S42" s="1">
        <f t="shared" si="20"/>
        <v>27</v>
      </c>
      <c r="T42" s="9">
        <f t="shared" si="51"/>
        <v>0.05</v>
      </c>
      <c r="U42" s="3">
        <f t="shared" si="0"/>
        <v>11162.8125</v>
      </c>
      <c r="V42" s="6">
        <f t="shared" si="21"/>
        <v>100</v>
      </c>
      <c r="W42" s="3">
        <f t="shared" si="22"/>
        <v>10000</v>
      </c>
      <c r="X42" s="3">
        <f t="shared" si="23"/>
        <v>10000</v>
      </c>
      <c r="Y42" s="3">
        <f t="shared" si="1"/>
        <v>10000</v>
      </c>
      <c r="Z42" s="9">
        <f t="shared" si="2"/>
        <v>5.7500000000000002E-2</v>
      </c>
      <c r="AA42" s="3">
        <f t="shared" si="3"/>
        <v>10143.75</v>
      </c>
      <c r="AB42" s="3" t="str">
        <f t="shared" si="4"/>
        <v>nie</v>
      </c>
      <c r="AC42" s="3">
        <f t="shared" si="5"/>
        <v>70</v>
      </c>
      <c r="AD42" s="1">
        <f t="shared" si="52"/>
        <v>6</v>
      </c>
      <c r="AE42" s="1">
        <f t="shared" si="72"/>
        <v>1</v>
      </c>
      <c r="AF42" s="7"/>
      <c r="AG42" s="7"/>
      <c r="AH42" s="3">
        <f t="shared" si="58"/>
        <v>600</v>
      </c>
      <c r="AI42" s="9">
        <f t="shared" si="53"/>
        <v>1.2999999999999999E-2</v>
      </c>
      <c r="AJ42" s="3">
        <f t="shared" si="59"/>
        <v>601.94999999999993</v>
      </c>
      <c r="AK42" s="3">
        <f t="shared" si="54"/>
        <v>1.9499999999999318</v>
      </c>
      <c r="AL42" s="3">
        <f t="shared" si="76"/>
        <v>100</v>
      </c>
      <c r="AM42" s="9">
        <f t="shared" si="73"/>
        <v>5.7500000000000002E-2</v>
      </c>
      <c r="AN42" s="3">
        <f t="shared" si="74"/>
        <v>101.4375</v>
      </c>
      <c r="AO42" s="3">
        <f t="shared" si="75"/>
        <v>0.7</v>
      </c>
      <c r="AP42" s="3">
        <f t="shared" si="6"/>
        <v>0</v>
      </c>
      <c r="AQ42" s="3">
        <f t="shared" si="60"/>
        <v>0</v>
      </c>
      <c r="AR42" s="3">
        <f t="shared" si="61"/>
        <v>6.2999999999999545</v>
      </c>
      <c r="AS42" s="1">
        <f t="shared" si="50"/>
        <v>0</v>
      </c>
      <c r="AT42" s="3">
        <f t="shared" si="8"/>
        <v>6.2999999999999545</v>
      </c>
      <c r="AU42" s="1">
        <f t="shared" si="57"/>
        <v>0</v>
      </c>
      <c r="AV42" s="3">
        <f t="shared" si="62"/>
        <v>6.2999999999999545</v>
      </c>
      <c r="AW42" s="3">
        <f t="shared" si="63"/>
        <v>10853.4375</v>
      </c>
      <c r="AX42" s="3">
        <f>MIN(IF(MOD(S42,12)=0,INDEX(IKE_oplata_wskaznik,MATCH(ROUNDUP(S42/12,0),IKE_oplata_rok,0)),0)*AW42,200)</f>
        <v>0</v>
      </c>
      <c r="AY42" s="3">
        <f t="shared" si="25"/>
        <v>17.13008</v>
      </c>
      <c r="AZ42" s="3">
        <f t="shared" si="11"/>
        <v>10836.307419999999</v>
      </c>
      <c r="BA42" s="3">
        <f t="shared" si="26"/>
        <v>72.649999999999935</v>
      </c>
      <c r="BB42" s="3">
        <f t="shared" si="12"/>
        <v>148.34962500000006</v>
      </c>
      <c r="BC42" s="3">
        <f t="shared" si="13"/>
        <v>10615.307794999999</v>
      </c>
      <c r="BE42" s="6">
        <f t="shared" si="27"/>
        <v>100</v>
      </c>
      <c r="BF42" s="3">
        <f t="shared" si="28"/>
        <v>10000</v>
      </c>
      <c r="BG42" s="3">
        <f t="shared" si="29"/>
        <v>10000</v>
      </c>
      <c r="BH42" s="3">
        <f t="shared" si="30"/>
        <v>10780.199999999999</v>
      </c>
      <c r="BI42" s="9">
        <f t="shared" si="14"/>
        <v>6.0000000000000005E-2</v>
      </c>
      <c r="BJ42" s="3">
        <f t="shared" si="15"/>
        <v>10941.902999999998</v>
      </c>
      <c r="BK42" s="3" t="str">
        <f t="shared" si="16"/>
        <v>nie</v>
      </c>
      <c r="BL42" s="3">
        <f t="shared" si="31"/>
        <v>0</v>
      </c>
      <c r="BM42" s="3">
        <f t="shared" si="32"/>
        <v>0</v>
      </c>
      <c r="BN42" s="3">
        <f t="shared" si="33"/>
        <v>10941.902999999998</v>
      </c>
      <c r="BO42" s="3">
        <f>MIN(IF(MOD(S42,12)=0,INDEX(IKE_oplata_wskaznik,MATCH(ROUNDUP(S42/12,0),IKE_oplata_rok,0)),0)*BN42,200)</f>
        <v>0</v>
      </c>
      <c r="BP42" s="3">
        <f t="shared" si="34"/>
        <v>17.24832</v>
      </c>
      <c r="BQ42" s="3">
        <f t="shared" si="35"/>
        <v>10924.654679999998</v>
      </c>
      <c r="BR42" s="3">
        <f t="shared" si="18"/>
        <v>200</v>
      </c>
      <c r="BS42" s="3">
        <f t="shared" si="19"/>
        <v>140.96156999999971</v>
      </c>
      <c r="BT42" s="3">
        <f t="shared" si="36"/>
        <v>10583.693109999998</v>
      </c>
    </row>
    <row r="43" spans="2:72">
      <c r="B43" s="172"/>
      <c r="C43" s="1">
        <f t="shared" si="65"/>
        <v>9</v>
      </c>
      <c r="D43" s="3">
        <f t="shared" si="67"/>
        <v>10097.5</v>
      </c>
      <c r="E43" s="3">
        <f t="shared" si="68"/>
        <v>10022.275</v>
      </c>
      <c r="F43" s="3">
        <f t="shared" si="69"/>
        <v>10127.5</v>
      </c>
      <c r="G43" s="3">
        <f t="shared" si="70"/>
        <v>10000</v>
      </c>
      <c r="H43" s="3">
        <f t="shared" si="66"/>
        <v>10091.494929470928</v>
      </c>
      <c r="I43" s="3">
        <f t="shared" si="71"/>
        <v>10375</v>
      </c>
      <c r="S43" s="1">
        <f t="shared" si="20"/>
        <v>28</v>
      </c>
      <c r="T43" s="9">
        <f t="shared" si="51"/>
        <v>0.05</v>
      </c>
      <c r="U43" s="3">
        <f t="shared" si="0"/>
        <v>11208.75</v>
      </c>
      <c r="V43" s="6">
        <f t="shared" si="21"/>
        <v>100</v>
      </c>
      <c r="W43" s="3">
        <f t="shared" si="22"/>
        <v>10000</v>
      </c>
      <c r="X43" s="3">
        <f t="shared" si="23"/>
        <v>10000</v>
      </c>
      <c r="Y43" s="3">
        <f t="shared" si="1"/>
        <v>10000</v>
      </c>
      <c r="Z43" s="9">
        <f t="shared" si="2"/>
        <v>5.7500000000000002E-2</v>
      </c>
      <c r="AA43" s="3">
        <f t="shared" si="3"/>
        <v>10191.666666666668</v>
      </c>
      <c r="AB43" s="3" t="str">
        <f t="shared" si="4"/>
        <v>nie</v>
      </c>
      <c r="AC43" s="3">
        <f t="shared" si="5"/>
        <v>70</v>
      </c>
      <c r="AD43" s="1">
        <f t="shared" si="52"/>
        <v>6</v>
      </c>
      <c r="AE43" s="1">
        <f t="shared" si="72"/>
        <v>1</v>
      </c>
      <c r="AF43" s="7"/>
      <c r="AG43" s="7"/>
      <c r="AH43" s="3">
        <f t="shared" si="58"/>
        <v>600</v>
      </c>
      <c r="AI43" s="9">
        <f t="shared" si="53"/>
        <v>1.2999999999999999E-2</v>
      </c>
      <c r="AJ43" s="3">
        <f t="shared" si="59"/>
        <v>602.6</v>
      </c>
      <c r="AK43" s="3">
        <f t="shared" si="54"/>
        <v>2.6000000000000227</v>
      </c>
      <c r="AL43" s="3">
        <f t="shared" si="76"/>
        <v>100</v>
      </c>
      <c r="AM43" s="9">
        <f t="shared" si="73"/>
        <v>5.7500000000000002E-2</v>
      </c>
      <c r="AN43" s="3">
        <f t="shared" si="74"/>
        <v>101.91666666666667</v>
      </c>
      <c r="AO43" s="3">
        <f t="shared" si="75"/>
        <v>0.7</v>
      </c>
      <c r="AP43" s="3">
        <f t="shared" si="6"/>
        <v>0</v>
      </c>
      <c r="AQ43" s="3">
        <f t="shared" si="60"/>
        <v>0</v>
      </c>
      <c r="AR43" s="3">
        <f t="shared" si="61"/>
        <v>6.2999999999999545</v>
      </c>
      <c r="AS43" s="1">
        <f t="shared" si="50"/>
        <v>0</v>
      </c>
      <c r="AT43" s="3">
        <f t="shared" si="8"/>
        <v>6.2999999999999545</v>
      </c>
      <c r="AU43" s="1">
        <f t="shared" si="57"/>
        <v>0</v>
      </c>
      <c r="AV43" s="3">
        <f t="shared" si="62"/>
        <v>6.2999999999999545</v>
      </c>
      <c r="AW43" s="3">
        <f t="shared" si="63"/>
        <v>10902.483333333334</v>
      </c>
      <c r="AX43" s="3">
        <f>MIN(IF(MOD(S43,12)=0,INDEX(IKE_oplata_wskaznik,MATCH(ROUNDUP(S43/12,0),IKE_oplata_rok,0)),0)*AW43,200)</f>
        <v>0</v>
      </c>
      <c r="AY43" s="3">
        <f t="shared" si="25"/>
        <v>17.13008</v>
      </c>
      <c r="AZ43" s="3">
        <f t="shared" si="11"/>
        <v>10885.353253333333</v>
      </c>
      <c r="BA43" s="3">
        <f t="shared" si="26"/>
        <v>73.300000000000026</v>
      </c>
      <c r="BB43" s="3">
        <f t="shared" si="12"/>
        <v>157.54483333333351</v>
      </c>
      <c r="BC43" s="3">
        <f t="shared" si="13"/>
        <v>10654.50842</v>
      </c>
      <c r="BE43" s="6">
        <f t="shared" si="27"/>
        <v>100</v>
      </c>
      <c r="BF43" s="3">
        <f t="shared" si="28"/>
        <v>10000</v>
      </c>
      <c r="BG43" s="3">
        <f t="shared" si="29"/>
        <v>10000</v>
      </c>
      <c r="BH43" s="3">
        <f t="shared" si="30"/>
        <v>10780.199999999999</v>
      </c>
      <c r="BI43" s="9">
        <f t="shared" si="14"/>
        <v>6.0000000000000005E-2</v>
      </c>
      <c r="BJ43" s="3">
        <f t="shared" si="15"/>
        <v>10995.803999999998</v>
      </c>
      <c r="BK43" s="3" t="str">
        <f t="shared" si="16"/>
        <v>nie</v>
      </c>
      <c r="BL43" s="3">
        <f t="shared" si="31"/>
        <v>0</v>
      </c>
      <c r="BM43" s="3">
        <f t="shared" si="32"/>
        <v>0</v>
      </c>
      <c r="BN43" s="3">
        <f t="shared" si="33"/>
        <v>10995.803999999998</v>
      </c>
      <c r="BO43" s="3">
        <f>MIN(IF(MOD(S43,12)=0,INDEX(IKE_oplata_wskaznik,MATCH(ROUNDUP(S43/12,0),IKE_oplata_rok,0)),0)*BN43,200)</f>
        <v>0</v>
      </c>
      <c r="BP43" s="3">
        <f t="shared" si="34"/>
        <v>17.24832</v>
      </c>
      <c r="BQ43" s="3">
        <f t="shared" si="35"/>
        <v>10978.555679999998</v>
      </c>
      <c r="BR43" s="3">
        <f t="shared" si="18"/>
        <v>200</v>
      </c>
      <c r="BS43" s="3">
        <f t="shared" si="19"/>
        <v>151.20275999999967</v>
      </c>
      <c r="BT43" s="3">
        <f t="shared" si="36"/>
        <v>10627.352919999998</v>
      </c>
    </row>
    <row r="44" spans="2:72">
      <c r="B44" s="172"/>
      <c r="C44" s="1">
        <f t="shared" si="65"/>
        <v>10</v>
      </c>
      <c r="D44" s="3">
        <f t="shared" si="67"/>
        <v>10108.333333333332</v>
      </c>
      <c r="E44" s="3">
        <f t="shared" si="68"/>
        <v>10031.049999999999</v>
      </c>
      <c r="F44" s="3">
        <f t="shared" si="69"/>
        <v>10141.666666666666</v>
      </c>
      <c r="G44" s="3">
        <f t="shared" si="70"/>
        <v>10000</v>
      </c>
      <c r="H44" s="3">
        <f t="shared" si="66"/>
        <v>10101.712568087018</v>
      </c>
      <c r="I44" s="3">
        <f t="shared" si="71"/>
        <v>10416.666666666668</v>
      </c>
      <c r="S44" s="1">
        <f t="shared" si="20"/>
        <v>29</v>
      </c>
      <c r="T44" s="9">
        <f t="shared" si="51"/>
        <v>0.05</v>
      </c>
      <c r="U44" s="3">
        <f t="shared" si="0"/>
        <v>11254.6875</v>
      </c>
      <c r="V44" s="6">
        <f t="shared" si="21"/>
        <v>100</v>
      </c>
      <c r="W44" s="3">
        <f t="shared" si="22"/>
        <v>10000</v>
      </c>
      <c r="X44" s="3">
        <f t="shared" si="23"/>
        <v>10000</v>
      </c>
      <c r="Y44" s="3">
        <f t="shared" si="1"/>
        <v>10000</v>
      </c>
      <c r="Z44" s="9">
        <f t="shared" si="2"/>
        <v>5.7500000000000002E-2</v>
      </c>
      <c r="AA44" s="3">
        <f t="shared" si="3"/>
        <v>10239.583333333334</v>
      </c>
      <c r="AB44" s="3" t="str">
        <f t="shared" si="4"/>
        <v>nie</v>
      </c>
      <c r="AC44" s="3">
        <f t="shared" si="5"/>
        <v>70</v>
      </c>
      <c r="AD44" s="1">
        <f t="shared" si="52"/>
        <v>6</v>
      </c>
      <c r="AE44" s="1">
        <f t="shared" si="72"/>
        <v>1</v>
      </c>
      <c r="AF44" s="7"/>
      <c r="AG44" s="7"/>
      <c r="AH44" s="3">
        <f t="shared" si="58"/>
        <v>600</v>
      </c>
      <c r="AI44" s="9">
        <f t="shared" si="53"/>
        <v>1.2999999999999999E-2</v>
      </c>
      <c r="AJ44" s="3">
        <f t="shared" si="59"/>
        <v>603.25</v>
      </c>
      <c r="AK44" s="3">
        <f t="shared" si="54"/>
        <v>3.25</v>
      </c>
      <c r="AL44" s="3">
        <f t="shared" si="76"/>
        <v>100</v>
      </c>
      <c r="AM44" s="9">
        <f t="shared" si="73"/>
        <v>5.7500000000000002E-2</v>
      </c>
      <c r="AN44" s="3">
        <f t="shared" si="74"/>
        <v>102.39583333333333</v>
      </c>
      <c r="AO44" s="3">
        <f t="shared" si="75"/>
        <v>0.7</v>
      </c>
      <c r="AP44" s="3">
        <f t="shared" si="6"/>
        <v>0</v>
      </c>
      <c r="AQ44" s="3">
        <f t="shared" si="60"/>
        <v>0</v>
      </c>
      <c r="AR44" s="3">
        <f t="shared" si="61"/>
        <v>6.2999999999999545</v>
      </c>
      <c r="AS44" s="1">
        <f t="shared" si="50"/>
        <v>0</v>
      </c>
      <c r="AT44" s="3">
        <f t="shared" si="8"/>
        <v>6.2999999999999545</v>
      </c>
      <c r="AU44" s="1">
        <f t="shared" si="57"/>
        <v>0</v>
      </c>
      <c r="AV44" s="3">
        <f t="shared" si="62"/>
        <v>6.2999999999999545</v>
      </c>
      <c r="AW44" s="3">
        <f t="shared" si="63"/>
        <v>10951.529166666667</v>
      </c>
      <c r="AX44" s="3">
        <f>MIN(IF(MOD(S44,12)=0,INDEX(IKE_oplata_wskaznik,MATCH(ROUNDUP(S44/12,0),IKE_oplata_rok,0)),0)*AW44,200)</f>
        <v>0</v>
      </c>
      <c r="AY44" s="3">
        <f t="shared" si="25"/>
        <v>17.13008</v>
      </c>
      <c r="AZ44" s="3">
        <f t="shared" si="11"/>
        <v>10934.399086666666</v>
      </c>
      <c r="BA44" s="3">
        <f t="shared" si="26"/>
        <v>73.95</v>
      </c>
      <c r="BB44" s="3">
        <f t="shared" si="12"/>
        <v>166.74004166666663</v>
      </c>
      <c r="BC44" s="3">
        <f t="shared" si="13"/>
        <v>10693.709045</v>
      </c>
      <c r="BE44" s="6">
        <f t="shared" si="27"/>
        <v>100</v>
      </c>
      <c r="BF44" s="3">
        <f t="shared" si="28"/>
        <v>10000</v>
      </c>
      <c r="BG44" s="3">
        <f t="shared" si="29"/>
        <v>10000</v>
      </c>
      <c r="BH44" s="3">
        <f t="shared" si="30"/>
        <v>10780.199999999999</v>
      </c>
      <c r="BI44" s="9">
        <f t="shared" si="14"/>
        <v>6.0000000000000005E-2</v>
      </c>
      <c r="BJ44" s="3">
        <f t="shared" si="15"/>
        <v>11049.704999999998</v>
      </c>
      <c r="BK44" s="3" t="str">
        <f t="shared" si="16"/>
        <v>nie</v>
      </c>
      <c r="BL44" s="3">
        <f t="shared" si="31"/>
        <v>0</v>
      </c>
      <c r="BM44" s="3">
        <f t="shared" si="32"/>
        <v>0</v>
      </c>
      <c r="BN44" s="3">
        <f t="shared" si="33"/>
        <v>11049.704999999998</v>
      </c>
      <c r="BO44" s="3">
        <f>MIN(IF(MOD(S44,12)=0,INDEX(IKE_oplata_wskaznik,MATCH(ROUNDUP(S44/12,0),IKE_oplata_rok,0)),0)*BN44,200)</f>
        <v>0</v>
      </c>
      <c r="BP44" s="3">
        <f t="shared" si="34"/>
        <v>17.24832</v>
      </c>
      <c r="BQ44" s="3">
        <f t="shared" si="35"/>
        <v>11032.456679999998</v>
      </c>
      <c r="BR44" s="3">
        <f t="shared" si="18"/>
        <v>200</v>
      </c>
      <c r="BS44" s="3">
        <f t="shared" si="19"/>
        <v>161.44394999999963</v>
      </c>
      <c r="BT44" s="3">
        <f t="shared" si="36"/>
        <v>10671.012729999999</v>
      </c>
    </row>
    <row r="45" spans="2:72">
      <c r="B45" s="173"/>
      <c r="C45" s="1">
        <f t="shared" si="65"/>
        <v>11</v>
      </c>
      <c r="D45" s="3">
        <f t="shared" si="67"/>
        <v>10119.166666666666</v>
      </c>
      <c r="E45" s="3">
        <f t="shared" si="68"/>
        <v>10039.824999999999</v>
      </c>
      <c r="F45" s="3">
        <f t="shared" si="69"/>
        <v>10155.833333333332</v>
      </c>
      <c r="G45" s="3">
        <f t="shared" si="70"/>
        <v>10000</v>
      </c>
      <c r="H45" s="3">
        <f t="shared" si="66"/>
        <v>10111.940552062206</v>
      </c>
      <c r="I45" s="3">
        <f t="shared" si="71"/>
        <v>10458.333333333334</v>
      </c>
      <c r="S45" s="1">
        <f t="shared" si="20"/>
        <v>30</v>
      </c>
      <c r="T45" s="9">
        <f t="shared" si="51"/>
        <v>0.05</v>
      </c>
      <c r="U45" s="3">
        <f t="shared" si="0"/>
        <v>11300.624999999998</v>
      </c>
      <c r="V45" s="6">
        <f t="shared" si="21"/>
        <v>100</v>
      </c>
      <c r="W45" s="3">
        <f t="shared" si="22"/>
        <v>10000</v>
      </c>
      <c r="X45" s="3">
        <f t="shared" si="23"/>
        <v>10000</v>
      </c>
      <c r="Y45" s="3">
        <f t="shared" si="1"/>
        <v>10000</v>
      </c>
      <c r="Z45" s="9">
        <f t="shared" si="2"/>
        <v>5.7500000000000002E-2</v>
      </c>
      <c r="AA45" s="3">
        <f t="shared" si="3"/>
        <v>10287.5</v>
      </c>
      <c r="AB45" s="3" t="str">
        <f t="shared" si="4"/>
        <v>nie</v>
      </c>
      <c r="AC45" s="3">
        <f t="shared" si="5"/>
        <v>70</v>
      </c>
      <c r="AD45" s="1">
        <f t="shared" si="52"/>
        <v>6</v>
      </c>
      <c r="AE45" s="1">
        <f t="shared" si="72"/>
        <v>1</v>
      </c>
      <c r="AF45" s="7"/>
      <c r="AG45" s="7"/>
      <c r="AH45" s="3">
        <f t="shared" si="58"/>
        <v>600</v>
      </c>
      <c r="AI45" s="9">
        <f t="shared" si="53"/>
        <v>1.2999999999999999E-2</v>
      </c>
      <c r="AJ45" s="3">
        <f t="shared" si="59"/>
        <v>603.9</v>
      </c>
      <c r="AK45" s="3">
        <f t="shared" si="54"/>
        <v>3.8999999999999773</v>
      </c>
      <c r="AL45" s="3">
        <f t="shared" si="76"/>
        <v>100</v>
      </c>
      <c r="AM45" s="9">
        <f t="shared" si="73"/>
        <v>5.7500000000000002E-2</v>
      </c>
      <c r="AN45" s="3">
        <f t="shared" si="74"/>
        <v>102.875</v>
      </c>
      <c r="AO45" s="3">
        <f t="shared" si="75"/>
        <v>0.7</v>
      </c>
      <c r="AP45" s="3">
        <f t="shared" si="6"/>
        <v>0</v>
      </c>
      <c r="AQ45" s="3">
        <f t="shared" si="60"/>
        <v>0</v>
      </c>
      <c r="AR45" s="3">
        <f t="shared" si="61"/>
        <v>6.2999999999999545</v>
      </c>
      <c r="AS45" s="1">
        <f t="shared" si="50"/>
        <v>0</v>
      </c>
      <c r="AT45" s="3">
        <f t="shared" si="8"/>
        <v>6.2999999999999545</v>
      </c>
      <c r="AU45" s="1">
        <f t="shared" si="57"/>
        <v>0</v>
      </c>
      <c r="AV45" s="3">
        <f t="shared" si="62"/>
        <v>6.2999999999999545</v>
      </c>
      <c r="AW45" s="3">
        <f t="shared" si="63"/>
        <v>11000.574999999999</v>
      </c>
      <c r="AX45" s="3">
        <f>MIN(IF(MOD(S45,12)=0,INDEX(IKE_oplata_wskaznik,MATCH(ROUNDUP(S45/12,0),IKE_oplata_rok,0)),0)*AW45,200)</f>
        <v>0</v>
      </c>
      <c r="AY45" s="3">
        <f t="shared" si="25"/>
        <v>17.13008</v>
      </c>
      <c r="AZ45" s="3">
        <f t="shared" si="11"/>
        <v>10983.444919999998</v>
      </c>
      <c r="BA45" s="3">
        <f t="shared" si="26"/>
        <v>74.59999999999998</v>
      </c>
      <c r="BB45" s="3">
        <f t="shared" si="12"/>
        <v>175.93524999999971</v>
      </c>
      <c r="BC45" s="3">
        <f t="shared" si="13"/>
        <v>10732.909669999997</v>
      </c>
      <c r="BE45" s="6">
        <f t="shared" si="27"/>
        <v>100</v>
      </c>
      <c r="BF45" s="3">
        <f t="shared" si="28"/>
        <v>10000</v>
      </c>
      <c r="BG45" s="3">
        <f t="shared" si="29"/>
        <v>10000</v>
      </c>
      <c r="BH45" s="3">
        <f t="shared" si="30"/>
        <v>10780.199999999999</v>
      </c>
      <c r="BI45" s="9">
        <f t="shared" si="14"/>
        <v>6.0000000000000005E-2</v>
      </c>
      <c r="BJ45" s="3">
        <f t="shared" si="15"/>
        <v>11103.606</v>
      </c>
      <c r="BK45" s="3" t="str">
        <f t="shared" si="16"/>
        <v>nie</v>
      </c>
      <c r="BL45" s="3">
        <f t="shared" si="31"/>
        <v>0</v>
      </c>
      <c r="BM45" s="3">
        <f t="shared" si="32"/>
        <v>0</v>
      </c>
      <c r="BN45" s="3">
        <f t="shared" si="33"/>
        <v>11103.606</v>
      </c>
      <c r="BO45" s="3">
        <f>MIN(IF(MOD(S45,12)=0,INDEX(IKE_oplata_wskaznik,MATCH(ROUNDUP(S45/12,0),IKE_oplata_rok,0)),0)*BN45,200)</f>
        <v>0</v>
      </c>
      <c r="BP45" s="3">
        <f t="shared" si="34"/>
        <v>17.24832</v>
      </c>
      <c r="BQ45" s="3">
        <f t="shared" si="35"/>
        <v>11086.357679999999</v>
      </c>
      <c r="BR45" s="3">
        <f t="shared" si="18"/>
        <v>200</v>
      </c>
      <c r="BS45" s="3">
        <f t="shared" si="19"/>
        <v>171.68513999999996</v>
      </c>
      <c r="BT45" s="3">
        <f t="shared" si="36"/>
        <v>10714.67254</v>
      </c>
    </row>
    <row r="46" spans="2:72">
      <c r="B46" s="171">
        <f>ROUNDUP(C47/12,0)</f>
        <v>2</v>
      </c>
      <c r="C46" s="4">
        <f t="shared" si="65"/>
        <v>12</v>
      </c>
      <c r="D46" s="12">
        <f t="shared" si="67"/>
        <v>10129.999999999998</v>
      </c>
      <c r="E46" s="12">
        <f t="shared" si="68"/>
        <v>10048.599999999999</v>
      </c>
      <c r="F46" s="12">
        <f t="shared" si="69"/>
        <v>10169.999999999998</v>
      </c>
      <c r="G46" s="12">
        <f t="shared" si="70"/>
        <v>10000</v>
      </c>
      <c r="H46" s="12">
        <f t="shared" si="66"/>
        <v>10122.17889187117</v>
      </c>
      <c r="I46" s="12">
        <f t="shared" si="71"/>
        <v>10500</v>
      </c>
      <c r="S46" s="1">
        <f t="shared" si="20"/>
        <v>31</v>
      </c>
      <c r="T46" s="9">
        <f t="shared" si="51"/>
        <v>0.05</v>
      </c>
      <c r="U46" s="3">
        <f t="shared" si="0"/>
        <v>11346.562499999998</v>
      </c>
      <c r="V46" s="6">
        <f t="shared" si="21"/>
        <v>100</v>
      </c>
      <c r="W46" s="3">
        <f t="shared" si="22"/>
        <v>10000</v>
      </c>
      <c r="X46" s="3">
        <f t="shared" si="23"/>
        <v>10000</v>
      </c>
      <c r="Y46" s="3">
        <f t="shared" si="1"/>
        <v>10000</v>
      </c>
      <c r="Z46" s="9">
        <f t="shared" si="2"/>
        <v>5.7500000000000002E-2</v>
      </c>
      <c r="AA46" s="3">
        <f t="shared" si="3"/>
        <v>10335.416666666666</v>
      </c>
      <c r="AB46" s="3" t="str">
        <f t="shared" si="4"/>
        <v>nie</v>
      </c>
      <c r="AC46" s="3">
        <f t="shared" si="5"/>
        <v>70</v>
      </c>
      <c r="AD46" s="1">
        <f t="shared" si="52"/>
        <v>6</v>
      </c>
      <c r="AE46" s="1">
        <f t="shared" si="72"/>
        <v>1</v>
      </c>
      <c r="AF46" s="7"/>
      <c r="AG46" s="7"/>
      <c r="AH46" s="3">
        <f t="shared" si="58"/>
        <v>600</v>
      </c>
      <c r="AI46" s="9">
        <f t="shared" si="53"/>
        <v>1.2999999999999999E-2</v>
      </c>
      <c r="AJ46" s="3">
        <f t="shared" si="59"/>
        <v>604.54999999999995</v>
      </c>
      <c r="AK46" s="3">
        <f t="shared" si="54"/>
        <v>4.1999999999999993</v>
      </c>
      <c r="AL46" s="3">
        <f t="shared" si="76"/>
        <v>100</v>
      </c>
      <c r="AM46" s="9">
        <f t="shared" si="73"/>
        <v>5.7500000000000002E-2</v>
      </c>
      <c r="AN46" s="3">
        <f t="shared" si="74"/>
        <v>103.35416666666666</v>
      </c>
      <c r="AO46" s="3">
        <f t="shared" si="75"/>
        <v>0.7</v>
      </c>
      <c r="AP46" s="3">
        <f t="shared" si="6"/>
        <v>0</v>
      </c>
      <c r="AQ46" s="3">
        <f t="shared" si="60"/>
        <v>0</v>
      </c>
      <c r="AR46" s="3">
        <f t="shared" si="61"/>
        <v>6.2999999999999545</v>
      </c>
      <c r="AS46" s="1">
        <f t="shared" si="50"/>
        <v>0</v>
      </c>
      <c r="AT46" s="3">
        <f t="shared" si="8"/>
        <v>6.2999999999999545</v>
      </c>
      <c r="AU46" s="1">
        <f t="shared" si="57"/>
        <v>0</v>
      </c>
      <c r="AV46" s="3">
        <f t="shared" si="62"/>
        <v>6.2999999999999545</v>
      </c>
      <c r="AW46" s="3">
        <f t="shared" si="63"/>
        <v>11049.620833333331</v>
      </c>
      <c r="AX46" s="3">
        <f>MIN(IF(MOD(S46,12)=0,INDEX(IKE_oplata_wskaznik,MATCH(ROUNDUP(S46/12,0),IKE_oplata_rok,0)),0)*AW46,200)</f>
        <v>0</v>
      </c>
      <c r="AY46" s="3">
        <f t="shared" si="25"/>
        <v>17.13008</v>
      </c>
      <c r="AZ46" s="3">
        <f t="shared" si="11"/>
        <v>11032.49075333333</v>
      </c>
      <c r="BA46" s="3">
        <f t="shared" si="26"/>
        <v>74.900000000000006</v>
      </c>
      <c r="BB46" s="3">
        <f t="shared" si="12"/>
        <v>185.1969583333329</v>
      </c>
      <c r="BC46" s="3">
        <f t="shared" si="13"/>
        <v>10772.393794999998</v>
      </c>
      <c r="BE46" s="6">
        <f t="shared" si="27"/>
        <v>100</v>
      </c>
      <c r="BF46" s="3">
        <f t="shared" si="28"/>
        <v>10000</v>
      </c>
      <c r="BG46" s="3">
        <f t="shared" si="29"/>
        <v>10000</v>
      </c>
      <c r="BH46" s="3">
        <f t="shared" si="30"/>
        <v>10780.199999999999</v>
      </c>
      <c r="BI46" s="9">
        <f t="shared" si="14"/>
        <v>6.0000000000000005E-2</v>
      </c>
      <c r="BJ46" s="3">
        <f t="shared" si="15"/>
        <v>11157.506999999998</v>
      </c>
      <c r="BK46" s="3" t="str">
        <f t="shared" si="16"/>
        <v>nie</v>
      </c>
      <c r="BL46" s="3">
        <f t="shared" si="31"/>
        <v>0</v>
      </c>
      <c r="BM46" s="3">
        <f t="shared" si="32"/>
        <v>0</v>
      </c>
      <c r="BN46" s="3">
        <f t="shared" si="33"/>
        <v>11157.506999999998</v>
      </c>
      <c r="BO46" s="3">
        <f>MIN(IF(MOD(S46,12)=0,INDEX(IKE_oplata_wskaznik,MATCH(ROUNDUP(S46/12,0),IKE_oplata_rok,0)),0)*BN46,200)</f>
        <v>0</v>
      </c>
      <c r="BP46" s="3">
        <f t="shared" si="34"/>
        <v>17.24832</v>
      </c>
      <c r="BQ46" s="3">
        <f t="shared" si="35"/>
        <v>11140.258679999997</v>
      </c>
      <c r="BR46" s="3">
        <f t="shared" si="18"/>
        <v>200</v>
      </c>
      <c r="BS46" s="3">
        <f t="shared" si="19"/>
        <v>181.92632999999958</v>
      </c>
      <c r="BT46" s="3">
        <f t="shared" si="36"/>
        <v>10758.332349999997</v>
      </c>
    </row>
    <row r="47" spans="2:72">
      <c r="B47" s="172"/>
      <c r="C47" s="1">
        <f t="shared" si="65"/>
        <v>13</v>
      </c>
      <c r="D47" s="3">
        <f t="shared" si="67"/>
        <v>10178.025</v>
      </c>
      <c r="E47" s="3">
        <f t="shared" si="68"/>
        <v>10087.4125</v>
      </c>
      <c r="F47" s="3">
        <f t="shared" si="69"/>
        <v>10220.849999999997</v>
      </c>
      <c r="G47" s="3">
        <f t="shared" si="70"/>
        <v>10016.888499999997</v>
      </c>
      <c r="H47" s="3">
        <f t="shared" si="66"/>
        <v>10132.427597999191</v>
      </c>
      <c r="I47" s="3">
        <f t="shared" si="71"/>
        <v>10543.75</v>
      </c>
      <c r="S47" s="1">
        <f t="shared" si="20"/>
        <v>32</v>
      </c>
      <c r="T47" s="9">
        <f t="shared" si="51"/>
        <v>0.05</v>
      </c>
      <c r="U47" s="3">
        <f t="shared" si="0"/>
        <v>11392.500000000002</v>
      </c>
      <c r="V47" s="6">
        <f t="shared" si="21"/>
        <v>100</v>
      </c>
      <c r="W47" s="3">
        <f t="shared" si="22"/>
        <v>10000</v>
      </c>
      <c r="X47" s="3">
        <f t="shared" si="23"/>
        <v>10000</v>
      </c>
      <c r="Y47" s="3">
        <f t="shared" si="1"/>
        <v>10000</v>
      </c>
      <c r="Z47" s="9">
        <f t="shared" si="2"/>
        <v>5.7500000000000002E-2</v>
      </c>
      <c r="AA47" s="3">
        <f t="shared" si="3"/>
        <v>10383.333333333334</v>
      </c>
      <c r="AB47" s="3" t="str">
        <f t="shared" si="4"/>
        <v>nie</v>
      </c>
      <c r="AC47" s="3">
        <f t="shared" si="5"/>
        <v>70</v>
      </c>
      <c r="AD47" s="1">
        <f t="shared" si="52"/>
        <v>6</v>
      </c>
      <c r="AE47" s="1">
        <f t="shared" si="72"/>
        <v>1</v>
      </c>
      <c r="AF47" s="7"/>
      <c r="AG47" s="7"/>
      <c r="AH47" s="3">
        <f t="shared" si="58"/>
        <v>600</v>
      </c>
      <c r="AI47" s="9">
        <f t="shared" si="53"/>
        <v>1.2999999999999999E-2</v>
      </c>
      <c r="AJ47" s="3">
        <f t="shared" si="59"/>
        <v>605.19999999999993</v>
      </c>
      <c r="AK47" s="3">
        <f t="shared" si="54"/>
        <v>4.1999999999999993</v>
      </c>
      <c r="AL47" s="3">
        <f t="shared" si="76"/>
        <v>100</v>
      </c>
      <c r="AM47" s="9">
        <f t="shared" si="73"/>
        <v>5.7500000000000002E-2</v>
      </c>
      <c r="AN47" s="3">
        <f t="shared" si="74"/>
        <v>103.83333333333333</v>
      </c>
      <c r="AO47" s="3">
        <f t="shared" si="75"/>
        <v>0.7</v>
      </c>
      <c r="AP47" s="3">
        <f t="shared" si="6"/>
        <v>0</v>
      </c>
      <c r="AQ47" s="3">
        <f t="shared" si="60"/>
        <v>0</v>
      </c>
      <c r="AR47" s="3">
        <f t="shared" si="61"/>
        <v>6.2999999999999545</v>
      </c>
      <c r="AS47" s="1">
        <f t="shared" si="50"/>
        <v>0</v>
      </c>
      <c r="AT47" s="3">
        <f t="shared" si="8"/>
        <v>6.2999999999999545</v>
      </c>
      <c r="AU47" s="1">
        <f t="shared" si="57"/>
        <v>0</v>
      </c>
      <c r="AV47" s="3">
        <f t="shared" si="62"/>
        <v>6.2999999999999545</v>
      </c>
      <c r="AW47" s="3">
        <f t="shared" si="63"/>
        <v>11098.666666666668</v>
      </c>
      <c r="AX47" s="3">
        <f>MIN(IF(MOD(S47,12)=0,INDEX(IKE_oplata_wskaznik,MATCH(ROUNDUP(S47/12,0),IKE_oplata_rok,0)),0)*AW47,200)</f>
        <v>0</v>
      </c>
      <c r="AY47" s="3">
        <f t="shared" si="25"/>
        <v>17.13008</v>
      </c>
      <c r="AZ47" s="3">
        <f t="shared" si="11"/>
        <v>11081.536586666667</v>
      </c>
      <c r="BA47" s="3">
        <f t="shared" si="26"/>
        <v>74.900000000000006</v>
      </c>
      <c r="BB47" s="3">
        <f t="shared" si="12"/>
        <v>194.51566666666696</v>
      </c>
      <c r="BC47" s="3">
        <f t="shared" si="13"/>
        <v>10812.120920000001</v>
      </c>
      <c r="BE47" s="6">
        <f t="shared" si="27"/>
        <v>100</v>
      </c>
      <c r="BF47" s="3">
        <f t="shared" si="28"/>
        <v>10000</v>
      </c>
      <c r="BG47" s="3">
        <f t="shared" si="29"/>
        <v>10000</v>
      </c>
      <c r="BH47" s="3">
        <f t="shared" si="30"/>
        <v>10780.199999999999</v>
      </c>
      <c r="BI47" s="9">
        <f t="shared" si="14"/>
        <v>6.0000000000000005E-2</v>
      </c>
      <c r="BJ47" s="3">
        <f t="shared" si="15"/>
        <v>11211.407999999999</v>
      </c>
      <c r="BK47" s="3" t="str">
        <f t="shared" si="16"/>
        <v>nie</v>
      </c>
      <c r="BL47" s="3">
        <f t="shared" si="31"/>
        <v>0</v>
      </c>
      <c r="BM47" s="3">
        <f t="shared" si="32"/>
        <v>0</v>
      </c>
      <c r="BN47" s="3">
        <f t="shared" si="33"/>
        <v>11211.407999999999</v>
      </c>
      <c r="BO47" s="3">
        <f>MIN(IF(MOD(S47,12)=0,INDEX(IKE_oplata_wskaznik,MATCH(ROUNDUP(S47/12,0),IKE_oplata_rok,0)),0)*BN47,200)</f>
        <v>0</v>
      </c>
      <c r="BP47" s="3">
        <f t="shared" si="34"/>
        <v>17.24832</v>
      </c>
      <c r="BQ47" s="3">
        <f t="shared" si="35"/>
        <v>11194.159679999999</v>
      </c>
      <c r="BR47" s="3">
        <f t="shared" si="18"/>
        <v>200</v>
      </c>
      <c r="BS47" s="3">
        <f t="shared" si="19"/>
        <v>192.16751999999991</v>
      </c>
      <c r="BT47" s="3">
        <f t="shared" si="36"/>
        <v>10801.99216</v>
      </c>
    </row>
    <row r="48" spans="2:72">
      <c r="B48" s="172"/>
      <c r="C48" s="1">
        <f t="shared" si="65"/>
        <v>14</v>
      </c>
      <c r="D48" s="3">
        <f t="shared" si="67"/>
        <v>10226.049999999997</v>
      </c>
      <c r="E48" s="3">
        <f t="shared" si="68"/>
        <v>10126.224999999997</v>
      </c>
      <c r="F48" s="3">
        <f t="shared" si="69"/>
        <v>10271.699999999999</v>
      </c>
      <c r="G48" s="3">
        <f t="shared" si="70"/>
        <v>10058.076999999999</v>
      </c>
      <c r="H48" s="3">
        <f t="shared" si="66"/>
        <v>10142.686680942166</v>
      </c>
      <c r="I48" s="3">
        <f t="shared" si="71"/>
        <v>10587.5</v>
      </c>
      <c r="S48" s="1">
        <f t="shared" si="20"/>
        <v>33</v>
      </c>
      <c r="T48" s="9">
        <f t="shared" si="51"/>
        <v>0.05</v>
      </c>
      <c r="U48" s="3">
        <f t="shared" ref="U48:U79" si="77">zakup_domyslny_wartosc*IFERROR((INDEX(scenariusz_I_inflacja_skumulowana,MATCH(ROUNDDOWN(S48/12,0),scenariusz_I_rok,0))+1),1)
*(1+MOD(S48,12)*INDEX(scenariusz_I_inflacja,MATCH(ROUNDUP(S48/12,0),scenariusz_I_rok,0))/12)</f>
        <v>11438.437500000002</v>
      </c>
      <c r="V48" s="6">
        <f t="shared" si="21"/>
        <v>100</v>
      </c>
      <c r="W48" s="3">
        <f t="shared" si="22"/>
        <v>10000</v>
      </c>
      <c r="X48" s="3">
        <f t="shared" si="23"/>
        <v>10000</v>
      </c>
      <c r="Y48" s="3">
        <f t="shared" ref="Y48:Y79" si="78">X48</f>
        <v>10000</v>
      </c>
      <c r="Z48" s="9">
        <f t="shared" ref="Z48:Z79" si="79">IF(AND(MOD($S48,zapadalnosc_COI)&lt;=12,MOD($S48,zapadalnosc_COI)&lt;&gt;0),proc_I_okres_COI,(marza_COI+$T48))</f>
        <v>5.7500000000000002E-2</v>
      </c>
      <c r="AA48" s="3">
        <f t="shared" ref="AA48:AA79" si="80">Y48*(1+Z48*IF(MOD($S48,12)&lt;&gt;0,MOD($S48,12),12)/12)</f>
        <v>10431.25</v>
      </c>
      <c r="AB48" s="3" t="str">
        <f t="shared" ref="AB48:AB79" si="81">IF(MOD($S48,zapadalnosc_COI)=0,"tak","nie")</f>
        <v>nie</v>
      </c>
      <c r="AC48" s="3">
        <f t="shared" ref="AC48:AC79" si="82">IF(MOD($S48,zapadalnosc_COI)=0,0,
IF(AND(MOD($S48,zapadalnosc_COI)&lt;zapadalnosc_COI,MOD($S48,zapadalnosc_COI)&lt;=12),
MIN(AA48-X48,V48*koszt_wczesniejszy_wykup_COI),V48*koszt_wczesniejszy_wykup_COI))</f>
        <v>70</v>
      </c>
      <c r="AD48" s="1">
        <f t="shared" si="52"/>
        <v>6</v>
      </c>
      <c r="AE48" s="1">
        <f t="shared" si="72"/>
        <v>1</v>
      </c>
      <c r="AF48" s="7"/>
      <c r="AG48" s="7"/>
      <c r="AH48" s="3">
        <f t="shared" si="58"/>
        <v>600</v>
      </c>
      <c r="AI48" s="9">
        <f t="shared" si="53"/>
        <v>1.2999999999999999E-2</v>
      </c>
      <c r="AJ48" s="3">
        <f t="shared" si="59"/>
        <v>605.84999999999991</v>
      </c>
      <c r="AK48" s="3">
        <f t="shared" si="54"/>
        <v>4.1999999999999993</v>
      </c>
      <c r="AL48" s="3">
        <f t="shared" si="76"/>
        <v>100</v>
      </c>
      <c r="AM48" s="9">
        <f t="shared" si="73"/>
        <v>5.7500000000000002E-2</v>
      </c>
      <c r="AN48" s="3">
        <f t="shared" si="74"/>
        <v>104.31250000000001</v>
      </c>
      <c r="AO48" s="3">
        <f t="shared" si="75"/>
        <v>0.7</v>
      </c>
      <c r="AP48" s="3">
        <f t="shared" ref="AP48:AP79" si="83">IF(MOD(S48,wyplata_odsetek_COI)=0, (AA48-X48),0)
-IF(AND(AB48="tak",W49&lt;&gt;""),W49-X48,0)</f>
        <v>0</v>
      </c>
      <c r="AQ48" s="3">
        <f t="shared" si="60"/>
        <v>0</v>
      </c>
      <c r="AR48" s="3">
        <f t="shared" si="61"/>
        <v>6.2999999999999545</v>
      </c>
      <c r="AS48" s="1">
        <f t="shared" si="50"/>
        <v>0</v>
      </c>
      <c r="AT48" s="3">
        <f t="shared" ref="AT48:AT79" si="84">AR48-AS48*zamiana_COI</f>
        <v>6.2999999999999545</v>
      </c>
      <c r="AU48" s="1">
        <f t="shared" si="57"/>
        <v>0</v>
      </c>
      <c r="AV48" s="3">
        <f t="shared" si="62"/>
        <v>6.2999999999999545</v>
      </c>
      <c r="AW48" s="3">
        <f t="shared" si="63"/>
        <v>11147.7125</v>
      </c>
      <c r="AX48" s="3">
        <f>MIN(IF(MOD(S48,12)=0,INDEX(IKE_oplata_wskaznik,MATCH(ROUNDUP(S48/12,0),IKE_oplata_rok,0)),0)*AW48,200)</f>
        <v>0</v>
      </c>
      <c r="AY48" s="3">
        <f t="shared" si="25"/>
        <v>17.13008</v>
      </c>
      <c r="AZ48" s="3">
        <f t="shared" ref="AZ48:AZ79" si="85">AW48-AY48</f>
        <v>11130.582419999999</v>
      </c>
      <c r="BA48" s="3">
        <f t="shared" si="26"/>
        <v>74.900000000000006</v>
      </c>
      <c r="BB48" s="3">
        <f t="shared" ref="BB48:BB79" si="86">(AW48-BA48-zakup_domyslny_wartosc)*podatek_Belki</f>
        <v>203.83437499999999</v>
      </c>
      <c r="BC48" s="3">
        <f t="shared" ref="BC48:BC79" si="87">AW48-AY48-BA48-BB48</f>
        <v>10851.848044999999</v>
      </c>
      <c r="BE48" s="6">
        <f t="shared" si="27"/>
        <v>100</v>
      </c>
      <c r="BF48" s="3">
        <f t="shared" si="28"/>
        <v>10000</v>
      </c>
      <c r="BG48" s="3">
        <f t="shared" si="29"/>
        <v>10000</v>
      </c>
      <c r="BH48" s="3">
        <f t="shared" si="30"/>
        <v>10780.199999999999</v>
      </c>
      <c r="BI48" s="9">
        <f t="shared" ref="BI48:BI79" si="88">IF(AND(MOD($S48,zapadalnosc_EDO)&lt;=12,MOD($S48,zapadalnosc_EDO)&lt;&gt;0),proc_I_okres_EDO,(marza_EDO+$T48))</f>
        <v>6.0000000000000005E-2</v>
      </c>
      <c r="BJ48" s="3">
        <f t="shared" ref="BJ48:BJ79" si="89">BH48*(1+BI48*IF(MOD($S48,12)&lt;&gt;0,MOD($S48,12),12)/12)</f>
        <v>11265.308999999997</v>
      </c>
      <c r="BK48" s="3" t="str">
        <f t="shared" ref="BK48:BK79" si="90">IF(MOD($S48,zapadalnosc_EDO)=0,"tak","nie")</f>
        <v>nie</v>
      </c>
      <c r="BL48" s="3">
        <f t="shared" si="31"/>
        <v>0</v>
      </c>
      <c r="BM48" s="3">
        <f t="shared" si="32"/>
        <v>0</v>
      </c>
      <c r="BN48" s="3">
        <f t="shared" si="33"/>
        <v>11265.308999999997</v>
      </c>
      <c r="BO48" s="3">
        <f>MIN(IF(MOD(S48,12)=0,INDEX(IKE_oplata_wskaznik,MATCH(ROUNDUP(S48/12,0),IKE_oplata_rok,0)),0)*BN48,200)</f>
        <v>0</v>
      </c>
      <c r="BP48" s="3">
        <f t="shared" si="34"/>
        <v>17.24832</v>
      </c>
      <c r="BQ48" s="3">
        <f t="shared" si="35"/>
        <v>11248.060679999997</v>
      </c>
      <c r="BR48" s="3">
        <f t="shared" ref="BR48:BR79" si="91">IF(AND(MOD($S48,zapadalnosc_EDO)&lt;zapadalnosc_EDO,MOD($S48,zapadalnosc_EDO)&lt;&gt;0),MIN(BJ48-BG48,BE48*koszt_wczesniejszy_wykup_EDO),0)</f>
        <v>200</v>
      </c>
      <c r="BS48" s="3">
        <f t="shared" ref="BS48:BS79" si="92">(BJ48-BR48-zakup_domyslny_wartosc)*podatek_Belki</f>
        <v>202.40870999999953</v>
      </c>
      <c r="BT48" s="3">
        <f t="shared" si="36"/>
        <v>10845.651969999997</v>
      </c>
    </row>
    <row r="49" spans="2:75">
      <c r="B49" s="172"/>
      <c r="C49" s="1">
        <f t="shared" si="65"/>
        <v>15</v>
      </c>
      <c r="D49" s="3">
        <f t="shared" si="67"/>
        <v>10274.074999999999</v>
      </c>
      <c r="E49" s="3">
        <f t="shared" si="68"/>
        <v>10165.037499999999</v>
      </c>
      <c r="F49" s="3">
        <f t="shared" si="69"/>
        <v>10322.549999999997</v>
      </c>
      <c r="G49" s="3">
        <f t="shared" si="70"/>
        <v>10099.265499999998</v>
      </c>
      <c r="H49" s="3">
        <f t="shared" si="66"/>
        <v>10152.956151206621</v>
      </c>
      <c r="I49" s="3">
        <f t="shared" si="71"/>
        <v>10631.25</v>
      </c>
      <c r="S49" s="1">
        <f t="shared" ref="S49:S80" si="93">S48+1</f>
        <v>34</v>
      </c>
      <c r="T49" s="9">
        <f t="shared" si="51"/>
        <v>0.05</v>
      </c>
      <c r="U49" s="3">
        <f t="shared" si="77"/>
        <v>11484.375</v>
      </c>
      <c r="V49" s="6">
        <f t="shared" ref="V49:V80" si="94">IF(AB48="tak",
ROUNDDOWN(AA48/zamiana_COI,0),
V48)</f>
        <v>100</v>
      </c>
      <c r="W49" s="3">
        <f t="shared" ref="W49:W80" si="95">IF(AB48="tak",
V49*zamiana_COI,
W48)</f>
        <v>10000</v>
      </c>
      <c r="X49" s="3">
        <f t="shared" ref="X49:X80" si="96">IF(AB48="tak",
V49*100,
X48)</f>
        <v>10000</v>
      </c>
      <c r="Y49" s="3">
        <f t="shared" si="78"/>
        <v>10000</v>
      </c>
      <c r="Z49" s="9">
        <f t="shared" si="79"/>
        <v>5.7500000000000002E-2</v>
      </c>
      <c r="AA49" s="3">
        <f t="shared" si="80"/>
        <v>10479.166666666666</v>
      </c>
      <c r="AB49" s="3" t="str">
        <f t="shared" si="81"/>
        <v>nie</v>
      </c>
      <c r="AC49" s="3">
        <f t="shared" si="82"/>
        <v>70</v>
      </c>
      <c r="AD49" s="1">
        <f t="shared" si="52"/>
        <v>6</v>
      </c>
      <c r="AE49" s="1">
        <f t="shared" si="72"/>
        <v>1</v>
      </c>
      <c r="AF49" s="7"/>
      <c r="AG49" s="7"/>
      <c r="AH49" s="3">
        <f t="shared" si="58"/>
        <v>600</v>
      </c>
      <c r="AI49" s="9">
        <f t="shared" si="53"/>
        <v>1.2999999999999999E-2</v>
      </c>
      <c r="AJ49" s="3">
        <f t="shared" si="59"/>
        <v>606.5</v>
      </c>
      <c r="AK49" s="3">
        <f t="shared" si="54"/>
        <v>4.1999999999999993</v>
      </c>
      <c r="AL49" s="3">
        <f t="shared" si="76"/>
        <v>100</v>
      </c>
      <c r="AM49" s="9">
        <f t="shared" si="73"/>
        <v>5.7500000000000002E-2</v>
      </c>
      <c r="AN49" s="3">
        <f t="shared" si="74"/>
        <v>104.79166666666666</v>
      </c>
      <c r="AO49" s="3">
        <f t="shared" si="75"/>
        <v>0.7</v>
      </c>
      <c r="AP49" s="3">
        <f t="shared" si="83"/>
        <v>0</v>
      </c>
      <c r="AQ49" s="3">
        <f t="shared" si="60"/>
        <v>0</v>
      </c>
      <c r="AR49" s="3">
        <f t="shared" si="61"/>
        <v>6.2999999999999545</v>
      </c>
      <c r="AS49" s="1">
        <f t="shared" si="50"/>
        <v>0</v>
      </c>
      <c r="AT49" s="3">
        <f t="shared" si="84"/>
        <v>6.2999999999999545</v>
      </c>
      <c r="AU49" s="1">
        <f t="shared" si="57"/>
        <v>0</v>
      </c>
      <c r="AV49" s="3">
        <f t="shared" si="62"/>
        <v>6.2999999999999545</v>
      </c>
      <c r="AW49" s="3">
        <f t="shared" si="63"/>
        <v>11196.758333333331</v>
      </c>
      <c r="AX49" s="3">
        <f>MIN(IF(MOD(S49,12)=0,INDEX(IKE_oplata_wskaznik,MATCH(ROUNDUP(S49/12,0),IKE_oplata_rok,0)),0)*AW49,200)</f>
        <v>0</v>
      </c>
      <c r="AY49" s="3">
        <f t="shared" si="25"/>
        <v>17.13008</v>
      </c>
      <c r="AZ49" s="3">
        <f t="shared" si="85"/>
        <v>11179.628253333331</v>
      </c>
      <c r="BA49" s="3">
        <f t="shared" si="26"/>
        <v>74.900000000000006</v>
      </c>
      <c r="BB49" s="3">
        <f t="shared" si="86"/>
        <v>213.15308333333303</v>
      </c>
      <c r="BC49" s="3">
        <f t="shared" si="87"/>
        <v>10891.575169999998</v>
      </c>
      <c r="BE49" s="6">
        <f t="shared" ref="BE49:BE80" si="97">IF(BK48="tak",
ROUNDDOWN(BJ48/zamiana_EDO,0),
BE48)</f>
        <v>100</v>
      </c>
      <c r="BF49" s="3">
        <f t="shared" ref="BF49:BF80" si="98">IF(BK48="tak",
BE49*zamiana_EDO,
BF48)</f>
        <v>10000</v>
      </c>
      <c r="BG49" s="3">
        <f t="shared" ref="BG49:BG80" si="99">IF(BK48="tak",
BE49*100,
BG48)</f>
        <v>10000</v>
      </c>
      <c r="BH49" s="3">
        <f t="shared" ref="BH49:BH80" si="100">IF(BK48="tak",
 BG49,
IF(MOD($S49,kapitalizacja_odsetek_mc_EDO)&lt;&gt;1,BH48,BJ48))</f>
        <v>10780.199999999999</v>
      </c>
      <c r="BI49" s="9">
        <f t="shared" si="88"/>
        <v>6.0000000000000005E-2</v>
      </c>
      <c r="BJ49" s="3">
        <f t="shared" si="89"/>
        <v>11319.21</v>
      </c>
      <c r="BK49" s="3" t="str">
        <f t="shared" si="90"/>
        <v>nie</v>
      </c>
      <c r="BL49" s="3">
        <f t="shared" si="31"/>
        <v>0</v>
      </c>
      <c r="BM49" s="3">
        <f t="shared" si="32"/>
        <v>0</v>
      </c>
      <c r="BN49" s="3">
        <f t="shared" si="33"/>
        <v>11319.21</v>
      </c>
      <c r="BO49" s="3">
        <f>MIN(IF(MOD(S49,12)=0,INDEX(IKE_oplata_wskaznik,MATCH(ROUNDUP(S49/12,0),IKE_oplata_rok,0)),0)*BN49,200)</f>
        <v>0</v>
      </c>
      <c r="BP49" s="3">
        <f t="shared" si="34"/>
        <v>17.24832</v>
      </c>
      <c r="BQ49" s="3">
        <f t="shared" si="35"/>
        <v>11301.961679999999</v>
      </c>
      <c r="BR49" s="3">
        <f t="shared" si="91"/>
        <v>200</v>
      </c>
      <c r="BS49" s="3">
        <f t="shared" si="92"/>
        <v>212.64989999999983</v>
      </c>
      <c r="BT49" s="3">
        <f t="shared" si="36"/>
        <v>10889.311779999998</v>
      </c>
    </row>
    <row r="50" spans="2:75">
      <c r="B50" s="172"/>
      <c r="C50" s="1">
        <f t="shared" si="65"/>
        <v>16</v>
      </c>
      <c r="D50" s="3">
        <f t="shared" si="67"/>
        <v>10322.099999999999</v>
      </c>
      <c r="E50" s="3">
        <f t="shared" si="68"/>
        <v>10203.85</v>
      </c>
      <c r="F50" s="3">
        <f t="shared" si="69"/>
        <v>10373.399999999998</v>
      </c>
      <c r="G50" s="3">
        <f t="shared" si="70"/>
        <v>10140.453999999998</v>
      </c>
      <c r="H50" s="3">
        <f t="shared" si="66"/>
        <v>10163.236019309719</v>
      </c>
      <c r="I50" s="3">
        <f t="shared" si="71"/>
        <v>10675</v>
      </c>
      <c r="S50" s="1">
        <f t="shared" si="93"/>
        <v>35</v>
      </c>
      <c r="T50" s="9">
        <f t="shared" si="51"/>
        <v>0.05</v>
      </c>
      <c r="U50" s="3">
        <f t="shared" si="77"/>
        <v>11530.3125</v>
      </c>
      <c r="V50" s="6">
        <f t="shared" si="94"/>
        <v>100</v>
      </c>
      <c r="W50" s="3">
        <f t="shared" si="95"/>
        <v>10000</v>
      </c>
      <c r="X50" s="3">
        <f t="shared" si="96"/>
        <v>10000</v>
      </c>
      <c r="Y50" s="3">
        <f t="shared" si="78"/>
        <v>10000</v>
      </c>
      <c r="Z50" s="9">
        <f t="shared" si="79"/>
        <v>5.7500000000000002E-2</v>
      </c>
      <c r="AA50" s="3">
        <f t="shared" si="80"/>
        <v>10527.083333333334</v>
      </c>
      <c r="AB50" s="3" t="str">
        <f t="shared" si="81"/>
        <v>nie</v>
      </c>
      <c r="AC50" s="3">
        <f t="shared" si="82"/>
        <v>70</v>
      </c>
      <c r="AD50" s="1">
        <f t="shared" si="52"/>
        <v>6</v>
      </c>
      <c r="AE50" s="1">
        <f t="shared" si="72"/>
        <v>1</v>
      </c>
      <c r="AF50" s="7"/>
      <c r="AG50" s="7"/>
      <c r="AH50" s="3">
        <f t="shared" si="58"/>
        <v>600</v>
      </c>
      <c r="AI50" s="9">
        <f t="shared" si="53"/>
        <v>1.2999999999999999E-2</v>
      </c>
      <c r="AJ50" s="3">
        <f t="shared" si="59"/>
        <v>607.15</v>
      </c>
      <c r="AK50" s="3">
        <f t="shared" si="54"/>
        <v>4.1999999999999993</v>
      </c>
      <c r="AL50" s="3">
        <f t="shared" si="76"/>
        <v>100</v>
      </c>
      <c r="AM50" s="9">
        <f t="shared" si="73"/>
        <v>5.7500000000000002E-2</v>
      </c>
      <c r="AN50" s="3">
        <f t="shared" si="74"/>
        <v>105.27083333333334</v>
      </c>
      <c r="AO50" s="3">
        <f t="shared" si="75"/>
        <v>0.7</v>
      </c>
      <c r="AP50" s="3">
        <f t="shared" si="83"/>
        <v>0</v>
      </c>
      <c r="AQ50" s="3">
        <f t="shared" si="60"/>
        <v>0</v>
      </c>
      <c r="AR50" s="3">
        <f t="shared" si="61"/>
        <v>6.2999999999999545</v>
      </c>
      <c r="AS50" s="1">
        <f t="shared" si="50"/>
        <v>0</v>
      </c>
      <c r="AT50" s="3">
        <f t="shared" si="84"/>
        <v>6.2999999999999545</v>
      </c>
      <c r="AU50" s="1">
        <f t="shared" si="57"/>
        <v>0</v>
      </c>
      <c r="AV50" s="3">
        <f t="shared" si="62"/>
        <v>6.2999999999999545</v>
      </c>
      <c r="AW50" s="3">
        <f t="shared" si="63"/>
        <v>11245.804166666667</v>
      </c>
      <c r="AX50" s="3">
        <f>MIN(IF(MOD(S50,12)=0,INDEX(IKE_oplata_wskaznik,MATCH(ROUNDUP(S50/12,0),IKE_oplata_rok,0)),0)*AW50,200)</f>
        <v>0</v>
      </c>
      <c r="AY50" s="3">
        <f t="shared" si="25"/>
        <v>17.13008</v>
      </c>
      <c r="AZ50" s="3">
        <f t="shared" si="85"/>
        <v>11228.674086666666</v>
      </c>
      <c r="BA50" s="3">
        <f t="shared" si="26"/>
        <v>74.900000000000006</v>
      </c>
      <c r="BB50" s="3">
        <f t="shared" si="86"/>
        <v>222.47179166666677</v>
      </c>
      <c r="BC50" s="3">
        <f t="shared" si="87"/>
        <v>10931.302295</v>
      </c>
      <c r="BE50" s="6">
        <f t="shared" si="97"/>
        <v>100</v>
      </c>
      <c r="BF50" s="3">
        <f t="shared" si="98"/>
        <v>10000</v>
      </c>
      <c r="BG50" s="3">
        <f t="shared" si="99"/>
        <v>10000</v>
      </c>
      <c r="BH50" s="3">
        <f t="shared" si="100"/>
        <v>10780.199999999999</v>
      </c>
      <c r="BI50" s="9">
        <f t="shared" si="88"/>
        <v>6.0000000000000005E-2</v>
      </c>
      <c r="BJ50" s="3">
        <f t="shared" si="89"/>
        <v>11373.110999999999</v>
      </c>
      <c r="BK50" s="3" t="str">
        <f t="shared" si="90"/>
        <v>nie</v>
      </c>
      <c r="BL50" s="3">
        <f t="shared" si="31"/>
        <v>0</v>
      </c>
      <c r="BM50" s="3">
        <f t="shared" si="32"/>
        <v>0</v>
      </c>
      <c r="BN50" s="3">
        <f t="shared" si="33"/>
        <v>11373.110999999999</v>
      </c>
      <c r="BO50" s="3">
        <f>MIN(IF(MOD(S50,12)=0,INDEX(IKE_oplata_wskaznik,MATCH(ROUNDUP(S50/12,0),IKE_oplata_rok,0)),0)*BN50,200)</f>
        <v>0</v>
      </c>
      <c r="BP50" s="3">
        <f t="shared" si="34"/>
        <v>17.24832</v>
      </c>
      <c r="BQ50" s="3">
        <f t="shared" si="35"/>
        <v>11355.862679999998</v>
      </c>
      <c r="BR50" s="3">
        <f t="shared" si="91"/>
        <v>200</v>
      </c>
      <c r="BS50" s="3">
        <f t="shared" si="92"/>
        <v>222.89108999999979</v>
      </c>
      <c r="BT50" s="3">
        <f t="shared" si="36"/>
        <v>10932.971589999999</v>
      </c>
    </row>
    <row r="51" spans="2:75">
      <c r="B51" s="172"/>
      <c r="C51" s="1">
        <f t="shared" si="65"/>
        <v>17</v>
      </c>
      <c r="D51" s="3">
        <f t="shared" si="67"/>
        <v>10370.124999999998</v>
      </c>
      <c r="E51" s="3">
        <f t="shared" si="68"/>
        <v>10242.662499999999</v>
      </c>
      <c r="F51" s="3">
        <f t="shared" si="69"/>
        <v>10424.249999999996</v>
      </c>
      <c r="G51" s="3">
        <f t="shared" si="70"/>
        <v>10181.642499999996</v>
      </c>
      <c r="H51" s="3">
        <f t="shared" si="66"/>
        <v>10173.526295779271</v>
      </c>
      <c r="I51" s="3">
        <f t="shared" si="71"/>
        <v>10718.75</v>
      </c>
      <c r="S51" s="1">
        <f t="shared" si="93"/>
        <v>36</v>
      </c>
      <c r="T51" s="9">
        <f t="shared" si="51"/>
        <v>0.05</v>
      </c>
      <c r="U51" s="3">
        <f t="shared" si="77"/>
        <v>11576.250000000002</v>
      </c>
      <c r="V51" s="6">
        <f t="shared" si="94"/>
        <v>100</v>
      </c>
      <c r="W51" s="3">
        <f t="shared" si="95"/>
        <v>10000</v>
      </c>
      <c r="X51" s="3">
        <f t="shared" si="96"/>
        <v>10000</v>
      </c>
      <c r="Y51" s="3">
        <f t="shared" si="78"/>
        <v>10000</v>
      </c>
      <c r="Z51" s="9">
        <f t="shared" si="79"/>
        <v>5.7500000000000002E-2</v>
      </c>
      <c r="AA51" s="3">
        <f t="shared" si="80"/>
        <v>10575.000000000002</v>
      </c>
      <c r="AB51" s="3" t="str">
        <f t="shared" si="81"/>
        <v>nie</v>
      </c>
      <c r="AC51" s="3">
        <f t="shared" si="82"/>
        <v>70</v>
      </c>
      <c r="AD51" s="1">
        <f t="shared" si="52"/>
        <v>6</v>
      </c>
      <c r="AE51" s="1">
        <f t="shared" si="72"/>
        <v>1</v>
      </c>
      <c r="AF51" s="7"/>
      <c r="AG51" s="7"/>
      <c r="AH51" s="3">
        <f t="shared" si="58"/>
        <v>600</v>
      </c>
      <c r="AI51" s="9">
        <f t="shared" si="53"/>
        <v>1.2999999999999999E-2</v>
      </c>
      <c r="AJ51" s="3">
        <f t="shared" si="59"/>
        <v>607.79999999999995</v>
      </c>
      <c r="AK51" s="3">
        <f t="shared" si="54"/>
        <v>4.1999999999999993</v>
      </c>
      <c r="AL51" s="3">
        <f t="shared" si="76"/>
        <v>100</v>
      </c>
      <c r="AM51" s="9">
        <f t="shared" si="73"/>
        <v>5.7500000000000002E-2</v>
      </c>
      <c r="AN51" s="3">
        <f t="shared" si="74"/>
        <v>105.75000000000001</v>
      </c>
      <c r="AO51" s="3">
        <f t="shared" si="75"/>
        <v>0.7</v>
      </c>
      <c r="AP51" s="3">
        <f t="shared" si="83"/>
        <v>575.00000000000182</v>
      </c>
      <c r="AQ51" s="3">
        <f t="shared" si="60"/>
        <v>13.549999999999969</v>
      </c>
      <c r="AR51" s="3">
        <f t="shared" si="61"/>
        <v>594.85000000000173</v>
      </c>
      <c r="AS51" s="1">
        <f t="shared" si="50"/>
        <v>0</v>
      </c>
      <c r="AT51" s="3">
        <f t="shared" si="84"/>
        <v>594.85000000000173</v>
      </c>
      <c r="AU51" s="1">
        <f t="shared" si="57"/>
        <v>5</v>
      </c>
      <c r="AV51" s="3">
        <f t="shared" si="62"/>
        <v>94.850000000001728</v>
      </c>
      <c r="AW51" s="3">
        <f t="shared" si="63"/>
        <v>11294.85</v>
      </c>
      <c r="AX51" s="3">
        <f>MIN(IF(MOD(S51,12)=0,INDEX(IKE_oplata_wskaznik,MATCH(ROUNDUP(S51/12,0),IKE_oplata_rok,0)),0)*AW51,200)</f>
        <v>16.942275000000002</v>
      </c>
      <c r="AY51" s="3">
        <f t="shared" si="25"/>
        <v>34.072355000000002</v>
      </c>
      <c r="AZ51" s="3">
        <f t="shared" si="85"/>
        <v>11260.777645</v>
      </c>
      <c r="BA51" s="3">
        <f t="shared" si="26"/>
        <v>74.900000000000006</v>
      </c>
      <c r="BB51" s="3">
        <f t="shared" si="86"/>
        <v>231.79050000000015</v>
      </c>
      <c r="BC51" s="3">
        <f t="shared" si="87"/>
        <v>10954.087145</v>
      </c>
      <c r="BE51" s="6">
        <f t="shared" si="97"/>
        <v>100</v>
      </c>
      <c r="BF51" s="3">
        <f t="shared" si="98"/>
        <v>10000</v>
      </c>
      <c r="BG51" s="3">
        <f t="shared" si="99"/>
        <v>10000</v>
      </c>
      <c r="BH51" s="3">
        <f t="shared" si="100"/>
        <v>10780.199999999999</v>
      </c>
      <c r="BI51" s="9">
        <f t="shared" si="88"/>
        <v>6.0000000000000005E-2</v>
      </c>
      <c r="BJ51" s="3">
        <f t="shared" si="89"/>
        <v>11427.011999999999</v>
      </c>
      <c r="BK51" s="3" t="str">
        <f t="shared" si="90"/>
        <v>nie</v>
      </c>
      <c r="BL51" s="3">
        <f t="shared" si="31"/>
        <v>0</v>
      </c>
      <c r="BM51" s="3">
        <f t="shared" si="32"/>
        <v>0</v>
      </c>
      <c r="BN51" s="3">
        <f t="shared" si="33"/>
        <v>11427.011999999999</v>
      </c>
      <c r="BO51" s="3">
        <f>MIN(IF(MOD(S51,12)=0,INDEX(IKE_oplata_wskaznik,MATCH(ROUNDUP(S51/12,0),IKE_oplata_rok,0)),0)*BN51,200)</f>
        <v>17.140518</v>
      </c>
      <c r="BP51" s="3">
        <f t="shared" si="34"/>
        <v>34.388838</v>
      </c>
      <c r="BQ51" s="3">
        <f t="shared" si="35"/>
        <v>11392.623161999998</v>
      </c>
      <c r="BR51" s="3">
        <f t="shared" si="91"/>
        <v>200</v>
      </c>
      <c r="BS51" s="3">
        <f t="shared" si="92"/>
        <v>233.13227999999978</v>
      </c>
      <c r="BT51" s="3">
        <f t="shared" si="36"/>
        <v>10959.490881999998</v>
      </c>
    </row>
    <row r="52" spans="2:75">
      <c r="B52" s="172"/>
      <c r="C52" s="1">
        <f t="shared" si="65"/>
        <v>18</v>
      </c>
      <c r="D52" s="3">
        <f t="shared" si="67"/>
        <v>10418.149999999998</v>
      </c>
      <c r="E52" s="3">
        <f t="shared" si="68"/>
        <v>10281.474999999999</v>
      </c>
      <c r="F52" s="3">
        <f t="shared" si="69"/>
        <v>10475.099999999999</v>
      </c>
      <c r="G52" s="3">
        <f t="shared" si="70"/>
        <v>10222.830999999998</v>
      </c>
      <c r="H52" s="3">
        <f t="shared" si="66"/>
        <v>10183.826991153748</v>
      </c>
      <c r="I52" s="3">
        <f t="shared" si="71"/>
        <v>10762.499999999998</v>
      </c>
      <c r="S52" s="1">
        <f t="shared" si="93"/>
        <v>37</v>
      </c>
      <c r="T52" s="9">
        <f t="shared" si="51"/>
        <v>0.05</v>
      </c>
      <c r="U52" s="3">
        <f t="shared" si="77"/>
        <v>11624.484375000002</v>
      </c>
      <c r="V52" s="6">
        <f t="shared" si="94"/>
        <v>100</v>
      </c>
      <c r="W52" s="3">
        <f t="shared" si="95"/>
        <v>10000</v>
      </c>
      <c r="X52" s="3">
        <f t="shared" si="96"/>
        <v>10000</v>
      </c>
      <c r="Y52" s="3">
        <f t="shared" si="78"/>
        <v>10000</v>
      </c>
      <c r="Z52" s="9">
        <f t="shared" si="79"/>
        <v>5.7500000000000002E-2</v>
      </c>
      <c r="AA52" s="3">
        <f t="shared" si="80"/>
        <v>10047.916666666668</v>
      </c>
      <c r="AB52" s="3" t="str">
        <f t="shared" si="81"/>
        <v>nie</v>
      </c>
      <c r="AC52" s="3">
        <f t="shared" si="82"/>
        <v>70</v>
      </c>
      <c r="AD52" s="1">
        <f t="shared" si="52"/>
        <v>5</v>
      </c>
      <c r="AE52" s="1">
        <f t="shared" si="72"/>
        <v>6</v>
      </c>
      <c r="AF52" s="1">
        <f t="shared" si="72"/>
        <v>1</v>
      </c>
      <c r="AG52" s="7"/>
      <c r="AH52" s="3">
        <f t="shared" si="58"/>
        <v>500</v>
      </c>
      <c r="AI52" s="9">
        <f t="shared" si="53"/>
        <v>1.2999999999999999E-2</v>
      </c>
      <c r="AJ52" s="3">
        <f t="shared" si="59"/>
        <v>500.54166666666669</v>
      </c>
      <c r="AK52" s="3">
        <f t="shared" si="54"/>
        <v>0.54166666666668561</v>
      </c>
      <c r="AL52" s="3">
        <f t="shared" si="76"/>
        <v>700</v>
      </c>
      <c r="AM52" s="9">
        <f t="shared" si="73"/>
        <v>5.7500000000000002E-2</v>
      </c>
      <c r="AN52" s="3">
        <f t="shared" si="74"/>
        <v>703.35416666666674</v>
      </c>
      <c r="AO52" s="3">
        <f t="shared" si="75"/>
        <v>4.8999999999999995</v>
      </c>
      <c r="AP52" s="3">
        <f t="shared" si="83"/>
        <v>0</v>
      </c>
      <c r="AQ52" s="3">
        <f t="shared" si="60"/>
        <v>0</v>
      </c>
      <c r="AR52" s="3">
        <f t="shared" si="61"/>
        <v>94.850000000001728</v>
      </c>
      <c r="AS52" s="1">
        <f t="shared" si="50"/>
        <v>0</v>
      </c>
      <c r="AT52" s="3">
        <f t="shared" si="84"/>
        <v>94.850000000001728</v>
      </c>
      <c r="AU52" s="1">
        <f t="shared" si="57"/>
        <v>0</v>
      </c>
      <c r="AV52" s="3">
        <f t="shared" si="62"/>
        <v>94.850000000001728</v>
      </c>
      <c r="AW52" s="3">
        <f t="shared" si="63"/>
        <v>11346.662500000002</v>
      </c>
      <c r="AX52" s="3">
        <f>MIN(IF(MOD(S52,12)=0,INDEX(IKE_oplata_wskaznik,MATCH(ROUNDUP(S52/12,0),IKE_oplata_rok,0)),0)*AW52,200)</f>
        <v>0</v>
      </c>
      <c r="AY52" s="3">
        <f t="shared" si="25"/>
        <v>34.072355000000002</v>
      </c>
      <c r="AZ52" s="3">
        <f t="shared" si="85"/>
        <v>11312.590145000002</v>
      </c>
      <c r="BA52" s="3">
        <f t="shared" si="26"/>
        <v>75.441666666666691</v>
      </c>
      <c r="BB52" s="3">
        <f t="shared" si="86"/>
        <v>241.53195833333359</v>
      </c>
      <c r="BC52" s="3">
        <f t="shared" si="87"/>
        <v>10995.616520000001</v>
      </c>
      <c r="BE52" s="6">
        <f t="shared" si="97"/>
        <v>100</v>
      </c>
      <c r="BF52" s="3">
        <f t="shared" si="98"/>
        <v>10000</v>
      </c>
      <c r="BG52" s="3">
        <f t="shared" si="99"/>
        <v>10000</v>
      </c>
      <c r="BH52" s="3">
        <f t="shared" si="100"/>
        <v>11427.011999999999</v>
      </c>
      <c r="BI52" s="9">
        <f t="shared" si="88"/>
        <v>6.0000000000000005E-2</v>
      </c>
      <c r="BJ52" s="3">
        <f t="shared" si="89"/>
        <v>11484.147059999998</v>
      </c>
      <c r="BK52" s="3" t="str">
        <f t="shared" si="90"/>
        <v>nie</v>
      </c>
      <c r="BL52" s="3">
        <f t="shared" si="31"/>
        <v>0</v>
      </c>
      <c r="BM52" s="3">
        <f t="shared" si="32"/>
        <v>0</v>
      </c>
      <c r="BN52" s="3">
        <f t="shared" si="33"/>
        <v>11484.147059999998</v>
      </c>
      <c r="BO52" s="3">
        <f>MIN(IF(MOD(S52,12)=0,INDEX(IKE_oplata_wskaznik,MATCH(ROUNDUP(S52/12,0),IKE_oplata_rok,0)),0)*BN52,200)</f>
        <v>0</v>
      </c>
      <c r="BP52" s="3">
        <f t="shared" si="34"/>
        <v>34.388838</v>
      </c>
      <c r="BQ52" s="3">
        <f t="shared" si="35"/>
        <v>11449.758221999997</v>
      </c>
      <c r="BR52" s="3">
        <f t="shared" si="91"/>
        <v>200</v>
      </c>
      <c r="BS52" s="3">
        <f t="shared" si="92"/>
        <v>243.98794139999953</v>
      </c>
      <c r="BT52" s="3">
        <f t="shared" si="36"/>
        <v>11005.770280599998</v>
      </c>
    </row>
    <row r="53" spans="2:75">
      <c r="B53" s="172"/>
      <c r="C53" s="1">
        <f t="shared" si="65"/>
        <v>19</v>
      </c>
      <c r="D53" s="3">
        <f t="shared" si="67"/>
        <v>10466.174999999997</v>
      </c>
      <c r="E53" s="3">
        <f t="shared" si="68"/>
        <v>10320.334749999998</v>
      </c>
      <c r="F53" s="3">
        <f t="shared" si="69"/>
        <v>10525.949999999997</v>
      </c>
      <c r="G53" s="3">
        <f t="shared" si="70"/>
        <v>10264.019499999999</v>
      </c>
      <c r="H53" s="3">
        <f t="shared" si="66"/>
        <v>10194.138115982292</v>
      </c>
      <c r="I53" s="3">
        <f t="shared" si="71"/>
        <v>10806.249999999998</v>
      </c>
      <c r="S53" s="1">
        <f t="shared" si="93"/>
        <v>38</v>
      </c>
      <c r="T53" s="9">
        <f t="shared" si="51"/>
        <v>0.05</v>
      </c>
      <c r="U53" s="3">
        <f t="shared" si="77"/>
        <v>11672.718750000002</v>
      </c>
      <c r="V53" s="6">
        <f t="shared" si="94"/>
        <v>100</v>
      </c>
      <c r="W53" s="3">
        <f t="shared" si="95"/>
        <v>10000</v>
      </c>
      <c r="X53" s="3">
        <f t="shared" si="96"/>
        <v>10000</v>
      </c>
      <c r="Y53" s="3">
        <f t="shared" si="78"/>
        <v>10000</v>
      </c>
      <c r="Z53" s="9">
        <f t="shared" si="79"/>
        <v>5.7500000000000002E-2</v>
      </c>
      <c r="AA53" s="3">
        <f t="shared" si="80"/>
        <v>10095.833333333332</v>
      </c>
      <c r="AB53" s="3" t="str">
        <f t="shared" si="81"/>
        <v>nie</v>
      </c>
      <c r="AC53" s="3">
        <f t="shared" si="82"/>
        <v>70</v>
      </c>
      <c r="AD53" s="1">
        <f t="shared" si="52"/>
        <v>5</v>
      </c>
      <c r="AE53" s="1">
        <f t="shared" si="72"/>
        <v>6</v>
      </c>
      <c r="AF53" s="1">
        <f t="shared" si="72"/>
        <v>1</v>
      </c>
      <c r="AG53" s="7"/>
      <c r="AH53" s="3">
        <f t="shared" si="58"/>
        <v>500</v>
      </c>
      <c r="AI53" s="9">
        <f t="shared" si="53"/>
        <v>1.2999999999999999E-2</v>
      </c>
      <c r="AJ53" s="3">
        <f t="shared" si="59"/>
        <v>501.08333333333331</v>
      </c>
      <c r="AK53" s="3">
        <f t="shared" si="54"/>
        <v>1.0833333333333144</v>
      </c>
      <c r="AL53" s="3">
        <f t="shared" si="76"/>
        <v>700</v>
      </c>
      <c r="AM53" s="9">
        <f t="shared" si="73"/>
        <v>5.7500000000000002E-2</v>
      </c>
      <c r="AN53" s="3">
        <f t="shared" si="74"/>
        <v>706.70833333333326</v>
      </c>
      <c r="AO53" s="3">
        <f t="shared" si="75"/>
        <v>4.8999999999999995</v>
      </c>
      <c r="AP53" s="3">
        <f t="shared" si="83"/>
        <v>0</v>
      </c>
      <c r="AQ53" s="3">
        <f t="shared" si="60"/>
        <v>0</v>
      </c>
      <c r="AR53" s="3">
        <f t="shared" si="61"/>
        <v>94.850000000001728</v>
      </c>
      <c r="AS53" s="1">
        <f t="shared" si="50"/>
        <v>0</v>
      </c>
      <c r="AT53" s="3">
        <f t="shared" si="84"/>
        <v>94.850000000001728</v>
      </c>
      <c r="AU53" s="1">
        <f t="shared" si="57"/>
        <v>0</v>
      </c>
      <c r="AV53" s="3">
        <f t="shared" si="62"/>
        <v>94.850000000001728</v>
      </c>
      <c r="AW53" s="3">
        <f t="shared" si="63"/>
        <v>11398.475000000002</v>
      </c>
      <c r="AX53" s="3">
        <f>MIN(IF(MOD(S53,12)=0,INDEX(IKE_oplata_wskaznik,MATCH(ROUNDUP(S53/12,0),IKE_oplata_rok,0)),0)*AW53,200)</f>
        <v>0</v>
      </c>
      <c r="AY53" s="3">
        <f t="shared" si="25"/>
        <v>34.072355000000002</v>
      </c>
      <c r="AZ53" s="3">
        <f t="shared" si="85"/>
        <v>11364.402645000002</v>
      </c>
      <c r="BA53" s="3">
        <f t="shared" si="26"/>
        <v>75.98333333333332</v>
      </c>
      <c r="BB53" s="3">
        <f t="shared" si="86"/>
        <v>251.27341666666703</v>
      </c>
      <c r="BC53" s="3">
        <f t="shared" si="87"/>
        <v>11037.145895000001</v>
      </c>
      <c r="BE53" s="6">
        <f t="shared" si="97"/>
        <v>100</v>
      </c>
      <c r="BF53" s="3">
        <f t="shared" si="98"/>
        <v>10000</v>
      </c>
      <c r="BG53" s="3">
        <f t="shared" si="99"/>
        <v>10000</v>
      </c>
      <c r="BH53" s="3">
        <f t="shared" si="100"/>
        <v>11427.011999999999</v>
      </c>
      <c r="BI53" s="9">
        <f t="shared" si="88"/>
        <v>6.0000000000000005E-2</v>
      </c>
      <c r="BJ53" s="3">
        <f t="shared" si="89"/>
        <v>11541.282119999998</v>
      </c>
      <c r="BK53" s="3" t="str">
        <f t="shared" si="90"/>
        <v>nie</v>
      </c>
      <c r="BL53" s="3">
        <f t="shared" si="31"/>
        <v>0</v>
      </c>
      <c r="BM53" s="3">
        <f t="shared" si="32"/>
        <v>0</v>
      </c>
      <c r="BN53" s="3">
        <f t="shared" si="33"/>
        <v>11541.282119999998</v>
      </c>
      <c r="BO53" s="3">
        <f>MIN(IF(MOD(S53,12)=0,INDEX(IKE_oplata_wskaznik,MATCH(ROUNDUP(S53/12,0),IKE_oplata_rok,0)),0)*BN53,200)</f>
        <v>0</v>
      </c>
      <c r="BP53" s="3">
        <f t="shared" si="34"/>
        <v>34.388838</v>
      </c>
      <c r="BQ53" s="3">
        <f t="shared" si="35"/>
        <v>11506.893281999997</v>
      </c>
      <c r="BR53" s="3">
        <f t="shared" si="91"/>
        <v>200</v>
      </c>
      <c r="BS53" s="3">
        <f t="shared" si="92"/>
        <v>254.84360279999962</v>
      </c>
      <c r="BT53" s="3">
        <f t="shared" si="36"/>
        <v>11052.049679199998</v>
      </c>
    </row>
    <row r="54" spans="2:75">
      <c r="B54" s="172"/>
      <c r="C54" s="1">
        <f t="shared" si="65"/>
        <v>20</v>
      </c>
      <c r="D54" s="3">
        <f t="shared" si="67"/>
        <v>10514.199999999999</v>
      </c>
      <c r="E54" s="3">
        <f t="shared" si="68"/>
        <v>10359.234999999999</v>
      </c>
      <c r="F54" s="3">
        <f t="shared" si="69"/>
        <v>10576.8</v>
      </c>
      <c r="G54" s="3">
        <f t="shared" si="70"/>
        <v>10305.207999999999</v>
      </c>
      <c r="H54" s="3">
        <f t="shared" si="66"/>
        <v>10204.459680824724</v>
      </c>
      <c r="I54" s="3">
        <f t="shared" si="71"/>
        <v>10850.000000000002</v>
      </c>
      <c r="S54" s="1">
        <f t="shared" si="93"/>
        <v>39</v>
      </c>
      <c r="T54" s="9">
        <f t="shared" si="51"/>
        <v>0.05</v>
      </c>
      <c r="U54" s="3">
        <f t="shared" si="77"/>
        <v>11720.953125000002</v>
      </c>
      <c r="V54" s="6">
        <f t="shared" si="94"/>
        <v>100</v>
      </c>
      <c r="W54" s="3">
        <f t="shared" si="95"/>
        <v>10000</v>
      </c>
      <c r="X54" s="3">
        <f t="shared" si="96"/>
        <v>10000</v>
      </c>
      <c r="Y54" s="3">
        <f t="shared" si="78"/>
        <v>10000</v>
      </c>
      <c r="Z54" s="9">
        <f t="shared" si="79"/>
        <v>5.7500000000000002E-2</v>
      </c>
      <c r="AA54" s="3">
        <f t="shared" si="80"/>
        <v>10143.75</v>
      </c>
      <c r="AB54" s="3" t="str">
        <f t="shared" si="81"/>
        <v>nie</v>
      </c>
      <c r="AC54" s="3">
        <f t="shared" si="82"/>
        <v>70</v>
      </c>
      <c r="AD54" s="1">
        <f t="shared" si="52"/>
        <v>5</v>
      </c>
      <c r="AE54" s="1">
        <f t="shared" si="72"/>
        <v>6</v>
      </c>
      <c r="AF54" s="1">
        <f t="shared" si="72"/>
        <v>1</v>
      </c>
      <c r="AG54" s="7"/>
      <c r="AH54" s="3">
        <f t="shared" si="58"/>
        <v>500</v>
      </c>
      <c r="AI54" s="9">
        <f t="shared" si="53"/>
        <v>1.2999999999999999E-2</v>
      </c>
      <c r="AJ54" s="3">
        <f t="shared" si="59"/>
        <v>501.625</v>
      </c>
      <c r="AK54" s="3">
        <f t="shared" si="54"/>
        <v>1.625</v>
      </c>
      <c r="AL54" s="3">
        <f t="shared" si="76"/>
        <v>700</v>
      </c>
      <c r="AM54" s="9">
        <f t="shared" si="73"/>
        <v>5.7500000000000002E-2</v>
      </c>
      <c r="AN54" s="3">
        <f t="shared" si="74"/>
        <v>710.0625</v>
      </c>
      <c r="AO54" s="3">
        <f t="shared" si="75"/>
        <v>4.8999999999999995</v>
      </c>
      <c r="AP54" s="3">
        <f t="shared" si="83"/>
        <v>0</v>
      </c>
      <c r="AQ54" s="3">
        <f t="shared" si="60"/>
        <v>0</v>
      </c>
      <c r="AR54" s="3">
        <f t="shared" si="61"/>
        <v>94.850000000001728</v>
      </c>
      <c r="AS54" s="1">
        <f t="shared" si="50"/>
        <v>0</v>
      </c>
      <c r="AT54" s="3">
        <f t="shared" si="84"/>
        <v>94.850000000001728</v>
      </c>
      <c r="AU54" s="1">
        <f t="shared" si="57"/>
        <v>0</v>
      </c>
      <c r="AV54" s="3">
        <f t="shared" si="62"/>
        <v>94.850000000001728</v>
      </c>
      <c r="AW54" s="3">
        <f t="shared" si="63"/>
        <v>11450.287500000002</v>
      </c>
      <c r="AX54" s="3">
        <f>MIN(IF(MOD(S54,12)=0,INDEX(IKE_oplata_wskaznik,MATCH(ROUNDUP(S54/12,0),IKE_oplata_rok,0)),0)*AW54,200)</f>
        <v>0</v>
      </c>
      <c r="AY54" s="3">
        <f t="shared" si="25"/>
        <v>34.072355000000002</v>
      </c>
      <c r="AZ54" s="3">
        <f t="shared" si="85"/>
        <v>11416.215145000002</v>
      </c>
      <c r="BA54" s="3">
        <f t="shared" si="26"/>
        <v>76.525000000000006</v>
      </c>
      <c r="BB54" s="3">
        <f t="shared" si="86"/>
        <v>261.01487500000047</v>
      </c>
      <c r="BC54" s="3">
        <f t="shared" si="87"/>
        <v>11078.675270000002</v>
      </c>
      <c r="BE54" s="6">
        <f t="shared" si="97"/>
        <v>100</v>
      </c>
      <c r="BF54" s="3">
        <f t="shared" si="98"/>
        <v>10000</v>
      </c>
      <c r="BG54" s="3">
        <f t="shared" si="99"/>
        <v>10000</v>
      </c>
      <c r="BH54" s="3">
        <f t="shared" si="100"/>
        <v>11427.011999999999</v>
      </c>
      <c r="BI54" s="9">
        <f t="shared" si="88"/>
        <v>6.0000000000000005E-2</v>
      </c>
      <c r="BJ54" s="3">
        <f t="shared" si="89"/>
        <v>11598.417179999999</v>
      </c>
      <c r="BK54" s="3" t="str">
        <f t="shared" si="90"/>
        <v>nie</v>
      </c>
      <c r="BL54" s="3">
        <f t="shared" si="31"/>
        <v>0</v>
      </c>
      <c r="BM54" s="3">
        <f t="shared" si="32"/>
        <v>0</v>
      </c>
      <c r="BN54" s="3">
        <f t="shared" si="33"/>
        <v>11598.417179999999</v>
      </c>
      <c r="BO54" s="3">
        <f>MIN(IF(MOD(S54,12)=0,INDEX(IKE_oplata_wskaznik,MATCH(ROUNDUP(S54/12,0),IKE_oplata_rok,0)),0)*BN54,200)</f>
        <v>0</v>
      </c>
      <c r="BP54" s="3">
        <f t="shared" si="34"/>
        <v>34.388838</v>
      </c>
      <c r="BQ54" s="3">
        <f t="shared" si="35"/>
        <v>11564.028341999998</v>
      </c>
      <c r="BR54" s="3">
        <f t="shared" si="91"/>
        <v>200</v>
      </c>
      <c r="BS54" s="3">
        <f t="shared" si="92"/>
        <v>265.69926419999973</v>
      </c>
      <c r="BT54" s="3">
        <f t="shared" si="36"/>
        <v>11098.329077799997</v>
      </c>
    </row>
    <row r="55" spans="2:75">
      <c r="B55" s="172"/>
      <c r="C55" s="1">
        <f t="shared" si="65"/>
        <v>21</v>
      </c>
      <c r="D55" s="3">
        <f t="shared" si="67"/>
        <v>10562.224999999999</v>
      </c>
      <c r="E55" s="3">
        <f t="shared" si="68"/>
        <v>10398.135249999998</v>
      </c>
      <c r="F55" s="3">
        <f t="shared" si="69"/>
        <v>10627.649999999998</v>
      </c>
      <c r="G55" s="3">
        <f t="shared" si="70"/>
        <v>10346.396499999999</v>
      </c>
      <c r="H55" s="3">
        <f t="shared" si="66"/>
        <v>10214.791696251561</v>
      </c>
      <c r="I55" s="3">
        <f t="shared" si="71"/>
        <v>10893.750000000002</v>
      </c>
      <c r="S55" s="1">
        <f t="shared" si="93"/>
        <v>40</v>
      </c>
      <c r="T55" s="9">
        <f t="shared" si="51"/>
        <v>0.05</v>
      </c>
      <c r="U55" s="3">
        <f t="shared" si="77"/>
        <v>11769.187500000002</v>
      </c>
      <c r="V55" s="6">
        <f t="shared" si="94"/>
        <v>100</v>
      </c>
      <c r="W55" s="3">
        <f t="shared" si="95"/>
        <v>10000</v>
      </c>
      <c r="X55" s="3">
        <f t="shared" si="96"/>
        <v>10000</v>
      </c>
      <c r="Y55" s="3">
        <f t="shared" si="78"/>
        <v>10000</v>
      </c>
      <c r="Z55" s="9">
        <f t="shared" si="79"/>
        <v>5.7500000000000002E-2</v>
      </c>
      <c r="AA55" s="3">
        <f t="shared" si="80"/>
        <v>10191.666666666668</v>
      </c>
      <c r="AB55" s="3" t="str">
        <f t="shared" si="81"/>
        <v>nie</v>
      </c>
      <c r="AC55" s="3">
        <f t="shared" si="82"/>
        <v>70</v>
      </c>
      <c r="AD55" s="1">
        <f t="shared" si="52"/>
        <v>5</v>
      </c>
      <c r="AE55" s="1">
        <f t="shared" si="72"/>
        <v>6</v>
      </c>
      <c r="AF55" s="1">
        <f t="shared" si="72"/>
        <v>1</v>
      </c>
      <c r="AG55" s="7"/>
      <c r="AH55" s="3">
        <f t="shared" si="58"/>
        <v>500</v>
      </c>
      <c r="AI55" s="9">
        <f t="shared" si="53"/>
        <v>1.2999999999999999E-2</v>
      </c>
      <c r="AJ55" s="3">
        <f t="shared" si="59"/>
        <v>502.16666666666663</v>
      </c>
      <c r="AK55" s="3">
        <f t="shared" si="54"/>
        <v>2.1666666666666288</v>
      </c>
      <c r="AL55" s="3">
        <f t="shared" si="76"/>
        <v>700</v>
      </c>
      <c r="AM55" s="9">
        <f t="shared" si="73"/>
        <v>5.7500000000000002E-2</v>
      </c>
      <c r="AN55" s="3">
        <f t="shared" si="74"/>
        <v>713.41666666666674</v>
      </c>
      <c r="AO55" s="3">
        <f t="shared" si="75"/>
        <v>4.8999999999999995</v>
      </c>
      <c r="AP55" s="3">
        <f t="shared" si="83"/>
        <v>0</v>
      </c>
      <c r="AQ55" s="3">
        <f t="shared" si="60"/>
        <v>0</v>
      </c>
      <c r="AR55" s="3">
        <f t="shared" si="61"/>
        <v>94.850000000001728</v>
      </c>
      <c r="AS55" s="1">
        <f t="shared" si="50"/>
        <v>0</v>
      </c>
      <c r="AT55" s="3">
        <f t="shared" si="84"/>
        <v>94.850000000001728</v>
      </c>
      <c r="AU55" s="1">
        <f t="shared" si="57"/>
        <v>0</v>
      </c>
      <c r="AV55" s="3">
        <f t="shared" si="62"/>
        <v>94.850000000001728</v>
      </c>
      <c r="AW55" s="3">
        <f t="shared" si="63"/>
        <v>11502.100000000002</v>
      </c>
      <c r="AX55" s="3">
        <f>MIN(IF(MOD(S55,12)=0,INDEX(IKE_oplata_wskaznik,MATCH(ROUNDUP(S55/12,0),IKE_oplata_rok,0)),0)*AW55,200)</f>
        <v>0</v>
      </c>
      <c r="AY55" s="3">
        <f t="shared" si="25"/>
        <v>34.072355000000002</v>
      </c>
      <c r="AZ55" s="3">
        <f t="shared" si="85"/>
        <v>11468.027645000002</v>
      </c>
      <c r="BA55" s="3">
        <f t="shared" si="26"/>
        <v>77.066666666666634</v>
      </c>
      <c r="BB55" s="3">
        <f t="shared" si="86"/>
        <v>270.7563333333336</v>
      </c>
      <c r="BC55" s="3">
        <f t="shared" si="87"/>
        <v>11120.204645000002</v>
      </c>
      <c r="BE55" s="6">
        <f t="shared" si="97"/>
        <v>100</v>
      </c>
      <c r="BF55" s="3">
        <f t="shared" si="98"/>
        <v>10000</v>
      </c>
      <c r="BG55" s="3">
        <f t="shared" si="99"/>
        <v>10000</v>
      </c>
      <c r="BH55" s="3">
        <f t="shared" si="100"/>
        <v>11427.011999999999</v>
      </c>
      <c r="BI55" s="9">
        <f t="shared" si="88"/>
        <v>6.0000000000000005E-2</v>
      </c>
      <c r="BJ55" s="3">
        <f t="shared" si="89"/>
        <v>11655.552239999999</v>
      </c>
      <c r="BK55" s="3" t="str">
        <f t="shared" si="90"/>
        <v>nie</v>
      </c>
      <c r="BL55" s="3">
        <f t="shared" si="31"/>
        <v>0</v>
      </c>
      <c r="BM55" s="3">
        <f t="shared" si="32"/>
        <v>0</v>
      </c>
      <c r="BN55" s="3">
        <f t="shared" si="33"/>
        <v>11655.552239999999</v>
      </c>
      <c r="BO55" s="3">
        <f>MIN(IF(MOD(S55,12)=0,INDEX(IKE_oplata_wskaznik,MATCH(ROUNDUP(S55/12,0),IKE_oplata_rok,0)),0)*BN55,200)</f>
        <v>0</v>
      </c>
      <c r="BP55" s="3">
        <f t="shared" si="34"/>
        <v>34.388838</v>
      </c>
      <c r="BQ55" s="3">
        <f t="shared" si="35"/>
        <v>11621.163401999998</v>
      </c>
      <c r="BR55" s="3">
        <f t="shared" si="91"/>
        <v>200</v>
      </c>
      <c r="BS55" s="3">
        <f t="shared" si="92"/>
        <v>276.55492559999982</v>
      </c>
      <c r="BT55" s="3">
        <f t="shared" si="36"/>
        <v>11144.608476399999</v>
      </c>
    </row>
    <row r="56" spans="2:75">
      <c r="B56" s="172"/>
      <c r="C56" s="1">
        <f t="shared" si="65"/>
        <v>22</v>
      </c>
      <c r="D56" s="3">
        <f t="shared" si="67"/>
        <v>10610.249999999998</v>
      </c>
      <c r="E56" s="3">
        <f t="shared" si="68"/>
        <v>10437.035499999998</v>
      </c>
      <c r="F56" s="3">
        <f t="shared" si="69"/>
        <v>10678.499999999998</v>
      </c>
      <c r="G56" s="3">
        <f t="shared" si="70"/>
        <v>10387.584999999999</v>
      </c>
      <c r="H56" s="3">
        <f t="shared" si="66"/>
        <v>10225.134172844017</v>
      </c>
      <c r="I56" s="3">
        <f t="shared" si="71"/>
        <v>10937.5</v>
      </c>
      <c r="S56" s="1">
        <f t="shared" si="93"/>
        <v>41</v>
      </c>
      <c r="T56" s="9">
        <f t="shared" si="51"/>
        <v>0.05</v>
      </c>
      <c r="U56" s="3">
        <f t="shared" si="77"/>
        <v>11817.421875000002</v>
      </c>
      <c r="V56" s="6">
        <f t="shared" si="94"/>
        <v>100</v>
      </c>
      <c r="W56" s="3">
        <f t="shared" si="95"/>
        <v>10000</v>
      </c>
      <c r="X56" s="3">
        <f t="shared" si="96"/>
        <v>10000</v>
      </c>
      <c r="Y56" s="3">
        <f t="shared" si="78"/>
        <v>10000</v>
      </c>
      <c r="Z56" s="9">
        <f t="shared" si="79"/>
        <v>5.7500000000000002E-2</v>
      </c>
      <c r="AA56" s="3">
        <f t="shared" si="80"/>
        <v>10239.583333333334</v>
      </c>
      <c r="AB56" s="3" t="str">
        <f t="shared" si="81"/>
        <v>nie</v>
      </c>
      <c r="AC56" s="3">
        <f t="shared" si="82"/>
        <v>70</v>
      </c>
      <c r="AD56" s="1">
        <f t="shared" si="52"/>
        <v>5</v>
      </c>
      <c r="AE56" s="1">
        <f t="shared" si="72"/>
        <v>6</v>
      </c>
      <c r="AF56" s="1">
        <f t="shared" si="72"/>
        <v>1</v>
      </c>
      <c r="AG56" s="7"/>
      <c r="AH56" s="3">
        <f t="shared" si="58"/>
        <v>500</v>
      </c>
      <c r="AI56" s="9">
        <f t="shared" si="53"/>
        <v>1.2999999999999999E-2</v>
      </c>
      <c r="AJ56" s="3">
        <f t="shared" si="59"/>
        <v>502.70833333333331</v>
      </c>
      <c r="AK56" s="3">
        <f t="shared" si="54"/>
        <v>2.7083333333333144</v>
      </c>
      <c r="AL56" s="3">
        <f t="shared" si="76"/>
        <v>700</v>
      </c>
      <c r="AM56" s="9">
        <f t="shared" si="73"/>
        <v>5.7500000000000002E-2</v>
      </c>
      <c r="AN56" s="3">
        <f t="shared" si="74"/>
        <v>716.77083333333326</v>
      </c>
      <c r="AO56" s="3">
        <f t="shared" si="75"/>
        <v>4.8999999999999995</v>
      </c>
      <c r="AP56" s="3">
        <f t="shared" si="83"/>
        <v>0</v>
      </c>
      <c r="AQ56" s="3">
        <f t="shared" si="60"/>
        <v>0</v>
      </c>
      <c r="AR56" s="3">
        <f t="shared" si="61"/>
        <v>94.850000000001728</v>
      </c>
      <c r="AS56" s="1">
        <f t="shared" si="50"/>
        <v>0</v>
      </c>
      <c r="AT56" s="3">
        <f t="shared" si="84"/>
        <v>94.850000000001728</v>
      </c>
      <c r="AU56" s="1">
        <f t="shared" si="57"/>
        <v>0</v>
      </c>
      <c r="AV56" s="3">
        <f t="shared" si="62"/>
        <v>94.850000000001728</v>
      </c>
      <c r="AW56" s="3">
        <f t="shared" si="63"/>
        <v>11553.912500000004</v>
      </c>
      <c r="AX56" s="3">
        <f>MIN(IF(MOD(S56,12)=0,INDEX(IKE_oplata_wskaznik,MATCH(ROUNDUP(S56/12,0),IKE_oplata_rok,0)),0)*AW56,200)</f>
        <v>0</v>
      </c>
      <c r="AY56" s="3">
        <f t="shared" si="25"/>
        <v>34.072355000000002</v>
      </c>
      <c r="AZ56" s="3">
        <f t="shared" si="85"/>
        <v>11519.840145000004</v>
      </c>
      <c r="BA56" s="3">
        <f t="shared" si="26"/>
        <v>77.60833333333332</v>
      </c>
      <c r="BB56" s="3">
        <f t="shared" si="86"/>
        <v>280.49779166666741</v>
      </c>
      <c r="BC56" s="3">
        <f t="shared" si="87"/>
        <v>11161.734020000004</v>
      </c>
      <c r="BE56" s="6">
        <f t="shared" si="97"/>
        <v>100</v>
      </c>
      <c r="BF56" s="3">
        <f t="shared" si="98"/>
        <v>10000</v>
      </c>
      <c r="BG56" s="3">
        <f t="shared" si="99"/>
        <v>10000</v>
      </c>
      <c r="BH56" s="3">
        <f t="shared" si="100"/>
        <v>11427.011999999999</v>
      </c>
      <c r="BI56" s="9">
        <f t="shared" si="88"/>
        <v>6.0000000000000005E-2</v>
      </c>
      <c r="BJ56" s="3">
        <f t="shared" si="89"/>
        <v>11712.687299999998</v>
      </c>
      <c r="BK56" s="3" t="str">
        <f t="shared" si="90"/>
        <v>nie</v>
      </c>
      <c r="BL56" s="3">
        <f t="shared" si="31"/>
        <v>0</v>
      </c>
      <c r="BM56" s="3">
        <f t="shared" si="32"/>
        <v>0</v>
      </c>
      <c r="BN56" s="3">
        <f t="shared" si="33"/>
        <v>11712.687299999998</v>
      </c>
      <c r="BO56" s="3">
        <f>MIN(IF(MOD(S56,12)=0,INDEX(IKE_oplata_wskaznik,MATCH(ROUNDUP(S56/12,0),IKE_oplata_rok,0)),0)*BN56,200)</f>
        <v>0</v>
      </c>
      <c r="BP56" s="3">
        <f t="shared" si="34"/>
        <v>34.388838</v>
      </c>
      <c r="BQ56" s="3">
        <f t="shared" si="35"/>
        <v>11678.298461999997</v>
      </c>
      <c r="BR56" s="3">
        <f t="shared" si="91"/>
        <v>200</v>
      </c>
      <c r="BS56" s="3">
        <f t="shared" si="92"/>
        <v>287.41058699999957</v>
      </c>
      <c r="BT56" s="3">
        <f t="shared" si="36"/>
        <v>11190.887874999997</v>
      </c>
    </row>
    <row r="57" spans="2:75">
      <c r="B57" s="173"/>
      <c r="C57" s="1">
        <f t="shared" si="65"/>
        <v>23</v>
      </c>
      <c r="D57" s="3">
        <f t="shared" si="67"/>
        <v>10658.275</v>
      </c>
      <c r="E57" s="3">
        <f t="shared" si="68"/>
        <v>10475.935749999999</v>
      </c>
      <c r="F57" s="3">
        <f t="shared" si="69"/>
        <v>10729.349999999997</v>
      </c>
      <c r="G57" s="3">
        <f t="shared" si="70"/>
        <v>10428.773499999998</v>
      </c>
      <c r="H57" s="3">
        <f t="shared" si="66"/>
        <v>10235.487121194023</v>
      </c>
      <c r="I57" s="3">
        <f t="shared" si="71"/>
        <v>10981.25</v>
      </c>
      <c r="S57" s="1">
        <f t="shared" si="93"/>
        <v>42</v>
      </c>
      <c r="T57" s="9">
        <f t="shared" si="51"/>
        <v>0.05</v>
      </c>
      <c r="U57" s="3">
        <f t="shared" si="77"/>
        <v>11865.65625</v>
      </c>
      <c r="V57" s="6">
        <f t="shared" si="94"/>
        <v>100</v>
      </c>
      <c r="W57" s="3">
        <f t="shared" si="95"/>
        <v>10000</v>
      </c>
      <c r="X57" s="3">
        <f t="shared" si="96"/>
        <v>10000</v>
      </c>
      <c r="Y57" s="3">
        <f t="shared" si="78"/>
        <v>10000</v>
      </c>
      <c r="Z57" s="9">
        <f t="shared" si="79"/>
        <v>5.7500000000000002E-2</v>
      </c>
      <c r="AA57" s="3">
        <f t="shared" si="80"/>
        <v>10287.5</v>
      </c>
      <c r="AB57" s="3" t="str">
        <f t="shared" si="81"/>
        <v>nie</v>
      </c>
      <c r="AC57" s="3">
        <f t="shared" si="82"/>
        <v>70</v>
      </c>
      <c r="AD57" s="1">
        <f t="shared" si="52"/>
        <v>5</v>
      </c>
      <c r="AE57" s="1">
        <f t="shared" si="72"/>
        <v>6</v>
      </c>
      <c r="AF57" s="1">
        <f t="shared" si="72"/>
        <v>1</v>
      </c>
      <c r="AG57" s="7"/>
      <c r="AH57" s="3">
        <f t="shared" si="58"/>
        <v>500</v>
      </c>
      <c r="AI57" s="9">
        <f t="shared" si="53"/>
        <v>1.2999999999999999E-2</v>
      </c>
      <c r="AJ57" s="3">
        <f t="shared" si="59"/>
        <v>503.25</v>
      </c>
      <c r="AK57" s="3">
        <f t="shared" si="54"/>
        <v>3.25</v>
      </c>
      <c r="AL57" s="3">
        <f t="shared" si="76"/>
        <v>700</v>
      </c>
      <c r="AM57" s="9">
        <f t="shared" si="73"/>
        <v>5.7500000000000002E-2</v>
      </c>
      <c r="AN57" s="3">
        <f t="shared" si="74"/>
        <v>720.125</v>
      </c>
      <c r="AO57" s="3">
        <f t="shared" si="75"/>
        <v>4.8999999999999995</v>
      </c>
      <c r="AP57" s="3">
        <f t="shared" si="83"/>
        <v>0</v>
      </c>
      <c r="AQ57" s="3">
        <f t="shared" si="60"/>
        <v>0</v>
      </c>
      <c r="AR57" s="3">
        <f t="shared" si="61"/>
        <v>94.850000000001728</v>
      </c>
      <c r="AS57" s="1">
        <f t="shared" si="50"/>
        <v>0</v>
      </c>
      <c r="AT57" s="3">
        <f t="shared" si="84"/>
        <v>94.850000000001728</v>
      </c>
      <c r="AU57" s="1">
        <f t="shared" si="57"/>
        <v>0</v>
      </c>
      <c r="AV57" s="3">
        <f t="shared" si="62"/>
        <v>94.850000000001728</v>
      </c>
      <c r="AW57" s="3">
        <f t="shared" si="63"/>
        <v>11605.725000000002</v>
      </c>
      <c r="AX57" s="3">
        <f>MIN(IF(MOD(S57,12)=0,INDEX(IKE_oplata_wskaznik,MATCH(ROUNDUP(S57/12,0),IKE_oplata_rok,0)),0)*AW57,200)</f>
        <v>0</v>
      </c>
      <c r="AY57" s="3">
        <f t="shared" si="25"/>
        <v>34.072355000000002</v>
      </c>
      <c r="AZ57" s="3">
        <f t="shared" si="85"/>
        <v>11571.652645000002</v>
      </c>
      <c r="BA57" s="3">
        <f t="shared" si="26"/>
        <v>78.150000000000006</v>
      </c>
      <c r="BB57" s="3">
        <f t="shared" si="86"/>
        <v>290.23925000000048</v>
      </c>
      <c r="BC57" s="3">
        <f t="shared" si="87"/>
        <v>11203.263395000002</v>
      </c>
      <c r="BE57" s="6">
        <f t="shared" si="97"/>
        <v>100</v>
      </c>
      <c r="BF57" s="3">
        <f t="shared" si="98"/>
        <v>10000</v>
      </c>
      <c r="BG57" s="3">
        <f t="shared" si="99"/>
        <v>10000</v>
      </c>
      <c r="BH57" s="3">
        <f t="shared" si="100"/>
        <v>11427.011999999999</v>
      </c>
      <c r="BI57" s="9">
        <f t="shared" si="88"/>
        <v>6.0000000000000005E-2</v>
      </c>
      <c r="BJ57" s="3">
        <f t="shared" si="89"/>
        <v>11769.822359999998</v>
      </c>
      <c r="BK57" s="3" t="str">
        <f t="shared" si="90"/>
        <v>nie</v>
      </c>
      <c r="BL57" s="3">
        <f t="shared" si="31"/>
        <v>0</v>
      </c>
      <c r="BM57" s="3">
        <f t="shared" si="32"/>
        <v>0</v>
      </c>
      <c r="BN57" s="3">
        <f t="shared" si="33"/>
        <v>11769.822359999998</v>
      </c>
      <c r="BO57" s="3">
        <f>MIN(IF(MOD(S57,12)=0,INDEX(IKE_oplata_wskaznik,MATCH(ROUNDUP(S57/12,0),IKE_oplata_rok,0)),0)*BN57,200)</f>
        <v>0</v>
      </c>
      <c r="BP57" s="3">
        <f t="shared" si="34"/>
        <v>34.388838</v>
      </c>
      <c r="BQ57" s="3">
        <f t="shared" si="35"/>
        <v>11735.433521999998</v>
      </c>
      <c r="BR57" s="3">
        <f t="shared" si="91"/>
        <v>200</v>
      </c>
      <c r="BS57" s="3">
        <f t="shared" si="92"/>
        <v>298.26624839999965</v>
      </c>
      <c r="BT57" s="3">
        <f t="shared" si="36"/>
        <v>11237.167273599998</v>
      </c>
    </row>
    <row r="58" spans="2:75">
      <c r="B58" s="171">
        <f>ROUNDUP(C59/12,0)</f>
        <v>3</v>
      </c>
      <c r="C58" s="4">
        <f t="shared" si="65"/>
        <v>24</v>
      </c>
      <c r="D58" s="12">
        <f t="shared" si="67"/>
        <v>10689.169919999998</v>
      </c>
      <c r="E58" s="12">
        <f t="shared" si="68"/>
        <v>10497.705919999999</v>
      </c>
      <c r="F58" s="12">
        <f t="shared" si="69"/>
        <v>10762.951679999998</v>
      </c>
      <c r="G58" s="12">
        <f t="shared" si="70"/>
        <v>10452.713679999999</v>
      </c>
      <c r="H58" s="12">
        <f t="shared" si="66"/>
        <v>10245.850551904232</v>
      </c>
      <c r="I58" s="12">
        <f t="shared" si="71"/>
        <v>11025</v>
      </c>
      <c r="S58" s="1">
        <f t="shared" si="93"/>
        <v>43</v>
      </c>
      <c r="T58" s="9">
        <f t="shared" si="51"/>
        <v>0.05</v>
      </c>
      <c r="U58" s="3">
        <f t="shared" si="77"/>
        <v>11913.890625</v>
      </c>
      <c r="V58" s="6">
        <f t="shared" si="94"/>
        <v>100</v>
      </c>
      <c r="W58" s="3">
        <f t="shared" si="95"/>
        <v>10000</v>
      </c>
      <c r="X58" s="3">
        <f t="shared" si="96"/>
        <v>10000</v>
      </c>
      <c r="Y58" s="3">
        <f t="shared" si="78"/>
        <v>10000</v>
      </c>
      <c r="Z58" s="9">
        <f t="shared" si="79"/>
        <v>5.7500000000000002E-2</v>
      </c>
      <c r="AA58" s="3">
        <f t="shared" si="80"/>
        <v>10335.416666666666</v>
      </c>
      <c r="AB58" s="3" t="str">
        <f t="shared" si="81"/>
        <v>nie</v>
      </c>
      <c r="AC58" s="3">
        <f t="shared" si="82"/>
        <v>70</v>
      </c>
      <c r="AD58" s="1">
        <f t="shared" si="52"/>
        <v>5</v>
      </c>
      <c r="AE58" s="1">
        <f t="shared" si="72"/>
        <v>6</v>
      </c>
      <c r="AF58" s="1">
        <f t="shared" si="72"/>
        <v>1</v>
      </c>
      <c r="AG58" s="7"/>
      <c r="AH58" s="3">
        <f t="shared" si="58"/>
        <v>500</v>
      </c>
      <c r="AI58" s="9">
        <f t="shared" si="53"/>
        <v>1.2999999999999999E-2</v>
      </c>
      <c r="AJ58" s="3">
        <f t="shared" si="59"/>
        <v>503.79166666666663</v>
      </c>
      <c r="AK58" s="3">
        <f t="shared" si="54"/>
        <v>3.5</v>
      </c>
      <c r="AL58" s="3">
        <f t="shared" si="76"/>
        <v>700</v>
      </c>
      <c r="AM58" s="9">
        <f t="shared" si="73"/>
        <v>5.7500000000000002E-2</v>
      </c>
      <c r="AN58" s="3">
        <f t="shared" si="74"/>
        <v>723.47916666666663</v>
      </c>
      <c r="AO58" s="3">
        <f t="shared" si="75"/>
        <v>4.8999999999999995</v>
      </c>
      <c r="AP58" s="3">
        <f t="shared" si="83"/>
        <v>0</v>
      </c>
      <c r="AQ58" s="3">
        <f t="shared" si="60"/>
        <v>0</v>
      </c>
      <c r="AR58" s="3">
        <f t="shared" si="61"/>
        <v>94.850000000001728</v>
      </c>
      <c r="AS58" s="1">
        <f t="shared" si="50"/>
        <v>0</v>
      </c>
      <c r="AT58" s="3">
        <f t="shared" si="84"/>
        <v>94.850000000001728</v>
      </c>
      <c r="AU58" s="1">
        <f t="shared" si="57"/>
        <v>0</v>
      </c>
      <c r="AV58" s="3">
        <f t="shared" si="62"/>
        <v>94.850000000001728</v>
      </c>
      <c r="AW58" s="3">
        <f t="shared" si="63"/>
        <v>11657.5375</v>
      </c>
      <c r="AX58" s="3">
        <f>MIN(IF(MOD(S58,12)=0,INDEX(IKE_oplata_wskaznik,MATCH(ROUNDUP(S58/12,0),IKE_oplata_rok,0)),0)*AW58,200)</f>
        <v>0</v>
      </c>
      <c r="AY58" s="3">
        <f t="shared" si="25"/>
        <v>34.072355000000002</v>
      </c>
      <c r="AZ58" s="3">
        <f t="shared" si="85"/>
        <v>11623.465145</v>
      </c>
      <c r="BA58" s="3">
        <f t="shared" si="26"/>
        <v>78.400000000000006</v>
      </c>
      <c r="BB58" s="3">
        <f t="shared" si="86"/>
        <v>300.03612500000014</v>
      </c>
      <c r="BC58" s="3">
        <f t="shared" si="87"/>
        <v>11245.02902</v>
      </c>
      <c r="BE58" s="6">
        <f t="shared" si="97"/>
        <v>100</v>
      </c>
      <c r="BF58" s="3">
        <f t="shared" si="98"/>
        <v>10000</v>
      </c>
      <c r="BG58" s="3">
        <f t="shared" si="99"/>
        <v>10000</v>
      </c>
      <c r="BH58" s="3">
        <f t="shared" si="100"/>
        <v>11427.011999999999</v>
      </c>
      <c r="BI58" s="9">
        <f t="shared" si="88"/>
        <v>6.0000000000000005E-2</v>
      </c>
      <c r="BJ58" s="3">
        <f t="shared" si="89"/>
        <v>11826.957419999997</v>
      </c>
      <c r="BK58" s="3" t="str">
        <f t="shared" si="90"/>
        <v>nie</v>
      </c>
      <c r="BL58" s="3">
        <f t="shared" si="31"/>
        <v>0</v>
      </c>
      <c r="BM58" s="3">
        <f t="shared" si="32"/>
        <v>0</v>
      </c>
      <c r="BN58" s="3">
        <f t="shared" si="33"/>
        <v>11826.957419999997</v>
      </c>
      <c r="BO58" s="3">
        <f>MIN(IF(MOD(S58,12)=0,INDEX(IKE_oplata_wskaznik,MATCH(ROUNDUP(S58/12,0),IKE_oplata_rok,0)),0)*BN58,200)</f>
        <v>0</v>
      </c>
      <c r="BP58" s="3">
        <f t="shared" si="34"/>
        <v>34.388838</v>
      </c>
      <c r="BQ58" s="3">
        <f t="shared" si="35"/>
        <v>11792.568581999996</v>
      </c>
      <c r="BR58" s="3">
        <f t="shared" si="91"/>
        <v>200</v>
      </c>
      <c r="BS58" s="3">
        <f t="shared" si="92"/>
        <v>309.12190979999946</v>
      </c>
      <c r="BT58" s="3">
        <f t="shared" si="36"/>
        <v>11283.446672199996</v>
      </c>
    </row>
    <row r="59" spans="2:75">
      <c r="B59" s="172"/>
      <c r="C59" s="1">
        <f t="shared" si="65"/>
        <v>25</v>
      </c>
      <c r="D59" s="3">
        <f t="shared" si="67"/>
        <v>10738.215753333332</v>
      </c>
      <c r="E59" s="3">
        <f t="shared" si="68"/>
        <v>10536.906544999998</v>
      </c>
      <c r="F59" s="3">
        <f t="shared" si="69"/>
        <v>10816.852679999996</v>
      </c>
      <c r="G59" s="3">
        <f t="shared" si="70"/>
        <v>10496.373489999996</v>
      </c>
      <c r="H59" s="3">
        <f t="shared" si="66"/>
        <v>10256.224475588037</v>
      </c>
      <c r="I59" s="3">
        <f t="shared" si="71"/>
        <v>11070.9375</v>
      </c>
      <c r="S59" s="1">
        <f t="shared" si="93"/>
        <v>44</v>
      </c>
      <c r="T59" s="9">
        <f t="shared" si="51"/>
        <v>0.05</v>
      </c>
      <c r="U59" s="3">
        <f t="shared" si="77"/>
        <v>11962.125000000004</v>
      </c>
      <c r="V59" s="6">
        <f t="shared" si="94"/>
        <v>100</v>
      </c>
      <c r="W59" s="3">
        <f t="shared" si="95"/>
        <v>10000</v>
      </c>
      <c r="X59" s="3">
        <f t="shared" si="96"/>
        <v>10000</v>
      </c>
      <c r="Y59" s="3">
        <f t="shared" si="78"/>
        <v>10000</v>
      </c>
      <c r="Z59" s="9">
        <f t="shared" si="79"/>
        <v>5.7500000000000002E-2</v>
      </c>
      <c r="AA59" s="3">
        <f t="shared" si="80"/>
        <v>10383.333333333334</v>
      </c>
      <c r="AB59" s="3" t="str">
        <f t="shared" si="81"/>
        <v>nie</v>
      </c>
      <c r="AC59" s="3">
        <f t="shared" si="82"/>
        <v>70</v>
      </c>
      <c r="AD59" s="1">
        <f t="shared" si="52"/>
        <v>5</v>
      </c>
      <c r="AE59" s="1">
        <f t="shared" si="72"/>
        <v>6</v>
      </c>
      <c r="AF59" s="1">
        <f t="shared" si="72"/>
        <v>1</v>
      </c>
      <c r="AG59" s="7"/>
      <c r="AH59" s="3">
        <f t="shared" si="58"/>
        <v>500</v>
      </c>
      <c r="AI59" s="9">
        <f t="shared" si="53"/>
        <v>1.2999999999999999E-2</v>
      </c>
      <c r="AJ59" s="3">
        <f t="shared" si="59"/>
        <v>504.33333333333331</v>
      </c>
      <c r="AK59" s="3">
        <f t="shared" si="54"/>
        <v>3.5</v>
      </c>
      <c r="AL59" s="3">
        <f t="shared" si="76"/>
        <v>700</v>
      </c>
      <c r="AM59" s="9">
        <f t="shared" si="73"/>
        <v>5.7500000000000002E-2</v>
      </c>
      <c r="AN59" s="3">
        <f t="shared" si="74"/>
        <v>726.83333333333337</v>
      </c>
      <c r="AO59" s="3">
        <f t="shared" si="75"/>
        <v>4.8999999999999995</v>
      </c>
      <c r="AP59" s="3">
        <f t="shared" si="83"/>
        <v>0</v>
      </c>
      <c r="AQ59" s="3">
        <f t="shared" si="60"/>
        <v>0</v>
      </c>
      <c r="AR59" s="3">
        <f t="shared" si="61"/>
        <v>94.850000000001728</v>
      </c>
      <c r="AS59" s="1">
        <f t="shared" ref="AS59:AS90" si="101">IF(AP59&lt;&gt;0,MIN(IF(AG59&lt;&gt;"",AG59,0),ROUNDDOWN(AR59/zamiana_COI,0)),0)</f>
        <v>0</v>
      </c>
      <c r="AT59" s="3">
        <f t="shared" si="84"/>
        <v>94.850000000001728</v>
      </c>
      <c r="AU59" s="1">
        <f t="shared" si="57"/>
        <v>0</v>
      </c>
      <c r="AV59" s="3">
        <f t="shared" si="62"/>
        <v>94.850000000001728</v>
      </c>
      <c r="AW59" s="3">
        <f t="shared" si="63"/>
        <v>11709.350000000004</v>
      </c>
      <c r="AX59" s="3">
        <f>MIN(IF(MOD(S59,12)=0,INDEX(IKE_oplata_wskaznik,MATCH(ROUNDUP(S59/12,0),IKE_oplata_rok,0)),0)*AW59,200)</f>
        <v>0</v>
      </c>
      <c r="AY59" s="3">
        <f t="shared" si="25"/>
        <v>34.072355000000002</v>
      </c>
      <c r="AZ59" s="3">
        <f t="shared" si="85"/>
        <v>11675.277645000004</v>
      </c>
      <c r="BA59" s="3">
        <f t="shared" si="26"/>
        <v>78.400000000000006</v>
      </c>
      <c r="BB59" s="3">
        <f t="shared" si="86"/>
        <v>309.88050000000084</v>
      </c>
      <c r="BC59" s="3">
        <f t="shared" si="87"/>
        <v>11286.997145000003</v>
      </c>
      <c r="BE59" s="6">
        <f t="shared" si="97"/>
        <v>100</v>
      </c>
      <c r="BF59" s="3">
        <f t="shared" si="98"/>
        <v>10000</v>
      </c>
      <c r="BG59" s="3">
        <f t="shared" si="99"/>
        <v>10000</v>
      </c>
      <c r="BH59" s="3">
        <f t="shared" si="100"/>
        <v>11427.011999999999</v>
      </c>
      <c r="BI59" s="9">
        <f t="shared" si="88"/>
        <v>6.0000000000000005E-2</v>
      </c>
      <c r="BJ59" s="3">
        <f t="shared" si="89"/>
        <v>11884.092479999999</v>
      </c>
      <c r="BK59" s="3" t="str">
        <f t="shared" si="90"/>
        <v>nie</v>
      </c>
      <c r="BL59" s="3">
        <f t="shared" si="31"/>
        <v>0</v>
      </c>
      <c r="BM59" s="3">
        <f t="shared" si="32"/>
        <v>0</v>
      </c>
      <c r="BN59" s="3">
        <f t="shared" si="33"/>
        <v>11884.092479999999</v>
      </c>
      <c r="BO59" s="3">
        <f>MIN(IF(MOD(S59,12)=0,INDEX(IKE_oplata_wskaznik,MATCH(ROUNDUP(S59/12,0),IKE_oplata_rok,0)),0)*BN59,200)</f>
        <v>0</v>
      </c>
      <c r="BP59" s="3">
        <f t="shared" si="34"/>
        <v>34.388838</v>
      </c>
      <c r="BQ59" s="3">
        <f t="shared" si="35"/>
        <v>11849.703641999999</v>
      </c>
      <c r="BR59" s="3">
        <f t="shared" si="91"/>
        <v>200</v>
      </c>
      <c r="BS59" s="3">
        <f t="shared" si="92"/>
        <v>319.97757119999989</v>
      </c>
      <c r="BT59" s="3">
        <f t="shared" si="36"/>
        <v>11329.726070799999</v>
      </c>
    </row>
    <row r="60" spans="2:75">
      <c r="B60" s="172"/>
      <c r="C60" s="1">
        <f t="shared" si="65"/>
        <v>26</v>
      </c>
      <c r="D60" s="3">
        <f t="shared" si="67"/>
        <v>10787.261586666664</v>
      </c>
      <c r="E60" s="3">
        <f t="shared" si="68"/>
        <v>10576.107169999997</v>
      </c>
      <c r="F60" s="3">
        <f t="shared" si="69"/>
        <v>10870.753679999998</v>
      </c>
      <c r="G60" s="3">
        <f t="shared" si="70"/>
        <v>10540.033299999999</v>
      </c>
      <c r="H60" s="3">
        <f t="shared" si="66"/>
        <v>10266.60890286957</v>
      </c>
      <c r="I60" s="3">
        <f t="shared" si="71"/>
        <v>11116.875</v>
      </c>
      <c r="S60" s="1">
        <f t="shared" si="93"/>
        <v>45</v>
      </c>
      <c r="T60" s="9">
        <f t="shared" ref="T60:T91" si="102">MAX(INDEX(scenariusz_I_inflacja,MATCH(ROUNDUP(S60/12,0)-1,scenariusz_I_rok,0)),0)</f>
        <v>0.05</v>
      </c>
      <c r="U60" s="3">
        <f t="shared" si="77"/>
        <v>12010.359375000004</v>
      </c>
      <c r="V60" s="6">
        <f t="shared" si="94"/>
        <v>100</v>
      </c>
      <c r="W60" s="3">
        <f t="shared" si="95"/>
        <v>10000</v>
      </c>
      <c r="X60" s="3">
        <f t="shared" si="96"/>
        <v>10000</v>
      </c>
      <c r="Y60" s="3">
        <f t="shared" si="78"/>
        <v>10000</v>
      </c>
      <c r="Z60" s="9">
        <f t="shared" si="79"/>
        <v>5.7500000000000002E-2</v>
      </c>
      <c r="AA60" s="3">
        <f t="shared" si="80"/>
        <v>10431.25</v>
      </c>
      <c r="AB60" s="3" t="str">
        <f t="shared" si="81"/>
        <v>nie</v>
      </c>
      <c r="AC60" s="3">
        <f t="shared" si="82"/>
        <v>70</v>
      </c>
      <c r="AD60" s="1">
        <f t="shared" ref="AD60:AD91" si="103">IF(AP59&lt;&gt;0,AS59+AU59,AD59)</f>
        <v>5</v>
      </c>
      <c r="AE60" s="1">
        <f t="shared" si="72"/>
        <v>6</v>
      </c>
      <c r="AF60" s="1">
        <f t="shared" si="72"/>
        <v>1</v>
      </c>
      <c r="AG60" s="7"/>
      <c r="AH60" s="3">
        <f t="shared" si="58"/>
        <v>500</v>
      </c>
      <c r="AI60" s="9">
        <f t="shared" ref="AI60:AI91" si="104">proc_I_okres_COI</f>
        <v>1.2999999999999999E-2</v>
      </c>
      <c r="AJ60" s="3">
        <f t="shared" si="59"/>
        <v>504.87499999999994</v>
      </c>
      <c r="AK60" s="3">
        <f t="shared" ref="AK60:AK91" si="105">MIN(AD60*koszt_wczesniejszy_wykup_COI,AJ60-AH60)</f>
        <v>3.5</v>
      </c>
      <c r="AL60" s="3">
        <f t="shared" si="76"/>
        <v>700</v>
      </c>
      <c r="AM60" s="9">
        <f t="shared" si="73"/>
        <v>5.7500000000000002E-2</v>
      </c>
      <c r="AN60" s="3">
        <f t="shared" si="74"/>
        <v>730.1875</v>
      </c>
      <c r="AO60" s="3">
        <f t="shared" si="75"/>
        <v>4.8999999999999995</v>
      </c>
      <c r="AP60" s="3">
        <f t="shared" si="83"/>
        <v>0</v>
      </c>
      <c r="AQ60" s="3">
        <f t="shared" si="60"/>
        <v>0</v>
      </c>
      <c r="AR60" s="3">
        <f t="shared" si="61"/>
        <v>94.850000000001728</v>
      </c>
      <c r="AS60" s="1">
        <f t="shared" si="101"/>
        <v>0</v>
      </c>
      <c r="AT60" s="3">
        <f t="shared" si="84"/>
        <v>94.850000000001728</v>
      </c>
      <c r="AU60" s="1">
        <f t="shared" si="57"/>
        <v>0</v>
      </c>
      <c r="AV60" s="3">
        <f t="shared" si="62"/>
        <v>94.850000000001728</v>
      </c>
      <c r="AW60" s="3">
        <f t="shared" si="63"/>
        <v>11761.162500000002</v>
      </c>
      <c r="AX60" s="3">
        <f>MIN(IF(MOD(S60,12)=0,INDEX(IKE_oplata_wskaznik,MATCH(ROUNDUP(S60/12,0),IKE_oplata_rok,0)),0)*AW60,200)</f>
        <v>0</v>
      </c>
      <c r="AY60" s="3">
        <f t="shared" si="25"/>
        <v>34.072355000000002</v>
      </c>
      <c r="AZ60" s="3">
        <f t="shared" si="85"/>
        <v>11727.090145000002</v>
      </c>
      <c r="BA60" s="3">
        <f t="shared" si="26"/>
        <v>78.400000000000006</v>
      </c>
      <c r="BB60" s="3">
        <f t="shared" si="86"/>
        <v>319.72487500000051</v>
      </c>
      <c r="BC60" s="3">
        <f t="shared" si="87"/>
        <v>11328.965270000002</v>
      </c>
      <c r="BE60" s="6">
        <f t="shared" si="97"/>
        <v>100</v>
      </c>
      <c r="BF60" s="3">
        <f t="shared" si="98"/>
        <v>10000</v>
      </c>
      <c r="BG60" s="3">
        <f t="shared" si="99"/>
        <v>10000</v>
      </c>
      <c r="BH60" s="3">
        <f t="shared" si="100"/>
        <v>11427.011999999999</v>
      </c>
      <c r="BI60" s="9">
        <f t="shared" si="88"/>
        <v>6.0000000000000005E-2</v>
      </c>
      <c r="BJ60" s="3">
        <f t="shared" si="89"/>
        <v>11941.227539999998</v>
      </c>
      <c r="BK60" s="3" t="str">
        <f t="shared" si="90"/>
        <v>nie</v>
      </c>
      <c r="BL60" s="3">
        <f t="shared" si="31"/>
        <v>0</v>
      </c>
      <c r="BM60" s="3">
        <f t="shared" si="32"/>
        <v>0</v>
      </c>
      <c r="BN60" s="3">
        <f t="shared" si="33"/>
        <v>11941.227539999998</v>
      </c>
      <c r="BO60" s="3">
        <f>MIN(IF(MOD(S60,12)=0,INDEX(IKE_oplata_wskaznik,MATCH(ROUNDUP(S60/12,0),IKE_oplata_rok,0)),0)*BN60,200)</f>
        <v>0</v>
      </c>
      <c r="BP60" s="3">
        <f t="shared" si="34"/>
        <v>34.388838</v>
      </c>
      <c r="BQ60" s="3">
        <f t="shared" si="35"/>
        <v>11906.838701999997</v>
      </c>
      <c r="BR60" s="3">
        <f t="shared" si="91"/>
        <v>200</v>
      </c>
      <c r="BS60" s="3">
        <f t="shared" si="92"/>
        <v>330.83323259999963</v>
      </c>
      <c r="BT60" s="3">
        <f t="shared" si="36"/>
        <v>11376.005469399997</v>
      </c>
    </row>
    <row r="61" spans="2:75">
      <c r="B61" s="172"/>
      <c r="C61" s="1">
        <f t="shared" si="65"/>
        <v>27</v>
      </c>
      <c r="D61" s="3">
        <f t="shared" si="67"/>
        <v>10836.307419999999</v>
      </c>
      <c r="E61" s="3">
        <f t="shared" si="68"/>
        <v>10615.307794999999</v>
      </c>
      <c r="F61" s="3">
        <f t="shared" si="69"/>
        <v>10924.654679999998</v>
      </c>
      <c r="G61" s="3">
        <f t="shared" si="70"/>
        <v>10583.693109999998</v>
      </c>
      <c r="H61" s="3">
        <f t="shared" si="66"/>
        <v>10277.003844383726</v>
      </c>
      <c r="I61" s="3">
        <f t="shared" si="71"/>
        <v>11162.8125</v>
      </c>
      <c r="S61" s="1">
        <f t="shared" si="93"/>
        <v>46</v>
      </c>
      <c r="T61" s="9">
        <f t="shared" si="102"/>
        <v>0.05</v>
      </c>
      <c r="U61" s="3">
        <f t="shared" si="77"/>
        <v>12058.593750000004</v>
      </c>
      <c r="V61" s="6">
        <f t="shared" si="94"/>
        <v>100</v>
      </c>
      <c r="W61" s="3">
        <f t="shared" si="95"/>
        <v>10000</v>
      </c>
      <c r="X61" s="3">
        <f t="shared" si="96"/>
        <v>10000</v>
      </c>
      <c r="Y61" s="3">
        <f t="shared" si="78"/>
        <v>10000</v>
      </c>
      <c r="Z61" s="9">
        <f t="shared" si="79"/>
        <v>5.7500000000000002E-2</v>
      </c>
      <c r="AA61" s="3">
        <f t="shared" si="80"/>
        <v>10479.166666666666</v>
      </c>
      <c r="AB61" s="3" t="str">
        <f t="shared" si="81"/>
        <v>nie</v>
      </c>
      <c r="AC61" s="3">
        <f t="shared" si="82"/>
        <v>70</v>
      </c>
      <c r="AD61" s="1">
        <f t="shared" si="103"/>
        <v>5</v>
      </c>
      <c r="AE61" s="1">
        <f t="shared" si="72"/>
        <v>6</v>
      </c>
      <c r="AF61" s="1">
        <f t="shared" si="72"/>
        <v>1</v>
      </c>
      <c r="AG61" s="7"/>
      <c r="AH61" s="3">
        <f t="shared" si="58"/>
        <v>500</v>
      </c>
      <c r="AI61" s="9">
        <f t="shared" si="104"/>
        <v>1.2999999999999999E-2</v>
      </c>
      <c r="AJ61" s="3">
        <f t="shared" si="59"/>
        <v>505.41666666666663</v>
      </c>
      <c r="AK61" s="3">
        <f t="shared" si="105"/>
        <v>3.5</v>
      </c>
      <c r="AL61" s="3">
        <f t="shared" si="76"/>
        <v>700</v>
      </c>
      <c r="AM61" s="9">
        <f t="shared" si="73"/>
        <v>5.7500000000000002E-2</v>
      </c>
      <c r="AN61" s="3">
        <f t="shared" si="74"/>
        <v>733.54166666666663</v>
      </c>
      <c r="AO61" s="3">
        <f t="shared" si="75"/>
        <v>4.8999999999999995</v>
      </c>
      <c r="AP61" s="3">
        <f t="shared" si="83"/>
        <v>0</v>
      </c>
      <c r="AQ61" s="3">
        <f t="shared" si="60"/>
        <v>0</v>
      </c>
      <c r="AR61" s="3">
        <f t="shared" si="61"/>
        <v>94.850000000001728</v>
      </c>
      <c r="AS61" s="1">
        <f t="shared" si="101"/>
        <v>0</v>
      </c>
      <c r="AT61" s="3">
        <f t="shared" si="84"/>
        <v>94.850000000001728</v>
      </c>
      <c r="AU61" s="1">
        <f t="shared" si="57"/>
        <v>0</v>
      </c>
      <c r="AV61" s="3">
        <f t="shared" si="62"/>
        <v>94.850000000001728</v>
      </c>
      <c r="AW61" s="3">
        <f t="shared" si="63"/>
        <v>11812.975</v>
      </c>
      <c r="AX61" s="3">
        <f>MIN(IF(MOD(S61,12)=0,INDEX(IKE_oplata_wskaznik,MATCH(ROUNDUP(S61/12,0),IKE_oplata_rok,0)),0)*AW61,200)</f>
        <v>0</v>
      </c>
      <c r="AY61" s="3">
        <f t="shared" si="25"/>
        <v>34.072355000000002</v>
      </c>
      <c r="AZ61" s="3">
        <f t="shared" si="85"/>
        <v>11778.902645</v>
      </c>
      <c r="BA61" s="3">
        <f t="shared" si="26"/>
        <v>78.400000000000006</v>
      </c>
      <c r="BB61" s="3">
        <f t="shared" si="86"/>
        <v>329.56925000000012</v>
      </c>
      <c r="BC61" s="3">
        <f t="shared" si="87"/>
        <v>11370.933395</v>
      </c>
      <c r="BE61" s="6">
        <f t="shared" si="97"/>
        <v>100</v>
      </c>
      <c r="BF61" s="3">
        <f t="shared" si="98"/>
        <v>10000</v>
      </c>
      <c r="BG61" s="3">
        <f t="shared" si="99"/>
        <v>10000</v>
      </c>
      <c r="BH61" s="3">
        <f t="shared" si="100"/>
        <v>11427.011999999999</v>
      </c>
      <c r="BI61" s="9">
        <f t="shared" si="88"/>
        <v>6.0000000000000005E-2</v>
      </c>
      <c r="BJ61" s="3">
        <f t="shared" si="89"/>
        <v>11998.362599999999</v>
      </c>
      <c r="BK61" s="3" t="str">
        <f t="shared" si="90"/>
        <v>nie</v>
      </c>
      <c r="BL61" s="3">
        <f t="shared" si="31"/>
        <v>0</v>
      </c>
      <c r="BM61" s="3">
        <f t="shared" si="32"/>
        <v>0</v>
      </c>
      <c r="BN61" s="3">
        <f t="shared" si="33"/>
        <v>11998.362599999999</v>
      </c>
      <c r="BO61" s="3">
        <f>MIN(IF(MOD(S61,12)=0,INDEX(IKE_oplata_wskaznik,MATCH(ROUNDUP(S61/12,0),IKE_oplata_rok,0)),0)*BN61,200)</f>
        <v>0</v>
      </c>
      <c r="BP61" s="3">
        <f t="shared" si="34"/>
        <v>34.388838</v>
      </c>
      <c r="BQ61" s="3">
        <f t="shared" si="35"/>
        <v>11963.973761999998</v>
      </c>
      <c r="BR61" s="3">
        <f t="shared" si="91"/>
        <v>200</v>
      </c>
      <c r="BS61" s="3">
        <f t="shared" si="92"/>
        <v>341.68889399999972</v>
      </c>
      <c r="BT61" s="3">
        <f t="shared" si="36"/>
        <v>11422.284867999999</v>
      </c>
    </row>
    <row r="62" spans="2:75">
      <c r="B62" s="172"/>
      <c r="C62" s="1">
        <f t="shared" si="65"/>
        <v>28</v>
      </c>
      <c r="D62" s="3">
        <f t="shared" si="67"/>
        <v>10885.353253333333</v>
      </c>
      <c r="E62" s="3">
        <f t="shared" si="68"/>
        <v>10654.50842</v>
      </c>
      <c r="F62" s="3">
        <f t="shared" si="69"/>
        <v>10978.555679999998</v>
      </c>
      <c r="G62" s="3">
        <f t="shared" si="70"/>
        <v>10627.352919999998</v>
      </c>
      <c r="H62" s="3">
        <f t="shared" si="66"/>
        <v>10287.409310776166</v>
      </c>
      <c r="I62" s="3">
        <f t="shared" si="71"/>
        <v>11208.75</v>
      </c>
      <c r="S62" s="1">
        <f t="shared" si="93"/>
        <v>47</v>
      </c>
      <c r="T62" s="9">
        <f t="shared" si="102"/>
        <v>0.05</v>
      </c>
      <c r="U62" s="3">
        <f t="shared" si="77"/>
        <v>12106.828125000002</v>
      </c>
      <c r="V62" s="6">
        <f t="shared" si="94"/>
        <v>100</v>
      </c>
      <c r="W62" s="3">
        <f t="shared" si="95"/>
        <v>10000</v>
      </c>
      <c r="X62" s="3">
        <f t="shared" si="96"/>
        <v>10000</v>
      </c>
      <c r="Y62" s="3">
        <f t="shared" si="78"/>
        <v>10000</v>
      </c>
      <c r="Z62" s="9">
        <f t="shared" si="79"/>
        <v>5.7500000000000002E-2</v>
      </c>
      <c r="AA62" s="3">
        <f t="shared" si="80"/>
        <v>10527.083333333334</v>
      </c>
      <c r="AB62" s="3" t="str">
        <f t="shared" si="81"/>
        <v>nie</v>
      </c>
      <c r="AC62" s="3">
        <f t="shared" si="82"/>
        <v>70</v>
      </c>
      <c r="AD62" s="1">
        <f t="shared" si="103"/>
        <v>5</v>
      </c>
      <c r="AE62" s="1">
        <f t="shared" si="72"/>
        <v>6</v>
      </c>
      <c r="AF62" s="1">
        <f t="shared" si="72"/>
        <v>1</v>
      </c>
      <c r="AG62" s="7"/>
      <c r="AH62" s="3">
        <f t="shared" si="58"/>
        <v>500</v>
      </c>
      <c r="AI62" s="9">
        <f t="shared" si="104"/>
        <v>1.2999999999999999E-2</v>
      </c>
      <c r="AJ62" s="3">
        <f t="shared" si="59"/>
        <v>505.95833333333331</v>
      </c>
      <c r="AK62" s="3">
        <f t="shared" si="105"/>
        <v>3.5</v>
      </c>
      <c r="AL62" s="3">
        <f t="shared" si="76"/>
        <v>700</v>
      </c>
      <c r="AM62" s="9">
        <f t="shared" si="73"/>
        <v>5.7500000000000002E-2</v>
      </c>
      <c r="AN62" s="3">
        <f t="shared" si="74"/>
        <v>736.89583333333337</v>
      </c>
      <c r="AO62" s="3">
        <f t="shared" si="75"/>
        <v>4.8999999999999995</v>
      </c>
      <c r="AP62" s="3">
        <f t="shared" si="83"/>
        <v>0</v>
      </c>
      <c r="AQ62" s="3">
        <f t="shared" si="60"/>
        <v>0</v>
      </c>
      <c r="AR62" s="3">
        <f t="shared" si="61"/>
        <v>94.850000000001728</v>
      </c>
      <c r="AS62" s="1">
        <f t="shared" si="101"/>
        <v>0</v>
      </c>
      <c r="AT62" s="3">
        <f t="shared" si="84"/>
        <v>94.850000000001728</v>
      </c>
      <c r="AU62" s="1">
        <f t="shared" si="57"/>
        <v>0</v>
      </c>
      <c r="AV62" s="3">
        <f t="shared" si="62"/>
        <v>94.850000000001728</v>
      </c>
      <c r="AW62" s="3">
        <f t="shared" si="63"/>
        <v>11864.787500000004</v>
      </c>
      <c r="AX62" s="3">
        <f>MIN(IF(MOD(S62,12)=0,INDEX(IKE_oplata_wskaznik,MATCH(ROUNDUP(S62/12,0),IKE_oplata_rok,0)),0)*AW62,200)</f>
        <v>0</v>
      </c>
      <c r="AY62" s="3">
        <f t="shared" si="25"/>
        <v>34.072355000000002</v>
      </c>
      <c r="AZ62" s="3">
        <f t="shared" si="85"/>
        <v>11830.715145000004</v>
      </c>
      <c r="BA62" s="3">
        <f t="shared" si="26"/>
        <v>78.400000000000006</v>
      </c>
      <c r="BB62" s="3">
        <f t="shared" si="86"/>
        <v>339.41362500000082</v>
      </c>
      <c r="BC62" s="3">
        <f t="shared" si="87"/>
        <v>11412.901520000003</v>
      </c>
      <c r="BE62" s="6">
        <f t="shared" si="97"/>
        <v>100</v>
      </c>
      <c r="BF62" s="3">
        <f t="shared" si="98"/>
        <v>10000</v>
      </c>
      <c r="BG62" s="3">
        <f t="shared" si="99"/>
        <v>10000</v>
      </c>
      <c r="BH62" s="3">
        <f t="shared" si="100"/>
        <v>11427.011999999999</v>
      </c>
      <c r="BI62" s="9">
        <f t="shared" si="88"/>
        <v>6.0000000000000005E-2</v>
      </c>
      <c r="BJ62" s="3">
        <f t="shared" si="89"/>
        <v>12055.497659999997</v>
      </c>
      <c r="BK62" s="3" t="str">
        <f t="shared" si="90"/>
        <v>nie</v>
      </c>
      <c r="BL62" s="3">
        <f t="shared" si="31"/>
        <v>0</v>
      </c>
      <c r="BM62" s="3">
        <f t="shared" si="32"/>
        <v>0</v>
      </c>
      <c r="BN62" s="3">
        <f t="shared" si="33"/>
        <v>12055.497659999997</v>
      </c>
      <c r="BO62" s="3">
        <f>MIN(IF(MOD(S62,12)=0,INDEX(IKE_oplata_wskaznik,MATCH(ROUNDUP(S62/12,0),IKE_oplata_rok,0)),0)*BN62,200)</f>
        <v>0</v>
      </c>
      <c r="BP62" s="3">
        <f t="shared" si="34"/>
        <v>34.388838</v>
      </c>
      <c r="BQ62" s="3">
        <f t="shared" si="35"/>
        <v>12021.108821999997</v>
      </c>
      <c r="BR62" s="3">
        <f t="shared" si="91"/>
        <v>200</v>
      </c>
      <c r="BS62" s="3">
        <f t="shared" si="92"/>
        <v>352.54455539999947</v>
      </c>
      <c r="BT62" s="3">
        <f t="shared" si="36"/>
        <v>11468.564266599997</v>
      </c>
    </row>
    <row r="63" spans="2:75">
      <c r="B63" s="172"/>
      <c r="C63" s="1">
        <f t="shared" si="65"/>
        <v>29</v>
      </c>
      <c r="D63" s="3">
        <f t="shared" si="67"/>
        <v>10934.399086666666</v>
      </c>
      <c r="E63" s="3">
        <f t="shared" si="68"/>
        <v>10693.709045</v>
      </c>
      <c r="F63" s="3">
        <f t="shared" si="69"/>
        <v>11032.456679999998</v>
      </c>
      <c r="G63" s="3">
        <f t="shared" si="70"/>
        <v>10671.012729999999</v>
      </c>
      <c r="H63" s="3">
        <f t="shared" si="66"/>
        <v>10297.825312703328</v>
      </c>
      <c r="I63" s="3">
        <f t="shared" si="71"/>
        <v>11254.6875</v>
      </c>
      <c r="S63" s="1">
        <f t="shared" si="93"/>
        <v>48</v>
      </c>
      <c r="T63" s="9">
        <f t="shared" si="102"/>
        <v>0.05</v>
      </c>
      <c r="U63" s="3">
        <f t="shared" si="77"/>
        <v>12155.062500000002</v>
      </c>
      <c r="V63" s="6">
        <f t="shared" si="94"/>
        <v>100</v>
      </c>
      <c r="W63" s="3">
        <f t="shared" si="95"/>
        <v>10000</v>
      </c>
      <c r="X63" s="3">
        <f t="shared" si="96"/>
        <v>10000</v>
      </c>
      <c r="Y63" s="3">
        <f t="shared" si="78"/>
        <v>10000</v>
      </c>
      <c r="Z63" s="9">
        <f t="shared" si="79"/>
        <v>5.7500000000000002E-2</v>
      </c>
      <c r="AA63" s="3">
        <f t="shared" si="80"/>
        <v>10575.000000000002</v>
      </c>
      <c r="AB63" s="3" t="str">
        <f t="shared" si="81"/>
        <v>tak</v>
      </c>
      <c r="AC63" s="3">
        <f t="shared" si="82"/>
        <v>0</v>
      </c>
      <c r="AD63" s="1">
        <f t="shared" si="103"/>
        <v>5</v>
      </c>
      <c r="AE63" s="1">
        <f t="shared" si="72"/>
        <v>6</v>
      </c>
      <c r="AF63" s="1">
        <f t="shared" si="72"/>
        <v>1</v>
      </c>
      <c r="AG63" s="7"/>
      <c r="AH63" s="3">
        <f t="shared" si="58"/>
        <v>500</v>
      </c>
      <c r="AI63" s="9">
        <f t="shared" si="104"/>
        <v>1.2999999999999999E-2</v>
      </c>
      <c r="AJ63" s="3">
        <f t="shared" si="59"/>
        <v>506.49999999999994</v>
      </c>
      <c r="AK63" s="3">
        <f t="shared" si="105"/>
        <v>3.5</v>
      </c>
      <c r="AL63" s="3">
        <f t="shared" si="76"/>
        <v>700</v>
      </c>
      <c r="AM63" s="9">
        <f t="shared" si="73"/>
        <v>5.7500000000000002E-2</v>
      </c>
      <c r="AN63" s="3">
        <f t="shared" si="74"/>
        <v>740.25000000000011</v>
      </c>
      <c r="AO63" s="3">
        <f t="shared" si="75"/>
        <v>4.8999999999999995</v>
      </c>
      <c r="AP63" s="3">
        <f t="shared" si="83"/>
        <v>85.500000000001819</v>
      </c>
      <c r="AQ63" s="3">
        <f t="shared" si="60"/>
        <v>46.75</v>
      </c>
      <c r="AR63" s="3">
        <f t="shared" si="61"/>
        <v>227.10000000000355</v>
      </c>
      <c r="AS63" s="1">
        <f t="shared" si="101"/>
        <v>0</v>
      </c>
      <c r="AT63" s="3">
        <f t="shared" si="84"/>
        <v>227.10000000000355</v>
      </c>
      <c r="AU63" s="1">
        <f t="shared" si="57"/>
        <v>2</v>
      </c>
      <c r="AV63" s="3">
        <f t="shared" si="62"/>
        <v>27.100000000003547</v>
      </c>
      <c r="AW63" s="3">
        <f t="shared" si="63"/>
        <v>11916.600000000004</v>
      </c>
      <c r="AX63" s="3">
        <f>MIN(IF(MOD(S63,12)=0,INDEX(IKE_oplata_wskaznik,MATCH(ROUNDUP(S63/12,0),IKE_oplata_rok,0)),0)*AW63,200)</f>
        <v>16.683240000000005</v>
      </c>
      <c r="AY63" s="3">
        <f t="shared" si="25"/>
        <v>50.755595000000007</v>
      </c>
      <c r="AZ63" s="3">
        <f t="shared" si="85"/>
        <v>11865.844405000003</v>
      </c>
      <c r="BA63" s="3">
        <f t="shared" si="26"/>
        <v>8.3999999999999986</v>
      </c>
      <c r="BB63" s="3">
        <f t="shared" si="86"/>
        <v>362.55800000000085</v>
      </c>
      <c r="BC63" s="3">
        <f t="shared" si="87"/>
        <v>11494.886405000003</v>
      </c>
      <c r="BE63" s="6">
        <f t="shared" si="97"/>
        <v>100</v>
      </c>
      <c r="BF63" s="3">
        <f t="shared" si="98"/>
        <v>10000</v>
      </c>
      <c r="BG63" s="3">
        <f t="shared" si="99"/>
        <v>10000</v>
      </c>
      <c r="BH63" s="3">
        <f t="shared" si="100"/>
        <v>11427.011999999999</v>
      </c>
      <c r="BI63" s="9">
        <f t="shared" si="88"/>
        <v>6.0000000000000005E-2</v>
      </c>
      <c r="BJ63" s="3">
        <f t="shared" si="89"/>
        <v>12112.63272</v>
      </c>
      <c r="BK63" s="3" t="str">
        <f t="shared" si="90"/>
        <v>nie</v>
      </c>
      <c r="BL63" s="3">
        <f t="shared" si="31"/>
        <v>0</v>
      </c>
      <c r="BM63" s="3">
        <f t="shared" si="32"/>
        <v>0</v>
      </c>
      <c r="BN63" s="3">
        <f t="shared" si="33"/>
        <v>12112.63272</v>
      </c>
      <c r="BO63" s="3">
        <f>MIN(IF(MOD(S63,12)=0,INDEX(IKE_oplata_wskaznik,MATCH(ROUNDUP(S63/12,0),IKE_oplata_rok,0)),0)*BN63,200)</f>
        <v>16.957685808000001</v>
      </c>
      <c r="BP63" s="3">
        <f t="shared" si="34"/>
        <v>51.346523808000001</v>
      </c>
      <c r="BQ63" s="3">
        <f t="shared" si="35"/>
        <v>12061.286196191999</v>
      </c>
      <c r="BR63" s="3">
        <f t="shared" si="91"/>
        <v>200</v>
      </c>
      <c r="BS63" s="3">
        <f t="shared" si="92"/>
        <v>363.40021679999995</v>
      </c>
      <c r="BT63" s="3">
        <f t="shared" si="36"/>
        <v>11497.885979391998</v>
      </c>
      <c r="BV63" s="18"/>
      <c r="BW63" s="18"/>
    </row>
    <row r="64" spans="2:75">
      <c r="B64" s="172"/>
      <c r="C64" s="1">
        <f t="shared" si="65"/>
        <v>30</v>
      </c>
      <c r="D64" s="3">
        <f t="shared" si="67"/>
        <v>10983.444919999998</v>
      </c>
      <c r="E64" s="3">
        <f t="shared" si="68"/>
        <v>10732.909669999997</v>
      </c>
      <c r="F64" s="3">
        <f t="shared" si="69"/>
        <v>11086.357679999999</v>
      </c>
      <c r="G64" s="3">
        <f t="shared" si="70"/>
        <v>10714.67254</v>
      </c>
      <c r="H64" s="3">
        <f t="shared" si="66"/>
        <v>10308.251860832441</v>
      </c>
      <c r="I64" s="3">
        <f t="shared" si="71"/>
        <v>11300.624999999998</v>
      </c>
      <c r="S64" s="1">
        <f t="shared" si="93"/>
        <v>49</v>
      </c>
      <c r="T64" s="9">
        <f t="shared" si="102"/>
        <v>0.05</v>
      </c>
      <c r="U64" s="3">
        <f t="shared" si="77"/>
        <v>12205.708593750001</v>
      </c>
      <c r="V64" s="6">
        <f t="shared" si="94"/>
        <v>105</v>
      </c>
      <c r="W64" s="3">
        <f t="shared" si="95"/>
        <v>10489.5</v>
      </c>
      <c r="X64" s="3">
        <f t="shared" si="96"/>
        <v>10500</v>
      </c>
      <c r="Y64" s="3">
        <f t="shared" si="78"/>
        <v>10500</v>
      </c>
      <c r="Z64" s="9">
        <f t="shared" si="79"/>
        <v>1.2999999999999999E-2</v>
      </c>
      <c r="AA64" s="3">
        <f t="shared" si="80"/>
        <v>10511.375</v>
      </c>
      <c r="AB64" s="3" t="str">
        <f t="shared" si="81"/>
        <v>nie</v>
      </c>
      <c r="AC64" s="3">
        <f t="shared" si="82"/>
        <v>11.375</v>
      </c>
      <c r="AD64" s="1">
        <f t="shared" si="103"/>
        <v>2</v>
      </c>
      <c r="AE64" s="1">
        <f t="shared" si="72"/>
        <v>5</v>
      </c>
      <c r="AF64" s="1">
        <f t="shared" si="72"/>
        <v>6</v>
      </c>
      <c r="AG64" s="1">
        <f t="shared" si="72"/>
        <v>1</v>
      </c>
      <c r="AH64" s="3">
        <f t="shared" si="58"/>
        <v>200</v>
      </c>
      <c r="AI64" s="9">
        <f t="shared" si="104"/>
        <v>1.2999999999999999E-2</v>
      </c>
      <c r="AJ64" s="3">
        <f t="shared" si="59"/>
        <v>200.21666666666667</v>
      </c>
      <c r="AK64" s="3">
        <f t="shared" si="105"/>
        <v>0.21666666666666856</v>
      </c>
      <c r="AL64" s="3">
        <f t="shared" si="76"/>
        <v>1200</v>
      </c>
      <c r="AM64" s="9">
        <f t="shared" si="73"/>
        <v>5.7500000000000002E-2</v>
      </c>
      <c r="AN64" s="3">
        <f t="shared" si="74"/>
        <v>1205.75</v>
      </c>
      <c r="AO64" s="3">
        <f t="shared" si="75"/>
        <v>8.3999999999999986</v>
      </c>
      <c r="AP64" s="3">
        <f t="shared" si="83"/>
        <v>0</v>
      </c>
      <c r="AQ64" s="3">
        <f t="shared" si="60"/>
        <v>0</v>
      </c>
      <c r="AR64" s="3">
        <f t="shared" si="61"/>
        <v>27.100000000003547</v>
      </c>
      <c r="AS64" s="1">
        <f t="shared" si="101"/>
        <v>0</v>
      </c>
      <c r="AT64" s="3">
        <f t="shared" si="84"/>
        <v>27.100000000003547</v>
      </c>
      <c r="AU64" s="1">
        <f t="shared" si="57"/>
        <v>0</v>
      </c>
      <c r="AV64" s="3">
        <f t="shared" si="62"/>
        <v>27.100000000003547</v>
      </c>
      <c r="AW64" s="3">
        <f t="shared" si="63"/>
        <v>11944.441666666671</v>
      </c>
      <c r="AX64" s="3">
        <f>MIN(IF(MOD(S64,12)=0,INDEX(IKE_oplata_wskaznik,MATCH(ROUNDUP(S64/12,0),IKE_oplata_rok,0)),0)*AW64,200)</f>
        <v>0</v>
      </c>
      <c r="AY64" s="3">
        <f t="shared" si="25"/>
        <v>50.755595000000007</v>
      </c>
      <c r="AZ64" s="3">
        <f t="shared" si="85"/>
        <v>11893.686071666671</v>
      </c>
      <c r="BA64" s="3">
        <f t="shared" si="26"/>
        <v>19.991666666666667</v>
      </c>
      <c r="BB64" s="3">
        <f t="shared" si="86"/>
        <v>365.64550000000082</v>
      </c>
      <c r="BC64" s="3">
        <f t="shared" si="87"/>
        <v>11508.048905000003</v>
      </c>
      <c r="BE64" s="6">
        <f t="shared" si="97"/>
        <v>100</v>
      </c>
      <c r="BF64" s="3">
        <f t="shared" si="98"/>
        <v>10000</v>
      </c>
      <c r="BG64" s="3">
        <f t="shared" si="99"/>
        <v>10000</v>
      </c>
      <c r="BH64" s="3">
        <f t="shared" si="100"/>
        <v>12112.63272</v>
      </c>
      <c r="BI64" s="9">
        <f t="shared" si="88"/>
        <v>6.0000000000000005E-2</v>
      </c>
      <c r="BJ64" s="3">
        <f t="shared" si="89"/>
        <v>12173.195883599998</v>
      </c>
      <c r="BK64" s="3" t="str">
        <f t="shared" si="90"/>
        <v>nie</v>
      </c>
      <c r="BL64" s="3">
        <f t="shared" si="31"/>
        <v>0</v>
      </c>
      <c r="BM64" s="3">
        <f t="shared" si="32"/>
        <v>0</v>
      </c>
      <c r="BN64" s="3">
        <f t="shared" si="33"/>
        <v>12173.195883599998</v>
      </c>
      <c r="BO64" s="3">
        <f>MIN(IF(MOD(S64,12)=0,INDEX(IKE_oplata_wskaznik,MATCH(ROUNDUP(S64/12,0),IKE_oplata_rok,0)),0)*BN64,200)</f>
        <v>0</v>
      </c>
      <c r="BP64" s="3">
        <f t="shared" si="34"/>
        <v>51.346523808000001</v>
      </c>
      <c r="BQ64" s="3">
        <f t="shared" si="35"/>
        <v>12121.849359791997</v>
      </c>
      <c r="BR64" s="3">
        <f t="shared" si="91"/>
        <v>200</v>
      </c>
      <c r="BS64" s="3">
        <f t="shared" si="92"/>
        <v>374.90721788399958</v>
      </c>
      <c r="BT64" s="3">
        <f t="shared" si="36"/>
        <v>11546.942141907997</v>
      </c>
    </row>
    <row r="65" spans="2:72">
      <c r="B65" s="172"/>
      <c r="C65" s="1">
        <f t="shared" si="65"/>
        <v>31</v>
      </c>
      <c r="D65" s="3">
        <f t="shared" si="67"/>
        <v>11032.49075333333</v>
      </c>
      <c r="E65" s="3">
        <f t="shared" si="68"/>
        <v>10772.393794999998</v>
      </c>
      <c r="F65" s="3">
        <f t="shared" si="69"/>
        <v>11140.258679999997</v>
      </c>
      <c r="G65" s="3">
        <f t="shared" si="70"/>
        <v>10758.332349999997</v>
      </c>
      <c r="H65" s="3">
        <f t="shared" si="66"/>
        <v>10318.688965841535</v>
      </c>
      <c r="I65" s="3">
        <f t="shared" si="71"/>
        <v>11346.562499999998</v>
      </c>
      <c r="S65" s="1">
        <f t="shared" si="93"/>
        <v>50</v>
      </c>
      <c r="T65" s="9">
        <f t="shared" si="102"/>
        <v>0.05</v>
      </c>
      <c r="U65" s="3">
        <f t="shared" si="77"/>
        <v>12256.354687500001</v>
      </c>
      <c r="V65" s="6">
        <f t="shared" si="94"/>
        <v>105</v>
      </c>
      <c r="W65" s="3">
        <f t="shared" si="95"/>
        <v>10489.5</v>
      </c>
      <c r="X65" s="3">
        <f t="shared" si="96"/>
        <v>10500</v>
      </c>
      <c r="Y65" s="3">
        <f t="shared" si="78"/>
        <v>10500</v>
      </c>
      <c r="Z65" s="9">
        <f t="shared" si="79"/>
        <v>1.2999999999999999E-2</v>
      </c>
      <c r="AA65" s="3">
        <f t="shared" si="80"/>
        <v>10522.75</v>
      </c>
      <c r="AB65" s="3" t="str">
        <f t="shared" si="81"/>
        <v>nie</v>
      </c>
      <c r="AC65" s="3">
        <f t="shared" si="82"/>
        <v>22.75</v>
      </c>
      <c r="AD65" s="1">
        <f t="shared" si="103"/>
        <v>2</v>
      </c>
      <c r="AE65" s="1">
        <f t="shared" si="72"/>
        <v>5</v>
      </c>
      <c r="AF65" s="1">
        <f t="shared" si="72"/>
        <v>6</v>
      </c>
      <c r="AG65" s="1">
        <f t="shared" si="72"/>
        <v>1</v>
      </c>
      <c r="AH65" s="3">
        <f t="shared" si="58"/>
        <v>200</v>
      </c>
      <c r="AI65" s="9">
        <f t="shared" si="104"/>
        <v>1.2999999999999999E-2</v>
      </c>
      <c r="AJ65" s="3">
        <f t="shared" si="59"/>
        <v>200.43333333333334</v>
      </c>
      <c r="AK65" s="3">
        <f t="shared" si="105"/>
        <v>0.43333333333333712</v>
      </c>
      <c r="AL65" s="3">
        <f t="shared" si="76"/>
        <v>1200</v>
      </c>
      <c r="AM65" s="9">
        <f t="shared" si="73"/>
        <v>5.7500000000000002E-2</v>
      </c>
      <c r="AN65" s="3">
        <f t="shared" si="74"/>
        <v>1211.5</v>
      </c>
      <c r="AO65" s="3">
        <f t="shared" si="75"/>
        <v>8.3999999999999986</v>
      </c>
      <c r="AP65" s="3">
        <f t="shared" si="83"/>
        <v>0</v>
      </c>
      <c r="AQ65" s="3">
        <f t="shared" si="60"/>
        <v>0</v>
      </c>
      <c r="AR65" s="3">
        <f t="shared" si="61"/>
        <v>27.100000000003547</v>
      </c>
      <c r="AS65" s="1">
        <f t="shared" si="101"/>
        <v>0</v>
      </c>
      <c r="AT65" s="3">
        <f t="shared" si="84"/>
        <v>27.100000000003547</v>
      </c>
      <c r="AU65" s="1">
        <f t="shared" si="57"/>
        <v>0</v>
      </c>
      <c r="AV65" s="3">
        <f t="shared" si="62"/>
        <v>27.100000000003547</v>
      </c>
      <c r="AW65" s="3">
        <f t="shared" si="63"/>
        <v>11961.783333333336</v>
      </c>
      <c r="AX65" s="3">
        <f>MIN(IF(MOD(S65,12)=0,INDEX(IKE_oplata_wskaznik,MATCH(ROUNDUP(S65/12,0),IKE_oplata_rok,0)),0)*AW65,200)</f>
        <v>0</v>
      </c>
      <c r="AY65" s="3">
        <f t="shared" si="25"/>
        <v>50.755595000000007</v>
      </c>
      <c r="AZ65" s="3">
        <f t="shared" si="85"/>
        <v>11911.027738333336</v>
      </c>
      <c r="BA65" s="3">
        <f t="shared" si="26"/>
        <v>31.583333333333336</v>
      </c>
      <c r="BB65" s="3">
        <f t="shared" si="86"/>
        <v>366.73800000000051</v>
      </c>
      <c r="BC65" s="3">
        <f t="shared" si="87"/>
        <v>11512.706405000001</v>
      </c>
      <c r="BE65" s="6">
        <f t="shared" si="97"/>
        <v>100</v>
      </c>
      <c r="BF65" s="3">
        <f t="shared" si="98"/>
        <v>10000</v>
      </c>
      <c r="BG65" s="3">
        <f t="shared" si="99"/>
        <v>10000</v>
      </c>
      <c r="BH65" s="3">
        <f t="shared" si="100"/>
        <v>12112.63272</v>
      </c>
      <c r="BI65" s="9">
        <f t="shared" si="88"/>
        <v>6.0000000000000005E-2</v>
      </c>
      <c r="BJ65" s="3">
        <f t="shared" si="89"/>
        <v>12233.759047199999</v>
      </c>
      <c r="BK65" s="3" t="str">
        <f t="shared" si="90"/>
        <v>nie</v>
      </c>
      <c r="BL65" s="3">
        <f t="shared" si="31"/>
        <v>0</v>
      </c>
      <c r="BM65" s="3">
        <f t="shared" si="32"/>
        <v>0</v>
      </c>
      <c r="BN65" s="3">
        <f t="shared" si="33"/>
        <v>12233.759047199999</v>
      </c>
      <c r="BO65" s="3">
        <f>MIN(IF(MOD(S65,12)=0,INDEX(IKE_oplata_wskaznik,MATCH(ROUNDUP(S65/12,0),IKE_oplata_rok,0)),0)*BN65,200)</f>
        <v>0</v>
      </c>
      <c r="BP65" s="3">
        <f t="shared" si="34"/>
        <v>51.346523808000001</v>
      </c>
      <c r="BQ65" s="3">
        <f t="shared" si="35"/>
        <v>12182.412523391999</v>
      </c>
      <c r="BR65" s="3">
        <f t="shared" si="91"/>
        <v>200</v>
      </c>
      <c r="BS65" s="3">
        <f t="shared" si="92"/>
        <v>386.41421896799989</v>
      </c>
      <c r="BT65" s="3">
        <f t="shared" si="36"/>
        <v>11595.998304423998</v>
      </c>
    </row>
    <row r="66" spans="2:72">
      <c r="B66" s="172"/>
      <c r="C66" s="1">
        <f t="shared" si="65"/>
        <v>32</v>
      </c>
      <c r="D66" s="3">
        <f t="shared" si="67"/>
        <v>11081.536586666667</v>
      </c>
      <c r="E66" s="3">
        <f t="shared" si="68"/>
        <v>10812.120920000001</v>
      </c>
      <c r="F66" s="3">
        <f t="shared" si="69"/>
        <v>11194.159679999999</v>
      </c>
      <c r="G66" s="3">
        <f t="shared" si="70"/>
        <v>10801.99216</v>
      </c>
      <c r="H66" s="3">
        <f t="shared" si="66"/>
        <v>10329.13663841945</v>
      </c>
      <c r="I66" s="3">
        <f t="shared" si="71"/>
        <v>11392.500000000002</v>
      </c>
      <c r="S66" s="1">
        <f t="shared" si="93"/>
        <v>51</v>
      </c>
      <c r="T66" s="9">
        <f t="shared" si="102"/>
        <v>0.05</v>
      </c>
      <c r="U66" s="3">
        <f t="shared" si="77"/>
        <v>12307.000781250001</v>
      </c>
      <c r="V66" s="6">
        <f t="shared" si="94"/>
        <v>105</v>
      </c>
      <c r="W66" s="3">
        <f t="shared" si="95"/>
        <v>10489.5</v>
      </c>
      <c r="X66" s="3">
        <f t="shared" si="96"/>
        <v>10500</v>
      </c>
      <c r="Y66" s="3">
        <f t="shared" si="78"/>
        <v>10500</v>
      </c>
      <c r="Z66" s="9">
        <f t="shared" si="79"/>
        <v>1.2999999999999999E-2</v>
      </c>
      <c r="AA66" s="3">
        <f t="shared" si="80"/>
        <v>10534.125</v>
      </c>
      <c r="AB66" s="3" t="str">
        <f t="shared" si="81"/>
        <v>nie</v>
      </c>
      <c r="AC66" s="3">
        <f t="shared" si="82"/>
        <v>34.125</v>
      </c>
      <c r="AD66" s="1">
        <f t="shared" si="103"/>
        <v>2</v>
      </c>
      <c r="AE66" s="1">
        <f t="shared" si="72"/>
        <v>5</v>
      </c>
      <c r="AF66" s="1">
        <f t="shared" si="72"/>
        <v>6</v>
      </c>
      <c r="AG66" s="1">
        <f t="shared" si="72"/>
        <v>1</v>
      </c>
      <c r="AH66" s="3">
        <f t="shared" si="58"/>
        <v>200</v>
      </c>
      <c r="AI66" s="9">
        <f t="shared" si="104"/>
        <v>1.2999999999999999E-2</v>
      </c>
      <c r="AJ66" s="3">
        <f t="shared" si="59"/>
        <v>200.65</v>
      </c>
      <c r="AK66" s="3">
        <f t="shared" si="105"/>
        <v>0.65000000000000568</v>
      </c>
      <c r="AL66" s="3">
        <f t="shared" si="76"/>
        <v>1200</v>
      </c>
      <c r="AM66" s="9">
        <f t="shared" si="73"/>
        <v>5.7500000000000002E-2</v>
      </c>
      <c r="AN66" s="3">
        <f t="shared" si="74"/>
        <v>1217.25</v>
      </c>
      <c r="AO66" s="3">
        <f t="shared" si="75"/>
        <v>8.3999999999999986</v>
      </c>
      <c r="AP66" s="3">
        <f t="shared" si="83"/>
        <v>0</v>
      </c>
      <c r="AQ66" s="3">
        <f t="shared" si="60"/>
        <v>0</v>
      </c>
      <c r="AR66" s="3">
        <f t="shared" si="61"/>
        <v>27.100000000003547</v>
      </c>
      <c r="AS66" s="1">
        <f t="shared" si="101"/>
        <v>0</v>
      </c>
      <c r="AT66" s="3">
        <f t="shared" si="84"/>
        <v>27.100000000003547</v>
      </c>
      <c r="AU66" s="1">
        <f t="shared" si="57"/>
        <v>0</v>
      </c>
      <c r="AV66" s="3">
        <f t="shared" si="62"/>
        <v>27.100000000003547</v>
      </c>
      <c r="AW66" s="3">
        <f t="shared" si="63"/>
        <v>11979.125000000004</v>
      </c>
      <c r="AX66" s="3">
        <f>MIN(IF(MOD(S66,12)=0,INDEX(IKE_oplata_wskaznik,MATCH(ROUNDUP(S66/12,0),IKE_oplata_rok,0)),0)*AW66,200)</f>
        <v>0</v>
      </c>
      <c r="AY66" s="3">
        <f t="shared" si="25"/>
        <v>50.755595000000007</v>
      </c>
      <c r="AZ66" s="3">
        <f t="shared" si="85"/>
        <v>11928.369405000003</v>
      </c>
      <c r="BA66" s="3">
        <f t="shared" si="26"/>
        <v>43.175000000000004</v>
      </c>
      <c r="BB66" s="3">
        <f t="shared" si="86"/>
        <v>367.83050000000082</v>
      </c>
      <c r="BC66" s="3">
        <f t="shared" si="87"/>
        <v>11517.363905000004</v>
      </c>
      <c r="BE66" s="6">
        <f t="shared" si="97"/>
        <v>100</v>
      </c>
      <c r="BF66" s="3">
        <f t="shared" si="98"/>
        <v>10000</v>
      </c>
      <c r="BG66" s="3">
        <f t="shared" si="99"/>
        <v>10000</v>
      </c>
      <c r="BH66" s="3">
        <f t="shared" si="100"/>
        <v>12112.63272</v>
      </c>
      <c r="BI66" s="9">
        <f t="shared" si="88"/>
        <v>6.0000000000000005E-2</v>
      </c>
      <c r="BJ66" s="3">
        <f t="shared" si="89"/>
        <v>12294.322210799999</v>
      </c>
      <c r="BK66" s="3" t="str">
        <f t="shared" si="90"/>
        <v>nie</v>
      </c>
      <c r="BL66" s="3">
        <f t="shared" si="31"/>
        <v>0</v>
      </c>
      <c r="BM66" s="3">
        <f t="shared" si="32"/>
        <v>0</v>
      </c>
      <c r="BN66" s="3">
        <f t="shared" si="33"/>
        <v>12294.322210799999</v>
      </c>
      <c r="BO66" s="3">
        <f>MIN(IF(MOD(S66,12)=0,INDEX(IKE_oplata_wskaznik,MATCH(ROUNDUP(S66/12,0),IKE_oplata_rok,0)),0)*BN66,200)</f>
        <v>0</v>
      </c>
      <c r="BP66" s="3">
        <f t="shared" si="34"/>
        <v>51.346523808000001</v>
      </c>
      <c r="BQ66" s="3">
        <f t="shared" si="35"/>
        <v>12242.975686991998</v>
      </c>
      <c r="BR66" s="3">
        <f t="shared" si="91"/>
        <v>200</v>
      </c>
      <c r="BS66" s="3">
        <f t="shared" si="92"/>
        <v>397.92122005199985</v>
      </c>
      <c r="BT66" s="3">
        <f t="shared" si="36"/>
        <v>11645.054466939999</v>
      </c>
    </row>
    <row r="67" spans="2:72">
      <c r="B67" s="172"/>
      <c r="C67" s="1">
        <f t="shared" ref="C67:C98" si="106">S48</f>
        <v>33</v>
      </c>
      <c r="D67" s="3">
        <f t="shared" si="67"/>
        <v>11130.582419999999</v>
      </c>
      <c r="E67" s="3">
        <f t="shared" si="68"/>
        <v>10851.848044999999</v>
      </c>
      <c r="F67" s="3">
        <f t="shared" si="69"/>
        <v>11248.060679999997</v>
      </c>
      <c r="G67" s="3">
        <f t="shared" si="70"/>
        <v>10845.651969999997</v>
      </c>
      <c r="H67" s="3">
        <f t="shared" ref="H67:H98" si="107">FV(INDEX(scenariusz_I_konto,MATCH(ROUNDUP(C67/12,0),scenariusz_I_rok,0))/12*(1-podatek_Belki),1,0,-H66,1)</f>
        <v>10339.594889265851</v>
      </c>
      <c r="I67" s="3">
        <f t="shared" si="71"/>
        <v>11438.437500000002</v>
      </c>
      <c r="S67" s="1">
        <f t="shared" si="93"/>
        <v>52</v>
      </c>
      <c r="T67" s="9">
        <f t="shared" si="102"/>
        <v>0.05</v>
      </c>
      <c r="U67" s="3">
        <f t="shared" si="77"/>
        <v>12357.646875</v>
      </c>
      <c r="V67" s="6">
        <f t="shared" si="94"/>
        <v>105</v>
      </c>
      <c r="W67" s="3">
        <f t="shared" si="95"/>
        <v>10489.5</v>
      </c>
      <c r="X67" s="3">
        <f t="shared" si="96"/>
        <v>10500</v>
      </c>
      <c r="Y67" s="3">
        <f t="shared" si="78"/>
        <v>10500</v>
      </c>
      <c r="Z67" s="9">
        <f t="shared" si="79"/>
        <v>1.2999999999999999E-2</v>
      </c>
      <c r="AA67" s="3">
        <f t="shared" si="80"/>
        <v>10545.5</v>
      </c>
      <c r="AB67" s="3" t="str">
        <f t="shared" si="81"/>
        <v>nie</v>
      </c>
      <c r="AC67" s="3">
        <f t="shared" si="82"/>
        <v>45.5</v>
      </c>
      <c r="AD67" s="1">
        <f t="shared" si="103"/>
        <v>2</v>
      </c>
      <c r="AE67" s="1">
        <f t="shared" si="72"/>
        <v>5</v>
      </c>
      <c r="AF67" s="1">
        <f t="shared" si="72"/>
        <v>6</v>
      </c>
      <c r="AG67" s="1">
        <f t="shared" si="72"/>
        <v>1</v>
      </c>
      <c r="AH67" s="3">
        <f t="shared" si="58"/>
        <v>200</v>
      </c>
      <c r="AI67" s="9">
        <f t="shared" si="104"/>
        <v>1.2999999999999999E-2</v>
      </c>
      <c r="AJ67" s="3">
        <f t="shared" si="59"/>
        <v>200.86666666666667</v>
      </c>
      <c r="AK67" s="3">
        <f t="shared" si="105"/>
        <v>0.86666666666667425</v>
      </c>
      <c r="AL67" s="3">
        <f t="shared" si="76"/>
        <v>1200</v>
      </c>
      <c r="AM67" s="9">
        <f t="shared" si="73"/>
        <v>5.7500000000000002E-2</v>
      </c>
      <c r="AN67" s="3">
        <f t="shared" si="74"/>
        <v>1223.0000000000002</v>
      </c>
      <c r="AO67" s="3">
        <f t="shared" si="75"/>
        <v>8.3999999999999986</v>
      </c>
      <c r="AP67" s="3">
        <f t="shared" si="83"/>
        <v>0</v>
      </c>
      <c r="AQ67" s="3">
        <f t="shared" si="60"/>
        <v>0</v>
      </c>
      <c r="AR67" s="3">
        <f t="shared" si="61"/>
        <v>27.100000000003547</v>
      </c>
      <c r="AS67" s="1">
        <f t="shared" si="101"/>
        <v>0</v>
      </c>
      <c r="AT67" s="3">
        <f t="shared" si="84"/>
        <v>27.100000000003547</v>
      </c>
      <c r="AU67" s="1">
        <f t="shared" si="57"/>
        <v>0</v>
      </c>
      <c r="AV67" s="3">
        <f t="shared" si="62"/>
        <v>27.100000000003547</v>
      </c>
      <c r="AW67" s="3">
        <f t="shared" si="63"/>
        <v>11996.466666666671</v>
      </c>
      <c r="AX67" s="3">
        <f>MIN(IF(MOD(S67,12)=0,INDEX(IKE_oplata_wskaznik,MATCH(ROUNDUP(S67/12,0),IKE_oplata_rok,0)),0)*AW67,200)</f>
        <v>0</v>
      </c>
      <c r="AY67" s="3">
        <f t="shared" si="25"/>
        <v>50.755595000000007</v>
      </c>
      <c r="AZ67" s="3">
        <f t="shared" si="85"/>
        <v>11945.71107166667</v>
      </c>
      <c r="BA67" s="3">
        <f t="shared" si="26"/>
        <v>54.766666666666673</v>
      </c>
      <c r="BB67" s="3">
        <f t="shared" si="86"/>
        <v>368.92300000000085</v>
      </c>
      <c r="BC67" s="3">
        <f t="shared" si="87"/>
        <v>11522.021405000003</v>
      </c>
      <c r="BE67" s="6">
        <f t="shared" si="97"/>
        <v>100</v>
      </c>
      <c r="BF67" s="3">
        <f t="shared" si="98"/>
        <v>10000</v>
      </c>
      <c r="BG67" s="3">
        <f t="shared" si="99"/>
        <v>10000</v>
      </c>
      <c r="BH67" s="3">
        <f t="shared" si="100"/>
        <v>12112.63272</v>
      </c>
      <c r="BI67" s="9">
        <f t="shared" si="88"/>
        <v>6.0000000000000005E-2</v>
      </c>
      <c r="BJ67" s="3">
        <f t="shared" si="89"/>
        <v>12354.885374399999</v>
      </c>
      <c r="BK67" s="3" t="str">
        <f t="shared" si="90"/>
        <v>nie</v>
      </c>
      <c r="BL67" s="3">
        <f t="shared" si="31"/>
        <v>0</v>
      </c>
      <c r="BM67" s="3">
        <f t="shared" si="32"/>
        <v>0</v>
      </c>
      <c r="BN67" s="3">
        <f t="shared" si="33"/>
        <v>12354.885374399999</v>
      </c>
      <c r="BO67" s="3">
        <f>MIN(IF(MOD(S67,12)=0,INDEX(IKE_oplata_wskaznik,MATCH(ROUNDUP(S67/12,0),IKE_oplata_rok,0)),0)*BN67,200)</f>
        <v>0</v>
      </c>
      <c r="BP67" s="3">
        <f t="shared" si="34"/>
        <v>51.346523808000001</v>
      </c>
      <c r="BQ67" s="3">
        <f t="shared" si="35"/>
        <v>12303.538850591998</v>
      </c>
      <c r="BR67" s="3">
        <f t="shared" si="91"/>
        <v>200</v>
      </c>
      <c r="BS67" s="3">
        <f t="shared" si="92"/>
        <v>409.42822113599982</v>
      </c>
      <c r="BT67" s="3">
        <f t="shared" si="36"/>
        <v>11694.110629455998</v>
      </c>
    </row>
    <row r="68" spans="2:72">
      <c r="B68" s="172"/>
      <c r="C68" s="1">
        <f t="shared" si="106"/>
        <v>34</v>
      </c>
      <c r="D68" s="3">
        <f t="shared" si="67"/>
        <v>11179.628253333331</v>
      </c>
      <c r="E68" s="3">
        <f t="shared" si="68"/>
        <v>10891.575169999998</v>
      </c>
      <c r="F68" s="3">
        <f t="shared" si="69"/>
        <v>11301.961679999999</v>
      </c>
      <c r="G68" s="3">
        <f t="shared" si="70"/>
        <v>10889.311779999998</v>
      </c>
      <c r="H68" s="3">
        <f t="shared" si="107"/>
        <v>10350.063729091233</v>
      </c>
      <c r="I68" s="3">
        <f t="shared" si="71"/>
        <v>11484.375</v>
      </c>
      <c r="S68" s="1">
        <f t="shared" si="93"/>
        <v>53</v>
      </c>
      <c r="T68" s="9">
        <f t="shared" si="102"/>
        <v>0.05</v>
      </c>
      <c r="U68" s="3">
        <f t="shared" si="77"/>
        <v>12408.292968750002</v>
      </c>
      <c r="V68" s="6">
        <f t="shared" si="94"/>
        <v>105</v>
      </c>
      <c r="W68" s="3">
        <f t="shared" si="95"/>
        <v>10489.5</v>
      </c>
      <c r="X68" s="3">
        <f t="shared" si="96"/>
        <v>10500</v>
      </c>
      <c r="Y68" s="3">
        <f t="shared" si="78"/>
        <v>10500</v>
      </c>
      <c r="Z68" s="9">
        <f t="shared" si="79"/>
        <v>1.2999999999999999E-2</v>
      </c>
      <c r="AA68" s="3">
        <f t="shared" si="80"/>
        <v>10556.875</v>
      </c>
      <c r="AB68" s="3" t="str">
        <f t="shared" si="81"/>
        <v>nie</v>
      </c>
      <c r="AC68" s="3">
        <f t="shared" si="82"/>
        <v>56.875</v>
      </c>
      <c r="AD68" s="1">
        <f t="shared" si="103"/>
        <v>2</v>
      </c>
      <c r="AE68" s="1">
        <f t="shared" si="72"/>
        <v>5</v>
      </c>
      <c r="AF68" s="1">
        <f t="shared" si="72"/>
        <v>6</v>
      </c>
      <c r="AG68" s="1">
        <f t="shared" si="72"/>
        <v>1</v>
      </c>
      <c r="AH68" s="3">
        <f t="shared" si="58"/>
        <v>200</v>
      </c>
      <c r="AI68" s="9">
        <f t="shared" si="104"/>
        <v>1.2999999999999999E-2</v>
      </c>
      <c r="AJ68" s="3">
        <f t="shared" si="59"/>
        <v>201.08333333333331</v>
      </c>
      <c r="AK68" s="3">
        <f t="shared" si="105"/>
        <v>1.0833333333333144</v>
      </c>
      <c r="AL68" s="3">
        <f t="shared" si="76"/>
        <v>1200</v>
      </c>
      <c r="AM68" s="9">
        <f t="shared" si="73"/>
        <v>5.7500000000000002E-2</v>
      </c>
      <c r="AN68" s="3">
        <f t="shared" si="74"/>
        <v>1228.75</v>
      </c>
      <c r="AO68" s="3">
        <f t="shared" si="75"/>
        <v>8.3999999999999986</v>
      </c>
      <c r="AP68" s="3">
        <f t="shared" si="83"/>
        <v>0</v>
      </c>
      <c r="AQ68" s="3">
        <f t="shared" si="60"/>
        <v>0</v>
      </c>
      <c r="AR68" s="3">
        <f t="shared" si="61"/>
        <v>27.100000000003547</v>
      </c>
      <c r="AS68" s="1">
        <f t="shared" si="101"/>
        <v>0</v>
      </c>
      <c r="AT68" s="3">
        <f t="shared" si="84"/>
        <v>27.100000000003547</v>
      </c>
      <c r="AU68" s="1">
        <f t="shared" si="57"/>
        <v>0</v>
      </c>
      <c r="AV68" s="3">
        <f t="shared" si="62"/>
        <v>27.100000000003547</v>
      </c>
      <c r="AW68" s="3">
        <f t="shared" si="63"/>
        <v>12013.808333333338</v>
      </c>
      <c r="AX68" s="3">
        <f>MIN(IF(MOD(S68,12)=0,INDEX(IKE_oplata_wskaznik,MATCH(ROUNDUP(S68/12,0),IKE_oplata_rok,0)),0)*AW68,200)</f>
        <v>0</v>
      </c>
      <c r="AY68" s="3">
        <f t="shared" si="25"/>
        <v>50.755595000000007</v>
      </c>
      <c r="AZ68" s="3">
        <f t="shared" si="85"/>
        <v>11963.052738333337</v>
      </c>
      <c r="BA68" s="3">
        <f t="shared" si="26"/>
        <v>66.35833333333332</v>
      </c>
      <c r="BB68" s="3">
        <f t="shared" si="86"/>
        <v>370.01550000000083</v>
      </c>
      <c r="BC68" s="3">
        <f t="shared" si="87"/>
        <v>11526.678905000002</v>
      </c>
      <c r="BE68" s="6">
        <f t="shared" si="97"/>
        <v>100</v>
      </c>
      <c r="BF68" s="3">
        <f t="shared" si="98"/>
        <v>10000</v>
      </c>
      <c r="BG68" s="3">
        <f t="shared" si="99"/>
        <v>10000</v>
      </c>
      <c r="BH68" s="3">
        <f t="shared" si="100"/>
        <v>12112.63272</v>
      </c>
      <c r="BI68" s="9">
        <f t="shared" si="88"/>
        <v>6.0000000000000005E-2</v>
      </c>
      <c r="BJ68" s="3">
        <f t="shared" si="89"/>
        <v>12415.448537999999</v>
      </c>
      <c r="BK68" s="3" t="str">
        <f t="shared" si="90"/>
        <v>nie</v>
      </c>
      <c r="BL68" s="3">
        <f t="shared" si="31"/>
        <v>0</v>
      </c>
      <c r="BM68" s="3">
        <f t="shared" si="32"/>
        <v>0</v>
      </c>
      <c r="BN68" s="3">
        <f t="shared" si="33"/>
        <v>12415.448537999999</v>
      </c>
      <c r="BO68" s="3">
        <f>MIN(IF(MOD(S68,12)=0,INDEX(IKE_oplata_wskaznik,MATCH(ROUNDUP(S68/12,0),IKE_oplata_rok,0)),0)*BN68,200)</f>
        <v>0</v>
      </c>
      <c r="BP68" s="3">
        <f t="shared" si="34"/>
        <v>51.346523808000001</v>
      </c>
      <c r="BQ68" s="3">
        <f t="shared" si="35"/>
        <v>12364.102014191998</v>
      </c>
      <c r="BR68" s="3">
        <f t="shared" si="91"/>
        <v>200</v>
      </c>
      <c r="BS68" s="3">
        <f t="shared" si="92"/>
        <v>420.93522221999979</v>
      </c>
      <c r="BT68" s="3">
        <f t="shared" si="36"/>
        <v>11743.166791971998</v>
      </c>
    </row>
    <row r="69" spans="2:72">
      <c r="B69" s="173"/>
      <c r="C69" s="1">
        <f t="shared" si="106"/>
        <v>35</v>
      </c>
      <c r="D69" s="3">
        <f t="shared" si="67"/>
        <v>11228.674086666666</v>
      </c>
      <c r="E69" s="3">
        <f t="shared" si="68"/>
        <v>10931.302295</v>
      </c>
      <c r="F69" s="3">
        <f t="shared" si="69"/>
        <v>11355.862679999998</v>
      </c>
      <c r="G69" s="3">
        <f t="shared" si="70"/>
        <v>10932.971589999999</v>
      </c>
      <c r="H69" s="3">
        <f t="shared" si="107"/>
        <v>10360.543168616938</v>
      </c>
      <c r="I69" s="3">
        <f t="shared" si="71"/>
        <v>11530.3125</v>
      </c>
      <c r="S69" s="1">
        <f t="shared" si="93"/>
        <v>54</v>
      </c>
      <c r="T69" s="9">
        <f t="shared" si="102"/>
        <v>0.05</v>
      </c>
      <c r="U69" s="3">
        <f t="shared" si="77"/>
        <v>12458.939062500001</v>
      </c>
      <c r="V69" s="6">
        <f t="shared" si="94"/>
        <v>105</v>
      </c>
      <c r="W69" s="3">
        <f t="shared" si="95"/>
        <v>10489.5</v>
      </c>
      <c r="X69" s="3">
        <f t="shared" si="96"/>
        <v>10500</v>
      </c>
      <c r="Y69" s="3">
        <f t="shared" si="78"/>
        <v>10500</v>
      </c>
      <c r="Z69" s="9">
        <f t="shared" si="79"/>
        <v>1.2999999999999999E-2</v>
      </c>
      <c r="AA69" s="3">
        <f t="shared" si="80"/>
        <v>10568.25</v>
      </c>
      <c r="AB69" s="3" t="str">
        <f t="shared" si="81"/>
        <v>nie</v>
      </c>
      <c r="AC69" s="3">
        <f t="shared" si="82"/>
        <v>68.25</v>
      </c>
      <c r="AD69" s="1">
        <f t="shared" si="103"/>
        <v>2</v>
      </c>
      <c r="AE69" s="1">
        <f t="shared" si="72"/>
        <v>5</v>
      </c>
      <c r="AF69" s="1">
        <f t="shared" si="72"/>
        <v>6</v>
      </c>
      <c r="AG69" s="1">
        <f t="shared" si="72"/>
        <v>1</v>
      </c>
      <c r="AH69" s="3">
        <f t="shared" si="58"/>
        <v>200</v>
      </c>
      <c r="AI69" s="9">
        <f t="shared" si="104"/>
        <v>1.2999999999999999E-2</v>
      </c>
      <c r="AJ69" s="3">
        <f t="shared" si="59"/>
        <v>201.29999999999998</v>
      </c>
      <c r="AK69" s="3">
        <f t="shared" si="105"/>
        <v>1.2999999999999829</v>
      </c>
      <c r="AL69" s="3">
        <f t="shared" si="76"/>
        <v>1200</v>
      </c>
      <c r="AM69" s="9">
        <f t="shared" si="73"/>
        <v>5.7500000000000002E-2</v>
      </c>
      <c r="AN69" s="3">
        <f t="shared" si="74"/>
        <v>1234.5</v>
      </c>
      <c r="AO69" s="3">
        <f t="shared" si="75"/>
        <v>8.3999999999999986</v>
      </c>
      <c r="AP69" s="3">
        <f t="shared" si="83"/>
        <v>0</v>
      </c>
      <c r="AQ69" s="3">
        <f t="shared" si="60"/>
        <v>0</v>
      </c>
      <c r="AR69" s="3">
        <f t="shared" si="61"/>
        <v>27.100000000003547</v>
      </c>
      <c r="AS69" s="1">
        <f t="shared" si="101"/>
        <v>0</v>
      </c>
      <c r="AT69" s="3">
        <f t="shared" si="84"/>
        <v>27.100000000003547</v>
      </c>
      <c r="AU69" s="1">
        <f t="shared" si="57"/>
        <v>0</v>
      </c>
      <c r="AV69" s="3">
        <f t="shared" si="62"/>
        <v>27.100000000003547</v>
      </c>
      <c r="AW69" s="3">
        <f t="shared" si="63"/>
        <v>12031.150000000003</v>
      </c>
      <c r="AX69" s="3">
        <f>MIN(IF(MOD(S69,12)=0,INDEX(IKE_oplata_wskaznik,MATCH(ROUNDUP(S69/12,0),IKE_oplata_rok,0)),0)*AW69,200)</f>
        <v>0</v>
      </c>
      <c r="AY69" s="3">
        <f t="shared" si="25"/>
        <v>50.755595000000007</v>
      </c>
      <c r="AZ69" s="3">
        <f t="shared" si="85"/>
        <v>11980.394405000003</v>
      </c>
      <c r="BA69" s="3">
        <f t="shared" si="26"/>
        <v>77.949999999999989</v>
      </c>
      <c r="BB69" s="3">
        <f t="shared" si="86"/>
        <v>371.10800000000052</v>
      </c>
      <c r="BC69" s="3">
        <f t="shared" si="87"/>
        <v>11531.336405000002</v>
      </c>
      <c r="BE69" s="6">
        <f t="shared" si="97"/>
        <v>100</v>
      </c>
      <c r="BF69" s="3">
        <f t="shared" si="98"/>
        <v>10000</v>
      </c>
      <c r="BG69" s="3">
        <f t="shared" si="99"/>
        <v>10000</v>
      </c>
      <c r="BH69" s="3">
        <f t="shared" si="100"/>
        <v>12112.63272</v>
      </c>
      <c r="BI69" s="9">
        <f t="shared" si="88"/>
        <v>6.0000000000000005E-2</v>
      </c>
      <c r="BJ69" s="3">
        <f t="shared" si="89"/>
        <v>12476.0117016</v>
      </c>
      <c r="BK69" s="3" t="str">
        <f t="shared" si="90"/>
        <v>nie</v>
      </c>
      <c r="BL69" s="3">
        <f t="shared" si="31"/>
        <v>0</v>
      </c>
      <c r="BM69" s="3">
        <f t="shared" si="32"/>
        <v>0</v>
      </c>
      <c r="BN69" s="3">
        <f t="shared" si="33"/>
        <v>12476.0117016</v>
      </c>
      <c r="BO69" s="3">
        <f>MIN(IF(MOD(S69,12)=0,INDEX(IKE_oplata_wskaznik,MATCH(ROUNDUP(S69/12,0),IKE_oplata_rok,0)),0)*BN69,200)</f>
        <v>0</v>
      </c>
      <c r="BP69" s="3">
        <f t="shared" si="34"/>
        <v>51.346523808000001</v>
      </c>
      <c r="BQ69" s="3">
        <f t="shared" si="35"/>
        <v>12424.665177792</v>
      </c>
      <c r="BR69" s="3">
        <f t="shared" si="91"/>
        <v>200</v>
      </c>
      <c r="BS69" s="3">
        <f t="shared" si="92"/>
        <v>432.44222330400009</v>
      </c>
      <c r="BT69" s="3">
        <f t="shared" si="36"/>
        <v>11792.222954487999</v>
      </c>
    </row>
    <row r="70" spans="2:72">
      <c r="B70" s="171">
        <f>ROUNDUP(C71/12,0)</f>
        <v>4</v>
      </c>
      <c r="C70" s="4">
        <f t="shared" si="106"/>
        <v>36</v>
      </c>
      <c r="D70" s="12">
        <f t="shared" si="67"/>
        <v>11260.777645</v>
      </c>
      <c r="E70" s="12">
        <f t="shared" si="68"/>
        <v>10954.087145</v>
      </c>
      <c r="F70" s="12">
        <f t="shared" si="69"/>
        <v>11392.623161999998</v>
      </c>
      <c r="G70" s="12">
        <f t="shared" si="70"/>
        <v>10959.490881999998</v>
      </c>
      <c r="H70" s="12">
        <f t="shared" si="107"/>
        <v>10371.033218575163</v>
      </c>
      <c r="I70" s="12">
        <f t="shared" si="71"/>
        <v>11576.250000000002</v>
      </c>
      <c r="S70" s="1">
        <f t="shared" si="93"/>
        <v>55</v>
      </c>
      <c r="T70" s="9">
        <f t="shared" si="102"/>
        <v>0.05</v>
      </c>
      <c r="U70" s="3">
        <f t="shared" si="77"/>
        <v>12509.585156250001</v>
      </c>
      <c r="V70" s="6">
        <f t="shared" si="94"/>
        <v>105</v>
      </c>
      <c r="W70" s="3">
        <f t="shared" si="95"/>
        <v>10489.5</v>
      </c>
      <c r="X70" s="3">
        <f t="shared" si="96"/>
        <v>10500</v>
      </c>
      <c r="Y70" s="3">
        <f t="shared" si="78"/>
        <v>10500</v>
      </c>
      <c r="Z70" s="9">
        <f t="shared" si="79"/>
        <v>1.2999999999999999E-2</v>
      </c>
      <c r="AA70" s="3">
        <f t="shared" si="80"/>
        <v>10579.625</v>
      </c>
      <c r="AB70" s="3" t="str">
        <f t="shared" si="81"/>
        <v>nie</v>
      </c>
      <c r="AC70" s="3">
        <f t="shared" si="82"/>
        <v>73.5</v>
      </c>
      <c r="AD70" s="1">
        <f t="shared" si="103"/>
        <v>2</v>
      </c>
      <c r="AE70" s="1">
        <f t="shared" si="72"/>
        <v>5</v>
      </c>
      <c r="AF70" s="1">
        <f t="shared" si="72"/>
        <v>6</v>
      </c>
      <c r="AG70" s="1">
        <f t="shared" si="72"/>
        <v>1</v>
      </c>
      <c r="AH70" s="3">
        <f t="shared" si="58"/>
        <v>200</v>
      </c>
      <c r="AI70" s="9">
        <f t="shared" si="104"/>
        <v>1.2999999999999999E-2</v>
      </c>
      <c r="AJ70" s="3">
        <f t="shared" si="59"/>
        <v>201.51666666666665</v>
      </c>
      <c r="AK70" s="3">
        <f t="shared" si="105"/>
        <v>1.4</v>
      </c>
      <c r="AL70" s="3">
        <f t="shared" si="76"/>
        <v>1200</v>
      </c>
      <c r="AM70" s="9">
        <f t="shared" si="73"/>
        <v>5.7500000000000002E-2</v>
      </c>
      <c r="AN70" s="3">
        <f t="shared" si="74"/>
        <v>1240.25</v>
      </c>
      <c r="AO70" s="3">
        <f t="shared" si="75"/>
        <v>8.3999999999999986</v>
      </c>
      <c r="AP70" s="3">
        <f t="shared" si="83"/>
        <v>0</v>
      </c>
      <c r="AQ70" s="3">
        <f t="shared" si="60"/>
        <v>0</v>
      </c>
      <c r="AR70" s="3">
        <f t="shared" si="61"/>
        <v>27.100000000003547</v>
      </c>
      <c r="AS70" s="1">
        <f t="shared" si="101"/>
        <v>0</v>
      </c>
      <c r="AT70" s="3">
        <f t="shared" si="84"/>
        <v>27.100000000003547</v>
      </c>
      <c r="AU70" s="1">
        <f t="shared" si="57"/>
        <v>0</v>
      </c>
      <c r="AV70" s="3">
        <f t="shared" si="62"/>
        <v>27.100000000003547</v>
      </c>
      <c r="AW70" s="3">
        <f t="shared" si="63"/>
        <v>12048.49166666667</v>
      </c>
      <c r="AX70" s="3">
        <f>MIN(IF(MOD(S70,12)=0,INDEX(IKE_oplata_wskaznik,MATCH(ROUNDUP(S70/12,0),IKE_oplata_rok,0)),0)*AW70,200)</f>
        <v>0</v>
      </c>
      <c r="AY70" s="3">
        <f t="shared" si="25"/>
        <v>50.755595000000007</v>
      </c>
      <c r="AZ70" s="3">
        <f t="shared" si="85"/>
        <v>11997.73607166667</v>
      </c>
      <c r="BA70" s="3">
        <f t="shared" si="26"/>
        <v>83.300000000000011</v>
      </c>
      <c r="BB70" s="3">
        <f t="shared" si="86"/>
        <v>373.38641666666751</v>
      </c>
      <c r="BC70" s="3">
        <f t="shared" si="87"/>
        <v>11541.049655000003</v>
      </c>
      <c r="BE70" s="6">
        <f t="shared" si="97"/>
        <v>100</v>
      </c>
      <c r="BF70" s="3">
        <f t="shared" si="98"/>
        <v>10000</v>
      </c>
      <c r="BG70" s="3">
        <f t="shared" si="99"/>
        <v>10000</v>
      </c>
      <c r="BH70" s="3">
        <f t="shared" si="100"/>
        <v>12112.63272</v>
      </c>
      <c r="BI70" s="9">
        <f t="shared" si="88"/>
        <v>6.0000000000000005E-2</v>
      </c>
      <c r="BJ70" s="3">
        <f t="shared" si="89"/>
        <v>12536.574865199998</v>
      </c>
      <c r="BK70" s="3" t="str">
        <f t="shared" si="90"/>
        <v>nie</v>
      </c>
      <c r="BL70" s="3">
        <f t="shared" si="31"/>
        <v>0</v>
      </c>
      <c r="BM70" s="3">
        <f t="shared" si="32"/>
        <v>0</v>
      </c>
      <c r="BN70" s="3">
        <f t="shared" si="33"/>
        <v>12536.574865199998</v>
      </c>
      <c r="BO70" s="3">
        <f>MIN(IF(MOD(S70,12)=0,INDEX(IKE_oplata_wskaznik,MATCH(ROUNDUP(S70/12,0),IKE_oplata_rok,0)),0)*BN70,200)</f>
        <v>0</v>
      </c>
      <c r="BP70" s="3">
        <f t="shared" si="34"/>
        <v>51.346523808000001</v>
      </c>
      <c r="BQ70" s="3">
        <f t="shared" si="35"/>
        <v>12485.228341391998</v>
      </c>
      <c r="BR70" s="3">
        <f t="shared" si="91"/>
        <v>200</v>
      </c>
      <c r="BS70" s="3">
        <f t="shared" si="92"/>
        <v>443.94922438799972</v>
      </c>
      <c r="BT70" s="3">
        <f t="shared" si="36"/>
        <v>11841.279117003998</v>
      </c>
    </row>
    <row r="71" spans="2:72">
      <c r="B71" s="172"/>
      <c r="C71" s="1">
        <f t="shared" si="106"/>
        <v>37</v>
      </c>
      <c r="D71" s="3">
        <f t="shared" si="67"/>
        <v>11312.590145000002</v>
      </c>
      <c r="E71" s="3">
        <f t="shared" si="68"/>
        <v>10995.616520000001</v>
      </c>
      <c r="F71" s="3">
        <f t="shared" si="69"/>
        <v>11449.758221999997</v>
      </c>
      <c r="G71" s="3">
        <f t="shared" si="70"/>
        <v>11005.770280599998</v>
      </c>
      <c r="H71" s="3">
        <f t="shared" si="107"/>
        <v>10381.533889708971</v>
      </c>
      <c r="I71" s="3">
        <f t="shared" si="71"/>
        <v>11624.484375000002</v>
      </c>
      <c r="S71" s="1">
        <f t="shared" si="93"/>
        <v>56</v>
      </c>
      <c r="T71" s="9">
        <f t="shared" si="102"/>
        <v>0.05</v>
      </c>
      <c r="U71" s="3">
        <f t="shared" si="77"/>
        <v>12560.231250000003</v>
      </c>
      <c r="V71" s="6">
        <f t="shared" si="94"/>
        <v>105</v>
      </c>
      <c r="W71" s="3">
        <f t="shared" si="95"/>
        <v>10489.5</v>
      </c>
      <c r="X71" s="3">
        <f t="shared" si="96"/>
        <v>10500</v>
      </c>
      <c r="Y71" s="3">
        <f t="shared" si="78"/>
        <v>10500</v>
      </c>
      <c r="Z71" s="9">
        <f t="shared" si="79"/>
        <v>1.2999999999999999E-2</v>
      </c>
      <c r="AA71" s="3">
        <f t="shared" si="80"/>
        <v>10591</v>
      </c>
      <c r="AB71" s="3" t="str">
        <f t="shared" si="81"/>
        <v>nie</v>
      </c>
      <c r="AC71" s="3">
        <f t="shared" si="82"/>
        <v>73.5</v>
      </c>
      <c r="AD71" s="1">
        <f t="shared" si="103"/>
        <v>2</v>
      </c>
      <c r="AE71" s="1">
        <f t="shared" si="72"/>
        <v>5</v>
      </c>
      <c r="AF71" s="1">
        <f t="shared" si="72"/>
        <v>6</v>
      </c>
      <c r="AG71" s="1">
        <f t="shared" si="72"/>
        <v>1</v>
      </c>
      <c r="AH71" s="3">
        <f t="shared" si="58"/>
        <v>200</v>
      </c>
      <c r="AI71" s="9">
        <f t="shared" si="104"/>
        <v>1.2999999999999999E-2</v>
      </c>
      <c r="AJ71" s="3">
        <f t="shared" si="59"/>
        <v>201.73333333333332</v>
      </c>
      <c r="AK71" s="3">
        <f t="shared" si="105"/>
        <v>1.4</v>
      </c>
      <c r="AL71" s="3">
        <f t="shared" si="76"/>
        <v>1200</v>
      </c>
      <c r="AM71" s="9">
        <f t="shared" si="73"/>
        <v>5.7500000000000002E-2</v>
      </c>
      <c r="AN71" s="3">
        <f t="shared" si="74"/>
        <v>1246</v>
      </c>
      <c r="AO71" s="3">
        <f t="shared" si="75"/>
        <v>8.3999999999999986</v>
      </c>
      <c r="AP71" s="3">
        <f t="shared" si="83"/>
        <v>0</v>
      </c>
      <c r="AQ71" s="3">
        <f t="shared" si="60"/>
        <v>0</v>
      </c>
      <c r="AR71" s="3">
        <f t="shared" si="61"/>
        <v>27.100000000003547</v>
      </c>
      <c r="AS71" s="1">
        <f t="shared" si="101"/>
        <v>0</v>
      </c>
      <c r="AT71" s="3">
        <f t="shared" si="84"/>
        <v>27.100000000003547</v>
      </c>
      <c r="AU71" s="1">
        <f t="shared" si="57"/>
        <v>0</v>
      </c>
      <c r="AV71" s="3">
        <f t="shared" si="62"/>
        <v>27.100000000003547</v>
      </c>
      <c r="AW71" s="3">
        <f t="shared" si="63"/>
        <v>12065.833333333338</v>
      </c>
      <c r="AX71" s="3">
        <f>MIN(IF(MOD(S71,12)=0,INDEX(IKE_oplata_wskaznik,MATCH(ROUNDUP(S71/12,0),IKE_oplata_rok,0)),0)*AW71,200)</f>
        <v>0</v>
      </c>
      <c r="AY71" s="3">
        <f t="shared" si="25"/>
        <v>50.755595000000007</v>
      </c>
      <c r="AZ71" s="3">
        <f t="shared" si="85"/>
        <v>12015.077738333337</v>
      </c>
      <c r="BA71" s="3">
        <f t="shared" si="26"/>
        <v>83.300000000000011</v>
      </c>
      <c r="BB71" s="3">
        <f t="shared" si="86"/>
        <v>376.68133333333429</v>
      </c>
      <c r="BC71" s="3">
        <f t="shared" si="87"/>
        <v>11555.096405000004</v>
      </c>
      <c r="BE71" s="6">
        <f t="shared" si="97"/>
        <v>100</v>
      </c>
      <c r="BF71" s="3">
        <f t="shared" si="98"/>
        <v>10000</v>
      </c>
      <c r="BG71" s="3">
        <f t="shared" si="99"/>
        <v>10000</v>
      </c>
      <c r="BH71" s="3">
        <f t="shared" si="100"/>
        <v>12112.63272</v>
      </c>
      <c r="BI71" s="9">
        <f t="shared" si="88"/>
        <v>6.0000000000000005E-2</v>
      </c>
      <c r="BJ71" s="3">
        <f t="shared" si="89"/>
        <v>12597.1380288</v>
      </c>
      <c r="BK71" s="3" t="str">
        <f t="shared" si="90"/>
        <v>nie</v>
      </c>
      <c r="BL71" s="3">
        <f t="shared" si="31"/>
        <v>0</v>
      </c>
      <c r="BM71" s="3">
        <f t="shared" si="32"/>
        <v>0</v>
      </c>
      <c r="BN71" s="3">
        <f t="shared" si="33"/>
        <v>12597.1380288</v>
      </c>
      <c r="BO71" s="3">
        <f>MIN(IF(MOD(S71,12)=0,INDEX(IKE_oplata_wskaznik,MATCH(ROUNDUP(S71/12,0),IKE_oplata_rok,0)),0)*BN71,200)</f>
        <v>0</v>
      </c>
      <c r="BP71" s="3">
        <f t="shared" si="34"/>
        <v>51.346523808000001</v>
      </c>
      <c r="BQ71" s="3">
        <f t="shared" si="35"/>
        <v>12545.791504991999</v>
      </c>
      <c r="BR71" s="3">
        <f t="shared" si="91"/>
        <v>200</v>
      </c>
      <c r="BS71" s="3">
        <f t="shared" si="92"/>
        <v>455.45622547200003</v>
      </c>
      <c r="BT71" s="3">
        <f t="shared" si="36"/>
        <v>11890.335279519999</v>
      </c>
    </row>
    <row r="72" spans="2:72">
      <c r="B72" s="172"/>
      <c r="C72" s="1">
        <f t="shared" si="106"/>
        <v>38</v>
      </c>
      <c r="D72" s="3">
        <f t="shared" si="67"/>
        <v>11364.402645000002</v>
      </c>
      <c r="E72" s="3">
        <f t="shared" si="68"/>
        <v>11037.145895000001</v>
      </c>
      <c r="F72" s="3">
        <f t="shared" si="69"/>
        <v>11506.893281999997</v>
      </c>
      <c r="G72" s="3">
        <f t="shared" si="70"/>
        <v>11052.049679199998</v>
      </c>
      <c r="H72" s="3">
        <f t="shared" si="107"/>
        <v>10392.045192772302</v>
      </c>
      <c r="I72" s="3">
        <f t="shared" si="71"/>
        <v>11672.718750000002</v>
      </c>
      <c r="S72" s="1">
        <f t="shared" si="93"/>
        <v>57</v>
      </c>
      <c r="T72" s="9">
        <f t="shared" si="102"/>
        <v>0.05</v>
      </c>
      <c r="U72" s="3">
        <f t="shared" si="77"/>
        <v>12610.877343750002</v>
      </c>
      <c r="V72" s="6">
        <f t="shared" si="94"/>
        <v>105</v>
      </c>
      <c r="W72" s="3">
        <f t="shared" si="95"/>
        <v>10489.5</v>
      </c>
      <c r="X72" s="3">
        <f t="shared" si="96"/>
        <v>10500</v>
      </c>
      <c r="Y72" s="3">
        <f t="shared" si="78"/>
        <v>10500</v>
      </c>
      <c r="Z72" s="9">
        <f t="shared" si="79"/>
        <v>1.2999999999999999E-2</v>
      </c>
      <c r="AA72" s="3">
        <f t="shared" si="80"/>
        <v>10602.375</v>
      </c>
      <c r="AB72" s="3" t="str">
        <f t="shared" si="81"/>
        <v>nie</v>
      </c>
      <c r="AC72" s="3">
        <f t="shared" si="82"/>
        <v>73.5</v>
      </c>
      <c r="AD72" s="1">
        <f t="shared" si="103"/>
        <v>2</v>
      </c>
      <c r="AE72" s="1">
        <f t="shared" si="72"/>
        <v>5</v>
      </c>
      <c r="AF72" s="1">
        <f t="shared" si="72"/>
        <v>6</v>
      </c>
      <c r="AG72" s="1">
        <f t="shared" si="72"/>
        <v>1</v>
      </c>
      <c r="AH72" s="3">
        <f t="shared" si="58"/>
        <v>200</v>
      </c>
      <c r="AI72" s="9">
        <f t="shared" si="104"/>
        <v>1.2999999999999999E-2</v>
      </c>
      <c r="AJ72" s="3">
        <f t="shared" si="59"/>
        <v>201.95</v>
      </c>
      <c r="AK72" s="3">
        <f t="shared" si="105"/>
        <v>1.4</v>
      </c>
      <c r="AL72" s="3">
        <f t="shared" si="76"/>
        <v>1200</v>
      </c>
      <c r="AM72" s="9">
        <f t="shared" ref="AM72:AM103" si="108">marza_COI+T72</f>
        <v>5.7500000000000002E-2</v>
      </c>
      <c r="AN72" s="3">
        <f t="shared" si="74"/>
        <v>1251.75</v>
      </c>
      <c r="AO72" s="3">
        <f t="shared" ref="AO72:AO103" si="109">SUM(AE72:AG72)*koszt_wczesniejszy_wykup_COI</f>
        <v>8.3999999999999986</v>
      </c>
      <c r="AP72" s="3">
        <f t="shared" si="83"/>
        <v>0</v>
      </c>
      <c r="AQ72" s="3">
        <f t="shared" si="60"/>
        <v>0</v>
      </c>
      <c r="AR72" s="3">
        <f t="shared" si="61"/>
        <v>27.100000000003547</v>
      </c>
      <c r="AS72" s="1">
        <f t="shared" si="101"/>
        <v>0</v>
      </c>
      <c r="AT72" s="3">
        <f t="shared" si="84"/>
        <v>27.100000000003547</v>
      </c>
      <c r="AU72" s="1">
        <f t="shared" si="57"/>
        <v>0</v>
      </c>
      <c r="AV72" s="3">
        <f t="shared" si="62"/>
        <v>27.100000000003547</v>
      </c>
      <c r="AW72" s="3">
        <f t="shared" si="63"/>
        <v>12083.175000000005</v>
      </c>
      <c r="AX72" s="3">
        <f>MIN(IF(MOD(S72,12)=0,INDEX(IKE_oplata_wskaznik,MATCH(ROUNDUP(S72/12,0),IKE_oplata_rok,0)),0)*AW72,200)</f>
        <v>0</v>
      </c>
      <c r="AY72" s="3">
        <f t="shared" si="25"/>
        <v>50.755595000000007</v>
      </c>
      <c r="AZ72" s="3">
        <f t="shared" si="85"/>
        <v>12032.419405000004</v>
      </c>
      <c r="BA72" s="3">
        <f t="shared" si="26"/>
        <v>83.300000000000011</v>
      </c>
      <c r="BB72" s="3">
        <f t="shared" si="86"/>
        <v>379.97625000000102</v>
      </c>
      <c r="BC72" s="3">
        <f t="shared" si="87"/>
        <v>11569.143155000003</v>
      </c>
      <c r="BE72" s="6">
        <f t="shared" si="97"/>
        <v>100</v>
      </c>
      <c r="BF72" s="3">
        <f t="shared" si="98"/>
        <v>10000</v>
      </c>
      <c r="BG72" s="3">
        <f t="shared" si="99"/>
        <v>10000</v>
      </c>
      <c r="BH72" s="3">
        <f t="shared" si="100"/>
        <v>12112.63272</v>
      </c>
      <c r="BI72" s="9">
        <f t="shared" si="88"/>
        <v>6.0000000000000005E-2</v>
      </c>
      <c r="BJ72" s="3">
        <f t="shared" si="89"/>
        <v>12657.701192399998</v>
      </c>
      <c r="BK72" s="3" t="str">
        <f t="shared" si="90"/>
        <v>nie</v>
      </c>
      <c r="BL72" s="3">
        <f t="shared" si="31"/>
        <v>0</v>
      </c>
      <c r="BM72" s="3">
        <f t="shared" si="32"/>
        <v>0</v>
      </c>
      <c r="BN72" s="3">
        <f t="shared" si="33"/>
        <v>12657.701192399998</v>
      </c>
      <c r="BO72" s="3">
        <f>MIN(IF(MOD(S72,12)=0,INDEX(IKE_oplata_wskaznik,MATCH(ROUNDUP(S72/12,0),IKE_oplata_rok,0)),0)*BN72,200)</f>
        <v>0</v>
      </c>
      <c r="BP72" s="3">
        <f t="shared" si="34"/>
        <v>51.346523808000001</v>
      </c>
      <c r="BQ72" s="3">
        <f t="shared" si="35"/>
        <v>12606.354668591997</v>
      </c>
      <c r="BR72" s="3">
        <f t="shared" si="91"/>
        <v>200</v>
      </c>
      <c r="BS72" s="3">
        <f t="shared" si="92"/>
        <v>466.96322655599965</v>
      </c>
      <c r="BT72" s="3">
        <f t="shared" si="36"/>
        <v>11939.391442035998</v>
      </c>
    </row>
    <row r="73" spans="2:72">
      <c r="B73" s="172"/>
      <c r="C73" s="1">
        <f t="shared" si="106"/>
        <v>39</v>
      </c>
      <c r="D73" s="3">
        <f t="shared" si="67"/>
        <v>11416.215145000002</v>
      </c>
      <c r="E73" s="3">
        <f t="shared" si="68"/>
        <v>11078.675270000002</v>
      </c>
      <c r="F73" s="3">
        <f t="shared" si="69"/>
        <v>11564.028341999998</v>
      </c>
      <c r="G73" s="3">
        <f t="shared" si="70"/>
        <v>11098.329077799997</v>
      </c>
      <c r="H73" s="3">
        <f t="shared" si="107"/>
        <v>10402.567138529985</v>
      </c>
      <c r="I73" s="3">
        <f t="shared" si="71"/>
        <v>11720.953125000002</v>
      </c>
      <c r="S73" s="1">
        <f t="shared" si="93"/>
        <v>58</v>
      </c>
      <c r="T73" s="9">
        <f t="shared" si="102"/>
        <v>0.05</v>
      </c>
      <c r="U73" s="3">
        <f t="shared" si="77"/>
        <v>12661.523437500004</v>
      </c>
      <c r="V73" s="6">
        <f t="shared" si="94"/>
        <v>105</v>
      </c>
      <c r="W73" s="3">
        <f t="shared" si="95"/>
        <v>10489.5</v>
      </c>
      <c r="X73" s="3">
        <f t="shared" si="96"/>
        <v>10500</v>
      </c>
      <c r="Y73" s="3">
        <f t="shared" si="78"/>
        <v>10500</v>
      </c>
      <c r="Z73" s="9">
        <f t="shared" si="79"/>
        <v>1.2999999999999999E-2</v>
      </c>
      <c r="AA73" s="3">
        <f t="shared" si="80"/>
        <v>10613.75</v>
      </c>
      <c r="AB73" s="3" t="str">
        <f t="shared" si="81"/>
        <v>nie</v>
      </c>
      <c r="AC73" s="3">
        <f t="shared" si="82"/>
        <v>73.5</v>
      </c>
      <c r="AD73" s="1">
        <f t="shared" si="103"/>
        <v>2</v>
      </c>
      <c r="AE73" s="1">
        <f t="shared" si="72"/>
        <v>5</v>
      </c>
      <c r="AF73" s="1">
        <f t="shared" si="72"/>
        <v>6</v>
      </c>
      <c r="AG73" s="1">
        <f t="shared" si="72"/>
        <v>1</v>
      </c>
      <c r="AH73" s="3">
        <f t="shared" si="58"/>
        <v>200</v>
      </c>
      <c r="AI73" s="9">
        <f t="shared" si="104"/>
        <v>1.2999999999999999E-2</v>
      </c>
      <c r="AJ73" s="3">
        <f t="shared" si="59"/>
        <v>202.16666666666666</v>
      </c>
      <c r="AK73" s="3">
        <f t="shared" si="105"/>
        <v>1.4</v>
      </c>
      <c r="AL73" s="3">
        <f t="shared" si="76"/>
        <v>1200</v>
      </c>
      <c r="AM73" s="9">
        <f t="shared" si="108"/>
        <v>5.7500000000000002E-2</v>
      </c>
      <c r="AN73" s="3">
        <f t="shared" si="74"/>
        <v>1257.5</v>
      </c>
      <c r="AO73" s="3">
        <f t="shared" si="109"/>
        <v>8.3999999999999986</v>
      </c>
      <c r="AP73" s="3">
        <f t="shared" si="83"/>
        <v>0</v>
      </c>
      <c r="AQ73" s="3">
        <f t="shared" si="60"/>
        <v>0</v>
      </c>
      <c r="AR73" s="3">
        <f t="shared" si="61"/>
        <v>27.100000000003547</v>
      </c>
      <c r="AS73" s="1">
        <f t="shared" si="101"/>
        <v>0</v>
      </c>
      <c r="AT73" s="3">
        <f t="shared" si="84"/>
        <v>27.100000000003547</v>
      </c>
      <c r="AU73" s="1">
        <f t="shared" si="57"/>
        <v>0</v>
      </c>
      <c r="AV73" s="3">
        <f t="shared" si="62"/>
        <v>27.100000000003547</v>
      </c>
      <c r="AW73" s="3">
        <f t="shared" si="63"/>
        <v>12100.51666666667</v>
      </c>
      <c r="AX73" s="3">
        <f>MIN(IF(MOD(S73,12)=0,INDEX(IKE_oplata_wskaznik,MATCH(ROUNDUP(S73/12,0),IKE_oplata_rok,0)),0)*AW73,200)</f>
        <v>0</v>
      </c>
      <c r="AY73" s="3">
        <f t="shared" si="25"/>
        <v>50.755595000000007</v>
      </c>
      <c r="AZ73" s="3">
        <f t="shared" si="85"/>
        <v>12049.76107166667</v>
      </c>
      <c r="BA73" s="3">
        <f t="shared" si="26"/>
        <v>83.300000000000011</v>
      </c>
      <c r="BB73" s="3">
        <f t="shared" si="86"/>
        <v>383.27116666666745</v>
      </c>
      <c r="BC73" s="3">
        <f t="shared" si="87"/>
        <v>11583.189905000003</v>
      </c>
      <c r="BE73" s="6">
        <f t="shared" si="97"/>
        <v>100</v>
      </c>
      <c r="BF73" s="3">
        <f t="shared" si="98"/>
        <v>10000</v>
      </c>
      <c r="BG73" s="3">
        <f t="shared" si="99"/>
        <v>10000</v>
      </c>
      <c r="BH73" s="3">
        <f t="shared" si="100"/>
        <v>12112.63272</v>
      </c>
      <c r="BI73" s="9">
        <f t="shared" si="88"/>
        <v>6.0000000000000005E-2</v>
      </c>
      <c r="BJ73" s="3">
        <f t="shared" si="89"/>
        <v>12718.264356</v>
      </c>
      <c r="BK73" s="3" t="str">
        <f t="shared" si="90"/>
        <v>nie</v>
      </c>
      <c r="BL73" s="3">
        <f t="shared" si="31"/>
        <v>0</v>
      </c>
      <c r="BM73" s="3">
        <f t="shared" si="32"/>
        <v>0</v>
      </c>
      <c r="BN73" s="3">
        <f t="shared" si="33"/>
        <v>12718.264356</v>
      </c>
      <c r="BO73" s="3">
        <f>MIN(IF(MOD(S73,12)=0,INDEX(IKE_oplata_wskaznik,MATCH(ROUNDUP(S73/12,0),IKE_oplata_rok,0)),0)*BN73,200)</f>
        <v>0</v>
      </c>
      <c r="BP73" s="3">
        <f t="shared" si="34"/>
        <v>51.346523808000001</v>
      </c>
      <c r="BQ73" s="3">
        <f t="shared" si="35"/>
        <v>12666.917832191999</v>
      </c>
      <c r="BR73" s="3">
        <f t="shared" si="91"/>
        <v>200</v>
      </c>
      <c r="BS73" s="3">
        <f t="shared" si="92"/>
        <v>478.47022763999996</v>
      </c>
      <c r="BT73" s="3">
        <f t="shared" si="36"/>
        <v>11988.447604551999</v>
      </c>
    </row>
    <row r="74" spans="2:72">
      <c r="B74" s="172"/>
      <c r="C74" s="1">
        <f t="shared" si="106"/>
        <v>40</v>
      </c>
      <c r="D74" s="3">
        <f t="shared" si="67"/>
        <v>11468.027645000002</v>
      </c>
      <c r="E74" s="3">
        <f t="shared" si="68"/>
        <v>11120.204645000002</v>
      </c>
      <c r="F74" s="3">
        <f t="shared" si="69"/>
        <v>11621.163401999998</v>
      </c>
      <c r="G74" s="3">
        <f t="shared" si="70"/>
        <v>11144.608476399999</v>
      </c>
      <c r="H74" s="3">
        <f t="shared" si="107"/>
        <v>10413.099737757748</v>
      </c>
      <c r="I74" s="3">
        <f t="shared" si="71"/>
        <v>11769.187500000002</v>
      </c>
      <c r="S74" s="1">
        <f t="shared" si="93"/>
        <v>59</v>
      </c>
      <c r="T74" s="9">
        <f t="shared" si="102"/>
        <v>0.05</v>
      </c>
      <c r="U74" s="3">
        <f t="shared" si="77"/>
        <v>12712.169531250003</v>
      </c>
      <c r="V74" s="6">
        <f t="shared" si="94"/>
        <v>105</v>
      </c>
      <c r="W74" s="3">
        <f t="shared" si="95"/>
        <v>10489.5</v>
      </c>
      <c r="X74" s="3">
        <f t="shared" si="96"/>
        <v>10500</v>
      </c>
      <c r="Y74" s="3">
        <f t="shared" si="78"/>
        <v>10500</v>
      </c>
      <c r="Z74" s="9">
        <f t="shared" si="79"/>
        <v>1.2999999999999999E-2</v>
      </c>
      <c r="AA74" s="3">
        <f t="shared" si="80"/>
        <v>10625.124999999998</v>
      </c>
      <c r="AB74" s="3" t="str">
        <f t="shared" si="81"/>
        <v>nie</v>
      </c>
      <c r="AC74" s="3">
        <f t="shared" si="82"/>
        <v>73.5</v>
      </c>
      <c r="AD74" s="1">
        <f t="shared" si="103"/>
        <v>2</v>
      </c>
      <c r="AE74" s="1">
        <f t="shared" si="72"/>
        <v>5</v>
      </c>
      <c r="AF74" s="1">
        <f t="shared" si="72"/>
        <v>6</v>
      </c>
      <c r="AG74" s="1">
        <f t="shared" si="72"/>
        <v>1</v>
      </c>
      <c r="AH74" s="3">
        <f t="shared" si="58"/>
        <v>200</v>
      </c>
      <c r="AI74" s="9">
        <f t="shared" si="104"/>
        <v>1.2999999999999999E-2</v>
      </c>
      <c r="AJ74" s="3">
        <f t="shared" si="59"/>
        <v>202.38333333333333</v>
      </c>
      <c r="AK74" s="3">
        <f t="shared" si="105"/>
        <v>1.4</v>
      </c>
      <c r="AL74" s="3">
        <f t="shared" si="76"/>
        <v>1200</v>
      </c>
      <c r="AM74" s="9">
        <f t="shared" si="108"/>
        <v>5.7500000000000002E-2</v>
      </c>
      <c r="AN74" s="3">
        <f t="shared" si="74"/>
        <v>1263.25</v>
      </c>
      <c r="AO74" s="3">
        <f t="shared" si="109"/>
        <v>8.3999999999999986</v>
      </c>
      <c r="AP74" s="3">
        <f t="shared" si="83"/>
        <v>0</v>
      </c>
      <c r="AQ74" s="3">
        <f t="shared" si="60"/>
        <v>0</v>
      </c>
      <c r="AR74" s="3">
        <f t="shared" si="61"/>
        <v>27.100000000003547</v>
      </c>
      <c r="AS74" s="1">
        <f t="shared" si="101"/>
        <v>0</v>
      </c>
      <c r="AT74" s="3">
        <f t="shared" si="84"/>
        <v>27.100000000003547</v>
      </c>
      <c r="AU74" s="1">
        <f t="shared" si="57"/>
        <v>0</v>
      </c>
      <c r="AV74" s="3">
        <f t="shared" si="62"/>
        <v>27.100000000003547</v>
      </c>
      <c r="AW74" s="3">
        <f t="shared" si="63"/>
        <v>12117.858333333335</v>
      </c>
      <c r="AX74" s="3">
        <f>MIN(IF(MOD(S74,12)=0,INDEX(IKE_oplata_wskaznik,MATCH(ROUNDUP(S74/12,0),IKE_oplata_rok,0)),0)*AW74,200)</f>
        <v>0</v>
      </c>
      <c r="AY74" s="3">
        <f t="shared" si="25"/>
        <v>50.755595000000007</v>
      </c>
      <c r="AZ74" s="3">
        <f t="shared" si="85"/>
        <v>12067.102738333335</v>
      </c>
      <c r="BA74" s="3">
        <f t="shared" si="26"/>
        <v>83.300000000000011</v>
      </c>
      <c r="BB74" s="3">
        <f t="shared" si="86"/>
        <v>386.56608333333389</v>
      </c>
      <c r="BC74" s="3">
        <f t="shared" si="87"/>
        <v>11597.236655000002</v>
      </c>
      <c r="BE74" s="6">
        <f t="shared" si="97"/>
        <v>100</v>
      </c>
      <c r="BF74" s="3">
        <f t="shared" si="98"/>
        <v>10000</v>
      </c>
      <c r="BG74" s="3">
        <f t="shared" si="99"/>
        <v>10000</v>
      </c>
      <c r="BH74" s="3">
        <f t="shared" si="100"/>
        <v>12112.63272</v>
      </c>
      <c r="BI74" s="9">
        <f t="shared" si="88"/>
        <v>6.0000000000000005E-2</v>
      </c>
      <c r="BJ74" s="3">
        <f t="shared" si="89"/>
        <v>12778.8275196</v>
      </c>
      <c r="BK74" s="3" t="str">
        <f t="shared" si="90"/>
        <v>nie</v>
      </c>
      <c r="BL74" s="3">
        <f t="shared" si="31"/>
        <v>0</v>
      </c>
      <c r="BM74" s="3">
        <f t="shared" si="32"/>
        <v>0</v>
      </c>
      <c r="BN74" s="3">
        <f t="shared" si="33"/>
        <v>12778.8275196</v>
      </c>
      <c r="BO74" s="3">
        <f>MIN(IF(MOD(S74,12)=0,INDEX(IKE_oplata_wskaznik,MATCH(ROUNDUP(S74/12,0),IKE_oplata_rok,0)),0)*BN74,200)</f>
        <v>0</v>
      </c>
      <c r="BP74" s="3">
        <f t="shared" si="34"/>
        <v>51.346523808000001</v>
      </c>
      <c r="BQ74" s="3">
        <f t="shared" si="35"/>
        <v>12727.480995791999</v>
      </c>
      <c r="BR74" s="3">
        <f t="shared" si="91"/>
        <v>200</v>
      </c>
      <c r="BS74" s="3">
        <f t="shared" si="92"/>
        <v>489.97722872399993</v>
      </c>
      <c r="BT74" s="3">
        <f t="shared" si="36"/>
        <v>12037.503767067999</v>
      </c>
    </row>
    <row r="75" spans="2:72">
      <c r="B75" s="172"/>
      <c r="C75" s="1">
        <f t="shared" si="106"/>
        <v>41</v>
      </c>
      <c r="D75" s="3">
        <f t="shared" si="67"/>
        <v>11519.840145000004</v>
      </c>
      <c r="E75" s="3">
        <f t="shared" si="68"/>
        <v>11161.734020000004</v>
      </c>
      <c r="F75" s="3">
        <f t="shared" si="69"/>
        <v>11678.298461999997</v>
      </c>
      <c r="G75" s="3">
        <f t="shared" si="70"/>
        <v>11190.887874999997</v>
      </c>
      <c r="H75" s="3">
        <f t="shared" si="107"/>
        <v>10423.643001242228</v>
      </c>
      <c r="I75" s="3">
        <f t="shared" si="71"/>
        <v>11817.421875000002</v>
      </c>
      <c r="S75" s="1">
        <f t="shared" si="93"/>
        <v>60</v>
      </c>
      <c r="T75" s="9">
        <f t="shared" si="102"/>
        <v>0.05</v>
      </c>
      <c r="U75" s="3">
        <f t="shared" si="77"/>
        <v>12762.815625000003</v>
      </c>
      <c r="V75" s="6">
        <f t="shared" si="94"/>
        <v>105</v>
      </c>
      <c r="W75" s="3">
        <f t="shared" si="95"/>
        <v>10489.5</v>
      </c>
      <c r="X75" s="3">
        <f t="shared" si="96"/>
        <v>10500</v>
      </c>
      <c r="Y75" s="3">
        <f t="shared" si="78"/>
        <v>10500</v>
      </c>
      <c r="Z75" s="9">
        <f t="shared" si="79"/>
        <v>1.2999999999999999E-2</v>
      </c>
      <c r="AA75" s="3">
        <f t="shared" si="80"/>
        <v>10636.499999999998</v>
      </c>
      <c r="AB75" s="3" t="str">
        <f t="shared" si="81"/>
        <v>nie</v>
      </c>
      <c r="AC75" s="3">
        <f t="shared" si="82"/>
        <v>73.5</v>
      </c>
      <c r="AD75" s="1">
        <f t="shared" si="103"/>
        <v>2</v>
      </c>
      <c r="AE75" s="1">
        <f t="shared" si="72"/>
        <v>5</v>
      </c>
      <c r="AF75" s="1">
        <f t="shared" si="72"/>
        <v>6</v>
      </c>
      <c r="AG75" s="1">
        <f t="shared" si="72"/>
        <v>1</v>
      </c>
      <c r="AH75" s="3">
        <f t="shared" si="58"/>
        <v>200</v>
      </c>
      <c r="AI75" s="9">
        <f t="shared" si="104"/>
        <v>1.2999999999999999E-2</v>
      </c>
      <c r="AJ75" s="3">
        <f t="shared" si="59"/>
        <v>202.59999999999997</v>
      </c>
      <c r="AK75" s="3">
        <f t="shared" si="105"/>
        <v>1.4</v>
      </c>
      <c r="AL75" s="3">
        <f t="shared" si="76"/>
        <v>1200</v>
      </c>
      <c r="AM75" s="9">
        <f t="shared" si="108"/>
        <v>5.7500000000000002E-2</v>
      </c>
      <c r="AN75" s="3">
        <f t="shared" si="74"/>
        <v>1269.0000000000002</v>
      </c>
      <c r="AO75" s="3">
        <f t="shared" si="109"/>
        <v>8.3999999999999986</v>
      </c>
      <c r="AP75" s="3">
        <f t="shared" si="83"/>
        <v>136.49999999999818</v>
      </c>
      <c r="AQ75" s="3">
        <f t="shared" si="60"/>
        <v>171.60000000000014</v>
      </c>
      <c r="AR75" s="3">
        <f t="shared" si="61"/>
        <v>335.20000000000186</v>
      </c>
      <c r="AS75" s="1">
        <f t="shared" si="101"/>
        <v>1</v>
      </c>
      <c r="AT75" s="3">
        <f t="shared" si="84"/>
        <v>235.30000000000186</v>
      </c>
      <c r="AU75" s="1">
        <f t="shared" si="57"/>
        <v>2</v>
      </c>
      <c r="AV75" s="3">
        <f t="shared" si="62"/>
        <v>35.300000000001859</v>
      </c>
      <c r="AW75" s="3">
        <f t="shared" si="63"/>
        <v>12135.200000000003</v>
      </c>
      <c r="AX75" s="3">
        <f>MIN(IF(MOD(S75,12)=0,INDEX(IKE_oplata_wskaznik,MATCH(ROUNDUP(S75/12,0),IKE_oplata_rok,0)),0)*AW75,200)</f>
        <v>15.775760000000002</v>
      </c>
      <c r="AY75" s="3">
        <f t="shared" si="25"/>
        <v>66.531355000000005</v>
      </c>
      <c r="AZ75" s="3">
        <f t="shared" si="85"/>
        <v>12068.668645000003</v>
      </c>
      <c r="BA75" s="3">
        <f t="shared" si="26"/>
        <v>83.300000000000011</v>
      </c>
      <c r="BB75" s="3">
        <f t="shared" si="86"/>
        <v>389.86100000000062</v>
      </c>
      <c r="BC75" s="3">
        <f t="shared" si="87"/>
        <v>11595.507645000003</v>
      </c>
      <c r="BE75" s="6">
        <f t="shared" si="97"/>
        <v>100</v>
      </c>
      <c r="BF75" s="3">
        <f t="shared" si="98"/>
        <v>10000</v>
      </c>
      <c r="BG75" s="3">
        <f t="shared" si="99"/>
        <v>10000</v>
      </c>
      <c r="BH75" s="3">
        <f t="shared" si="100"/>
        <v>12112.63272</v>
      </c>
      <c r="BI75" s="9">
        <f t="shared" si="88"/>
        <v>6.0000000000000005E-2</v>
      </c>
      <c r="BJ75" s="3">
        <f t="shared" si="89"/>
        <v>12839.390683199999</v>
      </c>
      <c r="BK75" s="3" t="str">
        <f t="shared" si="90"/>
        <v>nie</v>
      </c>
      <c r="BL75" s="3">
        <f t="shared" si="31"/>
        <v>0</v>
      </c>
      <c r="BM75" s="3">
        <f t="shared" si="32"/>
        <v>0</v>
      </c>
      <c r="BN75" s="3">
        <f t="shared" si="33"/>
        <v>12839.390683199999</v>
      </c>
      <c r="BO75" s="3">
        <f>MIN(IF(MOD(S75,12)=0,INDEX(IKE_oplata_wskaznik,MATCH(ROUNDUP(S75/12,0),IKE_oplata_rok,0)),0)*BN75,200)</f>
        <v>16.691207888159997</v>
      </c>
      <c r="BP75" s="3">
        <f t="shared" si="34"/>
        <v>68.037731696159994</v>
      </c>
      <c r="BQ75" s="3">
        <f t="shared" si="35"/>
        <v>12771.352951503839</v>
      </c>
      <c r="BR75" s="3">
        <f t="shared" si="91"/>
        <v>200</v>
      </c>
      <c r="BS75" s="3">
        <f t="shared" si="92"/>
        <v>501.4842298079999</v>
      </c>
      <c r="BT75" s="3">
        <f t="shared" si="36"/>
        <v>12069.868721695839</v>
      </c>
    </row>
    <row r="76" spans="2:72">
      <c r="B76" s="172"/>
      <c r="C76" s="1">
        <f t="shared" si="106"/>
        <v>42</v>
      </c>
      <c r="D76" s="3">
        <f t="shared" si="67"/>
        <v>11571.652645000002</v>
      </c>
      <c r="E76" s="3">
        <f t="shared" si="68"/>
        <v>11203.263395000002</v>
      </c>
      <c r="F76" s="3">
        <f t="shared" si="69"/>
        <v>11735.433521999998</v>
      </c>
      <c r="G76" s="3">
        <f t="shared" si="70"/>
        <v>11237.167273599998</v>
      </c>
      <c r="H76" s="3">
        <f t="shared" si="107"/>
        <v>10434.196939780986</v>
      </c>
      <c r="I76" s="3">
        <f t="shared" si="71"/>
        <v>11865.65625</v>
      </c>
      <c r="S76" s="1">
        <f t="shared" si="93"/>
        <v>61</v>
      </c>
      <c r="T76" s="9">
        <f t="shared" si="102"/>
        <v>0.05</v>
      </c>
      <c r="U76" s="3">
        <f t="shared" si="77"/>
        <v>12815.994023437503</v>
      </c>
      <c r="V76" s="6">
        <f t="shared" si="94"/>
        <v>105</v>
      </c>
      <c r="W76" s="3">
        <f t="shared" si="95"/>
        <v>10489.5</v>
      </c>
      <c r="X76" s="3">
        <f t="shared" si="96"/>
        <v>10500</v>
      </c>
      <c r="Y76" s="3">
        <f t="shared" si="78"/>
        <v>10500</v>
      </c>
      <c r="Z76" s="9">
        <f t="shared" si="79"/>
        <v>5.7500000000000002E-2</v>
      </c>
      <c r="AA76" s="3">
        <f t="shared" si="80"/>
        <v>10550.3125</v>
      </c>
      <c r="AB76" s="3" t="str">
        <f t="shared" si="81"/>
        <v>nie</v>
      </c>
      <c r="AC76" s="3">
        <f t="shared" si="82"/>
        <v>73.5</v>
      </c>
      <c r="AD76" s="1">
        <f t="shared" si="103"/>
        <v>3</v>
      </c>
      <c r="AE76" s="1">
        <f t="shared" si="72"/>
        <v>2</v>
      </c>
      <c r="AF76" s="1">
        <f t="shared" si="72"/>
        <v>5</v>
      </c>
      <c r="AG76" s="1">
        <f t="shared" si="72"/>
        <v>6</v>
      </c>
      <c r="AH76" s="3">
        <f t="shared" si="58"/>
        <v>300</v>
      </c>
      <c r="AI76" s="9">
        <f t="shared" si="104"/>
        <v>1.2999999999999999E-2</v>
      </c>
      <c r="AJ76" s="3">
        <f t="shared" si="59"/>
        <v>300.32499999999999</v>
      </c>
      <c r="AK76" s="3">
        <f t="shared" si="105"/>
        <v>0.32499999999998863</v>
      </c>
      <c r="AL76" s="3">
        <f t="shared" si="76"/>
        <v>1300</v>
      </c>
      <c r="AM76" s="9">
        <f t="shared" si="108"/>
        <v>5.7500000000000002E-2</v>
      </c>
      <c r="AN76" s="3">
        <f t="shared" si="74"/>
        <v>1306.2291666666667</v>
      </c>
      <c r="AO76" s="3">
        <f t="shared" si="109"/>
        <v>9.1</v>
      </c>
      <c r="AP76" s="3">
        <f t="shared" si="83"/>
        <v>0</v>
      </c>
      <c r="AQ76" s="3">
        <f t="shared" si="60"/>
        <v>0</v>
      </c>
      <c r="AR76" s="3">
        <f t="shared" si="61"/>
        <v>35.300000000001859</v>
      </c>
      <c r="AS76" s="1">
        <f t="shared" si="101"/>
        <v>0</v>
      </c>
      <c r="AT76" s="3">
        <f t="shared" si="84"/>
        <v>35.300000000001859</v>
      </c>
      <c r="AU76" s="1">
        <f t="shared" si="57"/>
        <v>0</v>
      </c>
      <c r="AV76" s="3">
        <f t="shared" si="62"/>
        <v>35.300000000001859</v>
      </c>
      <c r="AW76" s="3">
        <f t="shared" si="63"/>
        <v>12192.166666666668</v>
      </c>
      <c r="AX76" s="3">
        <f>MIN(IF(MOD(S76,12)=0,INDEX(IKE_oplata_wskaznik,MATCH(ROUNDUP(S76/12,0),IKE_oplata_rok,0)),0)*AW76,200)</f>
        <v>0</v>
      </c>
      <c r="AY76" s="3">
        <f t="shared" si="25"/>
        <v>66.531355000000005</v>
      </c>
      <c r="AZ76" s="3">
        <f t="shared" si="85"/>
        <v>12125.635311666669</v>
      </c>
      <c r="BA76" s="3">
        <f t="shared" si="26"/>
        <v>82.924999999999983</v>
      </c>
      <c r="BB76" s="3">
        <f t="shared" si="86"/>
        <v>400.75591666666702</v>
      </c>
      <c r="BC76" s="3">
        <f t="shared" si="87"/>
        <v>11641.954395000002</v>
      </c>
      <c r="BE76" s="6">
        <f t="shared" si="97"/>
        <v>100</v>
      </c>
      <c r="BF76" s="3">
        <f t="shared" si="98"/>
        <v>10000</v>
      </c>
      <c r="BG76" s="3">
        <f t="shared" si="99"/>
        <v>10000</v>
      </c>
      <c r="BH76" s="3">
        <f t="shared" si="100"/>
        <v>12839.390683199999</v>
      </c>
      <c r="BI76" s="9">
        <f t="shared" si="88"/>
        <v>6.0000000000000005E-2</v>
      </c>
      <c r="BJ76" s="3">
        <f t="shared" si="89"/>
        <v>12903.587636615997</v>
      </c>
      <c r="BK76" s="3" t="str">
        <f t="shared" si="90"/>
        <v>nie</v>
      </c>
      <c r="BL76" s="3">
        <f t="shared" si="31"/>
        <v>0</v>
      </c>
      <c r="BM76" s="3">
        <f t="shared" si="32"/>
        <v>0</v>
      </c>
      <c r="BN76" s="3">
        <f t="shared" si="33"/>
        <v>12903.587636615997</v>
      </c>
      <c r="BO76" s="3">
        <f>MIN(IF(MOD(S76,12)=0,INDEX(IKE_oplata_wskaznik,MATCH(ROUNDUP(S76/12,0),IKE_oplata_rok,0)),0)*BN76,200)</f>
        <v>0</v>
      </c>
      <c r="BP76" s="3">
        <f t="shared" si="34"/>
        <v>68.037731696159994</v>
      </c>
      <c r="BQ76" s="3">
        <f t="shared" si="35"/>
        <v>12835.549904919837</v>
      </c>
      <c r="BR76" s="3">
        <f t="shared" si="91"/>
        <v>200</v>
      </c>
      <c r="BS76" s="3">
        <f t="shared" si="92"/>
        <v>513.68165095703955</v>
      </c>
      <c r="BT76" s="3">
        <f t="shared" si="36"/>
        <v>12121.868253962797</v>
      </c>
    </row>
    <row r="77" spans="2:72">
      <c r="B77" s="172"/>
      <c r="C77" s="1">
        <f t="shared" si="106"/>
        <v>43</v>
      </c>
      <c r="D77" s="3">
        <f t="shared" si="67"/>
        <v>11623.465145</v>
      </c>
      <c r="E77" s="3">
        <f t="shared" si="68"/>
        <v>11245.02902</v>
      </c>
      <c r="F77" s="3">
        <f t="shared" si="69"/>
        <v>11792.568581999996</v>
      </c>
      <c r="G77" s="3">
        <f t="shared" si="70"/>
        <v>11283.446672199996</v>
      </c>
      <c r="H77" s="3">
        <f t="shared" si="107"/>
        <v>10444.761564182516</v>
      </c>
      <c r="I77" s="3">
        <f t="shared" si="71"/>
        <v>11913.890625</v>
      </c>
      <c r="S77" s="1">
        <f t="shared" si="93"/>
        <v>62</v>
      </c>
      <c r="T77" s="9">
        <f t="shared" si="102"/>
        <v>0.05</v>
      </c>
      <c r="U77" s="3">
        <f t="shared" si="77"/>
        <v>12869.172421875002</v>
      </c>
      <c r="V77" s="6">
        <f t="shared" si="94"/>
        <v>105</v>
      </c>
      <c r="W77" s="3">
        <f t="shared" si="95"/>
        <v>10489.5</v>
      </c>
      <c r="X77" s="3">
        <f t="shared" si="96"/>
        <v>10500</v>
      </c>
      <c r="Y77" s="3">
        <f t="shared" si="78"/>
        <v>10500</v>
      </c>
      <c r="Z77" s="9">
        <f t="shared" si="79"/>
        <v>5.7500000000000002E-2</v>
      </c>
      <c r="AA77" s="3">
        <f t="shared" si="80"/>
        <v>10600.625</v>
      </c>
      <c r="AB77" s="3" t="str">
        <f t="shared" si="81"/>
        <v>nie</v>
      </c>
      <c r="AC77" s="3">
        <f t="shared" si="82"/>
        <v>73.5</v>
      </c>
      <c r="AD77" s="1">
        <f t="shared" si="103"/>
        <v>3</v>
      </c>
      <c r="AE77" s="1">
        <f t="shared" si="72"/>
        <v>2</v>
      </c>
      <c r="AF77" s="1">
        <f t="shared" si="72"/>
        <v>5</v>
      </c>
      <c r="AG77" s="1">
        <f t="shared" si="72"/>
        <v>6</v>
      </c>
      <c r="AH77" s="3">
        <f t="shared" si="58"/>
        <v>300</v>
      </c>
      <c r="AI77" s="9">
        <f t="shared" si="104"/>
        <v>1.2999999999999999E-2</v>
      </c>
      <c r="AJ77" s="3">
        <f t="shared" si="59"/>
        <v>300.64999999999998</v>
      </c>
      <c r="AK77" s="3">
        <f t="shared" si="105"/>
        <v>0.64999999999997726</v>
      </c>
      <c r="AL77" s="3">
        <f t="shared" si="76"/>
        <v>1300</v>
      </c>
      <c r="AM77" s="9">
        <f t="shared" si="108"/>
        <v>5.7500000000000002E-2</v>
      </c>
      <c r="AN77" s="3">
        <f t="shared" si="74"/>
        <v>1312.4583333333333</v>
      </c>
      <c r="AO77" s="3">
        <f t="shared" si="109"/>
        <v>9.1</v>
      </c>
      <c r="AP77" s="3">
        <f t="shared" si="83"/>
        <v>0</v>
      </c>
      <c r="AQ77" s="3">
        <f t="shared" si="60"/>
        <v>0</v>
      </c>
      <c r="AR77" s="3">
        <f t="shared" si="61"/>
        <v>35.300000000001859</v>
      </c>
      <c r="AS77" s="1">
        <f t="shared" si="101"/>
        <v>0</v>
      </c>
      <c r="AT77" s="3">
        <f t="shared" si="84"/>
        <v>35.300000000001859</v>
      </c>
      <c r="AU77" s="1">
        <f t="shared" si="57"/>
        <v>0</v>
      </c>
      <c r="AV77" s="3">
        <f t="shared" si="62"/>
        <v>35.300000000001859</v>
      </c>
      <c r="AW77" s="3">
        <f t="shared" si="63"/>
        <v>12249.033333333335</v>
      </c>
      <c r="AX77" s="3">
        <f>MIN(IF(MOD(S77,12)=0,INDEX(IKE_oplata_wskaznik,MATCH(ROUNDUP(S77/12,0),IKE_oplata_rok,0)),0)*AW77,200)</f>
        <v>0</v>
      </c>
      <c r="AY77" s="3">
        <f t="shared" si="25"/>
        <v>66.531355000000005</v>
      </c>
      <c r="AZ77" s="3">
        <f t="shared" si="85"/>
        <v>12182.501978333336</v>
      </c>
      <c r="BA77" s="3">
        <f t="shared" si="26"/>
        <v>83.249999999999972</v>
      </c>
      <c r="BB77" s="3">
        <f t="shared" si="86"/>
        <v>411.49883333333361</v>
      </c>
      <c r="BC77" s="3">
        <f t="shared" si="87"/>
        <v>11687.753145000002</v>
      </c>
      <c r="BE77" s="6">
        <f t="shared" si="97"/>
        <v>100</v>
      </c>
      <c r="BF77" s="3">
        <f t="shared" si="98"/>
        <v>10000</v>
      </c>
      <c r="BG77" s="3">
        <f t="shared" si="99"/>
        <v>10000</v>
      </c>
      <c r="BH77" s="3">
        <f t="shared" si="100"/>
        <v>12839.390683199999</v>
      </c>
      <c r="BI77" s="9">
        <f t="shared" si="88"/>
        <v>6.0000000000000005E-2</v>
      </c>
      <c r="BJ77" s="3">
        <f t="shared" si="89"/>
        <v>12967.784590031999</v>
      </c>
      <c r="BK77" s="3" t="str">
        <f t="shared" si="90"/>
        <v>nie</v>
      </c>
      <c r="BL77" s="3">
        <f t="shared" si="31"/>
        <v>0</v>
      </c>
      <c r="BM77" s="3">
        <f t="shared" si="32"/>
        <v>0</v>
      </c>
      <c r="BN77" s="3">
        <f t="shared" si="33"/>
        <v>12967.784590031999</v>
      </c>
      <c r="BO77" s="3">
        <f>MIN(IF(MOD(S77,12)=0,INDEX(IKE_oplata_wskaznik,MATCH(ROUNDUP(S77/12,0),IKE_oplata_rok,0)),0)*BN77,200)</f>
        <v>0</v>
      </c>
      <c r="BP77" s="3">
        <f t="shared" si="34"/>
        <v>68.037731696159994</v>
      </c>
      <c r="BQ77" s="3">
        <f t="shared" si="35"/>
        <v>12899.746858335839</v>
      </c>
      <c r="BR77" s="3">
        <f t="shared" si="91"/>
        <v>200</v>
      </c>
      <c r="BS77" s="3">
        <f t="shared" si="92"/>
        <v>525.87907210607978</v>
      </c>
      <c r="BT77" s="3">
        <f t="shared" si="36"/>
        <v>12173.867786229759</v>
      </c>
    </row>
    <row r="78" spans="2:72">
      <c r="B78" s="172"/>
      <c r="C78" s="1">
        <f t="shared" si="106"/>
        <v>44</v>
      </c>
      <c r="D78" s="3">
        <f t="shared" si="67"/>
        <v>11675.277645000004</v>
      </c>
      <c r="E78" s="3">
        <f t="shared" si="68"/>
        <v>11286.997145000003</v>
      </c>
      <c r="F78" s="3">
        <f t="shared" si="69"/>
        <v>11849.703641999999</v>
      </c>
      <c r="G78" s="3">
        <f t="shared" si="70"/>
        <v>11329.726070799999</v>
      </c>
      <c r="H78" s="3">
        <f t="shared" si="107"/>
        <v>10455.336885266252</v>
      </c>
      <c r="I78" s="3">
        <f t="shared" si="71"/>
        <v>11962.125000000004</v>
      </c>
      <c r="S78" s="1">
        <f t="shared" si="93"/>
        <v>63</v>
      </c>
      <c r="T78" s="9">
        <f t="shared" si="102"/>
        <v>0.05</v>
      </c>
      <c r="U78" s="3">
        <f t="shared" si="77"/>
        <v>12922.350820312502</v>
      </c>
      <c r="V78" s="6">
        <f t="shared" si="94"/>
        <v>105</v>
      </c>
      <c r="W78" s="3">
        <f t="shared" si="95"/>
        <v>10489.5</v>
      </c>
      <c r="X78" s="3">
        <f t="shared" si="96"/>
        <v>10500</v>
      </c>
      <c r="Y78" s="3">
        <f t="shared" si="78"/>
        <v>10500</v>
      </c>
      <c r="Z78" s="9">
        <f t="shared" si="79"/>
        <v>5.7500000000000002E-2</v>
      </c>
      <c r="AA78" s="3">
        <f t="shared" si="80"/>
        <v>10650.9375</v>
      </c>
      <c r="AB78" s="3" t="str">
        <f t="shared" si="81"/>
        <v>nie</v>
      </c>
      <c r="AC78" s="3">
        <f t="shared" si="82"/>
        <v>73.5</v>
      </c>
      <c r="AD78" s="1">
        <f t="shared" si="103"/>
        <v>3</v>
      </c>
      <c r="AE78" s="1">
        <f t="shared" si="72"/>
        <v>2</v>
      </c>
      <c r="AF78" s="1">
        <f t="shared" si="72"/>
        <v>5</v>
      </c>
      <c r="AG78" s="1">
        <f t="shared" si="72"/>
        <v>6</v>
      </c>
      <c r="AH78" s="3">
        <f t="shared" si="58"/>
        <v>300</v>
      </c>
      <c r="AI78" s="9">
        <f t="shared" si="104"/>
        <v>1.2999999999999999E-2</v>
      </c>
      <c r="AJ78" s="3">
        <f t="shared" si="59"/>
        <v>300.97499999999997</v>
      </c>
      <c r="AK78" s="3">
        <f t="shared" si="105"/>
        <v>0.97499999999996589</v>
      </c>
      <c r="AL78" s="3">
        <f t="shared" si="76"/>
        <v>1300</v>
      </c>
      <c r="AM78" s="9">
        <f t="shared" si="108"/>
        <v>5.7500000000000002E-2</v>
      </c>
      <c r="AN78" s="3">
        <f t="shared" si="74"/>
        <v>1318.6875</v>
      </c>
      <c r="AO78" s="3">
        <f t="shared" si="109"/>
        <v>9.1</v>
      </c>
      <c r="AP78" s="3">
        <f t="shared" si="83"/>
        <v>0</v>
      </c>
      <c r="AQ78" s="3">
        <f t="shared" si="60"/>
        <v>0</v>
      </c>
      <c r="AR78" s="3">
        <f t="shared" si="61"/>
        <v>35.300000000001859</v>
      </c>
      <c r="AS78" s="1">
        <f t="shared" si="101"/>
        <v>0</v>
      </c>
      <c r="AT78" s="3">
        <f t="shared" si="84"/>
        <v>35.300000000001859</v>
      </c>
      <c r="AU78" s="1">
        <f t="shared" si="57"/>
        <v>0</v>
      </c>
      <c r="AV78" s="3">
        <f t="shared" si="62"/>
        <v>35.300000000001859</v>
      </c>
      <c r="AW78" s="3">
        <f t="shared" si="63"/>
        <v>12305.900000000001</v>
      </c>
      <c r="AX78" s="3">
        <f>MIN(IF(MOD(S78,12)=0,INDEX(IKE_oplata_wskaznik,MATCH(ROUNDUP(S78/12,0),IKE_oplata_rok,0)),0)*AW78,200)</f>
        <v>0</v>
      </c>
      <c r="AY78" s="3">
        <f t="shared" si="25"/>
        <v>66.531355000000005</v>
      </c>
      <c r="AZ78" s="3">
        <f t="shared" si="85"/>
        <v>12239.368645000002</v>
      </c>
      <c r="BA78" s="3">
        <f t="shared" si="26"/>
        <v>83.57499999999996</v>
      </c>
      <c r="BB78" s="3">
        <f t="shared" si="86"/>
        <v>422.24175000000014</v>
      </c>
      <c r="BC78" s="3">
        <f t="shared" si="87"/>
        <v>11733.551895000001</v>
      </c>
      <c r="BE78" s="6">
        <f t="shared" si="97"/>
        <v>100</v>
      </c>
      <c r="BF78" s="3">
        <f t="shared" si="98"/>
        <v>10000</v>
      </c>
      <c r="BG78" s="3">
        <f t="shared" si="99"/>
        <v>10000</v>
      </c>
      <c r="BH78" s="3">
        <f t="shared" si="100"/>
        <v>12839.390683199999</v>
      </c>
      <c r="BI78" s="9">
        <f t="shared" si="88"/>
        <v>6.0000000000000005E-2</v>
      </c>
      <c r="BJ78" s="3">
        <f t="shared" si="89"/>
        <v>13031.981543447999</v>
      </c>
      <c r="BK78" s="3" t="str">
        <f t="shared" si="90"/>
        <v>nie</v>
      </c>
      <c r="BL78" s="3">
        <f t="shared" si="31"/>
        <v>0</v>
      </c>
      <c r="BM78" s="3">
        <f t="shared" si="32"/>
        <v>0</v>
      </c>
      <c r="BN78" s="3">
        <f t="shared" si="33"/>
        <v>13031.981543447999</v>
      </c>
      <c r="BO78" s="3">
        <f>MIN(IF(MOD(S78,12)=0,INDEX(IKE_oplata_wskaznik,MATCH(ROUNDUP(S78/12,0),IKE_oplata_rok,0)),0)*BN78,200)</f>
        <v>0</v>
      </c>
      <c r="BP78" s="3">
        <f t="shared" si="34"/>
        <v>68.037731696159994</v>
      </c>
      <c r="BQ78" s="3">
        <f t="shared" si="35"/>
        <v>12963.943811751838</v>
      </c>
      <c r="BR78" s="3">
        <f t="shared" si="91"/>
        <v>200</v>
      </c>
      <c r="BS78" s="3">
        <f t="shared" si="92"/>
        <v>538.07649325511977</v>
      </c>
      <c r="BT78" s="3">
        <f t="shared" si="36"/>
        <v>12225.867318496719</v>
      </c>
    </row>
    <row r="79" spans="2:72">
      <c r="B79" s="172"/>
      <c r="C79" s="1">
        <f t="shared" si="106"/>
        <v>45</v>
      </c>
      <c r="D79" s="3">
        <f t="shared" si="67"/>
        <v>11727.090145000002</v>
      </c>
      <c r="E79" s="3">
        <f t="shared" si="68"/>
        <v>11328.965270000002</v>
      </c>
      <c r="F79" s="3">
        <f t="shared" si="69"/>
        <v>11906.838701999997</v>
      </c>
      <c r="G79" s="3">
        <f t="shared" si="70"/>
        <v>11376.005469399997</v>
      </c>
      <c r="H79" s="3">
        <f t="shared" si="107"/>
        <v>10465.922913862585</v>
      </c>
      <c r="I79" s="3">
        <f t="shared" si="71"/>
        <v>12010.359375000004</v>
      </c>
      <c r="S79" s="1">
        <f t="shared" si="93"/>
        <v>64</v>
      </c>
      <c r="T79" s="9">
        <f t="shared" si="102"/>
        <v>0.05</v>
      </c>
      <c r="U79" s="3">
        <f t="shared" si="77"/>
        <v>12975.529218750002</v>
      </c>
      <c r="V79" s="6">
        <f t="shared" si="94"/>
        <v>105</v>
      </c>
      <c r="W79" s="3">
        <f t="shared" si="95"/>
        <v>10489.5</v>
      </c>
      <c r="X79" s="3">
        <f t="shared" si="96"/>
        <v>10500</v>
      </c>
      <c r="Y79" s="3">
        <f t="shared" si="78"/>
        <v>10500</v>
      </c>
      <c r="Z79" s="9">
        <f t="shared" si="79"/>
        <v>5.7500000000000002E-2</v>
      </c>
      <c r="AA79" s="3">
        <f t="shared" si="80"/>
        <v>10701.250000000002</v>
      </c>
      <c r="AB79" s="3" t="str">
        <f t="shared" si="81"/>
        <v>nie</v>
      </c>
      <c r="AC79" s="3">
        <f t="shared" si="82"/>
        <v>73.5</v>
      </c>
      <c r="AD79" s="1">
        <f t="shared" si="103"/>
        <v>3</v>
      </c>
      <c r="AE79" s="1">
        <f t="shared" si="72"/>
        <v>2</v>
      </c>
      <c r="AF79" s="1">
        <f t="shared" si="72"/>
        <v>5</v>
      </c>
      <c r="AG79" s="1">
        <f t="shared" si="72"/>
        <v>6</v>
      </c>
      <c r="AH79" s="3">
        <f t="shared" si="58"/>
        <v>300</v>
      </c>
      <c r="AI79" s="9">
        <f t="shared" si="104"/>
        <v>1.2999999999999999E-2</v>
      </c>
      <c r="AJ79" s="3">
        <f t="shared" si="59"/>
        <v>301.3</v>
      </c>
      <c r="AK79" s="3">
        <f t="shared" si="105"/>
        <v>1.3000000000000114</v>
      </c>
      <c r="AL79" s="3">
        <f t="shared" si="76"/>
        <v>1300</v>
      </c>
      <c r="AM79" s="9">
        <f t="shared" si="108"/>
        <v>5.7500000000000002E-2</v>
      </c>
      <c r="AN79" s="3">
        <f t="shared" si="74"/>
        <v>1324.9166666666667</v>
      </c>
      <c r="AO79" s="3">
        <f t="shared" si="109"/>
        <v>9.1</v>
      </c>
      <c r="AP79" s="3">
        <f t="shared" si="83"/>
        <v>0</v>
      </c>
      <c r="AQ79" s="3">
        <f t="shared" si="60"/>
        <v>0</v>
      </c>
      <c r="AR79" s="3">
        <f t="shared" si="61"/>
        <v>35.300000000001859</v>
      </c>
      <c r="AS79" s="1">
        <f t="shared" si="101"/>
        <v>0</v>
      </c>
      <c r="AT79" s="3">
        <f t="shared" si="84"/>
        <v>35.300000000001859</v>
      </c>
      <c r="AU79" s="1">
        <f t="shared" si="57"/>
        <v>0</v>
      </c>
      <c r="AV79" s="3">
        <f t="shared" si="62"/>
        <v>35.300000000001859</v>
      </c>
      <c r="AW79" s="3">
        <f t="shared" si="63"/>
        <v>12362.766666666668</v>
      </c>
      <c r="AX79" s="3">
        <f>MIN(IF(MOD(S79,12)=0,INDEX(IKE_oplata_wskaznik,MATCH(ROUNDUP(S79/12,0),IKE_oplata_rok,0)),0)*AW79,200)</f>
        <v>0</v>
      </c>
      <c r="AY79" s="3">
        <f t="shared" si="25"/>
        <v>66.531355000000005</v>
      </c>
      <c r="AZ79" s="3">
        <f t="shared" si="85"/>
        <v>12296.235311666669</v>
      </c>
      <c r="BA79" s="3">
        <f t="shared" si="26"/>
        <v>83.9</v>
      </c>
      <c r="BB79" s="3">
        <f t="shared" si="86"/>
        <v>432.98466666666707</v>
      </c>
      <c r="BC79" s="3">
        <f t="shared" si="87"/>
        <v>11779.350645000002</v>
      </c>
      <c r="BE79" s="6">
        <f t="shared" si="97"/>
        <v>100</v>
      </c>
      <c r="BF79" s="3">
        <f t="shared" si="98"/>
        <v>10000</v>
      </c>
      <c r="BG79" s="3">
        <f t="shared" si="99"/>
        <v>10000</v>
      </c>
      <c r="BH79" s="3">
        <f t="shared" si="100"/>
        <v>12839.390683199999</v>
      </c>
      <c r="BI79" s="9">
        <f t="shared" si="88"/>
        <v>6.0000000000000005E-2</v>
      </c>
      <c r="BJ79" s="3">
        <f t="shared" si="89"/>
        <v>13096.178496864</v>
      </c>
      <c r="BK79" s="3" t="str">
        <f t="shared" si="90"/>
        <v>nie</v>
      </c>
      <c r="BL79" s="3">
        <f t="shared" si="31"/>
        <v>0</v>
      </c>
      <c r="BM79" s="3">
        <f t="shared" si="32"/>
        <v>0</v>
      </c>
      <c r="BN79" s="3">
        <f t="shared" si="33"/>
        <v>13096.178496864</v>
      </c>
      <c r="BO79" s="3">
        <f>MIN(IF(MOD(S79,12)=0,INDEX(IKE_oplata_wskaznik,MATCH(ROUNDUP(S79/12,0),IKE_oplata_rok,0)),0)*BN79,200)</f>
        <v>0</v>
      </c>
      <c r="BP79" s="3">
        <f t="shared" si="34"/>
        <v>68.037731696159994</v>
      </c>
      <c r="BQ79" s="3">
        <f t="shared" si="35"/>
        <v>13028.14076516784</v>
      </c>
      <c r="BR79" s="3">
        <f t="shared" si="91"/>
        <v>200</v>
      </c>
      <c r="BS79" s="3">
        <f t="shared" si="92"/>
        <v>550.27391440416011</v>
      </c>
      <c r="BT79" s="3">
        <f t="shared" si="36"/>
        <v>12277.866850763679</v>
      </c>
    </row>
    <row r="80" spans="2:72">
      <c r="B80" s="172"/>
      <c r="C80" s="1">
        <f t="shared" si="106"/>
        <v>46</v>
      </c>
      <c r="D80" s="3">
        <f t="shared" si="67"/>
        <v>11778.902645</v>
      </c>
      <c r="E80" s="3">
        <f t="shared" si="68"/>
        <v>11370.933395</v>
      </c>
      <c r="F80" s="3">
        <f t="shared" si="69"/>
        <v>11963.973761999998</v>
      </c>
      <c r="G80" s="3">
        <f t="shared" si="70"/>
        <v>11422.284867999999</v>
      </c>
      <c r="H80" s="3">
        <f t="shared" si="107"/>
        <v>10476.519660812872</v>
      </c>
      <c r="I80" s="3">
        <f t="shared" si="71"/>
        <v>12058.593750000004</v>
      </c>
      <c r="S80" s="1">
        <f t="shared" si="93"/>
        <v>65</v>
      </c>
      <c r="T80" s="9">
        <f t="shared" si="102"/>
        <v>0.05</v>
      </c>
      <c r="U80" s="3">
        <f t="shared" ref="U80:U111" si="110">zakup_domyslny_wartosc*IFERROR((INDEX(scenariusz_I_inflacja_skumulowana,MATCH(ROUNDDOWN(S80/12,0),scenariusz_I_rok,0))+1),1)
*(1+MOD(S80,12)*INDEX(scenariusz_I_inflacja,MATCH(ROUNDUP(S80/12,0),scenariusz_I_rok,0))/12)</f>
        <v>13028.707617187501</v>
      </c>
      <c r="V80" s="6">
        <f t="shared" si="94"/>
        <v>105</v>
      </c>
      <c r="W80" s="3">
        <f t="shared" si="95"/>
        <v>10489.5</v>
      </c>
      <c r="X80" s="3">
        <f t="shared" si="96"/>
        <v>10500</v>
      </c>
      <c r="Y80" s="3">
        <f t="shared" ref="Y80:Y111" si="111">X80</f>
        <v>10500</v>
      </c>
      <c r="Z80" s="9">
        <f t="shared" ref="Z80:Z111" si="112">IF(AND(MOD($S80,zapadalnosc_COI)&lt;=12,MOD($S80,zapadalnosc_COI)&lt;&gt;0),proc_I_okres_COI,(marza_COI+$T80))</f>
        <v>5.7500000000000002E-2</v>
      </c>
      <c r="AA80" s="3">
        <f t="shared" ref="AA80:AA111" si="113">Y80*(1+Z80*IF(MOD($S80,12)&lt;&gt;0,MOD($S80,12),12)/12)</f>
        <v>10751.5625</v>
      </c>
      <c r="AB80" s="3" t="str">
        <f t="shared" ref="AB80:AB111" si="114">IF(MOD($S80,zapadalnosc_COI)=0,"tak","nie")</f>
        <v>nie</v>
      </c>
      <c r="AC80" s="3">
        <f t="shared" ref="AC80:AC111" si="115">IF(MOD($S80,zapadalnosc_COI)=0,0,
IF(AND(MOD($S80,zapadalnosc_COI)&lt;zapadalnosc_COI,MOD($S80,zapadalnosc_COI)&lt;=12),
MIN(AA80-X80,V80*koszt_wczesniejszy_wykup_COI),V80*koszt_wczesniejszy_wykup_COI))</f>
        <v>73.5</v>
      </c>
      <c r="AD80" s="1">
        <f t="shared" si="103"/>
        <v>3</v>
      </c>
      <c r="AE80" s="1">
        <f t="shared" si="72"/>
        <v>2</v>
      </c>
      <c r="AF80" s="1">
        <f t="shared" si="72"/>
        <v>5</v>
      </c>
      <c r="AG80" s="1">
        <f t="shared" si="72"/>
        <v>6</v>
      </c>
      <c r="AH80" s="3">
        <f t="shared" si="58"/>
        <v>300</v>
      </c>
      <c r="AI80" s="9">
        <f t="shared" si="104"/>
        <v>1.2999999999999999E-2</v>
      </c>
      <c r="AJ80" s="3">
        <f t="shared" si="59"/>
        <v>301.625</v>
      </c>
      <c r="AK80" s="3">
        <f t="shared" si="105"/>
        <v>1.625</v>
      </c>
      <c r="AL80" s="3">
        <f t="shared" si="76"/>
        <v>1300</v>
      </c>
      <c r="AM80" s="9">
        <f t="shared" si="108"/>
        <v>5.7500000000000002E-2</v>
      </c>
      <c r="AN80" s="3">
        <f t="shared" si="74"/>
        <v>1331.1458333333333</v>
      </c>
      <c r="AO80" s="3">
        <f t="shared" si="109"/>
        <v>9.1</v>
      </c>
      <c r="AP80" s="3">
        <f t="shared" ref="AP80:AP111" si="116">IF(MOD(S80,wyplata_odsetek_COI)=0, (AA80-X80),0)
-IF(AND(AB80="tak",W81&lt;&gt;""),W81-X80,0)</f>
        <v>0</v>
      </c>
      <c r="AQ80" s="3">
        <f t="shared" si="60"/>
        <v>0</v>
      </c>
      <c r="AR80" s="3">
        <f t="shared" si="61"/>
        <v>35.300000000001859</v>
      </c>
      <c r="AS80" s="1">
        <f t="shared" si="101"/>
        <v>0</v>
      </c>
      <c r="AT80" s="3">
        <f t="shared" ref="AT80:AT111" si="117">AR80-AS80*zamiana_COI</f>
        <v>35.300000000001859</v>
      </c>
      <c r="AU80" s="1">
        <f t="shared" si="57"/>
        <v>0</v>
      </c>
      <c r="AV80" s="3">
        <f t="shared" si="62"/>
        <v>35.300000000001859</v>
      </c>
      <c r="AW80" s="3">
        <f t="shared" si="63"/>
        <v>12419.633333333335</v>
      </c>
      <c r="AX80" s="3">
        <f>MIN(IF(MOD(S80,12)=0,INDEX(IKE_oplata_wskaznik,MATCH(ROUNDUP(S80/12,0),IKE_oplata_rok,0)),0)*AW80,200)</f>
        <v>0</v>
      </c>
      <c r="AY80" s="3">
        <f t="shared" si="25"/>
        <v>66.531355000000005</v>
      </c>
      <c r="AZ80" s="3">
        <f t="shared" ref="AZ80:AZ111" si="118">AW80-AY80</f>
        <v>12353.101978333336</v>
      </c>
      <c r="BA80" s="3">
        <f t="shared" si="26"/>
        <v>84.224999999999994</v>
      </c>
      <c r="BB80" s="3">
        <f t="shared" ref="BB80:BB111" si="119">(AW80-BA80-zakup_domyslny_wartosc)*podatek_Belki</f>
        <v>443.7275833333336</v>
      </c>
      <c r="BC80" s="3">
        <f t="shared" ref="BC80:BC111" si="120">AW80-AY80-BA80-BB80</f>
        <v>11825.149395000002</v>
      </c>
      <c r="BE80" s="6">
        <f t="shared" si="97"/>
        <v>100</v>
      </c>
      <c r="BF80" s="3">
        <f t="shared" si="98"/>
        <v>10000</v>
      </c>
      <c r="BG80" s="3">
        <f t="shared" si="99"/>
        <v>10000</v>
      </c>
      <c r="BH80" s="3">
        <f t="shared" si="100"/>
        <v>12839.390683199999</v>
      </c>
      <c r="BI80" s="9">
        <f t="shared" ref="BI80:BI111" si="121">IF(AND(MOD($S80,zapadalnosc_EDO)&lt;=12,MOD($S80,zapadalnosc_EDO)&lt;&gt;0),proc_I_okres_EDO,(marza_EDO+$T80))</f>
        <v>6.0000000000000005E-2</v>
      </c>
      <c r="BJ80" s="3">
        <f t="shared" ref="BJ80:BJ111" si="122">BH80*(1+BI80*IF(MOD($S80,12)&lt;&gt;0,MOD($S80,12),12)/12)</f>
        <v>13160.375450279998</v>
      </c>
      <c r="BK80" s="3" t="str">
        <f t="shared" ref="BK80:BK111" si="123">IF(MOD($S80,zapadalnosc_EDO)=0,"tak","nie")</f>
        <v>nie</v>
      </c>
      <c r="BL80" s="3">
        <f t="shared" si="31"/>
        <v>0</v>
      </c>
      <c r="BM80" s="3">
        <f t="shared" si="32"/>
        <v>0</v>
      </c>
      <c r="BN80" s="3">
        <f t="shared" si="33"/>
        <v>13160.375450279998</v>
      </c>
      <c r="BO80" s="3">
        <f>MIN(IF(MOD(S80,12)=0,INDEX(IKE_oplata_wskaznik,MATCH(ROUNDUP(S80/12,0),IKE_oplata_rok,0)),0)*BN80,200)</f>
        <v>0</v>
      </c>
      <c r="BP80" s="3">
        <f t="shared" si="34"/>
        <v>68.037731696159994</v>
      </c>
      <c r="BQ80" s="3">
        <f t="shared" si="35"/>
        <v>13092.337718583838</v>
      </c>
      <c r="BR80" s="3">
        <f t="shared" ref="BR80:BR111" si="124">IF(AND(MOD($S80,zapadalnosc_EDO)&lt;zapadalnosc_EDO,MOD($S80,zapadalnosc_EDO)&lt;&gt;0),MIN(BJ80-BG80,BE80*koszt_wczesniejszy_wykup_EDO),0)</f>
        <v>200</v>
      </c>
      <c r="BS80" s="3">
        <f t="shared" ref="BS80:BS111" si="125">(BJ80-BR80-zakup_domyslny_wartosc)*podatek_Belki</f>
        <v>562.47133555319965</v>
      </c>
      <c r="BT80" s="3">
        <f t="shared" si="36"/>
        <v>12329.866383030638</v>
      </c>
    </row>
    <row r="81" spans="2:72">
      <c r="B81" s="173"/>
      <c r="C81" s="1">
        <f t="shared" si="106"/>
        <v>47</v>
      </c>
      <c r="D81" s="3">
        <f t="shared" si="67"/>
        <v>11830.715145000004</v>
      </c>
      <c r="E81" s="3">
        <f t="shared" si="68"/>
        <v>11412.901520000003</v>
      </c>
      <c r="F81" s="3">
        <f t="shared" si="69"/>
        <v>12021.108821999997</v>
      </c>
      <c r="G81" s="3">
        <f t="shared" si="70"/>
        <v>11468.564266599997</v>
      </c>
      <c r="H81" s="3">
        <f t="shared" si="107"/>
        <v>10487.127136969446</v>
      </c>
      <c r="I81" s="3">
        <f t="shared" si="71"/>
        <v>12106.828125000002</v>
      </c>
      <c r="S81" s="1">
        <f t="shared" ref="S81:S112" si="126">S80+1</f>
        <v>66</v>
      </c>
      <c r="T81" s="9">
        <f t="shared" si="102"/>
        <v>0.05</v>
      </c>
      <c r="U81" s="3">
        <f t="shared" si="110"/>
        <v>13081.886015625001</v>
      </c>
      <c r="V81" s="6">
        <f t="shared" ref="V81:V112" si="127">IF(AB80="tak",
ROUNDDOWN(AA80/zamiana_COI,0),
V80)</f>
        <v>105</v>
      </c>
      <c r="W81" s="3">
        <f t="shared" ref="W81:W112" si="128">IF(AB80="tak",
V81*zamiana_COI,
W80)</f>
        <v>10489.5</v>
      </c>
      <c r="X81" s="3">
        <f t="shared" ref="X81:X112" si="129">IF(AB80="tak",
V81*100,
X80)</f>
        <v>10500</v>
      </c>
      <c r="Y81" s="3">
        <f t="shared" si="111"/>
        <v>10500</v>
      </c>
      <c r="Z81" s="9">
        <f t="shared" si="112"/>
        <v>5.7500000000000002E-2</v>
      </c>
      <c r="AA81" s="3">
        <f t="shared" si="113"/>
        <v>10801.875</v>
      </c>
      <c r="AB81" s="3" t="str">
        <f t="shared" si="114"/>
        <v>nie</v>
      </c>
      <c r="AC81" s="3">
        <f t="shared" si="115"/>
        <v>73.5</v>
      </c>
      <c r="AD81" s="1">
        <f t="shared" si="103"/>
        <v>3</v>
      </c>
      <c r="AE81" s="1">
        <f t="shared" si="72"/>
        <v>2</v>
      </c>
      <c r="AF81" s="1">
        <f t="shared" si="72"/>
        <v>5</v>
      </c>
      <c r="AG81" s="1">
        <f t="shared" si="72"/>
        <v>6</v>
      </c>
      <c r="AH81" s="3">
        <f t="shared" si="58"/>
        <v>300</v>
      </c>
      <c r="AI81" s="9">
        <f t="shared" si="104"/>
        <v>1.2999999999999999E-2</v>
      </c>
      <c r="AJ81" s="3">
        <f t="shared" si="59"/>
        <v>301.95</v>
      </c>
      <c r="AK81" s="3">
        <f t="shared" si="105"/>
        <v>1.9499999999999886</v>
      </c>
      <c r="AL81" s="3">
        <f t="shared" si="76"/>
        <v>1300</v>
      </c>
      <c r="AM81" s="9">
        <f t="shared" si="108"/>
        <v>5.7500000000000002E-2</v>
      </c>
      <c r="AN81" s="3">
        <f t="shared" si="74"/>
        <v>1337.375</v>
      </c>
      <c r="AO81" s="3">
        <f t="shared" si="109"/>
        <v>9.1</v>
      </c>
      <c r="AP81" s="3">
        <f t="shared" si="116"/>
        <v>0</v>
      </c>
      <c r="AQ81" s="3">
        <f t="shared" si="60"/>
        <v>0</v>
      </c>
      <c r="AR81" s="3">
        <f t="shared" si="61"/>
        <v>35.300000000001859</v>
      </c>
      <c r="AS81" s="1">
        <f t="shared" si="101"/>
        <v>0</v>
      </c>
      <c r="AT81" s="3">
        <f t="shared" si="117"/>
        <v>35.300000000001859</v>
      </c>
      <c r="AU81" s="1">
        <f t="shared" si="57"/>
        <v>0</v>
      </c>
      <c r="AV81" s="3">
        <f t="shared" si="62"/>
        <v>35.300000000001859</v>
      </c>
      <c r="AW81" s="3">
        <f t="shared" si="63"/>
        <v>12476.500000000002</v>
      </c>
      <c r="AX81" s="3">
        <f>MIN(IF(MOD(S81,12)=0,INDEX(IKE_oplata_wskaznik,MATCH(ROUNDUP(S81/12,0),IKE_oplata_rok,0)),0)*AW81,200)</f>
        <v>0</v>
      </c>
      <c r="AY81" s="3">
        <f t="shared" ref="AY81:AY144" si="130">AX81+AY80</f>
        <v>66.531355000000005</v>
      </c>
      <c r="AZ81" s="3">
        <f t="shared" si="118"/>
        <v>12409.968645000003</v>
      </c>
      <c r="BA81" s="3">
        <f t="shared" ref="BA81:BA144" si="131">AC81+AK81+AO81</f>
        <v>84.549999999999983</v>
      </c>
      <c r="BB81" s="3">
        <f t="shared" si="119"/>
        <v>454.47050000000047</v>
      </c>
      <c r="BC81" s="3">
        <f t="shared" si="120"/>
        <v>11870.948145000002</v>
      </c>
      <c r="BE81" s="6">
        <f t="shared" ref="BE81:BE112" si="132">IF(BK80="tak",
ROUNDDOWN(BJ80/zamiana_EDO,0),
BE80)</f>
        <v>100</v>
      </c>
      <c r="BF81" s="3">
        <f t="shared" ref="BF81:BF112" si="133">IF(BK80="tak",
BE81*zamiana_EDO,
BF80)</f>
        <v>10000</v>
      </c>
      <c r="BG81" s="3">
        <f t="shared" ref="BG81:BG112" si="134">IF(BK80="tak",
BE81*100,
BG80)</f>
        <v>10000</v>
      </c>
      <c r="BH81" s="3">
        <f t="shared" ref="BH81:BH112" si="135">IF(BK80="tak",
 BG81,
IF(MOD($S81,kapitalizacja_odsetek_mc_EDO)&lt;&gt;1,BH80,BJ80))</f>
        <v>12839.390683199999</v>
      </c>
      <c r="BI81" s="9">
        <f t="shared" si="121"/>
        <v>6.0000000000000005E-2</v>
      </c>
      <c r="BJ81" s="3">
        <f t="shared" si="122"/>
        <v>13224.572403696</v>
      </c>
      <c r="BK81" s="3" t="str">
        <f t="shared" si="123"/>
        <v>nie</v>
      </c>
      <c r="BL81" s="3">
        <f t="shared" ref="BL81:BL144" si="136">IF(AND(BK81="tak",BF82&lt;&gt;""),
 BJ81-BF82,
0)</f>
        <v>0</v>
      </c>
      <c r="BM81" s="3">
        <f t="shared" ref="BM81:BM144" si="137">BM80+BL81</f>
        <v>0</v>
      </c>
      <c r="BN81" s="3">
        <f t="shared" ref="BN81:BN144" si="138">BM80+BJ81</f>
        <v>13224.572403696</v>
      </c>
      <c r="BO81" s="3">
        <f>MIN(IF(MOD(S81,12)=0,INDEX(IKE_oplata_wskaznik,MATCH(ROUNDUP(S81/12,0),IKE_oplata_rok,0)),0)*BN81,200)</f>
        <v>0</v>
      </c>
      <c r="BP81" s="3">
        <f t="shared" ref="BP81:BP144" si="139">BO81+BP80</f>
        <v>68.037731696159994</v>
      </c>
      <c r="BQ81" s="3">
        <f t="shared" ref="BQ81:BQ144" si="140">BN81-BP81</f>
        <v>13156.53467199984</v>
      </c>
      <c r="BR81" s="3">
        <f t="shared" si="124"/>
        <v>200</v>
      </c>
      <c r="BS81" s="3">
        <f t="shared" si="125"/>
        <v>574.66875670223999</v>
      </c>
      <c r="BT81" s="3">
        <f t="shared" ref="BT81:BT144" si="141">BN81-BP81-BR81-BS81</f>
        <v>12381.8659152976</v>
      </c>
    </row>
    <row r="82" spans="2:72">
      <c r="B82" s="171">
        <f>ROUNDUP(C83/12,0)</f>
        <v>5</v>
      </c>
      <c r="C82" s="4">
        <f t="shared" si="106"/>
        <v>48</v>
      </c>
      <c r="D82" s="12">
        <f t="shared" si="67"/>
        <v>11865.844405000003</v>
      </c>
      <c r="E82" s="12">
        <f t="shared" si="68"/>
        <v>11494.886405000003</v>
      </c>
      <c r="F82" s="12">
        <f t="shared" si="69"/>
        <v>12061.286196191999</v>
      </c>
      <c r="G82" s="12">
        <f t="shared" si="70"/>
        <v>11497.885979391998</v>
      </c>
      <c r="H82" s="12">
        <f t="shared" si="107"/>
        <v>10497.745353195629</v>
      </c>
      <c r="I82" s="12">
        <f t="shared" si="71"/>
        <v>12155.062500000002</v>
      </c>
      <c r="S82" s="1">
        <f t="shared" si="126"/>
        <v>67</v>
      </c>
      <c r="T82" s="9">
        <f t="shared" si="102"/>
        <v>0.05</v>
      </c>
      <c r="U82" s="3">
        <f t="shared" si="110"/>
        <v>13135.064414062501</v>
      </c>
      <c r="V82" s="6">
        <f t="shared" si="127"/>
        <v>105</v>
      </c>
      <c r="W82" s="3">
        <f t="shared" si="128"/>
        <v>10489.5</v>
      </c>
      <c r="X82" s="3">
        <f t="shared" si="129"/>
        <v>10500</v>
      </c>
      <c r="Y82" s="3">
        <f t="shared" si="111"/>
        <v>10500</v>
      </c>
      <c r="Z82" s="9">
        <f t="shared" si="112"/>
        <v>5.7500000000000002E-2</v>
      </c>
      <c r="AA82" s="3">
        <f t="shared" si="113"/>
        <v>10852.1875</v>
      </c>
      <c r="AB82" s="3" t="str">
        <f t="shared" si="114"/>
        <v>nie</v>
      </c>
      <c r="AC82" s="3">
        <f t="shared" si="115"/>
        <v>73.5</v>
      </c>
      <c r="AD82" s="1">
        <f t="shared" si="103"/>
        <v>3</v>
      </c>
      <c r="AE82" s="1">
        <f t="shared" si="72"/>
        <v>2</v>
      </c>
      <c r="AF82" s="1">
        <f t="shared" si="72"/>
        <v>5</v>
      </c>
      <c r="AG82" s="1">
        <f t="shared" si="72"/>
        <v>6</v>
      </c>
      <c r="AH82" s="3">
        <f t="shared" si="58"/>
        <v>300</v>
      </c>
      <c r="AI82" s="9">
        <f t="shared" si="104"/>
        <v>1.2999999999999999E-2</v>
      </c>
      <c r="AJ82" s="3">
        <f t="shared" si="59"/>
        <v>302.27499999999998</v>
      </c>
      <c r="AK82" s="3">
        <f t="shared" si="105"/>
        <v>2.0999999999999996</v>
      </c>
      <c r="AL82" s="3">
        <f t="shared" si="76"/>
        <v>1300</v>
      </c>
      <c r="AM82" s="9">
        <f t="shared" si="108"/>
        <v>5.7500000000000002E-2</v>
      </c>
      <c r="AN82" s="3">
        <f t="shared" si="74"/>
        <v>1343.6041666666665</v>
      </c>
      <c r="AO82" s="3">
        <f t="shared" si="109"/>
        <v>9.1</v>
      </c>
      <c r="AP82" s="3">
        <f t="shared" si="116"/>
        <v>0</v>
      </c>
      <c r="AQ82" s="3">
        <f t="shared" si="60"/>
        <v>0</v>
      </c>
      <c r="AR82" s="3">
        <f t="shared" si="61"/>
        <v>35.300000000001859</v>
      </c>
      <c r="AS82" s="1">
        <f t="shared" si="101"/>
        <v>0</v>
      </c>
      <c r="AT82" s="3">
        <f t="shared" si="117"/>
        <v>35.300000000001859</v>
      </c>
      <c r="AU82" s="1">
        <f t="shared" si="57"/>
        <v>0</v>
      </c>
      <c r="AV82" s="3">
        <f t="shared" si="62"/>
        <v>35.300000000001859</v>
      </c>
      <c r="AW82" s="3">
        <f t="shared" si="63"/>
        <v>12533.366666666667</v>
      </c>
      <c r="AX82" s="3">
        <f>MIN(IF(MOD(S82,12)=0,INDEX(IKE_oplata_wskaznik,MATCH(ROUNDUP(S82/12,0),IKE_oplata_rok,0)),0)*AW82,200)</f>
        <v>0</v>
      </c>
      <c r="AY82" s="3">
        <f t="shared" si="130"/>
        <v>66.531355000000005</v>
      </c>
      <c r="AZ82" s="3">
        <f t="shared" si="118"/>
        <v>12466.835311666668</v>
      </c>
      <c r="BA82" s="3">
        <f t="shared" si="131"/>
        <v>84.699999999999989</v>
      </c>
      <c r="BB82" s="3">
        <f t="shared" si="119"/>
        <v>465.24666666666656</v>
      </c>
      <c r="BC82" s="3">
        <f t="shared" si="120"/>
        <v>11916.888645000001</v>
      </c>
      <c r="BE82" s="6">
        <f t="shared" si="132"/>
        <v>100</v>
      </c>
      <c r="BF82" s="3">
        <f t="shared" si="133"/>
        <v>10000</v>
      </c>
      <c r="BG82" s="3">
        <f t="shared" si="134"/>
        <v>10000</v>
      </c>
      <c r="BH82" s="3">
        <f t="shared" si="135"/>
        <v>12839.390683199999</v>
      </c>
      <c r="BI82" s="9">
        <f t="shared" si="121"/>
        <v>6.0000000000000005E-2</v>
      </c>
      <c r="BJ82" s="3">
        <f t="shared" si="122"/>
        <v>13288.769357111998</v>
      </c>
      <c r="BK82" s="3" t="str">
        <f t="shared" si="123"/>
        <v>nie</v>
      </c>
      <c r="BL82" s="3">
        <f t="shared" si="136"/>
        <v>0</v>
      </c>
      <c r="BM82" s="3">
        <f t="shared" si="137"/>
        <v>0</v>
      </c>
      <c r="BN82" s="3">
        <f t="shared" si="138"/>
        <v>13288.769357111998</v>
      </c>
      <c r="BO82" s="3">
        <f>MIN(IF(MOD(S82,12)=0,INDEX(IKE_oplata_wskaznik,MATCH(ROUNDUP(S82/12,0),IKE_oplata_rok,0)),0)*BN82,200)</f>
        <v>0</v>
      </c>
      <c r="BP82" s="3">
        <f t="shared" si="139"/>
        <v>68.037731696159994</v>
      </c>
      <c r="BQ82" s="3">
        <f t="shared" si="140"/>
        <v>13220.731625415838</v>
      </c>
      <c r="BR82" s="3">
        <f t="shared" si="124"/>
        <v>200</v>
      </c>
      <c r="BS82" s="3">
        <f t="shared" si="125"/>
        <v>586.86617785127964</v>
      </c>
      <c r="BT82" s="3">
        <f t="shared" si="141"/>
        <v>12433.865447564558</v>
      </c>
    </row>
    <row r="83" spans="2:72">
      <c r="B83" s="172"/>
      <c r="C83" s="1">
        <f t="shared" si="106"/>
        <v>49</v>
      </c>
      <c r="D83" s="3">
        <f t="shared" si="67"/>
        <v>11893.686071666671</v>
      </c>
      <c r="E83" s="3">
        <f t="shared" si="68"/>
        <v>11508.048905000003</v>
      </c>
      <c r="F83" s="3">
        <f t="shared" si="69"/>
        <v>12121.849359791997</v>
      </c>
      <c r="G83" s="3">
        <f t="shared" si="70"/>
        <v>11546.942141907997</v>
      </c>
      <c r="H83" s="3">
        <f t="shared" si="107"/>
        <v>10508.37432036574</v>
      </c>
      <c r="I83" s="3">
        <f t="shared" si="71"/>
        <v>12205.708593750001</v>
      </c>
      <c r="S83" s="1">
        <f t="shared" si="126"/>
        <v>68</v>
      </c>
      <c r="T83" s="9">
        <f t="shared" si="102"/>
        <v>0.05</v>
      </c>
      <c r="U83" s="3">
        <f t="shared" si="110"/>
        <v>13188.242812500004</v>
      </c>
      <c r="V83" s="6">
        <f t="shared" si="127"/>
        <v>105</v>
      </c>
      <c r="W83" s="3">
        <f t="shared" si="128"/>
        <v>10489.5</v>
      </c>
      <c r="X83" s="3">
        <f t="shared" si="129"/>
        <v>10500</v>
      </c>
      <c r="Y83" s="3">
        <f t="shared" si="111"/>
        <v>10500</v>
      </c>
      <c r="Z83" s="9">
        <f t="shared" si="112"/>
        <v>5.7500000000000002E-2</v>
      </c>
      <c r="AA83" s="3">
        <f t="shared" si="113"/>
        <v>10902.5</v>
      </c>
      <c r="AB83" s="3" t="str">
        <f t="shared" si="114"/>
        <v>nie</v>
      </c>
      <c r="AC83" s="3">
        <f t="shared" si="115"/>
        <v>73.5</v>
      </c>
      <c r="AD83" s="1">
        <f t="shared" si="103"/>
        <v>3</v>
      </c>
      <c r="AE83" s="1">
        <f t="shared" si="72"/>
        <v>2</v>
      </c>
      <c r="AF83" s="1">
        <f t="shared" si="72"/>
        <v>5</v>
      </c>
      <c r="AG83" s="1">
        <f t="shared" si="72"/>
        <v>6</v>
      </c>
      <c r="AH83" s="3">
        <f t="shared" si="58"/>
        <v>300</v>
      </c>
      <c r="AI83" s="9">
        <f t="shared" si="104"/>
        <v>1.2999999999999999E-2</v>
      </c>
      <c r="AJ83" s="3">
        <f t="shared" si="59"/>
        <v>302.59999999999997</v>
      </c>
      <c r="AK83" s="3">
        <f t="shared" si="105"/>
        <v>2.0999999999999996</v>
      </c>
      <c r="AL83" s="3">
        <f t="shared" si="76"/>
        <v>1300</v>
      </c>
      <c r="AM83" s="9">
        <f t="shared" si="108"/>
        <v>5.7500000000000002E-2</v>
      </c>
      <c r="AN83" s="3">
        <f t="shared" si="74"/>
        <v>1349.8333333333333</v>
      </c>
      <c r="AO83" s="3">
        <f t="shared" si="109"/>
        <v>9.1</v>
      </c>
      <c r="AP83" s="3">
        <f t="shared" si="116"/>
        <v>0</v>
      </c>
      <c r="AQ83" s="3">
        <f t="shared" si="60"/>
        <v>0</v>
      </c>
      <c r="AR83" s="3">
        <f t="shared" si="61"/>
        <v>35.300000000001859</v>
      </c>
      <c r="AS83" s="1">
        <f t="shared" si="101"/>
        <v>0</v>
      </c>
      <c r="AT83" s="3">
        <f t="shared" si="117"/>
        <v>35.300000000001859</v>
      </c>
      <c r="AU83" s="1">
        <f t="shared" si="57"/>
        <v>0</v>
      </c>
      <c r="AV83" s="3">
        <f t="shared" si="62"/>
        <v>35.300000000001859</v>
      </c>
      <c r="AW83" s="3">
        <f t="shared" si="63"/>
        <v>12590.233333333335</v>
      </c>
      <c r="AX83" s="3">
        <f>MIN(IF(MOD(S83,12)=0,INDEX(IKE_oplata_wskaznik,MATCH(ROUNDUP(S83/12,0),IKE_oplata_rok,0)),0)*AW83,200)</f>
        <v>0</v>
      </c>
      <c r="AY83" s="3">
        <f t="shared" si="130"/>
        <v>66.531355000000005</v>
      </c>
      <c r="AZ83" s="3">
        <f t="shared" si="118"/>
        <v>12523.701978333336</v>
      </c>
      <c r="BA83" s="3">
        <f t="shared" si="131"/>
        <v>84.699999999999989</v>
      </c>
      <c r="BB83" s="3">
        <f t="shared" si="119"/>
        <v>476.05133333333362</v>
      </c>
      <c r="BC83" s="3">
        <f t="shared" si="120"/>
        <v>11962.950645000003</v>
      </c>
      <c r="BE83" s="6">
        <f t="shared" si="132"/>
        <v>100</v>
      </c>
      <c r="BF83" s="3">
        <f t="shared" si="133"/>
        <v>10000</v>
      </c>
      <c r="BG83" s="3">
        <f t="shared" si="134"/>
        <v>10000</v>
      </c>
      <c r="BH83" s="3">
        <f t="shared" si="135"/>
        <v>12839.390683199999</v>
      </c>
      <c r="BI83" s="9">
        <f t="shared" si="121"/>
        <v>6.0000000000000005E-2</v>
      </c>
      <c r="BJ83" s="3">
        <f t="shared" si="122"/>
        <v>13352.966310528</v>
      </c>
      <c r="BK83" s="3" t="str">
        <f t="shared" si="123"/>
        <v>nie</v>
      </c>
      <c r="BL83" s="3">
        <f t="shared" si="136"/>
        <v>0</v>
      </c>
      <c r="BM83" s="3">
        <f t="shared" si="137"/>
        <v>0</v>
      </c>
      <c r="BN83" s="3">
        <f t="shared" si="138"/>
        <v>13352.966310528</v>
      </c>
      <c r="BO83" s="3">
        <f>MIN(IF(MOD(S83,12)=0,INDEX(IKE_oplata_wskaznik,MATCH(ROUNDUP(S83/12,0),IKE_oplata_rok,0)),0)*BN83,200)</f>
        <v>0</v>
      </c>
      <c r="BP83" s="3">
        <f t="shared" si="139"/>
        <v>68.037731696159994</v>
      </c>
      <c r="BQ83" s="3">
        <f t="shared" si="140"/>
        <v>13284.928578831839</v>
      </c>
      <c r="BR83" s="3">
        <f t="shared" si="124"/>
        <v>200</v>
      </c>
      <c r="BS83" s="3">
        <f t="shared" si="125"/>
        <v>599.06359900031998</v>
      </c>
      <c r="BT83" s="3">
        <f t="shared" si="141"/>
        <v>12485.86497983152</v>
      </c>
    </row>
    <row r="84" spans="2:72">
      <c r="B84" s="172"/>
      <c r="C84" s="1">
        <f t="shared" si="106"/>
        <v>50</v>
      </c>
      <c r="D84" s="3">
        <f t="shared" si="67"/>
        <v>11911.027738333336</v>
      </c>
      <c r="E84" s="3">
        <f t="shared" si="68"/>
        <v>11512.706405000001</v>
      </c>
      <c r="F84" s="3">
        <f t="shared" si="69"/>
        <v>12182.412523391999</v>
      </c>
      <c r="G84" s="3">
        <f t="shared" si="70"/>
        <v>11595.998304423998</v>
      </c>
      <c r="H84" s="3">
        <f t="shared" si="107"/>
        <v>10519.014049365111</v>
      </c>
      <c r="I84" s="3">
        <f t="shared" si="71"/>
        <v>12256.354687500001</v>
      </c>
      <c r="S84" s="1">
        <f t="shared" si="126"/>
        <v>69</v>
      </c>
      <c r="T84" s="9">
        <f t="shared" si="102"/>
        <v>0.05</v>
      </c>
      <c r="U84" s="3">
        <f t="shared" si="110"/>
        <v>13241.421210937504</v>
      </c>
      <c r="V84" s="6">
        <f t="shared" si="127"/>
        <v>105</v>
      </c>
      <c r="W84" s="3">
        <f t="shared" si="128"/>
        <v>10489.5</v>
      </c>
      <c r="X84" s="3">
        <f t="shared" si="129"/>
        <v>10500</v>
      </c>
      <c r="Y84" s="3">
        <f t="shared" si="111"/>
        <v>10500</v>
      </c>
      <c r="Z84" s="9">
        <f t="shared" si="112"/>
        <v>5.7500000000000002E-2</v>
      </c>
      <c r="AA84" s="3">
        <f t="shared" si="113"/>
        <v>10952.8125</v>
      </c>
      <c r="AB84" s="3" t="str">
        <f t="shared" si="114"/>
        <v>nie</v>
      </c>
      <c r="AC84" s="3">
        <f t="shared" si="115"/>
        <v>73.5</v>
      </c>
      <c r="AD84" s="1">
        <f t="shared" si="103"/>
        <v>3</v>
      </c>
      <c r="AE84" s="1">
        <f t="shared" si="72"/>
        <v>2</v>
      </c>
      <c r="AF84" s="1">
        <f t="shared" si="72"/>
        <v>5</v>
      </c>
      <c r="AG84" s="1">
        <f t="shared" si="72"/>
        <v>6</v>
      </c>
      <c r="AH84" s="3">
        <f t="shared" si="58"/>
        <v>300</v>
      </c>
      <c r="AI84" s="9">
        <f t="shared" si="104"/>
        <v>1.2999999999999999E-2</v>
      </c>
      <c r="AJ84" s="3">
        <f t="shared" si="59"/>
        <v>302.92499999999995</v>
      </c>
      <c r="AK84" s="3">
        <f t="shared" si="105"/>
        <v>2.0999999999999996</v>
      </c>
      <c r="AL84" s="3">
        <f t="shared" si="76"/>
        <v>1300</v>
      </c>
      <c r="AM84" s="9">
        <f t="shared" si="108"/>
        <v>5.7500000000000002E-2</v>
      </c>
      <c r="AN84" s="3">
        <f t="shared" si="74"/>
        <v>1356.0625</v>
      </c>
      <c r="AO84" s="3">
        <f t="shared" si="109"/>
        <v>9.1</v>
      </c>
      <c r="AP84" s="3">
        <f t="shared" si="116"/>
        <v>0</v>
      </c>
      <c r="AQ84" s="3">
        <f t="shared" si="60"/>
        <v>0</v>
      </c>
      <c r="AR84" s="3">
        <f t="shared" si="61"/>
        <v>35.300000000001859</v>
      </c>
      <c r="AS84" s="1">
        <f t="shared" si="101"/>
        <v>0</v>
      </c>
      <c r="AT84" s="3">
        <f t="shared" si="117"/>
        <v>35.300000000001859</v>
      </c>
      <c r="AU84" s="1">
        <f t="shared" si="57"/>
        <v>0</v>
      </c>
      <c r="AV84" s="3">
        <f t="shared" si="62"/>
        <v>35.300000000001859</v>
      </c>
      <c r="AW84" s="3">
        <f t="shared" si="63"/>
        <v>12647.1</v>
      </c>
      <c r="AX84" s="3">
        <f>MIN(IF(MOD(S84,12)=0,INDEX(IKE_oplata_wskaznik,MATCH(ROUNDUP(S84/12,0),IKE_oplata_rok,0)),0)*AW84,200)</f>
        <v>0</v>
      </c>
      <c r="AY84" s="3">
        <f t="shared" si="130"/>
        <v>66.531355000000005</v>
      </c>
      <c r="AZ84" s="3">
        <f t="shared" si="118"/>
        <v>12580.568645000001</v>
      </c>
      <c r="BA84" s="3">
        <f t="shared" si="131"/>
        <v>84.699999999999989</v>
      </c>
      <c r="BB84" s="3">
        <f t="shared" si="119"/>
        <v>486.85599999999994</v>
      </c>
      <c r="BC84" s="3">
        <f t="shared" si="120"/>
        <v>12009.012645000001</v>
      </c>
      <c r="BE84" s="6">
        <f t="shared" si="132"/>
        <v>100</v>
      </c>
      <c r="BF84" s="3">
        <f t="shared" si="133"/>
        <v>10000</v>
      </c>
      <c r="BG84" s="3">
        <f t="shared" si="134"/>
        <v>10000</v>
      </c>
      <c r="BH84" s="3">
        <f t="shared" si="135"/>
        <v>12839.390683199999</v>
      </c>
      <c r="BI84" s="9">
        <f t="shared" si="121"/>
        <v>6.0000000000000005E-2</v>
      </c>
      <c r="BJ84" s="3">
        <f t="shared" si="122"/>
        <v>13417.163263943998</v>
      </c>
      <c r="BK84" s="3" t="str">
        <f t="shared" si="123"/>
        <v>nie</v>
      </c>
      <c r="BL84" s="3">
        <f t="shared" si="136"/>
        <v>0</v>
      </c>
      <c r="BM84" s="3">
        <f t="shared" si="137"/>
        <v>0</v>
      </c>
      <c r="BN84" s="3">
        <f t="shared" si="138"/>
        <v>13417.163263943998</v>
      </c>
      <c r="BO84" s="3">
        <f>MIN(IF(MOD(S84,12)=0,INDEX(IKE_oplata_wskaznik,MATCH(ROUNDUP(S84/12,0),IKE_oplata_rok,0)),0)*BN84,200)</f>
        <v>0</v>
      </c>
      <c r="BP84" s="3">
        <f t="shared" si="139"/>
        <v>68.037731696159994</v>
      </c>
      <c r="BQ84" s="3">
        <f t="shared" si="140"/>
        <v>13349.125532247837</v>
      </c>
      <c r="BR84" s="3">
        <f t="shared" si="124"/>
        <v>200</v>
      </c>
      <c r="BS84" s="3">
        <f t="shared" si="125"/>
        <v>611.26102014935952</v>
      </c>
      <c r="BT84" s="3">
        <f t="shared" si="141"/>
        <v>12537.864512098478</v>
      </c>
    </row>
    <row r="85" spans="2:72">
      <c r="B85" s="172"/>
      <c r="C85" s="1">
        <f t="shared" si="106"/>
        <v>51</v>
      </c>
      <c r="D85" s="3">
        <f t="shared" si="67"/>
        <v>11928.369405000003</v>
      </c>
      <c r="E85" s="3">
        <f t="shared" si="68"/>
        <v>11517.363905000004</v>
      </c>
      <c r="F85" s="3">
        <f t="shared" si="69"/>
        <v>12242.975686991998</v>
      </c>
      <c r="G85" s="3">
        <f t="shared" si="70"/>
        <v>11645.054466939999</v>
      </c>
      <c r="H85" s="3">
        <f t="shared" si="107"/>
        <v>10529.664551090094</v>
      </c>
      <c r="I85" s="3">
        <f t="shared" si="71"/>
        <v>12307.000781250001</v>
      </c>
      <c r="S85" s="1">
        <f t="shared" si="126"/>
        <v>70</v>
      </c>
      <c r="T85" s="9">
        <f t="shared" si="102"/>
        <v>0.05</v>
      </c>
      <c r="U85" s="3">
        <f t="shared" si="110"/>
        <v>13294.599609375004</v>
      </c>
      <c r="V85" s="6">
        <f t="shared" si="127"/>
        <v>105</v>
      </c>
      <c r="W85" s="3">
        <f t="shared" si="128"/>
        <v>10489.5</v>
      </c>
      <c r="X85" s="3">
        <f t="shared" si="129"/>
        <v>10500</v>
      </c>
      <c r="Y85" s="3">
        <f t="shared" si="111"/>
        <v>10500</v>
      </c>
      <c r="Z85" s="9">
        <f t="shared" si="112"/>
        <v>5.7500000000000002E-2</v>
      </c>
      <c r="AA85" s="3">
        <f t="shared" si="113"/>
        <v>11003.125</v>
      </c>
      <c r="AB85" s="3" t="str">
        <f t="shared" si="114"/>
        <v>nie</v>
      </c>
      <c r="AC85" s="3">
        <f t="shared" si="115"/>
        <v>73.5</v>
      </c>
      <c r="AD85" s="1">
        <f t="shared" si="103"/>
        <v>3</v>
      </c>
      <c r="AE85" s="1">
        <f t="shared" si="72"/>
        <v>2</v>
      </c>
      <c r="AF85" s="1">
        <f t="shared" si="72"/>
        <v>5</v>
      </c>
      <c r="AG85" s="1">
        <f t="shared" si="72"/>
        <v>6</v>
      </c>
      <c r="AH85" s="3">
        <f t="shared" si="58"/>
        <v>300</v>
      </c>
      <c r="AI85" s="9">
        <f t="shared" si="104"/>
        <v>1.2999999999999999E-2</v>
      </c>
      <c r="AJ85" s="3">
        <f t="shared" si="59"/>
        <v>303.25</v>
      </c>
      <c r="AK85" s="3">
        <f t="shared" si="105"/>
        <v>2.0999999999999996</v>
      </c>
      <c r="AL85" s="3">
        <f t="shared" si="76"/>
        <v>1300</v>
      </c>
      <c r="AM85" s="9">
        <f t="shared" si="108"/>
        <v>5.7500000000000002E-2</v>
      </c>
      <c r="AN85" s="3">
        <f t="shared" si="74"/>
        <v>1362.2916666666665</v>
      </c>
      <c r="AO85" s="3">
        <f t="shared" si="109"/>
        <v>9.1</v>
      </c>
      <c r="AP85" s="3">
        <f t="shared" si="116"/>
        <v>0</v>
      </c>
      <c r="AQ85" s="3">
        <f t="shared" si="60"/>
        <v>0</v>
      </c>
      <c r="AR85" s="3">
        <f t="shared" si="61"/>
        <v>35.300000000001859</v>
      </c>
      <c r="AS85" s="1">
        <f t="shared" si="101"/>
        <v>0</v>
      </c>
      <c r="AT85" s="3">
        <f t="shared" si="117"/>
        <v>35.300000000001859</v>
      </c>
      <c r="AU85" s="1">
        <f t="shared" si="57"/>
        <v>0</v>
      </c>
      <c r="AV85" s="3">
        <f t="shared" si="62"/>
        <v>35.300000000001859</v>
      </c>
      <c r="AW85" s="3">
        <f t="shared" si="63"/>
        <v>12703.966666666667</v>
      </c>
      <c r="AX85" s="3">
        <f>MIN(IF(MOD(S85,12)=0,INDEX(IKE_oplata_wskaznik,MATCH(ROUNDUP(S85/12,0),IKE_oplata_rok,0)),0)*AW85,200)</f>
        <v>0</v>
      </c>
      <c r="AY85" s="3">
        <f t="shared" si="130"/>
        <v>66.531355000000005</v>
      </c>
      <c r="AZ85" s="3">
        <f t="shared" si="118"/>
        <v>12637.435311666668</v>
      </c>
      <c r="BA85" s="3">
        <f t="shared" si="131"/>
        <v>84.699999999999989</v>
      </c>
      <c r="BB85" s="3">
        <f t="shared" si="119"/>
        <v>497.6606666666666</v>
      </c>
      <c r="BC85" s="3">
        <f t="shared" si="120"/>
        <v>12055.074645000001</v>
      </c>
      <c r="BE85" s="6">
        <f t="shared" si="132"/>
        <v>100</v>
      </c>
      <c r="BF85" s="3">
        <f t="shared" si="133"/>
        <v>10000</v>
      </c>
      <c r="BG85" s="3">
        <f t="shared" si="134"/>
        <v>10000</v>
      </c>
      <c r="BH85" s="3">
        <f t="shared" si="135"/>
        <v>12839.390683199999</v>
      </c>
      <c r="BI85" s="9">
        <f t="shared" si="121"/>
        <v>6.0000000000000005E-2</v>
      </c>
      <c r="BJ85" s="3">
        <f t="shared" si="122"/>
        <v>13481.360217359999</v>
      </c>
      <c r="BK85" s="3" t="str">
        <f t="shared" si="123"/>
        <v>nie</v>
      </c>
      <c r="BL85" s="3">
        <f t="shared" si="136"/>
        <v>0</v>
      </c>
      <c r="BM85" s="3">
        <f t="shared" si="137"/>
        <v>0</v>
      </c>
      <c r="BN85" s="3">
        <f t="shared" si="138"/>
        <v>13481.360217359999</v>
      </c>
      <c r="BO85" s="3">
        <f>MIN(IF(MOD(S85,12)=0,INDEX(IKE_oplata_wskaznik,MATCH(ROUNDUP(S85/12,0),IKE_oplata_rok,0)),0)*BN85,200)</f>
        <v>0</v>
      </c>
      <c r="BP85" s="3">
        <f t="shared" si="139"/>
        <v>68.037731696159994</v>
      </c>
      <c r="BQ85" s="3">
        <f t="shared" si="140"/>
        <v>13413.322485663839</v>
      </c>
      <c r="BR85" s="3">
        <f t="shared" si="124"/>
        <v>200</v>
      </c>
      <c r="BS85" s="3">
        <f t="shared" si="125"/>
        <v>623.45844129839986</v>
      </c>
      <c r="BT85" s="3">
        <f t="shared" si="141"/>
        <v>12589.864044365439</v>
      </c>
    </row>
    <row r="86" spans="2:72">
      <c r="B86" s="172"/>
      <c r="C86" s="1">
        <f t="shared" si="106"/>
        <v>52</v>
      </c>
      <c r="D86" s="3">
        <f t="shared" si="67"/>
        <v>11945.71107166667</v>
      </c>
      <c r="E86" s="3">
        <f t="shared" si="68"/>
        <v>11522.021405000003</v>
      </c>
      <c r="F86" s="3">
        <f t="shared" si="69"/>
        <v>12303.538850591998</v>
      </c>
      <c r="G86" s="3">
        <f t="shared" si="70"/>
        <v>11694.110629455998</v>
      </c>
      <c r="H86" s="3">
        <f t="shared" si="107"/>
        <v>10540.325836448073</v>
      </c>
      <c r="I86" s="3">
        <f t="shared" si="71"/>
        <v>12357.646875</v>
      </c>
      <c r="S86" s="1">
        <f t="shared" si="126"/>
        <v>71</v>
      </c>
      <c r="T86" s="9">
        <f t="shared" si="102"/>
        <v>0.05</v>
      </c>
      <c r="U86" s="3">
        <f t="shared" si="110"/>
        <v>13347.778007812503</v>
      </c>
      <c r="V86" s="6">
        <f t="shared" si="127"/>
        <v>105</v>
      </c>
      <c r="W86" s="3">
        <f t="shared" si="128"/>
        <v>10489.5</v>
      </c>
      <c r="X86" s="3">
        <f t="shared" si="129"/>
        <v>10500</v>
      </c>
      <c r="Y86" s="3">
        <f t="shared" si="111"/>
        <v>10500</v>
      </c>
      <c r="Z86" s="9">
        <f t="shared" si="112"/>
        <v>5.7500000000000002E-2</v>
      </c>
      <c r="AA86" s="3">
        <f t="shared" si="113"/>
        <v>11053.4375</v>
      </c>
      <c r="AB86" s="3" t="str">
        <f t="shared" si="114"/>
        <v>nie</v>
      </c>
      <c r="AC86" s="3">
        <f t="shared" si="115"/>
        <v>73.5</v>
      </c>
      <c r="AD86" s="1">
        <f t="shared" si="103"/>
        <v>3</v>
      </c>
      <c r="AE86" s="1">
        <f t="shared" si="72"/>
        <v>2</v>
      </c>
      <c r="AF86" s="1">
        <f t="shared" si="72"/>
        <v>5</v>
      </c>
      <c r="AG86" s="1">
        <f t="shared" si="72"/>
        <v>6</v>
      </c>
      <c r="AH86" s="3">
        <f t="shared" si="58"/>
        <v>300</v>
      </c>
      <c r="AI86" s="9">
        <f t="shared" si="104"/>
        <v>1.2999999999999999E-2</v>
      </c>
      <c r="AJ86" s="3">
        <f t="shared" si="59"/>
        <v>303.57499999999999</v>
      </c>
      <c r="AK86" s="3">
        <f t="shared" si="105"/>
        <v>2.0999999999999996</v>
      </c>
      <c r="AL86" s="3">
        <f t="shared" si="76"/>
        <v>1300</v>
      </c>
      <c r="AM86" s="9">
        <f t="shared" si="108"/>
        <v>5.7500000000000002E-2</v>
      </c>
      <c r="AN86" s="3">
        <f t="shared" si="74"/>
        <v>1368.5208333333333</v>
      </c>
      <c r="AO86" s="3">
        <f t="shared" si="109"/>
        <v>9.1</v>
      </c>
      <c r="AP86" s="3">
        <f t="shared" si="116"/>
        <v>0</v>
      </c>
      <c r="AQ86" s="3">
        <f t="shared" si="60"/>
        <v>0</v>
      </c>
      <c r="AR86" s="3">
        <f t="shared" si="61"/>
        <v>35.300000000001859</v>
      </c>
      <c r="AS86" s="1">
        <f t="shared" si="101"/>
        <v>0</v>
      </c>
      <c r="AT86" s="3">
        <f t="shared" si="117"/>
        <v>35.300000000001859</v>
      </c>
      <c r="AU86" s="1">
        <f t="shared" si="57"/>
        <v>0</v>
      </c>
      <c r="AV86" s="3">
        <f t="shared" si="62"/>
        <v>35.300000000001859</v>
      </c>
      <c r="AW86" s="3">
        <f t="shared" si="63"/>
        <v>12760.833333333336</v>
      </c>
      <c r="AX86" s="3">
        <f>MIN(IF(MOD(S86,12)=0,INDEX(IKE_oplata_wskaznik,MATCH(ROUNDUP(S86/12,0),IKE_oplata_rok,0)),0)*AW86,200)</f>
        <v>0</v>
      </c>
      <c r="AY86" s="3">
        <f t="shared" si="130"/>
        <v>66.531355000000005</v>
      </c>
      <c r="AZ86" s="3">
        <f t="shared" si="118"/>
        <v>12694.301978333337</v>
      </c>
      <c r="BA86" s="3">
        <f t="shared" si="131"/>
        <v>84.699999999999989</v>
      </c>
      <c r="BB86" s="3">
        <f t="shared" si="119"/>
        <v>508.46533333333366</v>
      </c>
      <c r="BC86" s="3">
        <f t="shared" si="120"/>
        <v>12101.136645000002</v>
      </c>
      <c r="BE86" s="6">
        <f t="shared" si="132"/>
        <v>100</v>
      </c>
      <c r="BF86" s="3">
        <f t="shared" si="133"/>
        <v>10000</v>
      </c>
      <c r="BG86" s="3">
        <f t="shared" si="134"/>
        <v>10000</v>
      </c>
      <c r="BH86" s="3">
        <f t="shared" si="135"/>
        <v>12839.390683199999</v>
      </c>
      <c r="BI86" s="9">
        <f t="shared" si="121"/>
        <v>6.0000000000000005E-2</v>
      </c>
      <c r="BJ86" s="3">
        <f t="shared" si="122"/>
        <v>13545.557170775999</v>
      </c>
      <c r="BK86" s="3" t="str">
        <f t="shared" si="123"/>
        <v>nie</v>
      </c>
      <c r="BL86" s="3">
        <f t="shared" si="136"/>
        <v>0</v>
      </c>
      <c r="BM86" s="3">
        <f t="shared" si="137"/>
        <v>0</v>
      </c>
      <c r="BN86" s="3">
        <f t="shared" si="138"/>
        <v>13545.557170775999</v>
      </c>
      <c r="BO86" s="3">
        <f>MIN(IF(MOD(S86,12)=0,INDEX(IKE_oplata_wskaznik,MATCH(ROUNDUP(S86/12,0),IKE_oplata_rok,0)),0)*BN86,200)</f>
        <v>0</v>
      </c>
      <c r="BP86" s="3">
        <f t="shared" si="139"/>
        <v>68.037731696159994</v>
      </c>
      <c r="BQ86" s="3">
        <f t="shared" si="140"/>
        <v>13477.519439079839</v>
      </c>
      <c r="BR86" s="3">
        <f t="shared" si="124"/>
        <v>200</v>
      </c>
      <c r="BS86" s="3">
        <f t="shared" si="125"/>
        <v>635.65586244743986</v>
      </c>
      <c r="BT86" s="3">
        <f t="shared" si="141"/>
        <v>12641.863576632399</v>
      </c>
    </row>
    <row r="87" spans="2:72">
      <c r="B87" s="172"/>
      <c r="C87" s="1">
        <f t="shared" si="106"/>
        <v>53</v>
      </c>
      <c r="D87" s="3">
        <f t="shared" si="67"/>
        <v>11963.052738333337</v>
      </c>
      <c r="E87" s="3">
        <f t="shared" si="68"/>
        <v>11526.678905000002</v>
      </c>
      <c r="F87" s="3">
        <f t="shared" si="69"/>
        <v>12364.102014191998</v>
      </c>
      <c r="G87" s="3">
        <f t="shared" si="70"/>
        <v>11743.166791971998</v>
      </c>
      <c r="H87" s="3">
        <f t="shared" si="107"/>
        <v>10550.997916357477</v>
      </c>
      <c r="I87" s="3">
        <f t="shared" si="71"/>
        <v>12408.292968750002</v>
      </c>
      <c r="S87" s="1">
        <f t="shared" si="126"/>
        <v>72</v>
      </c>
      <c r="T87" s="9">
        <f t="shared" si="102"/>
        <v>0.05</v>
      </c>
      <c r="U87" s="3">
        <f t="shared" si="110"/>
        <v>13400.956406250005</v>
      </c>
      <c r="V87" s="6">
        <f t="shared" si="127"/>
        <v>105</v>
      </c>
      <c r="W87" s="3">
        <f t="shared" si="128"/>
        <v>10489.5</v>
      </c>
      <c r="X87" s="3">
        <f t="shared" si="129"/>
        <v>10500</v>
      </c>
      <c r="Y87" s="3">
        <f t="shared" si="111"/>
        <v>10500</v>
      </c>
      <c r="Z87" s="9">
        <f t="shared" si="112"/>
        <v>5.7500000000000002E-2</v>
      </c>
      <c r="AA87" s="3">
        <f t="shared" si="113"/>
        <v>11103.750000000002</v>
      </c>
      <c r="AB87" s="3" t="str">
        <f t="shared" si="114"/>
        <v>nie</v>
      </c>
      <c r="AC87" s="3">
        <f t="shared" si="115"/>
        <v>73.5</v>
      </c>
      <c r="AD87" s="1">
        <f t="shared" si="103"/>
        <v>3</v>
      </c>
      <c r="AE87" s="1">
        <f t="shared" si="72"/>
        <v>2</v>
      </c>
      <c r="AF87" s="1">
        <f t="shared" si="72"/>
        <v>5</v>
      </c>
      <c r="AG87" s="1">
        <f t="shared" si="72"/>
        <v>6</v>
      </c>
      <c r="AH87" s="3">
        <f t="shared" si="58"/>
        <v>300</v>
      </c>
      <c r="AI87" s="9">
        <f t="shared" si="104"/>
        <v>1.2999999999999999E-2</v>
      </c>
      <c r="AJ87" s="3">
        <f t="shared" si="59"/>
        <v>303.89999999999998</v>
      </c>
      <c r="AK87" s="3">
        <f t="shared" si="105"/>
        <v>2.0999999999999996</v>
      </c>
      <c r="AL87" s="3">
        <f t="shared" si="76"/>
        <v>1300</v>
      </c>
      <c r="AM87" s="9">
        <f t="shared" si="108"/>
        <v>5.7500000000000002E-2</v>
      </c>
      <c r="AN87" s="3">
        <f t="shared" si="74"/>
        <v>1374.7500000000002</v>
      </c>
      <c r="AO87" s="3">
        <f t="shared" si="109"/>
        <v>9.1</v>
      </c>
      <c r="AP87" s="3">
        <f t="shared" si="116"/>
        <v>603.75000000000182</v>
      </c>
      <c r="AQ87" s="3">
        <f t="shared" si="60"/>
        <v>678.65000000000009</v>
      </c>
      <c r="AR87" s="3">
        <f t="shared" si="61"/>
        <v>1317.7000000000039</v>
      </c>
      <c r="AS87" s="1">
        <f t="shared" si="101"/>
        <v>6</v>
      </c>
      <c r="AT87" s="3">
        <f t="shared" si="117"/>
        <v>718.30000000000382</v>
      </c>
      <c r="AU87" s="1">
        <f t="shared" si="57"/>
        <v>7</v>
      </c>
      <c r="AV87" s="3">
        <f t="shared" si="62"/>
        <v>18.30000000000382</v>
      </c>
      <c r="AW87" s="3">
        <f t="shared" si="63"/>
        <v>12817.700000000003</v>
      </c>
      <c r="AX87" s="3">
        <f>MIN(IF(MOD(S87,12)=0,INDEX(IKE_oplata_wskaznik,MATCH(ROUNDUP(S87/12,0),IKE_oplata_rok,0)),0)*AW87,200)</f>
        <v>15.381240000000002</v>
      </c>
      <c r="AY87" s="3">
        <f t="shared" si="130"/>
        <v>81.91259500000001</v>
      </c>
      <c r="AZ87" s="3">
        <f t="shared" si="118"/>
        <v>12735.787405000003</v>
      </c>
      <c r="BA87" s="3">
        <f t="shared" si="131"/>
        <v>84.699999999999989</v>
      </c>
      <c r="BB87" s="3">
        <f t="shared" si="119"/>
        <v>519.27000000000032</v>
      </c>
      <c r="BC87" s="3">
        <f t="shared" si="120"/>
        <v>12131.817405000002</v>
      </c>
      <c r="BE87" s="6">
        <f t="shared" si="132"/>
        <v>100</v>
      </c>
      <c r="BF87" s="3">
        <f t="shared" si="133"/>
        <v>10000</v>
      </c>
      <c r="BG87" s="3">
        <f t="shared" si="134"/>
        <v>10000</v>
      </c>
      <c r="BH87" s="3">
        <f t="shared" si="135"/>
        <v>12839.390683199999</v>
      </c>
      <c r="BI87" s="9">
        <f t="shared" si="121"/>
        <v>6.0000000000000005E-2</v>
      </c>
      <c r="BJ87" s="3">
        <f t="shared" si="122"/>
        <v>13609.754124192001</v>
      </c>
      <c r="BK87" s="3" t="str">
        <f t="shared" si="123"/>
        <v>nie</v>
      </c>
      <c r="BL87" s="3">
        <f t="shared" si="136"/>
        <v>0</v>
      </c>
      <c r="BM87" s="3">
        <f t="shared" si="137"/>
        <v>0</v>
      </c>
      <c r="BN87" s="3">
        <f t="shared" si="138"/>
        <v>13609.754124192001</v>
      </c>
      <c r="BO87" s="3">
        <f>MIN(IF(MOD(S87,12)=0,INDEX(IKE_oplata_wskaznik,MATCH(ROUNDUP(S87/12,0),IKE_oplata_rok,0)),0)*BN87,200)</f>
        <v>16.331704949030399</v>
      </c>
      <c r="BP87" s="3">
        <f t="shared" si="139"/>
        <v>84.36943664519039</v>
      </c>
      <c r="BQ87" s="3">
        <f t="shared" si="140"/>
        <v>13525.38468754681</v>
      </c>
      <c r="BR87" s="3">
        <f t="shared" si="124"/>
        <v>200</v>
      </c>
      <c r="BS87" s="3">
        <f t="shared" si="125"/>
        <v>647.8532835964802</v>
      </c>
      <c r="BT87" s="3">
        <f t="shared" si="141"/>
        <v>12677.53140395033</v>
      </c>
    </row>
    <row r="88" spans="2:72">
      <c r="B88" s="172"/>
      <c r="C88" s="1">
        <f t="shared" si="106"/>
        <v>54</v>
      </c>
      <c r="D88" s="3">
        <f t="shared" si="67"/>
        <v>11980.394405000003</v>
      </c>
      <c r="E88" s="3">
        <f t="shared" si="68"/>
        <v>11531.336405000002</v>
      </c>
      <c r="F88" s="3">
        <f t="shared" si="69"/>
        <v>12424.665177792</v>
      </c>
      <c r="G88" s="3">
        <f t="shared" si="70"/>
        <v>11792.222954487999</v>
      </c>
      <c r="H88" s="3">
        <f t="shared" si="107"/>
        <v>10561.680801747791</v>
      </c>
      <c r="I88" s="3">
        <f t="shared" si="71"/>
        <v>12458.939062500001</v>
      </c>
      <c r="S88" s="1">
        <f t="shared" si="126"/>
        <v>73</v>
      </c>
      <c r="T88" s="9">
        <f t="shared" si="102"/>
        <v>0.05</v>
      </c>
      <c r="U88" s="3">
        <f t="shared" si="110"/>
        <v>13456.793724609379</v>
      </c>
      <c r="V88" s="6">
        <f t="shared" si="127"/>
        <v>105</v>
      </c>
      <c r="W88" s="3">
        <f t="shared" si="128"/>
        <v>10489.5</v>
      </c>
      <c r="X88" s="3">
        <f t="shared" si="129"/>
        <v>10500</v>
      </c>
      <c r="Y88" s="3">
        <f t="shared" si="111"/>
        <v>10500</v>
      </c>
      <c r="Z88" s="9">
        <f t="shared" si="112"/>
        <v>5.7500000000000002E-2</v>
      </c>
      <c r="AA88" s="3">
        <f t="shared" si="113"/>
        <v>10550.3125</v>
      </c>
      <c r="AB88" s="3" t="str">
        <f t="shared" si="114"/>
        <v>nie</v>
      </c>
      <c r="AC88" s="3">
        <f t="shared" si="115"/>
        <v>73.5</v>
      </c>
      <c r="AD88" s="1">
        <f t="shared" si="103"/>
        <v>13</v>
      </c>
      <c r="AE88" s="1">
        <f t="shared" si="72"/>
        <v>3</v>
      </c>
      <c r="AF88" s="1">
        <f t="shared" si="72"/>
        <v>2</v>
      </c>
      <c r="AG88" s="1">
        <f t="shared" si="72"/>
        <v>5</v>
      </c>
      <c r="AH88" s="3">
        <f t="shared" si="58"/>
        <v>1300</v>
      </c>
      <c r="AI88" s="9">
        <f t="shared" si="104"/>
        <v>1.2999999999999999E-2</v>
      </c>
      <c r="AJ88" s="3">
        <f t="shared" si="59"/>
        <v>1301.4083333333333</v>
      </c>
      <c r="AK88" s="3">
        <f t="shared" si="105"/>
        <v>1.408333333333303</v>
      </c>
      <c r="AL88" s="3">
        <f t="shared" si="76"/>
        <v>1000</v>
      </c>
      <c r="AM88" s="9">
        <f t="shared" si="108"/>
        <v>5.7500000000000002E-2</v>
      </c>
      <c r="AN88" s="3">
        <f t="shared" si="74"/>
        <v>1004.7916666666667</v>
      </c>
      <c r="AO88" s="3">
        <f t="shared" si="109"/>
        <v>7</v>
      </c>
      <c r="AP88" s="3">
        <f t="shared" si="116"/>
        <v>0</v>
      </c>
      <c r="AQ88" s="3">
        <f t="shared" si="60"/>
        <v>0</v>
      </c>
      <c r="AR88" s="3">
        <f t="shared" si="61"/>
        <v>18.30000000000382</v>
      </c>
      <c r="AS88" s="1">
        <f t="shared" si="101"/>
        <v>0</v>
      </c>
      <c r="AT88" s="3">
        <f t="shared" si="117"/>
        <v>18.30000000000382</v>
      </c>
      <c r="AU88" s="1">
        <f t="shared" si="57"/>
        <v>0</v>
      </c>
      <c r="AV88" s="3">
        <f t="shared" si="62"/>
        <v>18.30000000000382</v>
      </c>
      <c r="AW88" s="3">
        <f t="shared" si="63"/>
        <v>12874.812500000004</v>
      </c>
      <c r="AX88" s="3">
        <f>MIN(IF(MOD(S88,12)=0,INDEX(IKE_oplata_wskaznik,MATCH(ROUNDUP(S88/12,0),IKE_oplata_rok,0)),0)*AW88,200)</f>
        <v>0</v>
      </c>
      <c r="AY88" s="3">
        <f t="shared" si="130"/>
        <v>81.91259500000001</v>
      </c>
      <c r="AZ88" s="3">
        <f t="shared" si="118"/>
        <v>12792.899905000004</v>
      </c>
      <c r="BA88" s="3">
        <f t="shared" si="131"/>
        <v>81.908333333333303</v>
      </c>
      <c r="BB88" s="3">
        <f t="shared" si="119"/>
        <v>530.65179166666746</v>
      </c>
      <c r="BC88" s="3">
        <f t="shared" si="120"/>
        <v>12180.339780000004</v>
      </c>
      <c r="BE88" s="6">
        <f t="shared" si="132"/>
        <v>100</v>
      </c>
      <c r="BF88" s="3">
        <f t="shared" si="133"/>
        <v>10000</v>
      </c>
      <c r="BG88" s="3">
        <f t="shared" si="134"/>
        <v>10000</v>
      </c>
      <c r="BH88" s="3">
        <f t="shared" si="135"/>
        <v>13609.754124192001</v>
      </c>
      <c r="BI88" s="9">
        <f t="shared" si="121"/>
        <v>6.0000000000000005E-2</v>
      </c>
      <c r="BJ88" s="3">
        <f t="shared" si="122"/>
        <v>13677.802894812959</v>
      </c>
      <c r="BK88" s="3" t="str">
        <f t="shared" si="123"/>
        <v>nie</v>
      </c>
      <c r="BL88" s="3">
        <f t="shared" si="136"/>
        <v>0</v>
      </c>
      <c r="BM88" s="3">
        <f t="shared" si="137"/>
        <v>0</v>
      </c>
      <c r="BN88" s="3">
        <f t="shared" si="138"/>
        <v>13677.802894812959</v>
      </c>
      <c r="BO88" s="3">
        <f>MIN(IF(MOD(S88,12)=0,INDEX(IKE_oplata_wskaznik,MATCH(ROUNDUP(S88/12,0),IKE_oplata_rok,0)),0)*BN88,200)</f>
        <v>0</v>
      </c>
      <c r="BP88" s="3">
        <f t="shared" si="139"/>
        <v>84.36943664519039</v>
      </c>
      <c r="BQ88" s="3">
        <f t="shared" si="140"/>
        <v>13593.433458167769</v>
      </c>
      <c r="BR88" s="3">
        <f t="shared" si="124"/>
        <v>200</v>
      </c>
      <c r="BS88" s="3">
        <f t="shared" si="125"/>
        <v>660.78255001446234</v>
      </c>
      <c r="BT88" s="3">
        <f t="shared" si="141"/>
        <v>12732.650908153306</v>
      </c>
    </row>
    <row r="89" spans="2:72">
      <c r="B89" s="172"/>
      <c r="C89" s="1">
        <f t="shared" si="106"/>
        <v>55</v>
      </c>
      <c r="D89" s="3">
        <f t="shared" si="67"/>
        <v>11997.73607166667</v>
      </c>
      <c r="E89" s="3">
        <f t="shared" si="68"/>
        <v>11541.049655000003</v>
      </c>
      <c r="F89" s="3">
        <f t="shared" si="69"/>
        <v>12485.228341391998</v>
      </c>
      <c r="G89" s="3">
        <f t="shared" si="70"/>
        <v>11841.279117003998</v>
      </c>
      <c r="H89" s="3">
        <f t="shared" si="107"/>
        <v>10572.37450355956</v>
      </c>
      <c r="I89" s="3">
        <f t="shared" si="71"/>
        <v>12509.585156250001</v>
      </c>
      <c r="S89" s="1">
        <f t="shared" si="126"/>
        <v>74</v>
      </c>
      <c r="T89" s="9">
        <f t="shared" si="102"/>
        <v>0.05</v>
      </c>
      <c r="U89" s="3">
        <f t="shared" si="110"/>
        <v>13512.631042968755</v>
      </c>
      <c r="V89" s="6">
        <f t="shared" si="127"/>
        <v>105</v>
      </c>
      <c r="W89" s="3">
        <f t="shared" si="128"/>
        <v>10489.5</v>
      </c>
      <c r="X89" s="3">
        <f t="shared" si="129"/>
        <v>10500</v>
      </c>
      <c r="Y89" s="3">
        <f t="shared" si="111"/>
        <v>10500</v>
      </c>
      <c r="Z89" s="9">
        <f t="shared" si="112"/>
        <v>5.7500000000000002E-2</v>
      </c>
      <c r="AA89" s="3">
        <f t="shared" si="113"/>
        <v>10600.625</v>
      </c>
      <c r="AB89" s="3" t="str">
        <f t="shared" si="114"/>
        <v>nie</v>
      </c>
      <c r="AC89" s="3">
        <f t="shared" si="115"/>
        <v>73.5</v>
      </c>
      <c r="AD89" s="1">
        <f t="shared" si="103"/>
        <v>13</v>
      </c>
      <c r="AE89" s="1">
        <f t="shared" si="72"/>
        <v>3</v>
      </c>
      <c r="AF89" s="1">
        <f t="shared" si="72"/>
        <v>2</v>
      </c>
      <c r="AG89" s="1">
        <f t="shared" si="72"/>
        <v>5</v>
      </c>
      <c r="AH89" s="3">
        <f t="shared" si="58"/>
        <v>1300</v>
      </c>
      <c r="AI89" s="9">
        <f t="shared" si="104"/>
        <v>1.2999999999999999E-2</v>
      </c>
      <c r="AJ89" s="3">
        <f t="shared" si="59"/>
        <v>1302.8166666666666</v>
      </c>
      <c r="AK89" s="3">
        <f t="shared" si="105"/>
        <v>2.816666666666606</v>
      </c>
      <c r="AL89" s="3">
        <f t="shared" si="76"/>
        <v>1000</v>
      </c>
      <c r="AM89" s="9">
        <f t="shared" si="108"/>
        <v>5.7500000000000002E-2</v>
      </c>
      <c r="AN89" s="3">
        <f t="shared" si="74"/>
        <v>1009.5833333333333</v>
      </c>
      <c r="AO89" s="3">
        <f t="shared" si="109"/>
        <v>7</v>
      </c>
      <c r="AP89" s="3">
        <f t="shared" si="116"/>
        <v>0</v>
      </c>
      <c r="AQ89" s="3">
        <f t="shared" si="60"/>
        <v>0</v>
      </c>
      <c r="AR89" s="3">
        <f t="shared" si="61"/>
        <v>18.30000000000382</v>
      </c>
      <c r="AS89" s="1">
        <f t="shared" si="101"/>
        <v>0</v>
      </c>
      <c r="AT89" s="3">
        <f t="shared" si="117"/>
        <v>18.30000000000382</v>
      </c>
      <c r="AU89" s="1">
        <f t="shared" si="57"/>
        <v>0</v>
      </c>
      <c r="AV89" s="3">
        <f t="shared" si="62"/>
        <v>18.30000000000382</v>
      </c>
      <c r="AW89" s="3">
        <f t="shared" si="63"/>
        <v>12931.325000000004</v>
      </c>
      <c r="AX89" s="3">
        <f>MIN(IF(MOD(S89,12)=0,INDEX(IKE_oplata_wskaznik,MATCH(ROUNDUP(S89/12,0),IKE_oplata_rok,0)),0)*AW89,200)</f>
        <v>0</v>
      </c>
      <c r="AY89" s="3">
        <f t="shared" si="130"/>
        <v>81.91259500000001</v>
      </c>
      <c r="AZ89" s="3">
        <f t="shared" si="118"/>
        <v>12849.412405000005</v>
      </c>
      <c r="BA89" s="3">
        <f t="shared" si="131"/>
        <v>83.316666666666606</v>
      </c>
      <c r="BB89" s="3">
        <f t="shared" si="119"/>
        <v>541.12158333333434</v>
      </c>
      <c r="BC89" s="3">
        <f t="shared" si="120"/>
        <v>12224.974155000004</v>
      </c>
      <c r="BE89" s="6">
        <f t="shared" si="132"/>
        <v>100</v>
      </c>
      <c r="BF89" s="3">
        <f t="shared" si="133"/>
        <v>10000</v>
      </c>
      <c r="BG89" s="3">
        <f t="shared" si="134"/>
        <v>10000</v>
      </c>
      <c r="BH89" s="3">
        <f t="shared" si="135"/>
        <v>13609.754124192001</v>
      </c>
      <c r="BI89" s="9">
        <f t="shared" si="121"/>
        <v>6.0000000000000005E-2</v>
      </c>
      <c r="BJ89" s="3">
        <f t="shared" si="122"/>
        <v>13745.85166543392</v>
      </c>
      <c r="BK89" s="3" t="str">
        <f t="shared" si="123"/>
        <v>nie</v>
      </c>
      <c r="BL89" s="3">
        <f t="shared" si="136"/>
        <v>0</v>
      </c>
      <c r="BM89" s="3">
        <f t="shared" si="137"/>
        <v>0</v>
      </c>
      <c r="BN89" s="3">
        <f t="shared" si="138"/>
        <v>13745.85166543392</v>
      </c>
      <c r="BO89" s="3">
        <f>MIN(IF(MOD(S89,12)=0,INDEX(IKE_oplata_wskaznik,MATCH(ROUNDUP(S89/12,0),IKE_oplata_rok,0)),0)*BN89,200)</f>
        <v>0</v>
      </c>
      <c r="BP89" s="3">
        <f t="shared" si="139"/>
        <v>84.36943664519039</v>
      </c>
      <c r="BQ89" s="3">
        <f t="shared" si="140"/>
        <v>13661.482228788729</v>
      </c>
      <c r="BR89" s="3">
        <f t="shared" si="124"/>
        <v>200</v>
      </c>
      <c r="BS89" s="3">
        <f t="shared" si="125"/>
        <v>673.71181643244483</v>
      </c>
      <c r="BT89" s="3">
        <f t="shared" si="141"/>
        <v>12787.770412356283</v>
      </c>
    </row>
    <row r="90" spans="2:72">
      <c r="B90" s="172"/>
      <c r="C90" s="1">
        <f t="shared" si="106"/>
        <v>56</v>
      </c>
      <c r="D90" s="3">
        <f t="shared" si="67"/>
        <v>12015.077738333337</v>
      </c>
      <c r="E90" s="3">
        <f t="shared" si="68"/>
        <v>11555.096405000004</v>
      </c>
      <c r="F90" s="3">
        <f t="shared" si="69"/>
        <v>12545.791504991999</v>
      </c>
      <c r="G90" s="3">
        <f t="shared" si="70"/>
        <v>11890.335279519999</v>
      </c>
      <c r="H90" s="3">
        <f t="shared" si="107"/>
        <v>10583.079032744416</v>
      </c>
      <c r="I90" s="3">
        <f t="shared" si="71"/>
        <v>12560.231250000003</v>
      </c>
      <c r="S90" s="1">
        <f t="shared" si="126"/>
        <v>75</v>
      </c>
      <c r="T90" s="9">
        <f t="shared" si="102"/>
        <v>0.05</v>
      </c>
      <c r="U90" s="3">
        <f t="shared" si="110"/>
        <v>13568.468361328129</v>
      </c>
      <c r="V90" s="6">
        <f t="shared" si="127"/>
        <v>105</v>
      </c>
      <c r="W90" s="3">
        <f t="shared" si="128"/>
        <v>10489.5</v>
      </c>
      <c r="X90" s="3">
        <f t="shared" si="129"/>
        <v>10500</v>
      </c>
      <c r="Y90" s="3">
        <f t="shared" si="111"/>
        <v>10500</v>
      </c>
      <c r="Z90" s="9">
        <f t="shared" si="112"/>
        <v>5.7500000000000002E-2</v>
      </c>
      <c r="AA90" s="3">
        <f t="shared" si="113"/>
        <v>10650.9375</v>
      </c>
      <c r="AB90" s="3" t="str">
        <f t="shared" si="114"/>
        <v>nie</v>
      </c>
      <c r="AC90" s="3">
        <f t="shared" si="115"/>
        <v>73.5</v>
      </c>
      <c r="AD90" s="1">
        <f t="shared" si="103"/>
        <v>13</v>
      </c>
      <c r="AE90" s="1">
        <f t="shared" si="72"/>
        <v>3</v>
      </c>
      <c r="AF90" s="1">
        <f t="shared" si="72"/>
        <v>2</v>
      </c>
      <c r="AG90" s="1">
        <f t="shared" si="72"/>
        <v>5</v>
      </c>
      <c r="AH90" s="3">
        <f t="shared" si="58"/>
        <v>1300</v>
      </c>
      <c r="AI90" s="9">
        <f t="shared" si="104"/>
        <v>1.2999999999999999E-2</v>
      </c>
      <c r="AJ90" s="3">
        <f t="shared" si="59"/>
        <v>1304.2249999999999</v>
      </c>
      <c r="AK90" s="3">
        <f t="shared" si="105"/>
        <v>4.2249999999999091</v>
      </c>
      <c r="AL90" s="3">
        <f t="shared" si="76"/>
        <v>1000</v>
      </c>
      <c r="AM90" s="9">
        <f t="shared" si="108"/>
        <v>5.7500000000000002E-2</v>
      </c>
      <c r="AN90" s="3">
        <f t="shared" si="74"/>
        <v>1014.375</v>
      </c>
      <c r="AO90" s="3">
        <f t="shared" si="109"/>
        <v>7</v>
      </c>
      <c r="AP90" s="3">
        <f t="shared" si="116"/>
        <v>0</v>
      </c>
      <c r="AQ90" s="3">
        <f t="shared" si="60"/>
        <v>0</v>
      </c>
      <c r="AR90" s="3">
        <f t="shared" si="61"/>
        <v>18.30000000000382</v>
      </c>
      <c r="AS90" s="1">
        <f t="shared" si="101"/>
        <v>0</v>
      </c>
      <c r="AT90" s="3">
        <f t="shared" si="117"/>
        <v>18.30000000000382</v>
      </c>
      <c r="AU90" s="1">
        <f t="shared" si="57"/>
        <v>0</v>
      </c>
      <c r="AV90" s="3">
        <f t="shared" si="62"/>
        <v>18.30000000000382</v>
      </c>
      <c r="AW90" s="3">
        <f t="shared" si="63"/>
        <v>12987.837500000005</v>
      </c>
      <c r="AX90" s="3">
        <f>MIN(IF(MOD(S90,12)=0,INDEX(IKE_oplata_wskaznik,MATCH(ROUNDUP(S90/12,0),IKE_oplata_rok,0)),0)*AW90,200)</f>
        <v>0</v>
      </c>
      <c r="AY90" s="3">
        <f t="shared" si="130"/>
        <v>81.91259500000001</v>
      </c>
      <c r="AZ90" s="3">
        <f t="shared" si="118"/>
        <v>12905.924905000005</v>
      </c>
      <c r="BA90" s="3">
        <f t="shared" si="131"/>
        <v>84.724999999999909</v>
      </c>
      <c r="BB90" s="3">
        <f t="shared" si="119"/>
        <v>551.59137500000088</v>
      </c>
      <c r="BC90" s="3">
        <f t="shared" si="120"/>
        <v>12269.608530000005</v>
      </c>
      <c r="BE90" s="6">
        <f t="shared" si="132"/>
        <v>100</v>
      </c>
      <c r="BF90" s="3">
        <f t="shared" si="133"/>
        <v>10000</v>
      </c>
      <c r="BG90" s="3">
        <f t="shared" si="134"/>
        <v>10000</v>
      </c>
      <c r="BH90" s="3">
        <f t="shared" si="135"/>
        <v>13609.754124192001</v>
      </c>
      <c r="BI90" s="9">
        <f t="shared" si="121"/>
        <v>6.0000000000000005E-2</v>
      </c>
      <c r="BJ90" s="3">
        <f t="shared" si="122"/>
        <v>13813.900436054879</v>
      </c>
      <c r="BK90" s="3" t="str">
        <f t="shared" si="123"/>
        <v>nie</v>
      </c>
      <c r="BL90" s="3">
        <f t="shared" si="136"/>
        <v>0</v>
      </c>
      <c r="BM90" s="3">
        <f t="shared" si="137"/>
        <v>0</v>
      </c>
      <c r="BN90" s="3">
        <f t="shared" si="138"/>
        <v>13813.900436054879</v>
      </c>
      <c r="BO90" s="3">
        <f>MIN(IF(MOD(S90,12)=0,INDEX(IKE_oplata_wskaznik,MATCH(ROUNDUP(S90/12,0),IKE_oplata_rok,0)),0)*BN90,200)</f>
        <v>0</v>
      </c>
      <c r="BP90" s="3">
        <f t="shared" si="139"/>
        <v>84.36943664519039</v>
      </c>
      <c r="BQ90" s="3">
        <f t="shared" si="140"/>
        <v>13729.530999409688</v>
      </c>
      <c r="BR90" s="3">
        <f t="shared" si="124"/>
        <v>200</v>
      </c>
      <c r="BS90" s="3">
        <f t="shared" si="125"/>
        <v>686.64108285042698</v>
      </c>
      <c r="BT90" s="3">
        <f t="shared" si="141"/>
        <v>12842.889916559261</v>
      </c>
    </row>
    <row r="91" spans="2:72">
      <c r="B91" s="172"/>
      <c r="C91" s="1">
        <f t="shared" si="106"/>
        <v>57</v>
      </c>
      <c r="D91" s="3">
        <f t="shared" si="67"/>
        <v>12032.419405000004</v>
      </c>
      <c r="E91" s="3">
        <f t="shared" si="68"/>
        <v>11569.143155000003</v>
      </c>
      <c r="F91" s="3">
        <f t="shared" si="69"/>
        <v>12606.354668591997</v>
      </c>
      <c r="G91" s="3">
        <f t="shared" si="70"/>
        <v>11939.391442035998</v>
      </c>
      <c r="H91" s="3">
        <f t="shared" si="107"/>
        <v>10593.794400265071</v>
      </c>
      <c r="I91" s="3">
        <f t="shared" si="71"/>
        <v>12610.877343750002</v>
      </c>
      <c r="S91" s="1">
        <f t="shared" si="126"/>
        <v>76</v>
      </c>
      <c r="T91" s="9">
        <f t="shared" si="102"/>
        <v>0.05</v>
      </c>
      <c r="U91" s="3">
        <f t="shared" si="110"/>
        <v>13624.305679687504</v>
      </c>
      <c r="V91" s="6">
        <f t="shared" si="127"/>
        <v>105</v>
      </c>
      <c r="W91" s="3">
        <f t="shared" si="128"/>
        <v>10489.5</v>
      </c>
      <c r="X91" s="3">
        <f t="shared" si="129"/>
        <v>10500</v>
      </c>
      <c r="Y91" s="3">
        <f t="shared" si="111"/>
        <v>10500</v>
      </c>
      <c r="Z91" s="9">
        <f t="shared" si="112"/>
        <v>5.7500000000000002E-2</v>
      </c>
      <c r="AA91" s="3">
        <f t="shared" si="113"/>
        <v>10701.250000000002</v>
      </c>
      <c r="AB91" s="3" t="str">
        <f t="shared" si="114"/>
        <v>nie</v>
      </c>
      <c r="AC91" s="3">
        <f t="shared" si="115"/>
        <v>73.5</v>
      </c>
      <c r="AD91" s="1">
        <f t="shared" si="103"/>
        <v>13</v>
      </c>
      <c r="AE91" s="1">
        <f t="shared" si="72"/>
        <v>3</v>
      </c>
      <c r="AF91" s="1">
        <f t="shared" si="72"/>
        <v>2</v>
      </c>
      <c r="AG91" s="1">
        <f t="shared" si="72"/>
        <v>5</v>
      </c>
      <c r="AH91" s="3">
        <f t="shared" si="58"/>
        <v>1300</v>
      </c>
      <c r="AI91" s="9">
        <f t="shared" si="104"/>
        <v>1.2999999999999999E-2</v>
      </c>
      <c r="AJ91" s="3">
        <f t="shared" si="59"/>
        <v>1305.6333333333332</v>
      </c>
      <c r="AK91" s="3">
        <f t="shared" si="105"/>
        <v>5.6333333333332121</v>
      </c>
      <c r="AL91" s="3">
        <f t="shared" si="76"/>
        <v>1000</v>
      </c>
      <c r="AM91" s="9">
        <f t="shared" si="108"/>
        <v>5.7500000000000002E-2</v>
      </c>
      <c r="AN91" s="3">
        <f t="shared" si="74"/>
        <v>1019.1666666666667</v>
      </c>
      <c r="AO91" s="3">
        <f t="shared" si="109"/>
        <v>7</v>
      </c>
      <c r="AP91" s="3">
        <f t="shared" si="116"/>
        <v>0</v>
      </c>
      <c r="AQ91" s="3">
        <f t="shared" si="60"/>
        <v>0</v>
      </c>
      <c r="AR91" s="3">
        <f t="shared" si="61"/>
        <v>18.30000000000382</v>
      </c>
      <c r="AS91" s="1">
        <f t="shared" ref="AS91:AS122" si="142">IF(AP91&lt;&gt;0,MIN(IF(AG91&lt;&gt;"",AG91,0),ROUNDDOWN(AR91/zamiana_COI,0)),0)</f>
        <v>0</v>
      </c>
      <c r="AT91" s="3">
        <f t="shared" si="117"/>
        <v>18.30000000000382</v>
      </c>
      <c r="AU91" s="1">
        <f t="shared" si="57"/>
        <v>0</v>
      </c>
      <c r="AV91" s="3">
        <f t="shared" si="62"/>
        <v>18.30000000000382</v>
      </c>
      <c r="AW91" s="3">
        <f t="shared" si="63"/>
        <v>13044.350000000006</v>
      </c>
      <c r="AX91" s="3">
        <f>MIN(IF(MOD(S91,12)=0,INDEX(IKE_oplata_wskaznik,MATCH(ROUNDUP(S91/12,0),IKE_oplata_rok,0)),0)*AW91,200)</f>
        <v>0</v>
      </c>
      <c r="AY91" s="3">
        <f t="shared" si="130"/>
        <v>81.91259500000001</v>
      </c>
      <c r="AZ91" s="3">
        <f t="shared" si="118"/>
        <v>12962.437405000006</v>
      </c>
      <c r="BA91" s="3">
        <f t="shared" si="131"/>
        <v>86.133333333333212</v>
      </c>
      <c r="BB91" s="3">
        <f t="shared" si="119"/>
        <v>562.06116666666776</v>
      </c>
      <c r="BC91" s="3">
        <f t="shared" si="120"/>
        <v>12314.242905000005</v>
      </c>
      <c r="BE91" s="6">
        <f t="shared" si="132"/>
        <v>100</v>
      </c>
      <c r="BF91" s="3">
        <f t="shared" si="133"/>
        <v>10000</v>
      </c>
      <c r="BG91" s="3">
        <f t="shared" si="134"/>
        <v>10000</v>
      </c>
      <c r="BH91" s="3">
        <f t="shared" si="135"/>
        <v>13609.754124192001</v>
      </c>
      <c r="BI91" s="9">
        <f t="shared" si="121"/>
        <v>6.0000000000000005E-2</v>
      </c>
      <c r="BJ91" s="3">
        <f t="shared" si="122"/>
        <v>13881.949206675841</v>
      </c>
      <c r="BK91" s="3" t="str">
        <f t="shared" si="123"/>
        <v>nie</v>
      </c>
      <c r="BL91" s="3">
        <f t="shared" si="136"/>
        <v>0</v>
      </c>
      <c r="BM91" s="3">
        <f t="shared" si="137"/>
        <v>0</v>
      </c>
      <c r="BN91" s="3">
        <f t="shared" si="138"/>
        <v>13881.949206675841</v>
      </c>
      <c r="BO91" s="3">
        <f>MIN(IF(MOD(S91,12)=0,INDEX(IKE_oplata_wskaznik,MATCH(ROUNDUP(S91/12,0),IKE_oplata_rok,0)),0)*BN91,200)</f>
        <v>0</v>
      </c>
      <c r="BP91" s="3">
        <f t="shared" si="139"/>
        <v>84.36943664519039</v>
      </c>
      <c r="BQ91" s="3">
        <f t="shared" si="140"/>
        <v>13797.57977003065</v>
      </c>
      <c r="BR91" s="3">
        <f t="shared" si="124"/>
        <v>200</v>
      </c>
      <c r="BS91" s="3">
        <f t="shared" si="125"/>
        <v>699.57034926840981</v>
      </c>
      <c r="BT91" s="3">
        <f t="shared" si="141"/>
        <v>12898.009420762241</v>
      </c>
    </row>
    <row r="92" spans="2:72">
      <c r="B92" s="172"/>
      <c r="C92" s="1">
        <f t="shared" si="106"/>
        <v>58</v>
      </c>
      <c r="D92" s="3">
        <f t="shared" si="67"/>
        <v>12049.76107166667</v>
      </c>
      <c r="E92" s="3">
        <f t="shared" si="68"/>
        <v>11583.189905000003</v>
      </c>
      <c r="F92" s="3">
        <f t="shared" si="69"/>
        <v>12666.917832191999</v>
      </c>
      <c r="G92" s="3">
        <f t="shared" si="70"/>
        <v>11988.447604551999</v>
      </c>
      <c r="H92" s="3">
        <f t="shared" si="107"/>
        <v>10604.520617095341</v>
      </c>
      <c r="I92" s="3">
        <f t="shared" si="71"/>
        <v>12661.523437500004</v>
      </c>
      <c r="S92" s="1">
        <f t="shared" si="126"/>
        <v>77</v>
      </c>
      <c r="T92" s="9">
        <f t="shared" ref="T92:T123" si="143">MAX(INDEX(scenariusz_I_inflacja,MATCH(ROUNDUP(S92/12,0)-1,scenariusz_I_rok,0)),0)</f>
        <v>0.05</v>
      </c>
      <c r="U92" s="3">
        <f t="shared" si="110"/>
        <v>13680.142998046878</v>
      </c>
      <c r="V92" s="6">
        <f t="shared" si="127"/>
        <v>105</v>
      </c>
      <c r="W92" s="3">
        <f t="shared" si="128"/>
        <v>10489.5</v>
      </c>
      <c r="X92" s="3">
        <f t="shared" si="129"/>
        <v>10500</v>
      </c>
      <c r="Y92" s="3">
        <f t="shared" si="111"/>
        <v>10500</v>
      </c>
      <c r="Z92" s="9">
        <f t="shared" si="112"/>
        <v>5.7500000000000002E-2</v>
      </c>
      <c r="AA92" s="3">
        <f t="shared" si="113"/>
        <v>10751.5625</v>
      </c>
      <c r="AB92" s="3" t="str">
        <f t="shared" si="114"/>
        <v>nie</v>
      </c>
      <c r="AC92" s="3">
        <f t="shared" si="115"/>
        <v>73.5</v>
      </c>
      <c r="AD92" s="1">
        <f t="shared" ref="AD92:AD123" si="144">IF(AP91&lt;&gt;0,AS91+AU91,AD91)</f>
        <v>13</v>
      </c>
      <c r="AE92" s="1">
        <f t="shared" si="72"/>
        <v>3</v>
      </c>
      <c r="AF92" s="1">
        <f t="shared" si="72"/>
        <v>2</v>
      </c>
      <c r="AG92" s="1">
        <f t="shared" si="72"/>
        <v>5</v>
      </c>
      <c r="AH92" s="3">
        <f t="shared" si="58"/>
        <v>1300</v>
      </c>
      <c r="AI92" s="9">
        <f t="shared" ref="AI92:AI123" si="145">proc_I_okres_COI</f>
        <v>1.2999999999999999E-2</v>
      </c>
      <c r="AJ92" s="3">
        <f t="shared" si="59"/>
        <v>1307.0416666666665</v>
      </c>
      <c r="AK92" s="3">
        <f t="shared" ref="AK92:AK123" si="146">MIN(AD92*koszt_wczesniejszy_wykup_COI,AJ92-AH92)</f>
        <v>7.0416666666665151</v>
      </c>
      <c r="AL92" s="3">
        <f t="shared" si="76"/>
        <v>1000</v>
      </c>
      <c r="AM92" s="9">
        <f t="shared" si="108"/>
        <v>5.7500000000000002E-2</v>
      </c>
      <c r="AN92" s="3">
        <f t="shared" si="74"/>
        <v>1023.9583333333333</v>
      </c>
      <c r="AO92" s="3">
        <f t="shared" si="109"/>
        <v>7</v>
      </c>
      <c r="AP92" s="3">
        <f t="shared" si="116"/>
        <v>0</v>
      </c>
      <c r="AQ92" s="3">
        <f t="shared" si="60"/>
        <v>0</v>
      </c>
      <c r="AR92" s="3">
        <f t="shared" si="61"/>
        <v>18.30000000000382</v>
      </c>
      <c r="AS92" s="1">
        <f t="shared" si="142"/>
        <v>0</v>
      </c>
      <c r="AT92" s="3">
        <f t="shared" si="117"/>
        <v>18.30000000000382</v>
      </c>
      <c r="AU92" s="1">
        <f t="shared" ref="AU92:AU155" si="147">ROUNDDOWN(AT92/100,0)</f>
        <v>0</v>
      </c>
      <c r="AV92" s="3">
        <f t="shared" si="62"/>
        <v>18.30000000000382</v>
      </c>
      <c r="AW92" s="3">
        <f t="shared" si="63"/>
        <v>13100.862500000003</v>
      </c>
      <c r="AX92" s="3">
        <f>MIN(IF(MOD(S92,12)=0,INDEX(IKE_oplata_wskaznik,MATCH(ROUNDUP(S92/12,0),IKE_oplata_rok,0)),0)*AW92,200)</f>
        <v>0</v>
      </c>
      <c r="AY92" s="3">
        <f t="shared" si="130"/>
        <v>81.91259500000001</v>
      </c>
      <c r="AZ92" s="3">
        <f t="shared" si="118"/>
        <v>13018.949905000003</v>
      </c>
      <c r="BA92" s="3">
        <f t="shared" si="131"/>
        <v>87.541666666666515</v>
      </c>
      <c r="BB92" s="3">
        <f t="shared" si="119"/>
        <v>572.53095833333396</v>
      </c>
      <c r="BC92" s="3">
        <f t="shared" si="120"/>
        <v>12358.877280000002</v>
      </c>
      <c r="BE92" s="6">
        <f t="shared" si="132"/>
        <v>100</v>
      </c>
      <c r="BF92" s="3">
        <f t="shared" si="133"/>
        <v>10000</v>
      </c>
      <c r="BG92" s="3">
        <f t="shared" si="134"/>
        <v>10000</v>
      </c>
      <c r="BH92" s="3">
        <f t="shared" si="135"/>
        <v>13609.754124192001</v>
      </c>
      <c r="BI92" s="9">
        <f t="shared" si="121"/>
        <v>6.0000000000000005E-2</v>
      </c>
      <c r="BJ92" s="3">
        <f t="shared" si="122"/>
        <v>13949.9979772968</v>
      </c>
      <c r="BK92" s="3" t="str">
        <f t="shared" si="123"/>
        <v>nie</v>
      </c>
      <c r="BL92" s="3">
        <f t="shared" si="136"/>
        <v>0</v>
      </c>
      <c r="BM92" s="3">
        <f t="shared" si="137"/>
        <v>0</v>
      </c>
      <c r="BN92" s="3">
        <f t="shared" si="138"/>
        <v>13949.9979772968</v>
      </c>
      <c r="BO92" s="3">
        <f>MIN(IF(MOD(S92,12)=0,INDEX(IKE_oplata_wskaznik,MATCH(ROUNDUP(S92/12,0),IKE_oplata_rok,0)),0)*BN92,200)</f>
        <v>0</v>
      </c>
      <c r="BP92" s="3">
        <f t="shared" si="139"/>
        <v>84.36943664519039</v>
      </c>
      <c r="BQ92" s="3">
        <f t="shared" si="140"/>
        <v>13865.628540651609</v>
      </c>
      <c r="BR92" s="3">
        <f t="shared" si="124"/>
        <v>200</v>
      </c>
      <c r="BS92" s="3">
        <f t="shared" si="125"/>
        <v>712.49961568639196</v>
      </c>
      <c r="BT92" s="3">
        <f t="shared" si="141"/>
        <v>12953.128924965216</v>
      </c>
    </row>
    <row r="93" spans="2:72">
      <c r="B93" s="173"/>
      <c r="C93" s="1">
        <f t="shared" si="106"/>
        <v>59</v>
      </c>
      <c r="D93" s="3">
        <f t="shared" si="67"/>
        <v>12067.102738333335</v>
      </c>
      <c r="E93" s="3">
        <f t="shared" si="68"/>
        <v>11597.236655000002</v>
      </c>
      <c r="F93" s="3">
        <f t="shared" si="69"/>
        <v>12727.480995791999</v>
      </c>
      <c r="G93" s="3">
        <f t="shared" si="70"/>
        <v>12037.503767067999</v>
      </c>
      <c r="H93" s="3">
        <f t="shared" si="107"/>
        <v>10615.25769422015</v>
      </c>
      <c r="I93" s="3">
        <f t="shared" si="71"/>
        <v>12712.169531250003</v>
      </c>
      <c r="S93" s="1">
        <f t="shared" si="126"/>
        <v>78</v>
      </c>
      <c r="T93" s="9">
        <f t="shared" si="143"/>
        <v>0.05</v>
      </c>
      <c r="U93" s="3">
        <f t="shared" si="110"/>
        <v>13735.980316406254</v>
      </c>
      <c r="V93" s="6">
        <f t="shared" si="127"/>
        <v>105</v>
      </c>
      <c r="W93" s="3">
        <f t="shared" si="128"/>
        <v>10489.5</v>
      </c>
      <c r="X93" s="3">
        <f t="shared" si="129"/>
        <v>10500</v>
      </c>
      <c r="Y93" s="3">
        <f t="shared" si="111"/>
        <v>10500</v>
      </c>
      <c r="Z93" s="9">
        <f t="shared" si="112"/>
        <v>5.7500000000000002E-2</v>
      </c>
      <c r="AA93" s="3">
        <f t="shared" si="113"/>
        <v>10801.875</v>
      </c>
      <c r="AB93" s="3" t="str">
        <f t="shared" si="114"/>
        <v>nie</v>
      </c>
      <c r="AC93" s="3">
        <f t="shared" si="115"/>
        <v>73.5</v>
      </c>
      <c r="AD93" s="1">
        <f t="shared" si="144"/>
        <v>13</v>
      </c>
      <c r="AE93" s="1">
        <f t="shared" si="72"/>
        <v>3</v>
      </c>
      <c r="AF93" s="1">
        <f t="shared" si="72"/>
        <v>2</v>
      </c>
      <c r="AG93" s="1">
        <f t="shared" si="72"/>
        <v>5</v>
      </c>
      <c r="AH93" s="3">
        <f t="shared" ref="AH93:AH156" si="148">AD93*100</f>
        <v>1300</v>
      </c>
      <c r="AI93" s="9">
        <f t="shared" si="145"/>
        <v>1.2999999999999999E-2</v>
      </c>
      <c r="AJ93" s="3">
        <f t="shared" ref="AJ93:AJ156" si="149">AH93*(1+AI93*IF(MOD($S93,12)&lt;&gt;0,MOD($S93,12),12)/12)</f>
        <v>1308.45</v>
      </c>
      <c r="AK93" s="3">
        <f t="shared" si="146"/>
        <v>8.4500000000000455</v>
      </c>
      <c r="AL93" s="3">
        <f t="shared" si="76"/>
        <v>1000</v>
      </c>
      <c r="AM93" s="9">
        <f t="shared" si="108"/>
        <v>5.7500000000000002E-2</v>
      </c>
      <c r="AN93" s="3">
        <f t="shared" ref="AN93:AN156" si="150">AL93*(1+AM93*IF(MOD($S93,12)&lt;&gt;0,MOD($S93,12),12)/12)</f>
        <v>1028.75</v>
      </c>
      <c r="AO93" s="3">
        <f t="shared" si="109"/>
        <v>7</v>
      </c>
      <c r="AP93" s="3">
        <f t="shared" si="116"/>
        <v>0</v>
      </c>
      <c r="AQ93" s="3">
        <f t="shared" ref="AQ93:AQ156" si="151">IF(MOD(S93,12)=0,AJ93-AH93+AN93-AL93+AG93*100,0)</f>
        <v>0</v>
      </c>
      <c r="AR93" s="3">
        <f t="shared" ref="AR93:AR156" si="152">AV92+AP93+AQ93</f>
        <v>18.30000000000382</v>
      </c>
      <c r="AS93" s="1">
        <f t="shared" si="142"/>
        <v>0</v>
      </c>
      <c r="AT93" s="3">
        <f t="shared" si="117"/>
        <v>18.30000000000382</v>
      </c>
      <c r="AU93" s="1">
        <f t="shared" si="147"/>
        <v>0</v>
      </c>
      <c r="AV93" s="3">
        <f t="shared" ref="AV93:AV156" si="153">AT93-AU93*100</f>
        <v>18.30000000000382</v>
      </c>
      <c r="AW93" s="3">
        <f t="shared" ref="AW93:AW156" si="154">AA93+AJ93+AN93+AV92</f>
        <v>13157.375000000004</v>
      </c>
      <c r="AX93" s="3">
        <f>MIN(IF(MOD(S93,12)=0,INDEX(IKE_oplata_wskaznik,MATCH(ROUNDUP(S93/12,0),IKE_oplata_rok,0)),0)*AW93,200)</f>
        <v>0</v>
      </c>
      <c r="AY93" s="3">
        <f t="shared" si="130"/>
        <v>81.91259500000001</v>
      </c>
      <c r="AZ93" s="3">
        <f t="shared" si="118"/>
        <v>13075.462405000004</v>
      </c>
      <c r="BA93" s="3">
        <f t="shared" si="131"/>
        <v>88.950000000000045</v>
      </c>
      <c r="BB93" s="3">
        <f t="shared" si="119"/>
        <v>583.00075000000061</v>
      </c>
      <c r="BC93" s="3">
        <f t="shared" si="120"/>
        <v>12403.511655000002</v>
      </c>
      <c r="BE93" s="6">
        <f t="shared" si="132"/>
        <v>100</v>
      </c>
      <c r="BF93" s="3">
        <f t="shared" si="133"/>
        <v>10000</v>
      </c>
      <c r="BG93" s="3">
        <f t="shared" si="134"/>
        <v>10000</v>
      </c>
      <c r="BH93" s="3">
        <f t="shared" si="135"/>
        <v>13609.754124192001</v>
      </c>
      <c r="BI93" s="9">
        <f t="shared" si="121"/>
        <v>6.0000000000000005E-2</v>
      </c>
      <c r="BJ93" s="3">
        <f t="shared" si="122"/>
        <v>14018.046747917761</v>
      </c>
      <c r="BK93" s="3" t="str">
        <f t="shared" si="123"/>
        <v>nie</v>
      </c>
      <c r="BL93" s="3">
        <f t="shared" si="136"/>
        <v>0</v>
      </c>
      <c r="BM93" s="3">
        <f t="shared" si="137"/>
        <v>0</v>
      </c>
      <c r="BN93" s="3">
        <f t="shared" si="138"/>
        <v>14018.046747917761</v>
      </c>
      <c r="BO93" s="3">
        <f>MIN(IF(MOD(S93,12)=0,INDEX(IKE_oplata_wskaznik,MATCH(ROUNDUP(S93/12,0),IKE_oplata_rok,0)),0)*BN93,200)</f>
        <v>0</v>
      </c>
      <c r="BP93" s="3">
        <f t="shared" si="139"/>
        <v>84.36943664519039</v>
      </c>
      <c r="BQ93" s="3">
        <f t="shared" si="140"/>
        <v>13933.67731127257</v>
      </c>
      <c r="BR93" s="3">
        <f t="shared" si="124"/>
        <v>200</v>
      </c>
      <c r="BS93" s="3">
        <f t="shared" si="125"/>
        <v>725.42888210437445</v>
      </c>
      <c r="BT93" s="3">
        <f t="shared" si="141"/>
        <v>13008.248429168196</v>
      </c>
    </row>
    <row r="94" spans="2:72">
      <c r="B94" s="171">
        <f>ROUNDUP(C95/12,0)</f>
        <v>6</v>
      </c>
      <c r="C94" s="4">
        <f t="shared" si="106"/>
        <v>60</v>
      </c>
      <c r="D94" s="12">
        <f t="shared" si="67"/>
        <v>12068.668645000003</v>
      </c>
      <c r="E94" s="12">
        <f t="shared" si="68"/>
        <v>11595.507645000003</v>
      </c>
      <c r="F94" s="12">
        <f t="shared" si="69"/>
        <v>12771.352951503839</v>
      </c>
      <c r="G94" s="12">
        <f t="shared" si="70"/>
        <v>12069.868721695839</v>
      </c>
      <c r="H94" s="12">
        <f t="shared" si="107"/>
        <v>10626.00564263555</v>
      </c>
      <c r="I94" s="12">
        <f t="shared" si="71"/>
        <v>12762.815625000003</v>
      </c>
      <c r="S94" s="1">
        <f t="shared" si="126"/>
        <v>79</v>
      </c>
      <c r="T94" s="9">
        <f t="shared" si="143"/>
        <v>0.05</v>
      </c>
      <c r="U94" s="3">
        <f t="shared" si="110"/>
        <v>13791.817634765628</v>
      </c>
      <c r="V94" s="6">
        <f t="shared" si="127"/>
        <v>105</v>
      </c>
      <c r="W94" s="3">
        <f t="shared" si="128"/>
        <v>10489.5</v>
      </c>
      <c r="X94" s="3">
        <f t="shared" si="129"/>
        <v>10500</v>
      </c>
      <c r="Y94" s="3">
        <f t="shared" si="111"/>
        <v>10500</v>
      </c>
      <c r="Z94" s="9">
        <f t="shared" si="112"/>
        <v>5.7500000000000002E-2</v>
      </c>
      <c r="AA94" s="3">
        <f t="shared" si="113"/>
        <v>10852.1875</v>
      </c>
      <c r="AB94" s="3" t="str">
        <f t="shared" si="114"/>
        <v>nie</v>
      </c>
      <c r="AC94" s="3">
        <f t="shared" si="115"/>
        <v>73.5</v>
      </c>
      <c r="AD94" s="1">
        <f t="shared" si="144"/>
        <v>13</v>
      </c>
      <c r="AE94" s="1">
        <f t="shared" si="72"/>
        <v>3</v>
      </c>
      <c r="AF94" s="1">
        <f t="shared" si="72"/>
        <v>2</v>
      </c>
      <c r="AG94" s="1">
        <f t="shared" si="72"/>
        <v>5</v>
      </c>
      <c r="AH94" s="3">
        <f t="shared" si="148"/>
        <v>1300</v>
      </c>
      <c r="AI94" s="9">
        <f t="shared" si="145"/>
        <v>1.2999999999999999E-2</v>
      </c>
      <c r="AJ94" s="3">
        <f t="shared" si="149"/>
        <v>1309.8583333333333</v>
      </c>
      <c r="AK94" s="3">
        <f t="shared" si="146"/>
        <v>9.1</v>
      </c>
      <c r="AL94" s="3">
        <f t="shared" si="76"/>
        <v>1000</v>
      </c>
      <c r="AM94" s="9">
        <f t="shared" si="108"/>
        <v>5.7500000000000002E-2</v>
      </c>
      <c r="AN94" s="3">
        <f t="shared" si="150"/>
        <v>1033.5416666666665</v>
      </c>
      <c r="AO94" s="3">
        <f t="shared" si="109"/>
        <v>7</v>
      </c>
      <c r="AP94" s="3">
        <f t="shared" si="116"/>
        <v>0</v>
      </c>
      <c r="AQ94" s="3">
        <f t="shared" si="151"/>
        <v>0</v>
      </c>
      <c r="AR94" s="3">
        <f t="shared" si="152"/>
        <v>18.30000000000382</v>
      </c>
      <c r="AS94" s="1">
        <f t="shared" si="142"/>
        <v>0</v>
      </c>
      <c r="AT94" s="3">
        <f t="shared" si="117"/>
        <v>18.30000000000382</v>
      </c>
      <c r="AU94" s="1">
        <f t="shared" si="147"/>
        <v>0</v>
      </c>
      <c r="AV94" s="3">
        <f t="shared" si="153"/>
        <v>18.30000000000382</v>
      </c>
      <c r="AW94" s="3">
        <f t="shared" si="154"/>
        <v>13213.887500000004</v>
      </c>
      <c r="AX94" s="3">
        <f>MIN(IF(MOD(S94,12)=0,INDEX(IKE_oplata_wskaznik,MATCH(ROUNDUP(S94/12,0),IKE_oplata_rok,0)),0)*AW94,200)</f>
        <v>0</v>
      </c>
      <c r="AY94" s="3">
        <f t="shared" si="130"/>
        <v>81.91259500000001</v>
      </c>
      <c r="AZ94" s="3">
        <f t="shared" si="118"/>
        <v>13131.974905000005</v>
      </c>
      <c r="BA94" s="3">
        <f t="shared" si="131"/>
        <v>89.6</v>
      </c>
      <c r="BB94" s="3">
        <f t="shared" si="119"/>
        <v>593.61462500000073</v>
      </c>
      <c r="BC94" s="3">
        <f t="shared" si="120"/>
        <v>12448.760280000004</v>
      </c>
      <c r="BE94" s="6">
        <f t="shared" si="132"/>
        <v>100</v>
      </c>
      <c r="BF94" s="3">
        <f t="shared" si="133"/>
        <v>10000</v>
      </c>
      <c r="BG94" s="3">
        <f t="shared" si="134"/>
        <v>10000</v>
      </c>
      <c r="BH94" s="3">
        <f t="shared" si="135"/>
        <v>13609.754124192001</v>
      </c>
      <c r="BI94" s="9">
        <f t="shared" si="121"/>
        <v>6.0000000000000005E-2</v>
      </c>
      <c r="BJ94" s="3">
        <f t="shared" si="122"/>
        <v>14086.095518538719</v>
      </c>
      <c r="BK94" s="3" t="str">
        <f t="shared" si="123"/>
        <v>nie</v>
      </c>
      <c r="BL94" s="3">
        <f t="shared" si="136"/>
        <v>0</v>
      </c>
      <c r="BM94" s="3">
        <f t="shared" si="137"/>
        <v>0</v>
      </c>
      <c r="BN94" s="3">
        <f t="shared" si="138"/>
        <v>14086.095518538719</v>
      </c>
      <c r="BO94" s="3">
        <f>MIN(IF(MOD(S94,12)=0,INDEX(IKE_oplata_wskaznik,MATCH(ROUNDUP(S94/12,0),IKE_oplata_rok,0)),0)*BN94,200)</f>
        <v>0</v>
      </c>
      <c r="BP94" s="3">
        <f t="shared" si="139"/>
        <v>84.36943664519039</v>
      </c>
      <c r="BQ94" s="3">
        <f t="shared" si="140"/>
        <v>14001.726081893528</v>
      </c>
      <c r="BR94" s="3">
        <f t="shared" si="124"/>
        <v>200</v>
      </c>
      <c r="BS94" s="3">
        <f t="shared" si="125"/>
        <v>738.35814852235671</v>
      </c>
      <c r="BT94" s="3">
        <f t="shared" si="141"/>
        <v>13063.367933371172</v>
      </c>
    </row>
    <row r="95" spans="2:72">
      <c r="B95" s="172"/>
      <c r="C95" s="1">
        <f t="shared" si="106"/>
        <v>61</v>
      </c>
      <c r="D95" s="3">
        <f t="shared" si="67"/>
        <v>12125.635311666669</v>
      </c>
      <c r="E95" s="3">
        <f t="shared" si="68"/>
        <v>11641.954395000002</v>
      </c>
      <c r="F95" s="3">
        <f t="shared" si="69"/>
        <v>12835.549904919837</v>
      </c>
      <c r="G95" s="3">
        <f t="shared" si="70"/>
        <v>12121.868253962797</v>
      </c>
      <c r="H95" s="3">
        <f t="shared" si="107"/>
        <v>10636.76447334872</v>
      </c>
      <c r="I95" s="3">
        <f t="shared" si="71"/>
        <v>12815.994023437503</v>
      </c>
      <c r="S95" s="1">
        <f t="shared" si="126"/>
        <v>80</v>
      </c>
      <c r="T95" s="9">
        <f t="shared" si="143"/>
        <v>0.05</v>
      </c>
      <c r="U95" s="3">
        <f t="shared" si="110"/>
        <v>13847.654953125006</v>
      </c>
      <c r="V95" s="6">
        <f t="shared" si="127"/>
        <v>105</v>
      </c>
      <c r="W95" s="3">
        <f t="shared" si="128"/>
        <v>10489.5</v>
      </c>
      <c r="X95" s="3">
        <f t="shared" si="129"/>
        <v>10500</v>
      </c>
      <c r="Y95" s="3">
        <f t="shared" si="111"/>
        <v>10500</v>
      </c>
      <c r="Z95" s="9">
        <f t="shared" si="112"/>
        <v>5.7500000000000002E-2</v>
      </c>
      <c r="AA95" s="3">
        <f t="shared" si="113"/>
        <v>10902.5</v>
      </c>
      <c r="AB95" s="3" t="str">
        <f t="shared" si="114"/>
        <v>nie</v>
      </c>
      <c r="AC95" s="3">
        <f t="shared" si="115"/>
        <v>73.5</v>
      </c>
      <c r="AD95" s="1">
        <f t="shared" si="144"/>
        <v>13</v>
      </c>
      <c r="AE95" s="1">
        <f t="shared" si="72"/>
        <v>3</v>
      </c>
      <c r="AF95" s="1">
        <f t="shared" si="72"/>
        <v>2</v>
      </c>
      <c r="AG95" s="1">
        <f t="shared" si="72"/>
        <v>5</v>
      </c>
      <c r="AH95" s="3">
        <f t="shared" si="148"/>
        <v>1300</v>
      </c>
      <c r="AI95" s="9">
        <f t="shared" si="145"/>
        <v>1.2999999999999999E-2</v>
      </c>
      <c r="AJ95" s="3">
        <f t="shared" si="149"/>
        <v>1311.2666666666667</v>
      </c>
      <c r="AK95" s="3">
        <f t="shared" si="146"/>
        <v>9.1</v>
      </c>
      <c r="AL95" s="3">
        <f t="shared" si="76"/>
        <v>1000</v>
      </c>
      <c r="AM95" s="9">
        <f t="shared" si="108"/>
        <v>5.7500000000000002E-2</v>
      </c>
      <c r="AN95" s="3">
        <f t="shared" si="150"/>
        <v>1038.3333333333333</v>
      </c>
      <c r="AO95" s="3">
        <f t="shared" si="109"/>
        <v>7</v>
      </c>
      <c r="AP95" s="3">
        <f t="shared" si="116"/>
        <v>0</v>
      </c>
      <c r="AQ95" s="3">
        <f t="shared" si="151"/>
        <v>0</v>
      </c>
      <c r="AR95" s="3">
        <f t="shared" si="152"/>
        <v>18.30000000000382</v>
      </c>
      <c r="AS95" s="1">
        <f t="shared" si="142"/>
        <v>0</v>
      </c>
      <c r="AT95" s="3">
        <f t="shared" si="117"/>
        <v>18.30000000000382</v>
      </c>
      <c r="AU95" s="1">
        <f t="shared" si="147"/>
        <v>0</v>
      </c>
      <c r="AV95" s="3">
        <f t="shared" si="153"/>
        <v>18.30000000000382</v>
      </c>
      <c r="AW95" s="3">
        <f t="shared" si="154"/>
        <v>13270.400000000005</v>
      </c>
      <c r="AX95" s="3">
        <f>MIN(IF(MOD(S95,12)=0,INDEX(IKE_oplata_wskaznik,MATCH(ROUNDUP(S95/12,0),IKE_oplata_rok,0)),0)*AW95,200)</f>
        <v>0</v>
      </c>
      <c r="AY95" s="3">
        <f t="shared" si="130"/>
        <v>81.91259500000001</v>
      </c>
      <c r="AZ95" s="3">
        <f t="shared" si="118"/>
        <v>13188.487405000005</v>
      </c>
      <c r="BA95" s="3">
        <f t="shared" si="131"/>
        <v>89.6</v>
      </c>
      <c r="BB95" s="3">
        <f t="shared" si="119"/>
        <v>604.35200000000088</v>
      </c>
      <c r="BC95" s="3">
        <f t="shared" si="120"/>
        <v>12494.535405000004</v>
      </c>
      <c r="BE95" s="6">
        <f t="shared" si="132"/>
        <v>100</v>
      </c>
      <c r="BF95" s="3">
        <f t="shared" si="133"/>
        <v>10000</v>
      </c>
      <c r="BG95" s="3">
        <f t="shared" si="134"/>
        <v>10000</v>
      </c>
      <c r="BH95" s="3">
        <f t="shared" si="135"/>
        <v>13609.754124192001</v>
      </c>
      <c r="BI95" s="9">
        <f t="shared" si="121"/>
        <v>6.0000000000000005E-2</v>
      </c>
      <c r="BJ95" s="3">
        <f t="shared" si="122"/>
        <v>14154.144289159682</v>
      </c>
      <c r="BK95" s="3" t="str">
        <f t="shared" si="123"/>
        <v>nie</v>
      </c>
      <c r="BL95" s="3">
        <f t="shared" si="136"/>
        <v>0</v>
      </c>
      <c r="BM95" s="3">
        <f t="shared" si="137"/>
        <v>0</v>
      </c>
      <c r="BN95" s="3">
        <f t="shared" si="138"/>
        <v>14154.144289159682</v>
      </c>
      <c r="BO95" s="3">
        <f>MIN(IF(MOD(S95,12)=0,INDEX(IKE_oplata_wskaznik,MATCH(ROUNDUP(S95/12,0),IKE_oplata_rok,0)),0)*BN95,200)</f>
        <v>0</v>
      </c>
      <c r="BP95" s="3">
        <f t="shared" si="139"/>
        <v>84.36943664519039</v>
      </c>
      <c r="BQ95" s="3">
        <f t="shared" si="140"/>
        <v>14069.774852514491</v>
      </c>
      <c r="BR95" s="3">
        <f t="shared" si="124"/>
        <v>200</v>
      </c>
      <c r="BS95" s="3">
        <f t="shared" si="125"/>
        <v>751.28741494033954</v>
      </c>
      <c r="BT95" s="3">
        <f t="shared" si="141"/>
        <v>13118.487437574151</v>
      </c>
    </row>
    <row r="96" spans="2:72">
      <c r="B96" s="172"/>
      <c r="C96" s="1">
        <f t="shared" si="106"/>
        <v>62</v>
      </c>
      <c r="D96" s="3">
        <f t="shared" si="67"/>
        <v>12182.501978333336</v>
      </c>
      <c r="E96" s="3">
        <f t="shared" si="68"/>
        <v>11687.753145000002</v>
      </c>
      <c r="F96" s="3">
        <f t="shared" si="69"/>
        <v>12899.746858335839</v>
      </c>
      <c r="G96" s="3">
        <f t="shared" si="70"/>
        <v>12173.867786229759</v>
      </c>
      <c r="H96" s="3">
        <f t="shared" si="107"/>
        <v>10647.534197377987</v>
      </c>
      <c r="I96" s="3">
        <f t="shared" si="71"/>
        <v>12869.172421875002</v>
      </c>
      <c r="S96" s="1">
        <f t="shared" si="126"/>
        <v>81</v>
      </c>
      <c r="T96" s="9">
        <f t="shared" si="143"/>
        <v>0.05</v>
      </c>
      <c r="U96" s="3">
        <f t="shared" si="110"/>
        <v>13903.492271484381</v>
      </c>
      <c r="V96" s="6">
        <f t="shared" si="127"/>
        <v>105</v>
      </c>
      <c r="W96" s="3">
        <f t="shared" si="128"/>
        <v>10489.5</v>
      </c>
      <c r="X96" s="3">
        <f t="shared" si="129"/>
        <v>10500</v>
      </c>
      <c r="Y96" s="3">
        <f t="shared" si="111"/>
        <v>10500</v>
      </c>
      <c r="Z96" s="9">
        <f t="shared" si="112"/>
        <v>5.7500000000000002E-2</v>
      </c>
      <c r="AA96" s="3">
        <f t="shared" si="113"/>
        <v>10952.8125</v>
      </c>
      <c r="AB96" s="3" t="str">
        <f t="shared" si="114"/>
        <v>nie</v>
      </c>
      <c r="AC96" s="3">
        <f t="shared" si="115"/>
        <v>73.5</v>
      </c>
      <c r="AD96" s="1">
        <f t="shared" si="144"/>
        <v>13</v>
      </c>
      <c r="AE96" s="1">
        <f t="shared" si="72"/>
        <v>3</v>
      </c>
      <c r="AF96" s="1">
        <f t="shared" si="72"/>
        <v>2</v>
      </c>
      <c r="AG96" s="1">
        <f t="shared" si="72"/>
        <v>5</v>
      </c>
      <c r="AH96" s="3">
        <f t="shared" si="148"/>
        <v>1300</v>
      </c>
      <c r="AI96" s="9">
        <f t="shared" si="145"/>
        <v>1.2999999999999999E-2</v>
      </c>
      <c r="AJ96" s="3">
        <f t="shared" si="149"/>
        <v>1312.675</v>
      </c>
      <c r="AK96" s="3">
        <f t="shared" si="146"/>
        <v>9.1</v>
      </c>
      <c r="AL96" s="3">
        <f t="shared" si="76"/>
        <v>1000</v>
      </c>
      <c r="AM96" s="9">
        <f t="shared" si="108"/>
        <v>5.7500000000000002E-2</v>
      </c>
      <c r="AN96" s="3">
        <f t="shared" si="150"/>
        <v>1043.125</v>
      </c>
      <c r="AO96" s="3">
        <f t="shared" si="109"/>
        <v>7</v>
      </c>
      <c r="AP96" s="3">
        <f t="shared" si="116"/>
        <v>0</v>
      </c>
      <c r="AQ96" s="3">
        <f t="shared" si="151"/>
        <v>0</v>
      </c>
      <c r="AR96" s="3">
        <f t="shared" si="152"/>
        <v>18.30000000000382</v>
      </c>
      <c r="AS96" s="1">
        <f t="shared" si="142"/>
        <v>0</v>
      </c>
      <c r="AT96" s="3">
        <f t="shared" si="117"/>
        <v>18.30000000000382</v>
      </c>
      <c r="AU96" s="1">
        <f t="shared" si="147"/>
        <v>0</v>
      </c>
      <c r="AV96" s="3">
        <f t="shared" si="153"/>
        <v>18.30000000000382</v>
      </c>
      <c r="AW96" s="3">
        <f t="shared" si="154"/>
        <v>13326.912500000002</v>
      </c>
      <c r="AX96" s="3">
        <f>MIN(IF(MOD(S96,12)=0,INDEX(IKE_oplata_wskaznik,MATCH(ROUNDUP(S96/12,0),IKE_oplata_rok,0)),0)*AW96,200)</f>
        <v>0</v>
      </c>
      <c r="AY96" s="3">
        <f t="shared" si="130"/>
        <v>81.91259500000001</v>
      </c>
      <c r="AZ96" s="3">
        <f t="shared" si="118"/>
        <v>13244.999905000002</v>
      </c>
      <c r="BA96" s="3">
        <f t="shared" si="131"/>
        <v>89.6</v>
      </c>
      <c r="BB96" s="3">
        <f t="shared" si="119"/>
        <v>615.08937500000036</v>
      </c>
      <c r="BC96" s="3">
        <f t="shared" si="120"/>
        <v>12540.310530000002</v>
      </c>
      <c r="BE96" s="6">
        <f t="shared" si="132"/>
        <v>100</v>
      </c>
      <c r="BF96" s="3">
        <f t="shared" si="133"/>
        <v>10000</v>
      </c>
      <c r="BG96" s="3">
        <f t="shared" si="134"/>
        <v>10000</v>
      </c>
      <c r="BH96" s="3">
        <f t="shared" si="135"/>
        <v>13609.754124192001</v>
      </c>
      <c r="BI96" s="9">
        <f t="shared" si="121"/>
        <v>6.0000000000000005E-2</v>
      </c>
      <c r="BJ96" s="3">
        <f t="shared" si="122"/>
        <v>14222.19305978064</v>
      </c>
      <c r="BK96" s="3" t="str">
        <f t="shared" si="123"/>
        <v>nie</v>
      </c>
      <c r="BL96" s="3">
        <f t="shared" si="136"/>
        <v>0</v>
      </c>
      <c r="BM96" s="3">
        <f t="shared" si="137"/>
        <v>0</v>
      </c>
      <c r="BN96" s="3">
        <f t="shared" si="138"/>
        <v>14222.19305978064</v>
      </c>
      <c r="BO96" s="3">
        <f>MIN(IF(MOD(S96,12)=0,INDEX(IKE_oplata_wskaznik,MATCH(ROUNDUP(S96/12,0),IKE_oplata_rok,0)),0)*BN96,200)</f>
        <v>0</v>
      </c>
      <c r="BP96" s="3">
        <f t="shared" si="139"/>
        <v>84.36943664519039</v>
      </c>
      <c r="BQ96" s="3">
        <f t="shared" si="140"/>
        <v>14137.823623135449</v>
      </c>
      <c r="BR96" s="3">
        <f t="shared" si="124"/>
        <v>200</v>
      </c>
      <c r="BS96" s="3">
        <f t="shared" si="125"/>
        <v>764.21668135832169</v>
      </c>
      <c r="BT96" s="3">
        <f t="shared" si="141"/>
        <v>13173.606941777129</v>
      </c>
    </row>
    <row r="97" spans="2:72">
      <c r="B97" s="172"/>
      <c r="C97" s="1">
        <f t="shared" si="106"/>
        <v>63</v>
      </c>
      <c r="D97" s="3">
        <f t="shared" si="67"/>
        <v>12239.368645000002</v>
      </c>
      <c r="E97" s="3">
        <f t="shared" si="68"/>
        <v>11733.551895000001</v>
      </c>
      <c r="F97" s="3">
        <f t="shared" si="69"/>
        <v>12963.943811751838</v>
      </c>
      <c r="G97" s="3">
        <f t="shared" si="70"/>
        <v>12225.867318496719</v>
      </c>
      <c r="H97" s="3">
        <f t="shared" si="107"/>
        <v>10658.314825752834</v>
      </c>
      <c r="I97" s="3">
        <f t="shared" si="71"/>
        <v>12922.350820312502</v>
      </c>
      <c r="S97" s="1">
        <f t="shared" si="126"/>
        <v>82</v>
      </c>
      <c r="T97" s="9">
        <f t="shared" si="143"/>
        <v>0.05</v>
      </c>
      <c r="U97" s="3">
        <f t="shared" si="110"/>
        <v>13959.329589843755</v>
      </c>
      <c r="V97" s="6">
        <f t="shared" si="127"/>
        <v>105</v>
      </c>
      <c r="W97" s="3">
        <f t="shared" si="128"/>
        <v>10489.5</v>
      </c>
      <c r="X97" s="3">
        <f t="shared" si="129"/>
        <v>10500</v>
      </c>
      <c r="Y97" s="3">
        <f t="shared" si="111"/>
        <v>10500</v>
      </c>
      <c r="Z97" s="9">
        <f t="shared" si="112"/>
        <v>5.7500000000000002E-2</v>
      </c>
      <c r="AA97" s="3">
        <f t="shared" si="113"/>
        <v>11003.125</v>
      </c>
      <c r="AB97" s="3" t="str">
        <f t="shared" si="114"/>
        <v>nie</v>
      </c>
      <c r="AC97" s="3">
        <f t="shared" si="115"/>
        <v>73.5</v>
      </c>
      <c r="AD97" s="1">
        <f t="shared" si="144"/>
        <v>13</v>
      </c>
      <c r="AE97" s="1">
        <f t="shared" si="72"/>
        <v>3</v>
      </c>
      <c r="AF97" s="1">
        <f t="shared" si="72"/>
        <v>2</v>
      </c>
      <c r="AG97" s="1">
        <f t="shared" si="72"/>
        <v>5</v>
      </c>
      <c r="AH97" s="3">
        <f t="shared" si="148"/>
        <v>1300</v>
      </c>
      <c r="AI97" s="9">
        <f t="shared" si="145"/>
        <v>1.2999999999999999E-2</v>
      </c>
      <c r="AJ97" s="3">
        <f t="shared" si="149"/>
        <v>1314.0833333333333</v>
      </c>
      <c r="AK97" s="3">
        <f t="shared" si="146"/>
        <v>9.1</v>
      </c>
      <c r="AL97" s="3">
        <f t="shared" si="76"/>
        <v>1000</v>
      </c>
      <c r="AM97" s="9">
        <f t="shared" si="108"/>
        <v>5.7500000000000002E-2</v>
      </c>
      <c r="AN97" s="3">
        <f t="shared" si="150"/>
        <v>1047.9166666666665</v>
      </c>
      <c r="AO97" s="3">
        <f t="shared" si="109"/>
        <v>7</v>
      </c>
      <c r="AP97" s="3">
        <f t="shared" si="116"/>
        <v>0</v>
      </c>
      <c r="AQ97" s="3">
        <f t="shared" si="151"/>
        <v>0</v>
      </c>
      <c r="AR97" s="3">
        <f t="shared" si="152"/>
        <v>18.30000000000382</v>
      </c>
      <c r="AS97" s="1">
        <f t="shared" si="142"/>
        <v>0</v>
      </c>
      <c r="AT97" s="3">
        <f t="shared" si="117"/>
        <v>18.30000000000382</v>
      </c>
      <c r="AU97" s="1">
        <f t="shared" si="147"/>
        <v>0</v>
      </c>
      <c r="AV97" s="3">
        <f t="shared" si="153"/>
        <v>18.30000000000382</v>
      </c>
      <c r="AW97" s="3">
        <f t="shared" si="154"/>
        <v>13383.425000000003</v>
      </c>
      <c r="AX97" s="3">
        <f>MIN(IF(MOD(S97,12)=0,INDEX(IKE_oplata_wskaznik,MATCH(ROUNDUP(S97/12,0),IKE_oplata_rok,0)),0)*AW97,200)</f>
        <v>0</v>
      </c>
      <c r="AY97" s="3">
        <f t="shared" si="130"/>
        <v>81.91259500000001</v>
      </c>
      <c r="AZ97" s="3">
        <f t="shared" si="118"/>
        <v>13301.512405000003</v>
      </c>
      <c r="BA97" s="3">
        <f t="shared" si="131"/>
        <v>89.6</v>
      </c>
      <c r="BB97" s="3">
        <f t="shared" si="119"/>
        <v>625.82675000000052</v>
      </c>
      <c r="BC97" s="3">
        <f t="shared" si="120"/>
        <v>12586.085655000003</v>
      </c>
      <c r="BE97" s="6">
        <f t="shared" si="132"/>
        <v>100</v>
      </c>
      <c r="BF97" s="3">
        <f t="shared" si="133"/>
        <v>10000</v>
      </c>
      <c r="BG97" s="3">
        <f t="shared" si="134"/>
        <v>10000</v>
      </c>
      <c r="BH97" s="3">
        <f t="shared" si="135"/>
        <v>13609.754124192001</v>
      </c>
      <c r="BI97" s="9">
        <f t="shared" si="121"/>
        <v>6.0000000000000005E-2</v>
      </c>
      <c r="BJ97" s="3">
        <f t="shared" si="122"/>
        <v>14290.241830401601</v>
      </c>
      <c r="BK97" s="3" t="str">
        <f t="shared" si="123"/>
        <v>nie</v>
      </c>
      <c r="BL97" s="3">
        <f t="shared" si="136"/>
        <v>0</v>
      </c>
      <c r="BM97" s="3">
        <f t="shared" si="137"/>
        <v>0</v>
      </c>
      <c r="BN97" s="3">
        <f t="shared" si="138"/>
        <v>14290.241830401601</v>
      </c>
      <c r="BO97" s="3">
        <f>MIN(IF(MOD(S97,12)=0,INDEX(IKE_oplata_wskaznik,MATCH(ROUNDUP(S97/12,0),IKE_oplata_rok,0)),0)*BN97,200)</f>
        <v>0</v>
      </c>
      <c r="BP97" s="3">
        <f t="shared" si="139"/>
        <v>84.36943664519039</v>
      </c>
      <c r="BQ97" s="3">
        <f t="shared" si="140"/>
        <v>14205.87239375641</v>
      </c>
      <c r="BR97" s="3">
        <f t="shared" si="124"/>
        <v>200</v>
      </c>
      <c r="BS97" s="3">
        <f t="shared" si="125"/>
        <v>777.14594777630418</v>
      </c>
      <c r="BT97" s="3">
        <f t="shared" si="141"/>
        <v>13228.726445980106</v>
      </c>
    </row>
    <row r="98" spans="2:72">
      <c r="B98" s="172"/>
      <c r="C98" s="1">
        <f t="shared" si="106"/>
        <v>64</v>
      </c>
      <c r="D98" s="3">
        <f t="shared" si="67"/>
        <v>12296.235311666669</v>
      </c>
      <c r="E98" s="3">
        <f t="shared" si="68"/>
        <v>11779.350645000002</v>
      </c>
      <c r="F98" s="3">
        <f t="shared" si="69"/>
        <v>13028.14076516784</v>
      </c>
      <c r="G98" s="3">
        <f t="shared" si="70"/>
        <v>12277.866850763679</v>
      </c>
      <c r="H98" s="3">
        <f t="shared" si="107"/>
        <v>10669.106369513909</v>
      </c>
      <c r="I98" s="3">
        <f t="shared" si="71"/>
        <v>12975.529218750002</v>
      </c>
      <c r="S98" s="1">
        <f t="shared" si="126"/>
        <v>83</v>
      </c>
      <c r="T98" s="9">
        <f t="shared" si="143"/>
        <v>0.05</v>
      </c>
      <c r="U98" s="3">
        <f t="shared" si="110"/>
        <v>14015.166908203131</v>
      </c>
      <c r="V98" s="6">
        <f t="shared" si="127"/>
        <v>105</v>
      </c>
      <c r="W98" s="3">
        <f t="shared" si="128"/>
        <v>10489.5</v>
      </c>
      <c r="X98" s="3">
        <f t="shared" si="129"/>
        <v>10500</v>
      </c>
      <c r="Y98" s="3">
        <f t="shared" si="111"/>
        <v>10500</v>
      </c>
      <c r="Z98" s="9">
        <f t="shared" si="112"/>
        <v>5.7500000000000002E-2</v>
      </c>
      <c r="AA98" s="3">
        <f t="shared" si="113"/>
        <v>11053.4375</v>
      </c>
      <c r="AB98" s="3" t="str">
        <f t="shared" si="114"/>
        <v>nie</v>
      </c>
      <c r="AC98" s="3">
        <f t="shared" si="115"/>
        <v>73.5</v>
      </c>
      <c r="AD98" s="1">
        <f t="shared" si="144"/>
        <v>13</v>
      </c>
      <c r="AE98" s="1">
        <f t="shared" si="72"/>
        <v>3</v>
      </c>
      <c r="AF98" s="1">
        <f t="shared" si="72"/>
        <v>2</v>
      </c>
      <c r="AG98" s="1">
        <f t="shared" si="72"/>
        <v>5</v>
      </c>
      <c r="AH98" s="3">
        <f t="shared" si="148"/>
        <v>1300</v>
      </c>
      <c r="AI98" s="9">
        <f t="shared" si="145"/>
        <v>1.2999999999999999E-2</v>
      </c>
      <c r="AJ98" s="3">
        <f t="shared" si="149"/>
        <v>1315.4916666666666</v>
      </c>
      <c r="AK98" s="3">
        <f t="shared" si="146"/>
        <v>9.1</v>
      </c>
      <c r="AL98" s="3">
        <f t="shared" si="76"/>
        <v>1000</v>
      </c>
      <c r="AM98" s="9">
        <f t="shared" si="108"/>
        <v>5.7500000000000002E-2</v>
      </c>
      <c r="AN98" s="3">
        <f t="shared" si="150"/>
        <v>1052.7083333333333</v>
      </c>
      <c r="AO98" s="3">
        <f t="shared" si="109"/>
        <v>7</v>
      </c>
      <c r="AP98" s="3">
        <f t="shared" si="116"/>
        <v>0</v>
      </c>
      <c r="AQ98" s="3">
        <f t="shared" si="151"/>
        <v>0</v>
      </c>
      <c r="AR98" s="3">
        <f t="shared" si="152"/>
        <v>18.30000000000382</v>
      </c>
      <c r="AS98" s="1">
        <f t="shared" si="142"/>
        <v>0</v>
      </c>
      <c r="AT98" s="3">
        <f t="shared" si="117"/>
        <v>18.30000000000382</v>
      </c>
      <c r="AU98" s="1">
        <f t="shared" si="147"/>
        <v>0</v>
      </c>
      <c r="AV98" s="3">
        <f t="shared" si="153"/>
        <v>18.30000000000382</v>
      </c>
      <c r="AW98" s="3">
        <f t="shared" si="154"/>
        <v>13439.937500000004</v>
      </c>
      <c r="AX98" s="3">
        <f>MIN(IF(MOD(S98,12)=0,INDEX(IKE_oplata_wskaznik,MATCH(ROUNDUP(S98/12,0),IKE_oplata_rok,0)),0)*AW98,200)</f>
        <v>0</v>
      </c>
      <c r="AY98" s="3">
        <f t="shared" si="130"/>
        <v>81.91259500000001</v>
      </c>
      <c r="AZ98" s="3">
        <f t="shared" si="118"/>
        <v>13358.024905000004</v>
      </c>
      <c r="BA98" s="3">
        <f t="shared" si="131"/>
        <v>89.6</v>
      </c>
      <c r="BB98" s="3">
        <f t="shared" si="119"/>
        <v>636.56412500000067</v>
      </c>
      <c r="BC98" s="3">
        <f t="shared" si="120"/>
        <v>12631.860780000003</v>
      </c>
      <c r="BE98" s="6">
        <f t="shared" si="132"/>
        <v>100</v>
      </c>
      <c r="BF98" s="3">
        <f t="shared" si="133"/>
        <v>10000</v>
      </c>
      <c r="BG98" s="3">
        <f t="shared" si="134"/>
        <v>10000</v>
      </c>
      <c r="BH98" s="3">
        <f t="shared" si="135"/>
        <v>13609.754124192001</v>
      </c>
      <c r="BI98" s="9">
        <f t="shared" si="121"/>
        <v>6.0000000000000005E-2</v>
      </c>
      <c r="BJ98" s="3">
        <f t="shared" si="122"/>
        <v>14358.29060102256</v>
      </c>
      <c r="BK98" s="3" t="str">
        <f t="shared" si="123"/>
        <v>nie</v>
      </c>
      <c r="BL98" s="3">
        <f t="shared" si="136"/>
        <v>0</v>
      </c>
      <c r="BM98" s="3">
        <f t="shared" si="137"/>
        <v>0</v>
      </c>
      <c r="BN98" s="3">
        <f t="shared" si="138"/>
        <v>14358.29060102256</v>
      </c>
      <c r="BO98" s="3">
        <f>MIN(IF(MOD(S98,12)=0,INDEX(IKE_oplata_wskaznik,MATCH(ROUNDUP(S98/12,0),IKE_oplata_rok,0)),0)*BN98,200)</f>
        <v>0</v>
      </c>
      <c r="BP98" s="3">
        <f t="shared" si="139"/>
        <v>84.36943664519039</v>
      </c>
      <c r="BQ98" s="3">
        <f t="shared" si="140"/>
        <v>14273.921164377369</v>
      </c>
      <c r="BR98" s="3">
        <f t="shared" si="124"/>
        <v>200</v>
      </c>
      <c r="BS98" s="3">
        <f t="shared" si="125"/>
        <v>790.07521419428633</v>
      </c>
      <c r="BT98" s="3">
        <f t="shared" si="141"/>
        <v>13283.845950183082</v>
      </c>
    </row>
    <row r="99" spans="2:72">
      <c r="B99" s="172"/>
      <c r="C99" s="1">
        <f t="shared" ref="C99:C130" si="155">S80</f>
        <v>65</v>
      </c>
      <c r="D99" s="3">
        <f t="shared" si="67"/>
        <v>12353.101978333336</v>
      </c>
      <c r="E99" s="3">
        <f t="shared" si="68"/>
        <v>11825.149395000002</v>
      </c>
      <c r="F99" s="3">
        <f t="shared" si="69"/>
        <v>13092.337718583838</v>
      </c>
      <c r="G99" s="3">
        <f t="shared" si="70"/>
        <v>12329.866383030638</v>
      </c>
      <c r="H99" s="3">
        <f t="shared" ref="H99:H130" si="156">FV(INDEX(scenariusz_I_konto,MATCH(ROUNDUP(C99/12,0),scenariusz_I_rok,0))/12*(1-podatek_Belki),1,0,-H98,1)</f>
        <v>10679.908839713044</v>
      </c>
      <c r="I99" s="3">
        <f t="shared" si="71"/>
        <v>13028.707617187501</v>
      </c>
      <c r="S99" s="1">
        <f t="shared" si="126"/>
        <v>84</v>
      </c>
      <c r="T99" s="9">
        <f t="shared" si="143"/>
        <v>0.05</v>
      </c>
      <c r="U99" s="3">
        <f t="shared" si="110"/>
        <v>14071.004226562505</v>
      </c>
      <c r="V99" s="6">
        <f t="shared" si="127"/>
        <v>105</v>
      </c>
      <c r="W99" s="3">
        <f t="shared" si="128"/>
        <v>10489.5</v>
      </c>
      <c r="X99" s="3">
        <f t="shared" si="129"/>
        <v>10500</v>
      </c>
      <c r="Y99" s="3">
        <f t="shared" si="111"/>
        <v>10500</v>
      </c>
      <c r="Z99" s="9">
        <f t="shared" si="112"/>
        <v>5.7500000000000002E-2</v>
      </c>
      <c r="AA99" s="3">
        <f t="shared" si="113"/>
        <v>11103.750000000002</v>
      </c>
      <c r="AB99" s="3" t="str">
        <f t="shared" si="114"/>
        <v>nie</v>
      </c>
      <c r="AC99" s="3">
        <f t="shared" si="115"/>
        <v>73.5</v>
      </c>
      <c r="AD99" s="1">
        <f t="shared" si="144"/>
        <v>13</v>
      </c>
      <c r="AE99" s="1">
        <f t="shared" si="72"/>
        <v>3</v>
      </c>
      <c r="AF99" s="1">
        <f t="shared" si="72"/>
        <v>2</v>
      </c>
      <c r="AG99" s="1">
        <f t="shared" si="72"/>
        <v>5</v>
      </c>
      <c r="AH99" s="3">
        <f t="shared" si="148"/>
        <v>1300</v>
      </c>
      <c r="AI99" s="9">
        <f t="shared" si="145"/>
        <v>1.2999999999999999E-2</v>
      </c>
      <c r="AJ99" s="3">
        <f t="shared" si="149"/>
        <v>1316.8999999999999</v>
      </c>
      <c r="AK99" s="3">
        <f t="shared" si="146"/>
        <v>9.1</v>
      </c>
      <c r="AL99" s="3">
        <f t="shared" si="76"/>
        <v>1000</v>
      </c>
      <c r="AM99" s="9">
        <f t="shared" si="108"/>
        <v>5.7500000000000002E-2</v>
      </c>
      <c r="AN99" s="3">
        <f t="shared" si="150"/>
        <v>1057.5</v>
      </c>
      <c r="AO99" s="3">
        <f t="shared" si="109"/>
        <v>7</v>
      </c>
      <c r="AP99" s="3">
        <f t="shared" si="116"/>
        <v>603.75000000000182</v>
      </c>
      <c r="AQ99" s="3">
        <f t="shared" si="151"/>
        <v>574.39999999999986</v>
      </c>
      <c r="AR99" s="3">
        <f t="shared" si="152"/>
        <v>1196.4500000000055</v>
      </c>
      <c r="AS99" s="1">
        <f t="shared" si="142"/>
        <v>5</v>
      </c>
      <c r="AT99" s="3">
        <f t="shared" si="117"/>
        <v>696.9500000000055</v>
      </c>
      <c r="AU99" s="1">
        <f t="shared" si="147"/>
        <v>6</v>
      </c>
      <c r="AV99" s="3">
        <f t="shared" si="153"/>
        <v>96.950000000005502</v>
      </c>
      <c r="AW99" s="3">
        <f t="shared" si="154"/>
        <v>13496.450000000004</v>
      </c>
      <c r="AX99" s="3">
        <f>MIN(IF(MOD(S99,12)=0,INDEX(IKE_oplata_wskaznik,MATCH(ROUNDUP(S99/12,0),IKE_oplata_rok,0)),0)*AW99,200)</f>
        <v>14.846095000000005</v>
      </c>
      <c r="AY99" s="3">
        <f t="shared" si="130"/>
        <v>96.758690000000016</v>
      </c>
      <c r="AZ99" s="3">
        <f t="shared" si="118"/>
        <v>13399.691310000004</v>
      </c>
      <c r="BA99" s="3">
        <f t="shared" si="131"/>
        <v>89.6</v>
      </c>
      <c r="BB99" s="3">
        <f t="shared" si="119"/>
        <v>647.30150000000071</v>
      </c>
      <c r="BC99" s="3">
        <f t="shared" si="120"/>
        <v>12662.789810000002</v>
      </c>
      <c r="BE99" s="6">
        <f t="shared" si="132"/>
        <v>100</v>
      </c>
      <c r="BF99" s="3">
        <f t="shared" si="133"/>
        <v>10000</v>
      </c>
      <c r="BG99" s="3">
        <f t="shared" si="134"/>
        <v>10000</v>
      </c>
      <c r="BH99" s="3">
        <f t="shared" si="135"/>
        <v>13609.754124192001</v>
      </c>
      <c r="BI99" s="9">
        <f t="shared" si="121"/>
        <v>6.0000000000000005E-2</v>
      </c>
      <c r="BJ99" s="3">
        <f t="shared" si="122"/>
        <v>14426.339371643522</v>
      </c>
      <c r="BK99" s="3" t="str">
        <f t="shared" si="123"/>
        <v>nie</v>
      </c>
      <c r="BL99" s="3">
        <f t="shared" si="136"/>
        <v>0</v>
      </c>
      <c r="BM99" s="3">
        <f t="shared" si="137"/>
        <v>0</v>
      </c>
      <c r="BN99" s="3">
        <f t="shared" si="138"/>
        <v>14426.339371643522</v>
      </c>
      <c r="BO99" s="3">
        <f>MIN(IF(MOD(S99,12)=0,INDEX(IKE_oplata_wskaznik,MATCH(ROUNDUP(S99/12,0),IKE_oplata_rok,0)),0)*BN99,200)</f>
        <v>15.868973308807876</v>
      </c>
      <c r="BP99" s="3">
        <f t="shared" si="139"/>
        <v>100.23840995399827</v>
      </c>
      <c r="BQ99" s="3">
        <f t="shared" si="140"/>
        <v>14326.100961689524</v>
      </c>
      <c r="BR99" s="3">
        <f t="shared" si="124"/>
        <v>200</v>
      </c>
      <c r="BS99" s="3">
        <f t="shared" si="125"/>
        <v>803.00448061226916</v>
      </c>
      <c r="BT99" s="3">
        <f t="shared" si="141"/>
        <v>13323.096481077255</v>
      </c>
    </row>
    <row r="100" spans="2:72">
      <c r="B100" s="172"/>
      <c r="C100" s="1">
        <f t="shared" si="155"/>
        <v>66</v>
      </c>
      <c r="D100" s="3">
        <f t="shared" ref="D100:D163" si="157">AZ81</f>
        <v>12409.968645000003</v>
      </c>
      <c r="E100" s="3">
        <f t="shared" ref="E100:E163" si="158">BC81</f>
        <v>11870.948145000002</v>
      </c>
      <c r="F100" s="3">
        <f t="shared" ref="F100:F163" si="159">BQ81</f>
        <v>13156.53467199984</v>
      </c>
      <c r="G100" s="3">
        <f t="shared" ref="G100:G163" si="160">BT81</f>
        <v>12381.8659152976</v>
      </c>
      <c r="H100" s="3">
        <f t="shared" si="156"/>
        <v>10690.722247413254</v>
      </c>
      <c r="I100" s="3">
        <f t="shared" ref="I100:I163" si="161">U81</f>
        <v>13081.886015625001</v>
      </c>
      <c r="S100" s="1">
        <f t="shared" si="126"/>
        <v>85</v>
      </c>
      <c r="T100" s="9">
        <f t="shared" si="143"/>
        <v>0.05</v>
      </c>
      <c r="U100" s="3">
        <f t="shared" si="110"/>
        <v>14129.63341083985</v>
      </c>
      <c r="V100" s="6">
        <f t="shared" si="127"/>
        <v>105</v>
      </c>
      <c r="W100" s="3">
        <f t="shared" si="128"/>
        <v>10489.5</v>
      </c>
      <c r="X100" s="3">
        <f t="shared" si="129"/>
        <v>10500</v>
      </c>
      <c r="Y100" s="3">
        <f t="shared" si="111"/>
        <v>10500</v>
      </c>
      <c r="Z100" s="9">
        <f t="shared" si="112"/>
        <v>5.7500000000000002E-2</v>
      </c>
      <c r="AA100" s="3">
        <f t="shared" si="113"/>
        <v>10550.3125</v>
      </c>
      <c r="AB100" s="3" t="str">
        <f t="shared" si="114"/>
        <v>nie</v>
      </c>
      <c r="AC100" s="3">
        <f t="shared" si="115"/>
        <v>73.5</v>
      </c>
      <c r="AD100" s="1">
        <f t="shared" si="144"/>
        <v>11</v>
      </c>
      <c r="AE100" s="1">
        <f t="shared" si="72"/>
        <v>13</v>
      </c>
      <c r="AF100" s="1">
        <f t="shared" si="72"/>
        <v>3</v>
      </c>
      <c r="AG100" s="1">
        <f t="shared" si="72"/>
        <v>2</v>
      </c>
      <c r="AH100" s="3">
        <f t="shared" si="148"/>
        <v>1100</v>
      </c>
      <c r="AI100" s="9">
        <f t="shared" si="145"/>
        <v>1.2999999999999999E-2</v>
      </c>
      <c r="AJ100" s="3">
        <f t="shared" si="149"/>
        <v>1101.1916666666666</v>
      </c>
      <c r="AK100" s="3">
        <f t="shared" si="146"/>
        <v>1.191666666666606</v>
      </c>
      <c r="AL100" s="3">
        <f t="shared" si="76"/>
        <v>1800</v>
      </c>
      <c r="AM100" s="9">
        <f t="shared" si="108"/>
        <v>5.7500000000000002E-2</v>
      </c>
      <c r="AN100" s="3">
        <f t="shared" si="150"/>
        <v>1808.6250000000002</v>
      </c>
      <c r="AO100" s="3">
        <f t="shared" si="109"/>
        <v>12.6</v>
      </c>
      <c r="AP100" s="3">
        <f t="shared" si="116"/>
        <v>0</v>
      </c>
      <c r="AQ100" s="3">
        <f t="shared" si="151"/>
        <v>0</v>
      </c>
      <c r="AR100" s="3">
        <f t="shared" si="152"/>
        <v>96.950000000005502</v>
      </c>
      <c r="AS100" s="1">
        <f t="shared" si="142"/>
        <v>0</v>
      </c>
      <c r="AT100" s="3">
        <f t="shared" si="117"/>
        <v>96.950000000005502</v>
      </c>
      <c r="AU100" s="1">
        <f t="shared" si="147"/>
        <v>0</v>
      </c>
      <c r="AV100" s="3">
        <f t="shared" si="153"/>
        <v>96.950000000005502</v>
      </c>
      <c r="AW100" s="3">
        <f t="shared" si="154"/>
        <v>13557.079166666672</v>
      </c>
      <c r="AX100" s="3">
        <f>MIN(IF(MOD(S100,12)=0,INDEX(IKE_oplata_wskaznik,MATCH(ROUNDUP(S100/12,0),IKE_oplata_rok,0)),0)*AW100,200)</f>
        <v>0</v>
      </c>
      <c r="AY100" s="3">
        <f t="shared" si="130"/>
        <v>96.758690000000016</v>
      </c>
      <c r="AZ100" s="3">
        <f t="shared" si="118"/>
        <v>13460.320476666671</v>
      </c>
      <c r="BA100" s="3">
        <f t="shared" si="131"/>
        <v>87.2916666666666</v>
      </c>
      <c r="BB100" s="3">
        <f t="shared" si="119"/>
        <v>659.25962500000117</v>
      </c>
      <c r="BC100" s="3">
        <f t="shared" si="120"/>
        <v>12713.769185000005</v>
      </c>
      <c r="BE100" s="6">
        <f t="shared" si="132"/>
        <v>100</v>
      </c>
      <c r="BF100" s="3">
        <f t="shared" si="133"/>
        <v>10000</v>
      </c>
      <c r="BG100" s="3">
        <f t="shared" si="134"/>
        <v>10000</v>
      </c>
      <c r="BH100" s="3">
        <f t="shared" si="135"/>
        <v>14426.339371643522</v>
      </c>
      <c r="BI100" s="9">
        <f t="shared" si="121"/>
        <v>6.0000000000000005E-2</v>
      </c>
      <c r="BJ100" s="3">
        <f t="shared" si="122"/>
        <v>14498.471068501738</v>
      </c>
      <c r="BK100" s="3" t="str">
        <f t="shared" si="123"/>
        <v>nie</v>
      </c>
      <c r="BL100" s="3">
        <f t="shared" si="136"/>
        <v>0</v>
      </c>
      <c r="BM100" s="3">
        <f t="shared" si="137"/>
        <v>0</v>
      </c>
      <c r="BN100" s="3">
        <f t="shared" si="138"/>
        <v>14498.471068501738</v>
      </c>
      <c r="BO100" s="3">
        <f>MIN(IF(MOD(S100,12)=0,INDEX(IKE_oplata_wskaznik,MATCH(ROUNDUP(S100/12,0),IKE_oplata_rok,0)),0)*BN100,200)</f>
        <v>0</v>
      </c>
      <c r="BP100" s="3">
        <f t="shared" si="139"/>
        <v>100.23840995399827</v>
      </c>
      <c r="BQ100" s="3">
        <f t="shared" si="140"/>
        <v>14398.23265854774</v>
      </c>
      <c r="BR100" s="3">
        <f t="shared" si="124"/>
        <v>200</v>
      </c>
      <c r="BS100" s="3">
        <f t="shared" si="125"/>
        <v>816.70950301533026</v>
      </c>
      <c r="BT100" s="3">
        <f t="shared" si="141"/>
        <v>13381.52315553241</v>
      </c>
    </row>
    <row r="101" spans="2:72">
      <c r="B101" s="172"/>
      <c r="C101" s="1">
        <f t="shared" si="155"/>
        <v>67</v>
      </c>
      <c r="D101" s="3">
        <f t="shared" si="157"/>
        <v>12466.835311666668</v>
      </c>
      <c r="E101" s="3">
        <f t="shared" si="158"/>
        <v>11916.888645000001</v>
      </c>
      <c r="F101" s="3">
        <f t="shared" si="159"/>
        <v>13220.731625415838</v>
      </c>
      <c r="G101" s="3">
        <f t="shared" si="160"/>
        <v>12433.865447564558</v>
      </c>
      <c r="H101" s="3">
        <f t="shared" si="156"/>
        <v>10701.546603688761</v>
      </c>
      <c r="I101" s="3">
        <f t="shared" si="161"/>
        <v>13135.064414062501</v>
      </c>
      <c r="S101" s="1">
        <f t="shared" si="126"/>
        <v>86</v>
      </c>
      <c r="T101" s="9">
        <f t="shared" si="143"/>
        <v>0.05</v>
      </c>
      <c r="U101" s="3">
        <f t="shared" si="110"/>
        <v>14188.262595117192</v>
      </c>
      <c r="V101" s="6">
        <f t="shared" si="127"/>
        <v>105</v>
      </c>
      <c r="W101" s="3">
        <f t="shared" si="128"/>
        <v>10489.5</v>
      </c>
      <c r="X101" s="3">
        <f t="shared" si="129"/>
        <v>10500</v>
      </c>
      <c r="Y101" s="3">
        <f t="shared" si="111"/>
        <v>10500</v>
      </c>
      <c r="Z101" s="9">
        <f t="shared" si="112"/>
        <v>5.7500000000000002E-2</v>
      </c>
      <c r="AA101" s="3">
        <f t="shared" si="113"/>
        <v>10600.625</v>
      </c>
      <c r="AB101" s="3" t="str">
        <f t="shared" si="114"/>
        <v>nie</v>
      </c>
      <c r="AC101" s="3">
        <f t="shared" si="115"/>
        <v>73.5</v>
      </c>
      <c r="AD101" s="1">
        <f t="shared" si="144"/>
        <v>11</v>
      </c>
      <c r="AE101" s="1">
        <f t="shared" si="72"/>
        <v>13</v>
      </c>
      <c r="AF101" s="1">
        <f t="shared" si="72"/>
        <v>3</v>
      </c>
      <c r="AG101" s="1">
        <f t="shared" si="72"/>
        <v>2</v>
      </c>
      <c r="AH101" s="3">
        <f t="shared" si="148"/>
        <v>1100</v>
      </c>
      <c r="AI101" s="9">
        <f t="shared" si="145"/>
        <v>1.2999999999999999E-2</v>
      </c>
      <c r="AJ101" s="3">
        <f t="shared" si="149"/>
        <v>1102.3833333333332</v>
      </c>
      <c r="AK101" s="3">
        <f t="shared" si="146"/>
        <v>2.3833333333332121</v>
      </c>
      <c r="AL101" s="3">
        <f t="shared" si="76"/>
        <v>1800</v>
      </c>
      <c r="AM101" s="9">
        <f t="shared" si="108"/>
        <v>5.7500000000000002E-2</v>
      </c>
      <c r="AN101" s="3">
        <f t="shared" si="150"/>
        <v>1817.25</v>
      </c>
      <c r="AO101" s="3">
        <f t="shared" si="109"/>
        <v>12.6</v>
      </c>
      <c r="AP101" s="3">
        <f t="shared" si="116"/>
        <v>0</v>
      </c>
      <c r="AQ101" s="3">
        <f t="shared" si="151"/>
        <v>0</v>
      </c>
      <c r="AR101" s="3">
        <f t="shared" si="152"/>
        <v>96.950000000005502</v>
      </c>
      <c r="AS101" s="1">
        <f t="shared" si="142"/>
        <v>0</v>
      </c>
      <c r="AT101" s="3">
        <f t="shared" si="117"/>
        <v>96.950000000005502</v>
      </c>
      <c r="AU101" s="1">
        <f t="shared" si="147"/>
        <v>0</v>
      </c>
      <c r="AV101" s="3">
        <f t="shared" si="153"/>
        <v>96.950000000005502</v>
      </c>
      <c r="AW101" s="3">
        <f t="shared" si="154"/>
        <v>13617.208333333339</v>
      </c>
      <c r="AX101" s="3">
        <f>MIN(IF(MOD(S101,12)=0,INDEX(IKE_oplata_wskaznik,MATCH(ROUNDUP(S101/12,0),IKE_oplata_rok,0)),0)*AW101,200)</f>
        <v>0</v>
      </c>
      <c r="AY101" s="3">
        <f t="shared" si="130"/>
        <v>96.758690000000016</v>
      </c>
      <c r="AZ101" s="3">
        <f t="shared" si="118"/>
        <v>13520.449643333339</v>
      </c>
      <c r="BA101" s="3">
        <f t="shared" si="131"/>
        <v>88.483333333333206</v>
      </c>
      <c r="BB101" s="3">
        <f t="shared" si="119"/>
        <v>670.45775000000117</v>
      </c>
      <c r="BC101" s="3">
        <f t="shared" si="120"/>
        <v>12761.508560000004</v>
      </c>
      <c r="BE101" s="6">
        <f t="shared" si="132"/>
        <v>100</v>
      </c>
      <c r="BF101" s="3">
        <f t="shared" si="133"/>
        <v>10000</v>
      </c>
      <c r="BG101" s="3">
        <f t="shared" si="134"/>
        <v>10000</v>
      </c>
      <c r="BH101" s="3">
        <f t="shared" si="135"/>
        <v>14426.339371643522</v>
      </c>
      <c r="BI101" s="9">
        <f t="shared" si="121"/>
        <v>6.0000000000000005E-2</v>
      </c>
      <c r="BJ101" s="3">
        <f t="shared" si="122"/>
        <v>14570.602765359958</v>
      </c>
      <c r="BK101" s="3" t="str">
        <f t="shared" si="123"/>
        <v>nie</v>
      </c>
      <c r="BL101" s="3">
        <f t="shared" si="136"/>
        <v>0</v>
      </c>
      <c r="BM101" s="3">
        <f t="shared" si="137"/>
        <v>0</v>
      </c>
      <c r="BN101" s="3">
        <f t="shared" si="138"/>
        <v>14570.602765359958</v>
      </c>
      <c r="BO101" s="3">
        <f>MIN(IF(MOD(S101,12)=0,INDEX(IKE_oplata_wskaznik,MATCH(ROUNDUP(S101/12,0),IKE_oplata_rok,0)),0)*BN101,200)</f>
        <v>0</v>
      </c>
      <c r="BP101" s="3">
        <f t="shared" si="139"/>
        <v>100.23840995399827</v>
      </c>
      <c r="BQ101" s="3">
        <f t="shared" si="140"/>
        <v>14470.36435540596</v>
      </c>
      <c r="BR101" s="3">
        <f t="shared" si="124"/>
        <v>200</v>
      </c>
      <c r="BS101" s="3">
        <f t="shared" si="125"/>
        <v>830.41452541839192</v>
      </c>
      <c r="BT101" s="3">
        <f t="shared" si="141"/>
        <v>13439.949829987569</v>
      </c>
    </row>
    <row r="102" spans="2:72">
      <c r="B102" s="172"/>
      <c r="C102" s="1">
        <f t="shared" si="155"/>
        <v>68</v>
      </c>
      <c r="D102" s="3">
        <f t="shared" si="157"/>
        <v>12523.701978333336</v>
      </c>
      <c r="E102" s="3">
        <f t="shared" si="158"/>
        <v>11962.950645000003</v>
      </c>
      <c r="F102" s="3">
        <f t="shared" si="159"/>
        <v>13284.928578831839</v>
      </c>
      <c r="G102" s="3">
        <f t="shared" si="160"/>
        <v>12485.86497983152</v>
      </c>
      <c r="H102" s="3">
        <f t="shared" si="156"/>
        <v>10712.381919624997</v>
      </c>
      <c r="I102" s="3">
        <f t="shared" si="161"/>
        <v>13188.242812500004</v>
      </c>
      <c r="S102" s="1">
        <f t="shared" si="126"/>
        <v>87</v>
      </c>
      <c r="T102" s="9">
        <f t="shared" si="143"/>
        <v>0.05</v>
      </c>
      <c r="U102" s="3">
        <f t="shared" si="110"/>
        <v>14246.891779394537</v>
      </c>
      <c r="V102" s="6">
        <f t="shared" si="127"/>
        <v>105</v>
      </c>
      <c r="W102" s="3">
        <f t="shared" si="128"/>
        <v>10489.5</v>
      </c>
      <c r="X102" s="3">
        <f t="shared" si="129"/>
        <v>10500</v>
      </c>
      <c r="Y102" s="3">
        <f t="shared" si="111"/>
        <v>10500</v>
      </c>
      <c r="Z102" s="9">
        <f t="shared" si="112"/>
        <v>5.7500000000000002E-2</v>
      </c>
      <c r="AA102" s="3">
        <f t="shared" si="113"/>
        <v>10650.9375</v>
      </c>
      <c r="AB102" s="3" t="str">
        <f t="shared" si="114"/>
        <v>nie</v>
      </c>
      <c r="AC102" s="3">
        <f t="shared" si="115"/>
        <v>73.5</v>
      </c>
      <c r="AD102" s="1">
        <f t="shared" si="144"/>
        <v>11</v>
      </c>
      <c r="AE102" s="1">
        <f t="shared" si="72"/>
        <v>13</v>
      </c>
      <c r="AF102" s="1">
        <f t="shared" si="72"/>
        <v>3</v>
      </c>
      <c r="AG102" s="1">
        <f t="shared" si="72"/>
        <v>2</v>
      </c>
      <c r="AH102" s="3">
        <f t="shared" si="148"/>
        <v>1100</v>
      </c>
      <c r="AI102" s="9">
        <f t="shared" si="145"/>
        <v>1.2999999999999999E-2</v>
      </c>
      <c r="AJ102" s="3">
        <f t="shared" si="149"/>
        <v>1103.575</v>
      </c>
      <c r="AK102" s="3">
        <f t="shared" si="146"/>
        <v>3.5750000000000455</v>
      </c>
      <c r="AL102" s="3">
        <f t="shared" si="76"/>
        <v>1800</v>
      </c>
      <c r="AM102" s="9">
        <f t="shared" si="108"/>
        <v>5.7500000000000002E-2</v>
      </c>
      <c r="AN102" s="3">
        <f t="shared" si="150"/>
        <v>1825.875</v>
      </c>
      <c r="AO102" s="3">
        <f t="shared" si="109"/>
        <v>12.6</v>
      </c>
      <c r="AP102" s="3">
        <f t="shared" si="116"/>
        <v>0</v>
      </c>
      <c r="AQ102" s="3">
        <f t="shared" si="151"/>
        <v>0</v>
      </c>
      <c r="AR102" s="3">
        <f t="shared" si="152"/>
        <v>96.950000000005502</v>
      </c>
      <c r="AS102" s="1">
        <f t="shared" si="142"/>
        <v>0</v>
      </c>
      <c r="AT102" s="3">
        <f t="shared" si="117"/>
        <v>96.950000000005502</v>
      </c>
      <c r="AU102" s="1">
        <f t="shared" si="147"/>
        <v>0</v>
      </c>
      <c r="AV102" s="3">
        <f t="shared" si="153"/>
        <v>96.950000000005502</v>
      </c>
      <c r="AW102" s="3">
        <f t="shared" si="154"/>
        <v>13677.337500000007</v>
      </c>
      <c r="AX102" s="3">
        <f>MIN(IF(MOD(S102,12)=0,INDEX(IKE_oplata_wskaznik,MATCH(ROUNDUP(S102/12,0),IKE_oplata_rok,0)),0)*AW102,200)</f>
        <v>0</v>
      </c>
      <c r="AY102" s="3">
        <f t="shared" si="130"/>
        <v>96.758690000000016</v>
      </c>
      <c r="AZ102" s="3">
        <f t="shared" si="118"/>
        <v>13580.578810000006</v>
      </c>
      <c r="BA102" s="3">
        <f t="shared" si="131"/>
        <v>89.67500000000004</v>
      </c>
      <c r="BB102" s="3">
        <f t="shared" si="119"/>
        <v>681.65587500000152</v>
      </c>
      <c r="BC102" s="3">
        <f t="shared" si="120"/>
        <v>12809.247935000005</v>
      </c>
      <c r="BE102" s="6">
        <f t="shared" si="132"/>
        <v>100</v>
      </c>
      <c r="BF102" s="3">
        <f t="shared" si="133"/>
        <v>10000</v>
      </c>
      <c r="BG102" s="3">
        <f t="shared" si="134"/>
        <v>10000</v>
      </c>
      <c r="BH102" s="3">
        <f t="shared" si="135"/>
        <v>14426.339371643522</v>
      </c>
      <c r="BI102" s="9">
        <f t="shared" si="121"/>
        <v>6.0000000000000005E-2</v>
      </c>
      <c r="BJ102" s="3">
        <f t="shared" si="122"/>
        <v>14642.734462218174</v>
      </c>
      <c r="BK102" s="3" t="str">
        <f t="shared" si="123"/>
        <v>nie</v>
      </c>
      <c r="BL102" s="3">
        <f t="shared" si="136"/>
        <v>0</v>
      </c>
      <c r="BM102" s="3">
        <f t="shared" si="137"/>
        <v>0</v>
      </c>
      <c r="BN102" s="3">
        <f t="shared" si="138"/>
        <v>14642.734462218174</v>
      </c>
      <c r="BO102" s="3">
        <f>MIN(IF(MOD(S102,12)=0,INDEX(IKE_oplata_wskaznik,MATCH(ROUNDUP(S102/12,0),IKE_oplata_rok,0)),0)*BN102,200)</f>
        <v>0</v>
      </c>
      <c r="BP102" s="3">
        <f t="shared" si="139"/>
        <v>100.23840995399827</v>
      </c>
      <c r="BQ102" s="3">
        <f t="shared" si="140"/>
        <v>14542.496052264176</v>
      </c>
      <c r="BR102" s="3">
        <f t="shared" si="124"/>
        <v>200</v>
      </c>
      <c r="BS102" s="3">
        <f t="shared" si="125"/>
        <v>844.11954782145301</v>
      </c>
      <c r="BT102" s="3">
        <f t="shared" si="141"/>
        <v>13498.376504442724</v>
      </c>
    </row>
    <row r="103" spans="2:72">
      <c r="B103" s="172"/>
      <c r="C103" s="1">
        <f t="shared" si="155"/>
        <v>69</v>
      </c>
      <c r="D103" s="3">
        <f t="shared" si="157"/>
        <v>12580.568645000001</v>
      </c>
      <c r="E103" s="3">
        <f t="shared" si="158"/>
        <v>12009.012645000001</v>
      </c>
      <c r="F103" s="3">
        <f t="shared" si="159"/>
        <v>13349.125532247837</v>
      </c>
      <c r="G103" s="3">
        <f t="shared" si="160"/>
        <v>12537.864512098478</v>
      </c>
      <c r="H103" s="3">
        <f t="shared" si="156"/>
        <v>10723.228206318618</v>
      </c>
      <c r="I103" s="3">
        <f t="shared" si="161"/>
        <v>13241.421210937504</v>
      </c>
      <c r="S103" s="1">
        <f t="shared" si="126"/>
        <v>88</v>
      </c>
      <c r="T103" s="9">
        <f t="shared" si="143"/>
        <v>0.05</v>
      </c>
      <c r="U103" s="3">
        <f t="shared" si="110"/>
        <v>14305.520963671879</v>
      </c>
      <c r="V103" s="6">
        <f t="shared" si="127"/>
        <v>105</v>
      </c>
      <c r="W103" s="3">
        <f t="shared" si="128"/>
        <v>10489.5</v>
      </c>
      <c r="X103" s="3">
        <f t="shared" si="129"/>
        <v>10500</v>
      </c>
      <c r="Y103" s="3">
        <f t="shared" si="111"/>
        <v>10500</v>
      </c>
      <c r="Z103" s="9">
        <f t="shared" si="112"/>
        <v>5.7500000000000002E-2</v>
      </c>
      <c r="AA103" s="3">
        <f t="shared" si="113"/>
        <v>10701.250000000002</v>
      </c>
      <c r="AB103" s="3" t="str">
        <f t="shared" si="114"/>
        <v>nie</v>
      </c>
      <c r="AC103" s="3">
        <f t="shared" si="115"/>
        <v>73.5</v>
      </c>
      <c r="AD103" s="1">
        <f t="shared" si="144"/>
        <v>11</v>
      </c>
      <c r="AE103" s="1">
        <f t="shared" si="72"/>
        <v>13</v>
      </c>
      <c r="AF103" s="1">
        <f t="shared" si="72"/>
        <v>3</v>
      </c>
      <c r="AG103" s="1">
        <f t="shared" si="72"/>
        <v>2</v>
      </c>
      <c r="AH103" s="3">
        <f t="shared" si="148"/>
        <v>1100</v>
      </c>
      <c r="AI103" s="9">
        <f t="shared" si="145"/>
        <v>1.2999999999999999E-2</v>
      </c>
      <c r="AJ103" s="3">
        <f t="shared" si="149"/>
        <v>1104.7666666666667</v>
      </c>
      <c r="AK103" s="3">
        <f t="shared" si="146"/>
        <v>4.7666666666666515</v>
      </c>
      <c r="AL103" s="3">
        <f t="shared" si="76"/>
        <v>1800</v>
      </c>
      <c r="AM103" s="9">
        <f t="shared" si="108"/>
        <v>5.7500000000000002E-2</v>
      </c>
      <c r="AN103" s="3">
        <f t="shared" si="150"/>
        <v>1834.5000000000002</v>
      </c>
      <c r="AO103" s="3">
        <f t="shared" si="109"/>
        <v>12.6</v>
      </c>
      <c r="AP103" s="3">
        <f t="shared" si="116"/>
        <v>0</v>
      </c>
      <c r="AQ103" s="3">
        <f t="shared" si="151"/>
        <v>0</v>
      </c>
      <c r="AR103" s="3">
        <f t="shared" si="152"/>
        <v>96.950000000005502</v>
      </c>
      <c r="AS103" s="1">
        <f t="shared" si="142"/>
        <v>0</v>
      </c>
      <c r="AT103" s="3">
        <f t="shared" si="117"/>
        <v>96.950000000005502</v>
      </c>
      <c r="AU103" s="1">
        <f t="shared" si="147"/>
        <v>0</v>
      </c>
      <c r="AV103" s="3">
        <f t="shared" si="153"/>
        <v>96.950000000005502</v>
      </c>
      <c r="AW103" s="3">
        <f t="shared" si="154"/>
        <v>13737.466666666674</v>
      </c>
      <c r="AX103" s="3">
        <f>MIN(IF(MOD(S103,12)=0,INDEX(IKE_oplata_wskaznik,MATCH(ROUNDUP(S103/12,0),IKE_oplata_rok,0)),0)*AW103,200)</f>
        <v>0</v>
      </c>
      <c r="AY103" s="3">
        <f t="shared" si="130"/>
        <v>96.758690000000016</v>
      </c>
      <c r="AZ103" s="3">
        <f t="shared" si="118"/>
        <v>13640.707976666674</v>
      </c>
      <c r="BA103" s="3">
        <f t="shared" si="131"/>
        <v>90.866666666666646</v>
      </c>
      <c r="BB103" s="3">
        <f t="shared" si="119"/>
        <v>692.85400000000141</v>
      </c>
      <c r="BC103" s="3">
        <f t="shared" si="120"/>
        <v>12856.987310000006</v>
      </c>
      <c r="BE103" s="6">
        <f t="shared" si="132"/>
        <v>100</v>
      </c>
      <c r="BF103" s="3">
        <f t="shared" si="133"/>
        <v>10000</v>
      </c>
      <c r="BG103" s="3">
        <f t="shared" si="134"/>
        <v>10000</v>
      </c>
      <c r="BH103" s="3">
        <f t="shared" si="135"/>
        <v>14426.339371643522</v>
      </c>
      <c r="BI103" s="9">
        <f t="shared" si="121"/>
        <v>6.0000000000000005E-2</v>
      </c>
      <c r="BJ103" s="3">
        <f t="shared" si="122"/>
        <v>14714.866159076393</v>
      </c>
      <c r="BK103" s="3" t="str">
        <f t="shared" si="123"/>
        <v>nie</v>
      </c>
      <c r="BL103" s="3">
        <f t="shared" si="136"/>
        <v>0</v>
      </c>
      <c r="BM103" s="3">
        <f t="shared" si="137"/>
        <v>0</v>
      </c>
      <c r="BN103" s="3">
        <f t="shared" si="138"/>
        <v>14714.866159076393</v>
      </c>
      <c r="BO103" s="3">
        <f>MIN(IF(MOD(S103,12)=0,INDEX(IKE_oplata_wskaznik,MATCH(ROUNDUP(S103/12,0),IKE_oplata_rok,0)),0)*BN103,200)</f>
        <v>0</v>
      </c>
      <c r="BP103" s="3">
        <f t="shared" si="139"/>
        <v>100.23840995399827</v>
      </c>
      <c r="BQ103" s="3">
        <f t="shared" si="140"/>
        <v>14614.627749122395</v>
      </c>
      <c r="BR103" s="3">
        <f t="shared" si="124"/>
        <v>200</v>
      </c>
      <c r="BS103" s="3">
        <f t="shared" si="125"/>
        <v>857.82457022451467</v>
      </c>
      <c r="BT103" s="3">
        <f t="shared" si="141"/>
        <v>13556.803178897881</v>
      </c>
    </row>
    <row r="104" spans="2:72">
      <c r="B104" s="172"/>
      <c r="C104" s="1">
        <f t="shared" si="155"/>
        <v>70</v>
      </c>
      <c r="D104" s="3">
        <f t="shared" si="157"/>
        <v>12637.435311666668</v>
      </c>
      <c r="E104" s="3">
        <f t="shared" si="158"/>
        <v>12055.074645000001</v>
      </c>
      <c r="F104" s="3">
        <f t="shared" si="159"/>
        <v>13413.322485663839</v>
      </c>
      <c r="G104" s="3">
        <f t="shared" si="160"/>
        <v>12589.864044365439</v>
      </c>
      <c r="H104" s="3">
        <f t="shared" si="156"/>
        <v>10734.085474877516</v>
      </c>
      <c r="I104" s="3">
        <f t="shared" si="161"/>
        <v>13294.599609375004</v>
      </c>
      <c r="S104" s="1">
        <f t="shared" si="126"/>
        <v>89</v>
      </c>
      <c r="T104" s="9">
        <f t="shared" si="143"/>
        <v>0.05</v>
      </c>
      <c r="U104" s="3">
        <f t="shared" si="110"/>
        <v>14364.150147949224</v>
      </c>
      <c r="V104" s="6">
        <f t="shared" si="127"/>
        <v>105</v>
      </c>
      <c r="W104" s="3">
        <f t="shared" si="128"/>
        <v>10489.5</v>
      </c>
      <c r="X104" s="3">
        <f t="shared" si="129"/>
        <v>10500</v>
      </c>
      <c r="Y104" s="3">
        <f t="shared" si="111"/>
        <v>10500</v>
      </c>
      <c r="Z104" s="9">
        <f t="shared" si="112"/>
        <v>5.7500000000000002E-2</v>
      </c>
      <c r="AA104" s="3">
        <f t="shared" si="113"/>
        <v>10751.5625</v>
      </c>
      <c r="AB104" s="3" t="str">
        <f t="shared" si="114"/>
        <v>nie</v>
      </c>
      <c r="AC104" s="3">
        <f t="shared" si="115"/>
        <v>73.5</v>
      </c>
      <c r="AD104" s="1">
        <f t="shared" si="144"/>
        <v>11</v>
      </c>
      <c r="AE104" s="1">
        <f t="shared" ref="AE104:AG159" si="162">AD92</f>
        <v>13</v>
      </c>
      <c r="AF104" s="1">
        <f t="shared" si="162"/>
        <v>3</v>
      </c>
      <c r="AG104" s="1">
        <f t="shared" si="162"/>
        <v>2</v>
      </c>
      <c r="AH104" s="3">
        <f t="shared" si="148"/>
        <v>1100</v>
      </c>
      <c r="AI104" s="9">
        <f t="shared" si="145"/>
        <v>1.2999999999999999E-2</v>
      </c>
      <c r="AJ104" s="3">
        <f t="shared" si="149"/>
        <v>1105.9583333333333</v>
      </c>
      <c r="AK104" s="3">
        <f t="shared" si="146"/>
        <v>5.9583333333332575</v>
      </c>
      <c r="AL104" s="3">
        <f t="shared" si="76"/>
        <v>1800</v>
      </c>
      <c r="AM104" s="9">
        <f t="shared" ref="AM104:AM135" si="163">marza_COI+T104</f>
        <v>5.7500000000000002E-2</v>
      </c>
      <c r="AN104" s="3">
        <f t="shared" si="150"/>
        <v>1843.125</v>
      </c>
      <c r="AO104" s="3">
        <f t="shared" ref="AO104:AO135" si="164">SUM(AE104:AG104)*koszt_wczesniejszy_wykup_COI</f>
        <v>12.6</v>
      </c>
      <c r="AP104" s="3">
        <f t="shared" si="116"/>
        <v>0</v>
      </c>
      <c r="AQ104" s="3">
        <f t="shared" si="151"/>
        <v>0</v>
      </c>
      <c r="AR104" s="3">
        <f t="shared" si="152"/>
        <v>96.950000000005502</v>
      </c>
      <c r="AS104" s="1">
        <f t="shared" si="142"/>
        <v>0</v>
      </c>
      <c r="AT104" s="3">
        <f t="shared" si="117"/>
        <v>96.950000000005502</v>
      </c>
      <c r="AU104" s="1">
        <f t="shared" si="147"/>
        <v>0</v>
      </c>
      <c r="AV104" s="3">
        <f t="shared" si="153"/>
        <v>96.950000000005502</v>
      </c>
      <c r="AW104" s="3">
        <f t="shared" si="154"/>
        <v>13797.59583333334</v>
      </c>
      <c r="AX104" s="3">
        <f>MIN(IF(MOD(S104,12)=0,INDEX(IKE_oplata_wskaznik,MATCH(ROUNDUP(S104/12,0),IKE_oplata_rok,0)),0)*AW104,200)</f>
        <v>0</v>
      </c>
      <c r="AY104" s="3">
        <f t="shared" si="130"/>
        <v>96.758690000000016</v>
      </c>
      <c r="AZ104" s="3">
        <f t="shared" si="118"/>
        <v>13700.83714333334</v>
      </c>
      <c r="BA104" s="3">
        <f t="shared" si="131"/>
        <v>92.058333333333252</v>
      </c>
      <c r="BB104" s="3">
        <f t="shared" si="119"/>
        <v>704.05212500000141</v>
      </c>
      <c r="BC104" s="3">
        <f t="shared" si="120"/>
        <v>12904.726685000005</v>
      </c>
      <c r="BE104" s="6">
        <f t="shared" si="132"/>
        <v>100</v>
      </c>
      <c r="BF104" s="3">
        <f t="shared" si="133"/>
        <v>10000</v>
      </c>
      <c r="BG104" s="3">
        <f t="shared" si="134"/>
        <v>10000</v>
      </c>
      <c r="BH104" s="3">
        <f t="shared" si="135"/>
        <v>14426.339371643522</v>
      </c>
      <c r="BI104" s="9">
        <f t="shared" si="121"/>
        <v>6.0000000000000005E-2</v>
      </c>
      <c r="BJ104" s="3">
        <f t="shared" si="122"/>
        <v>14786.997855934609</v>
      </c>
      <c r="BK104" s="3" t="str">
        <f t="shared" si="123"/>
        <v>nie</v>
      </c>
      <c r="BL104" s="3">
        <f t="shared" si="136"/>
        <v>0</v>
      </c>
      <c r="BM104" s="3">
        <f t="shared" si="137"/>
        <v>0</v>
      </c>
      <c r="BN104" s="3">
        <f t="shared" si="138"/>
        <v>14786.997855934609</v>
      </c>
      <c r="BO104" s="3">
        <f>MIN(IF(MOD(S104,12)=0,INDEX(IKE_oplata_wskaznik,MATCH(ROUNDUP(S104/12,0),IKE_oplata_rok,0)),0)*BN104,200)</f>
        <v>0</v>
      </c>
      <c r="BP104" s="3">
        <f t="shared" si="139"/>
        <v>100.23840995399827</v>
      </c>
      <c r="BQ104" s="3">
        <f t="shared" si="140"/>
        <v>14686.759445980611</v>
      </c>
      <c r="BR104" s="3">
        <f t="shared" si="124"/>
        <v>200</v>
      </c>
      <c r="BS104" s="3">
        <f t="shared" si="125"/>
        <v>871.52959262757577</v>
      </c>
      <c r="BT104" s="3">
        <f t="shared" si="141"/>
        <v>13615.229853353036</v>
      </c>
    </row>
    <row r="105" spans="2:72">
      <c r="B105" s="173"/>
      <c r="C105" s="1">
        <f t="shared" si="155"/>
        <v>71</v>
      </c>
      <c r="D105" s="3">
        <f t="shared" si="157"/>
        <v>12694.301978333337</v>
      </c>
      <c r="E105" s="3">
        <f t="shared" si="158"/>
        <v>12101.136645000002</v>
      </c>
      <c r="F105" s="3">
        <f t="shared" si="159"/>
        <v>13477.519439079839</v>
      </c>
      <c r="G105" s="3">
        <f t="shared" si="160"/>
        <v>12641.863576632399</v>
      </c>
      <c r="H105" s="3">
        <f t="shared" si="156"/>
        <v>10744.95373642083</v>
      </c>
      <c r="I105" s="3">
        <f t="shared" si="161"/>
        <v>13347.778007812503</v>
      </c>
      <c r="S105" s="1">
        <f t="shared" si="126"/>
        <v>90</v>
      </c>
      <c r="T105" s="9">
        <f t="shared" si="143"/>
        <v>0.05</v>
      </c>
      <c r="U105" s="3">
        <f t="shared" si="110"/>
        <v>14422.779332226566</v>
      </c>
      <c r="V105" s="6">
        <f t="shared" si="127"/>
        <v>105</v>
      </c>
      <c r="W105" s="3">
        <f t="shared" si="128"/>
        <v>10489.5</v>
      </c>
      <c r="X105" s="3">
        <f t="shared" si="129"/>
        <v>10500</v>
      </c>
      <c r="Y105" s="3">
        <f t="shared" si="111"/>
        <v>10500</v>
      </c>
      <c r="Z105" s="9">
        <f t="shared" si="112"/>
        <v>5.7500000000000002E-2</v>
      </c>
      <c r="AA105" s="3">
        <f t="shared" si="113"/>
        <v>10801.875</v>
      </c>
      <c r="AB105" s="3" t="str">
        <f t="shared" si="114"/>
        <v>nie</v>
      </c>
      <c r="AC105" s="3">
        <f t="shared" si="115"/>
        <v>73.5</v>
      </c>
      <c r="AD105" s="1">
        <f t="shared" si="144"/>
        <v>11</v>
      </c>
      <c r="AE105" s="1">
        <f t="shared" si="162"/>
        <v>13</v>
      </c>
      <c r="AF105" s="1">
        <f t="shared" si="162"/>
        <v>3</v>
      </c>
      <c r="AG105" s="1">
        <f t="shared" si="162"/>
        <v>2</v>
      </c>
      <c r="AH105" s="3">
        <f t="shared" si="148"/>
        <v>1100</v>
      </c>
      <c r="AI105" s="9">
        <f t="shared" si="145"/>
        <v>1.2999999999999999E-2</v>
      </c>
      <c r="AJ105" s="3">
        <f t="shared" si="149"/>
        <v>1107.1499999999999</v>
      </c>
      <c r="AK105" s="3">
        <f t="shared" si="146"/>
        <v>7.1499999999998636</v>
      </c>
      <c r="AL105" s="3">
        <f t="shared" ref="AL105:AL159" si="165">SUM(AE105:AG105)*100</f>
        <v>1800</v>
      </c>
      <c r="AM105" s="9">
        <f t="shared" si="163"/>
        <v>5.7500000000000002E-2</v>
      </c>
      <c r="AN105" s="3">
        <f t="shared" si="150"/>
        <v>1851.75</v>
      </c>
      <c r="AO105" s="3">
        <f t="shared" si="164"/>
        <v>12.6</v>
      </c>
      <c r="AP105" s="3">
        <f t="shared" si="116"/>
        <v>0</v>
      </c>
      <c r="AQ105" s="3">
        <f t="shared" si="151"/>
        <v>0</v>
      </c>
      <c r="AR105" s="3">
        <f t="shared" si="152"/>
        <v>96.950000000005502</v>
      </c>
      <c r="AS105" s="1">
        <f t="shared" si="142"/>
        <v>0</v>
      </c>
      <c r="AT105" s="3">
        <f t="shared" si="117"/>
        <v>96.950000000005502</v>
      </c>
      <c r="AU105" s="1">
        <f t="shared" si="147"/>
        <v>0</v>
      </c>
      <c r="AV105" s="3">
        <f t="shared" si="153"/>
        <v>96.950000000005502</v>
      </c>
      <c r="AW105" s="3">
        <f t="shared" si="154"/>
        <v>13857.725000000006</v>
      </c>
      <c r="AX105" s="3">
        <f>MIN(IF(MOD(S105,12)=0,INDEX(IKE_oplata_wskaznik,MATCH(ROUNDUP(S105/12,0),IKE_oplata_rok,0)),0)*AW105,200)</f>
        <v>0</v>
      </c>
      <c r="AY105" s="3">
        <f t="shared" si="130"/>
        <v>96.758690000000016</v>
      </c>
      <c r="AZ105" s="3">
        <f t="shared" si="118"/>
        <v>13760.966310000005</v>
      </c>
      <c r="BA105" s="3">
        <f t="shared" si="131"/>
        <v>93.249999999999858</v>
      </c>
      <c r="BB105" s="3">
        <f t="shared" si="119"/>
        <v>715.25025000000107</v>
      </c>
      <c r="BC105" s="3">
        <f t="shared" si="120"/>
        <v>12952.466060000004</v>
      </c>
      <c r="BE105" s="6">
        <f t="shared" si="132"/>
        <v>100</v>
      </c>
      <c r="BF105" s="3">
        <f t="shared" si="133"/>
        <v>10000</v>
      </c>
      <c r="BG105" s="3">
        <f t="shared" si="134"/>
        <v>10000</v>
      </c>
      <c r="BH105" s="3">
        <f t="shared" si="135"/>
        <v>14426.339371643522</v>
      </c>
      <c r="BI105" s="9">
        <f t="shared" si="121"/>
        <v>6.0000000000000005E-2</v>
      </c>
      <c r="BJ105" s="3">
        <f t="shared" si="122"/>
        <v>14859.129552792829</v>
      </c>
      <c r="BK105" s="3" t="str">
        <f t="shared" si="123"/>
        <v>nie</v>
      </c>
      <c r="BL105" s="3">
        <f t="shared" si="136"/>
        <v>0</v>
      </c>
      <c r="BM105" s="3">
        <f t="shared" si="137"/>
        <v>0</v>
      </c>
      <c r="BN105" s="3">
        <f t="shared" si="138"/>
        <v>14859.129552792829</v>
      </c>
      <c r="BO105" s="3">
        <f>MIN(IF(MOD(S105,12)=0,INDEX(IKE_oplata_wskaznik,MATCH(ROUNDUP(S105/12,0),IKE_oplata_rok,0)),0)*BN105,200)</f>
        <v>0</v>
      </c>
      <c r="BP105" s="3">
        <f t="shared" si="139"/>
        <v>100.23840995399827</v>
      </c>
      <c r="BQ105" s="3">
        <f t="shared" si="140"/>
        <v>14758.891142838831</v>
      </c>
      <c r="BR105" s="3">
        <f t="shared" si="124"/>
        <v>200</v>
      </c>
      <c r="BS105" s="3">
        <f t="shared" si="125"/>
        <v>885.23461503063743</v>
      </c>
      <c r="BT105" s="3">
        <f t="shared" si="141"/>
        <v>13673.656527808194</v>
      </c>
    </row>
    <row r="106" spans="2:72">
      <c r="B106" s="171">
        <f>ROUNDUP(C107/12,0)</f>
        <v>7</v>
      </c>
      <c r="C106" s="4">
        <f t="shared" si="155"/>
        <v>72</v>
      </c>
      <c r="D106" s="12">
        <f t="shared" si="157"/>
        <v>12735.787405000003</v>
      </c>
      <c r="E106" s="12">
        <f t="shared" si="158"/>
        <v>12131.817405000002</v>
      </c>
      <c r="F106" s="12">
        <f t="shared" si="159"/>
        <v>13525.38468754681</v>
      </c>
      <c r="G106" s="12">
        <f t="shared" si="160"/>
        <v>12677.53140395033</v>
      </c>
      <c r="H106" s="12">
        <f t="shared" si="156"/>
        <v>10755.833002078956</v>
      </c>
      <c r="I106" s="12">
        <f t="shared" si="161"/>
        <v>13400.956406250005</v>
      </c>
      <c r="S106" s="1">
        <f t="shared" si="126"/>
        <v>91</v>
      </c>
      <c r="T106" s="9">
        <f t="shared" si="143"/>
        <v>0.05</v>
      </c>
      <c r="U106" s="3">
        <f t="shared" si="110"/>
        <v>14481.408516503911</v>
      </c>
      <c r="V106" s="6">
        <f t="shared" si="127"/>
        <v>105</v>
      </c>
      <c r="W106" s="3">
        <f t="shared" si="128"/>
        <v>10489.5</v>
      </c>
      <c r="X106" s="3">
        <f t="shared" si="129"/>
        <v>10500</v>
      </c>
      <c r="Y106" s="3">
        <f t="shared" si="111"/>
        <v>10500</v>
      </c>
      <c r="Z106" s="9">
        <f t="shared" si="112"/>
        <v>5.7500000000000002E-2</v>
      </c>
      <c r="AA106" s="3">
        <f t="shared" si="113"/>
        <v>10852.1875</v>
      </c>
      <c r="AB106" s="3" t="str">
        <f t="shared" si="114"/>
        <v>nie</v>
      </c>
      <c r="AC106" s="3">
        <f t="shared" si="115"/>
        <v>73.5</v>
      </c>
      <c r="AD106" s="1">
        <f t="shared" si="144"/>
        <v>11</v>
      </c>
      <c r="AE106" s="1">
        <f t="shared" si="162"/>
        <v>13</v>
      </c>
      <c r="AF106" s="1">
        <f t="shared" si="162"/>
        <v>3</v>
      </c>
      <c r="AG106" s="1">
        <f t="shared" si="162"/>
        <v>2</v>
      </c>
      <c r="AH106" s="3">
        <f t="shared" si="148"/>
        <v>1100</v>
      </c>
      <c r="AI106" s="9">
        <f t="shared" si="145"/>
        <v>1.2999999999999999E-2</v>
      </c>
      <c r="AJ106" s="3">
        <f t="shared" si="149"/>
        <v>1108.3416666666667</v>
      </c>
      <c r="AK106" s="3">
        <f t="shared" si="146"/>
        <v>7.6999999999999993</v>
      </c>
      <c r="AL106" s="3">
        <f t="shared" si="165"/>
        <v>1800</v>
      </c>
      <c r="AM106" s="9">
        <f t="shared" si="163"/>
        <v>5.7500000000000002E-2</v>
      </c>
      <c r="AN106" s="3">
        <f t="shared" si="150"/>
        <v>1860.3749999999998</v>
      </c>
      <c r="AO106" s="3">
        <f t="shared" si="164"/>
        <v>12.6</v>
      </c>
      <c r="AP106" s="3">
        <f t="shared" si="116"/>
        <v>0</v>
      </c>
      <c r="AQ106" s="3">
        <f t="shared" si="151"/>
        <v>0</v>
      </c>
      <c r="AR106" s="3">
        <f t="shared" si="152"/>
        <v>96.950000000005502</v>
      </c>
      <c r="AS106" s="1">
        <f t="shared" si="142"/>
        <v>0</v>
      </c>
      <c r="AT106" s="3">
        <f t="shared" si="117"/>
        <v>96.950000000005502</v>
      </c>
      <c r="AU106" s="1">
        <f t="shared" si="147"/>
        <v>0</v>
      </c>
      <c r="AV106" s="3">
        <f t="shared" si="153"/>
        <v>96.950000000005502</v>
      </c>
      <c r="AW106" s="3">
        <f t="shared" si="154"/>
        <v>13917.854166666673</v>
      </c>
      <c r="AX106" s="3">
        <f>MIN(IF(MOD(S106,12)=0,INDEX(IKE_oplata_wskaznik,MATCH(ROUNDUP(S106/12,0),IKE_oplata_rok,0)),0)*AW106,200)</f>
        <v>0</v>
      </c>
      <c r="AY106" s="3">
        <f t="shared" si="130"/>
        <v>96.758690000000016</v>
      </c>
      <c r="AZ106" s="3">
        <f t="shared" si="118"/>
        <v>13821.095476666673</v>
      </c>
      <c r="BA106" s="3">
        <f t="shared" si="131"/>
        <v>93.8</v>
      </c>
      <c r="BB106" s="3">
        <f t="shared" si="119"/>
        <v>726.57029166666803</v>
      </c>
      <c r="BC106" s="3">
        <f t="shared" si="120"/>
        <v>13000.725185000005</v>
      </c>
      <c r="BE106" s="6">
        <f t="shared" si="132"/>
        <v>100</v>
      </c>
      <c r="BF106" s="3">
        <f t="shared" si="133"/>
        <v>10000</v>
      </c>
      <c r="BG106" s="3">
        <f t="shared" si="134"/>
        <v>10000</v>
      </c>
      <c r="BH106" s="3">
        <f t="shared" si="135"/>
        <v>14426.339371643522</v>
      </c>
      <c r="BI106" s="9">
        <f t="shared" si="121"/>
        <v>6.0000000000000005E-2</v>
      </c>
      <c r="BJ106" s="3">
        <f t="shared" si="122"/>
        <v>14931.261249651045</v>
      </c>
      <c r="BK106" s="3" t="str">
        <f t="shared" si="123"/>
        <v>nie</v>
      </c>
      <c r="BL106" s="3">
        <f t="shared" si="136"/>
        <v>0</v>
      </c>
      <c r="BM106" s="3">
        <f t="shared" si="137"/>
        <v>0</v>
      </c>
      <c r="BN106" s="3">
        <f t="shared" si="138"/>
        <v>14931.261249651045</v>
      </c>
      <c r="BO106" s="3">
        <f>MIN(IF(MOD(S106,12)=0,INDEX(IKE_oplata_wskaznik,MATCH(ROUNDUP(S106/12,0),IKE_oplata_rok,0)),0)*BN106,200)</f>
        <v>0</v>
      </c>
      <c r="BP106" s="3">
        <f t="shared" si="139"/>
        <v>100.23840995399827</v>
      </c>
      <c r="BQ106" s="3">
        <f t="shared" si="140"/>
        <v>14831.022839697047</v>
      </c>
      <c r="BR106" s="3">
        <f t="shared" si="124"/>
        <v>200</v>
      </c>
      <c r="BS106" s="3">
        <f t="shared" si="125"/>
        <v>898.93963743369852</v>
      </c>
      <c r="BT106" s="3">
        <f t="shared" si="141"/>
        <v>13732.083202263348</v>
      </c>
    </row>
    <row r="107" spans="2:72">
      <c r="B107" s="172"/>
      <c r="C107" s="1">
        <f t="shared" si="155"/>
        <v>73</v>
      </c>
      <c r="D107" s="3">
        <f t="shared" si="157"/>
        <v>12792.899905000004</v>
      </c>
      <c r="E107" s="3">
        <f t="shared" si="158"/>
        <v>12180.339780000004</v>
      </c>
      <c r="F107" s="3">
        <f t="shared" si="159"/>
        <v>13593.433458167769</v>
      </c>
      <c r="G107" s="3">
        <f t="shared" si="160"/>
        <v>12732.650908153306</v>
      </c>
      <c r="H107" s="3">
        <f t="shared" si="156"/>
        <v>10766.723282993562</v>
      </c>
      <c r="I107" s="3">
        <f t="shared" si="161"/>
        <v>13456.793724609379</v>
      </c>
      <c r="S107" s="1">
        <f t="shared" si="126"/>
        <v>92</v>
      </c>
      <c r="T107" s="9">
        <f t="shared" si="143"/>
        <v>0.05</v>
      </c>
      <c r="U107" s="3">
        <f t="shared" si="110"/>
        <v>14540.037700781257</v>
      </c>
      <c r="V107" s="6">
        <f t="shared" si="127"/>
        <v>105</v>
      </c>
      <c r="W107" s="3">
        <f t="shared" si="128"/>
        <v>10489.5</v>
      </c>
      <c r="X107" s="3">
        <f t="shared" si="129"/>
        <v>10500</v>
      </c>
      <c r="Y107" s="3">
        <f t="shared" si="111"/>
        <v>10500</v>
      </c>
      <c r="Z107" s="9">
        <f t="shared" si="112"/>
        <v>5.7500000000000002E-2</v>
      </c>
      <c r="AA107" s="3">
        <f t="shared" si="113"/>
        <v>10902.5</v>
      </c>
      <c r="AB107" s="3" t="str">
        <f t="shared" si="114"/>
        <v>nie</v>
      </c>
      <c r="AC107" s="3">
        <f t="shared" si="115"/>
        <v>73.5</v>
      </c>
      <c r="AD107" s="1">
        <f t="shared" si="144"/>
        <v>11</v>
      </c>
      <c r="AE107" s="1">
        <f t="shared" si="162"/>
        <v>13</v>
      </c>
      <c r="AF107" s="1">
        <f t="shared" si="162"/>
        <v>3</v>
      </c>
      <c r="AG107" s="1">
        <f t="shared" si="162"/>
        <v>2</v>
      </c>
      <c r="AH107" s="3">
        <f t="shared" si="148"/>
        <v>1100</v>
      </c>
      <c r="AI107" s="9">
        <f t="shared" si="145"/>
        <v>1.2999999999999999E-2</v>
      </c>
      <c r="AJ107" s="3">
        <f t="shared" si="149"/>
        <v>1109.5333333333333</v>
      </c>
      <c r="AK107" s="3">
        <f t="shared" si="146"/>
        <v>7.6999999999999993</v>
      </c>
      <c r="AL107" s="3">
        <f t="shared" si="165"/>
        <v>1800</v>
      </c>
      <c r="AM107" s="9">
        <f t="shared" si="163"/>
        <v>5.7500000000000002E-2</v>
      </c>
      <c r="AN107" s="3">
        <f t="shared" si="150"/>
        <v>1869</v>
      </c>
      <c r="AO107" s="3">
        <f t="shared" si="164"/>
        <v>12.6</v>
      </c>
      <c r="AP107" s="3">
        <f t="shared" si="116"/>
        <v>0</v>
      </c>
      <c r="AQ107" s="3">
        <f t="shared" si="151"/>
        <v>0</v>
      </c>
      <c r="AR107" s="3">
        <f t="shared" si="152"/>
        <v>96.950000000005502</v>
      </c>
      <c r="AS107" s="1">
        <f t="shared" si="142"/>
        <v>0</v>
      </c>
      <c r="AT107" s="3">
        <f t="shared" si="117"/>
        <v>96.950000000005502</v>
      </c>
      <c r="AU107" s="1">
        <f t="shared" si="147"/>
        <v>0</v>
      </c>
      <c r="AV107" s="3">
        <f t="shared" si="153"/>
        <v>96.950000000005502</v>
      </c>
      <c r="AW107" s="3">
        <f t="shared" si="154"/>
        <v>13977.983333333339</v>
      </c>
      <c r="AX107" s="3">
        <f>MIN(IF(MOD(S107,12)=0,INDEX(IKE_oplata_wskaznik,MATCH(ROUNDUP(S107/12,0),IKE_oplata_rok,0)),0)*AW107,200)</f>
        <v>0</v>
      </c>
      <c r="AY107" s="3">
        <f t="shared" si="130"/>
        <v>96.758690000000016</v>
      </c>
      <c r="AZ107" s="3">
        <f t="shared" si="118"/>
        <v>13881.224643333338</v>
      </c>
      <c r="BA107" s="3">
        <f t="shared" si="131"/>
        <v>93.8</v>
      </c>
      <c r="BB107" s="3">
        <f t="shared" si="119"/>
        <v>737.99483333333455</v>
      </c>
      <c r="BC107" s="3">
        <f t="shared" si="120"/>
        <v>13049.429810000005</v>
      </c>
      <c r="BE107" s="6">
        <f t="shared" si="132"/>
        <v>100</v>
      </c>
      <c r="BF107" s="3">
        <f t="shared" si="133"/>
        <v>10000</v>
      </c>
      <c r="BG107" s="3">
        <f t="shared" si="134"/>
        <v>10000</v>
      </c>
      <c r="BH107" s="3">
        <f t="shared" si="135"/>
        <v>14426.339371643522</v>
      </c>
      <c r="BI107" s="9">
        <f t="shared" si="121"/>
        <v>6.0000000000000005E-2</v>
      </c>
      <c r="BJ107" s="3">
        <f t="shared" si="122"/>
        <v>15003.392946509264</v>
      </c>
      <c r="BK107" s="3" t="str">
        <f t="shared" si="123"/>
        <v>nie</v>
      </c>
      <c r="BL107" s="3">
        <f t="shared" si="136"/>
        <v>0</v>
      </c>
      <c r="BM107" s="3">
        <f t="shared" si="137"/>
        <v>0</v>
      </c>
      <c r="BN107" s="3">
        <f t="shared" si="138"/>
        <v>15003.392946509264</v>
      </c>
      <c r="BO107" s="3">
        <f>MIN(IF(MOD(S107,12)=0,INDEX(IKE_oplata_wskaznik,MATCH(ROUNDUP(S107/12,0),IKE_oplata_rok,0)),0)*BN107,200)</f>
        <v>0</v>
      </c>
      <c r="BP107" s="3">
        <f t="shared" si="139"/>
        <v>100.23840995399827</v>
      </c>
      <c r="BQ107" s="3">
        <f t="shared" si="140"/>
        <v>14903.154536555267</v>
      </c>
      <c r="BR107" s="3">
        <f t="shared" si="124"/>
        <v>200</v>
      </c>
      <c r="BS107" s="3">
        <f t="shared" si="125"/>
        <v>912.64465983676018</v>
      </c>
      <c r="BT107" s="3">
        <f t="shared" si="141"/>
        <v>13790.509876718506</v>
      </c>
    </row>
    <row r="108" spans="2:72">
      <c r="B108" s="172"/>
      <c r="C108" s="1">
        <f t="shared" si="155"/>
        <v>74</v>
      </c>
      <c r="D108" s="3">
        <f t="shared" si="157"/>
        <v>12849.412405000005</v>
      </c>
      <c r="E108" s="3">
        <f t="shared" si="158"/>
        <v>12224.974155000004</v>
      </c>
      <c r="F108" s="3">
        <f t="shared" si="159"/>
        <v>13661.482228788729</v>
      </c>
      <c r="G108" s="3">
        <f t="shared" si="160"/>
        <v>12787.770412356283</v>
      </c>
      <c r="H108" s="3">
        <f t="shared" si="156"/>
        <v>10777.624590317593</v>
      </c>
      <c r="I108" s="3">
        <f t="shared" si="161"/>
        <v>13512.631042968755</v>
      </c>
      <c r="S108" s="1">
        <f t="shared" si="126"/>
        <v>93</v>
      </c>
      <c r="T108" s="9">
        <f t="shared" si="143"/>
        <v>0.05</v>
      </c>
      <c r="U108" s="3">
        <f t="shared" si="110"/>
        <v>14598.666885058601</v>
      </c>
      <c r="V108" s="6">
        <f t="shared" si="127"/>
        <v>105</v>
      </c>
      <c r="W108" s="3">
        <f t="shared" si="128"/>
        <v>10489.5</v>
      </c>
      <c r="X108" s="3">
        <f t="shared" si="129"/>
        <v>10500</v>
      </c>
      <c r="Y108" s="3">
        <f t="shared" si="111"/>
        <v>10500</v>
      </c>
      <c r="Z108" s="9">
        <f t="shared" si="112"/>
        <v>5.7500000000000002E-2</v>
      </c>
      <c r="AA108" s="3">
        <f t="shared" si="113"/>
        <v>10952.8125</v>
      </c>
      <c r="AB108" s="3" t="str">
        <f t="shared" si="114"/>
        <v>nie</v>
      </c>
      <c r="AC108" s="3">
        <f t="shared" si="115"/>
        <v>73.5</v>
      </c>
      <c r="AD108" s="1">
        <f t="shared" si="144"/>
        <v>11</v>
      </c>
      <c r="AE108" s="1">
        <f t="shared" si="162"/>
        <v>13</v>
      </c>
      <c r="AF108" s="1">
        <f t="shared" si="162"/>
        <v>3</v>
      </c>
      <c r="AG108" s="1">
        <f t="shared" si="162"/>
        <v>2</v>
      </c>
      <c r="AH108" s="3">
        <f t="shared" si="148"/>
        <v>1100</v>
      </c>
      <c r="AI108" s="9">
        <f t="shared" si="145"/>
        <v>1.2999999999999999E-2</v>
      </c>
      <c r="AJ108" s="3">
        <f t="shared" si="149"/>
        <v>1110.7249999999999</v>
      </c>
      <c r="AK108" s="3">
        <f t="shared" si="146"/>
        <v>7.6999999999999993</v>
      </c>
      <c r="AL108" s="3">
        <f t="shared" si="165"/>
        <v>1800</v>
      </c>
      <c r="AM108" s="9">
        <f t="shared" si="163"/>
        <v>5.7500000000000002E-2</v>
      </c>
      <c r="AN108" s="3">
        <f t="shared" si="150"/>
        <v>1877.6250000000002</v>
      </c>
      <c r="AO108" s="3">
        <f t="shared" si="164"/>
        <v>12.6</v>
      </c>
      <c r="AP108" s="3">
        <f t="shared" si="116"/>
        <v>0</v>
      </c>
      <c r="AQ108" s="3">
        <f t="shared" si="151"/>
        <v>0</v>
      </c>
      <c r="AR108" s="3">
        <f t="shared" si="152"/>
        <v>96.950000000005502</v>
      </c>
      <c r="AS108" s="1">
        <f t="shared" si="142"/>
        <v>0</v>
      </c>
      <c r="AT108" s="3">
        <f t="shared" si="117"/>
        <v>96.950000000005502</v>
      </c>
      <c r="AU108" s="1">
        <f t="shared" si="147"/>
        <v>0</v>
      </c>
      <c r="AV108" s="3">
        <f t="shared" si="153"/>
        <v>96.950000000005502</v>
      </c>
      <c r="AW108" s="3">
        <f t="shared" si="154"/>
        <v>14038.112500000007</v>
      </c>
      <c r="AX108" s="3">
        <f>MIN(IF(MOD(S108,12)=0,INDEX(IKE_oplata_wskaznik,MATCH(ROUNDUP(S108/12,0),IKE_oplata_rok,0)),0)*AW108,200)</f>
        <v>0</v>
      </c>
      <c r="AY108" s="3">
        <f t="shared" si="130"/>
        <v>96.758690000000016</v>
      </c>
      <c r="AZ108" s="3">
        <f t="shared" si="118"/>
        <v>13941.353810000006</v>
      </c>
      <c r="BA108" s="3">
        <f t="shared" si="131"/>
        <v>93.8</v>
      </c>
      <c r="BB108" s="3">
        <f t="shared" si="119"/>
        <v>749.41937500000142</v>
      </c>
      <c r="BC108" s="3">
        <f t="shared" si="120"/>
        <v>13098.134435000005</v>
      </c>
      <c r="BE108" s="6">
        <f t="shared" si="132"/>
        <v>100</v>
      </c>
      <c r="BF108" s="3">
        <f t="shared" si="133"/>
        <v>10000</v>
      </c>
      <c r="BG108" s="3">
        <f t="shared" si="134"/>
        <v>10000</v>
      </c>
      <c r="BH108" s="3">
        <f t="shared" si="135"/>
        <v>14426.339371643522</v>
      </c>
      <c r="BI108" s="9">
        <f t="shared" si="121"/>
        <v>6.0000000000000005E-2</v>
      </c>
      <c r="BJ108" s="3">
        <f t="shared" si="122"/>
        <v>15075.52464336748</v>
      </c>
      <c r="BK108" s="3" t="str">
        <f t="shared" si="123"/>
        <v>nie</v>
      </c>
      <c r="BL108" s="3">
        <f t="shared" si="136"/>
        <v>0</v>
      </c>
      <c r="BM108" s="3">
        <f t="shared" si="137"/>
        <v>0</v>
      </c>
      <c r="BN108" s="3">
        <f t="shared" si="138"/>
        <v>15075.52464336748</v>
      </c>
      <c r="BO108" s="3">
        <f>MIN(IF(MOD(S108,12)=0,INDEX(IKE_oplata_wskaznik,MATCH(ROUNDUP(S108/12,0),IKE_oplata_rok,0)),0)*BN108,200)</f>
        <v>0</v>
      </c>
      <c r="BP108" s="3">
        <f t="shared" si="139"/>
        <v>100.23840995399827</v>
      </c>
      <c r="BQ108" s="3">
        <f t="shared" si="140"/>
        <v>14975.286233413482</v>
      </c>
      <c r="BR108" s="3">
        <f t="shared" si="124"/>
        <v>200</v>
      </c>
      <c r="BS108" s="3">
        <f t="shared" si="125"/>
        <v>926.34968223982128</v>
      </c>
      <c r="BT108" s="3">
        <f t="shared" si="141"/>
        <v>13848.936551173661</v>
      </c>
    </row>
    <row r="109" spans="2:72">
      <c r="B109" s="172"/>
      <c r="C109" s="1">
        <f t="shared" si="155"/>
        <v>75</v>
      </c>
      <c r="D109" s="3">
        <f t="shared" si="157"/>
        <v>12905.924905000005</v>
      </c>
      <c r="E109" s="3">
        <f t="shared" si="158"/>
        <v>12269.608530000005</v>
      </c>
      <c r="F109" s="3">
        <f t="shared" si="159"/>
        <v>13729.530999409688</v>
      </c>
      <c r="G109" s="3">
        <f t="shared" si="160"/>
        <v>12842.889916559261</v>
      </c>
      <c r="H109" s="3">
        <f t="shared" si="156"/>
        <v>10788.53693521529</v>
      </c>
      <c r="I109" s="3">
        <f t="shared" si="161"/>
        <v>13568.468361328129</v>
      </c>
      <c r="S109" s="1">
        <f t="shared" si="126"/>
        <v>94</v>
      </c>
      <c r="T109" s="9">
        <f t="shared" si="143"/>
        <v>0.05</v>
      </c>
      <c r="U109" s="3">
        <f t="shared" si="110"/>
        <v>14657.296069335944</v>
      </c>
      <c r="V109" s="6">
        <f t="shared" si="127"/>
        <v>105</v>
      </c>
      <c r="W109" s="3">
        <f t="shared" si="128"/>
        <v>10489.5</v>
      </c>
      <c r="X109" s="3">
        <f t="shared" si="129"/>
        <v>10500</v>
      </c>
      <c r="Y109" s="3">
        <f t="shared" si="111"/>
        <v>10500</v>
      </c>
      <c r="Z109" s="9">
        <f t="shared" si="112"/>
        <v>5.7500000000000002E-2</v>
      </c>
      <c r="AA109" s="3">
        <f t="shared" si="113"/>
        <v>11003.125</v>
      </c>
      <c r="AB109" s="3" t="str">
        <f t="shared" si="114"/>
        <v>nie</v>
      </c>
      <c r="AC109" s="3">
        <f t="shared" si="115"/>
        <v>73.5</v>
      </c>
      <c r="AD109" s="1">
        <f t="shared" si="144"/>
        <v>11</v>
      </c>
      <c r="AE109" s="1">
        <f t="shared" si="162"/>
        <v>13</v>
      </c>
      <c r="AF109" s="1">
        <f t="shared" si="162"/>
        <v>3</v>
      </c>
      <c r="AG109" s="1">
        <f t="shared" si="162"/>
        <v>2</v>
      </c>
      <c r="AH109" s="3">
        <f t="shared" si="148"/>
        <v>1100</v>
      </c>
      <c r="AI109" s="9">
        <f t="shared" si="145"/>
        <v>1.2999999999999999E-2</v>
      </c>
      <c r="AJ109" s="3">
        <f t="shared" si="149"/>
        <v>1111.9166666666665</v>
      </c>
      <c r="AK109" s="3">
        <f t="shared" si="146"/>
        <v>7.6999999999999993</v>
      </c>
      <c r="AL109" s="3">
        <f t="shared" si="165"/>
        <v>1800</v>
      </c>
      <c r="AM109" s="9">
        <f t="shared" si="163"/>
        <v>5.7500000000000002E-2</v>
      </c>
      <c r="AN109" s="3">
        <f t="shared" si="150"/>
        <v>1886.25</v>
      </c>
      <c r="AO109" s="3">
        <f t="shared" si="164"/>
        <v>12.6</v>
      </c>
      <c r="AP109" s="3">
        <f t="shared" si="116"/>
        <v>0</v>
      </c>
      <c r="AQ109" s="3">
        <f t="shared" si="151"/>
        <v>0</v>
      </c>
      <c r="AR109" s="3">
        <f t="shared" si="152"/>
        <v>96.950000000005502</v>
      </c>
      <c r="AS109" s="1">
        <f t="shared" si="142"/>
        <v>0</v>
      </c>
      <c r="AT109" s="3">
        <f t="shared" si="117"/>
        <v>96.950000000005502</v>
      </c>
      <c r="AU109" s="1">
        <f t="shared" si="147"/>
        <v>0</v>
      </c>
      <c r="AV109" s="3">
        <f t="shared" si="153"/>
        <v>96.950000000005502</v>
      </c>
      <c r="AW109" s="3">
        <f t="shared" si="154"/>
        <v>14098.241666666672</v>
      </c>
      <c r="AX109" s="3">
        <f>MIN(IF(MOD(S109,12)=0,INDEX(IKE_oplata_wskaznik,MATCH(ROUNDUP(S109/12,0),IKE_oplata_rok,0)),0)*AW109,200)</f>
        <v>0</v>
      </c>
      <c r="AY109" s="3">
        <f t="shared" si="130"/>
        <v>96.758690000000016</v>
      </c>
      <c r="AZ109" s="3">
        <f t="shared" si="118"/>
        <v>14001.482976666672</v>
      </c>
      <c r="BA109" s="3">
        <f t="shared" si="131"/>
        <v>93.8</v>
      </c>
      <c r="BB109" s="3">
        <f t="shared" si="119"/>
        <v>760.84391666666784</v>
      </c>
      <c r="BC109" s="3">
        <f t="shared" si="120"/>
        <v>13146.839060000004</v>
      </c>
      <c r="BE109" s="6">
        <f t="shared" si="132"/>
        <v>100</v>
      </c>
      <c r="BF109" s="3">
        <f t="shared" si="133"/>
        <v>10000</v>
      </c>
      <c r="BG109" s="3">
        <f t="shared" si="134"/>
        <v>10000</v>
      </c>
      <c r="BH109" s="3">
        <f t="shared" si="135"/>
        <v>14426.339371643522</v>
      </c>
      <c r="BI109" s="9">
        <f t="shared" si="121"/>
        <v>6.0000000000000005E-2</v>
      </c>
      <c r="BJ109" s="3">
        <f t="shared" si="122"/>
        <v>15147.6563402257</v>
      </c>
      <c r="BK109" s="3" t="str">
        <f t="shared" si="123"/>
        <v>nie</v>
      </c>
      <c r="BL109" s="3">
        <f t="shared" si="136"/>
        <v>0</v>
      </c>
      <c r="BM109" s="3">
        <f t="shared" si="137"/>
        <v>0</v>
      </c>
      <c r="BN109" s="3">
        <f t="shared" si="138"/>
        <v>15147.6563402257</v>
      </c>
      <c r="BO109" s="3">
        <f>MIN(IF(MOD(S109,12)=0,INDEX(IKE_oplata_wskaznik,MATCH(ROUNDUP(S109/12,0),IKE_oplata_rok,0)),0)*BN109,200)</f>
        <v>0</v>
      </c>
      <c r="BP109" s="3">
        <f t="shared" si="139"/>
        <v>100.23840995399827</v>
      </c>
      <c r="BQ109" s="3">
        <f t="shared" si="140"/>
        <v>15047.417930271702</v>
      </c>
      <c r="BR109" s="3">
        <f t="shared" si="124"/>
        <v>200</v>
      </c>
      <c r="BS109" s="3">
        <f t="shared" si="125"/>
        <v>940.05470464288294</v>
      </c>
      <c r="BT109" s="3">
        <f t="shared" si="141"/>
        <v>13907.363225628818</v>
      </c>
    </row>
    <row r="110" spans="2:72">
      <c r="B110" s="172"/>
      <c r="C110" s="1">
        <f t="shared" si="155"/>
        <v>76</v>
      </c>
      <c r="D110" s="3">
        <f t="shared" si="157"/>
        <v>12962.437405000006</v>
      </c>
      <c r="E110" s="3">
        <f t="shared" si="158"/>
        <v>12314.242905000005</v>
      </c>
      <c r="F110" s="3">
        <f t="shared" si="159"/>
        <v>13797.57977003065</v>
      </c>
      <c r="G110" s="3">
        <f t="shared" si="160"/>
        <v>12898.009420762241</v>
      </c>
      <c r="H110" s="3">
        <f t="shared" si="156"/>
        <v>10799.460328862197</v>
      </c>
      <c r="I110" s="3">
        <f t="shared" si="161"/>
        <v>13624.305679687504</v>
      </c>
      <c r="S110" s="1">
        <f t="shared" si="126"/>
        <v>95</v>
      </c>
      <c r="T110" s="9">
        <f t="shared" si="143"/>
        <v>0.05</v>
      </c>
      <c r="U110" s="3">
        <f t="shared" si="110"/>
        <v>14715.925253613288</v>
      </c>
      <c r="V110" s="6">
        <f t="shared" si="127"/>
        <v>105</v>
      </c>
      <c r="W110" s="3">
        <f t="shared" si="128"/>
        <v>10489.5</v>
      </c>
      <c r="X110" s="3">
        <f t="shared" si="129"/>
        <v>10500</v>
      </c>
      <c r="Y110" s="3">
        <f t="shared" si="111"/>
        <v>10500</v>
      </c>
      <c r="Z110" s="9">
        <f t="shared" si="112"/>
        <v>5.7500000000000002E-2</v>
      </c>
      <c r="AA110" s="3">
        <f t="shared" si="113"/>
        <v>11053.4375</v>
      </c>
      <c r="AB110" s="3" t="str">
        <f t="shared" si="114"/>
        <v>nie</v>
      </c>
      <c r="AC110" s="3">
        <f t="shared" si="115"/>
        <v>73.5</v>
      </c>
      <c r="AD110" s="1">
        <f t="shared" si="144"/>
        <v>11</v>
      </c>
      <c r="AE110" s="1">
        <f t="shared" si="162"/>
        <v>13</v>
      </c>
      <c r="AF110" s="1">
        <f t="shared" si="162"/>
        <v>3</v>
      </c>
      <c r="AG110" s="1">
        <f t="shared" si="162"/>
        <v>2</v>
      </c>
      <c r="AH110" s="3">
        <f t="shared" si="148"/>
        <v>1100</v>
      </c>
      <c r="AI110" s="9">
        <f t="shared" si="145"/>
        <v>1.2999999999999999E-2</v>
      </c>
      <c r="AJ110" s="3">
        <f t="shared" si="149"/>
        <v>1113.1083333333331</v>
      </c>
      <c r="AK110" s="3">
        <f t="shared" si="146"/>
        <v>7.6999999999999993</v>
      </c>
      <c r="AL110" s="3">
        <f t="shared" si="165"/>
        <v>1800</v>
      </c>
      <c r="AM110" s="9">
        <f t="shared" si="163"/>
        <v>5.7500000000000002E-2</v>
      </c>
      <c r="AN110" s="3">
        <f t="shared" si="150"/>
        <v>1894.875</v>
      </c>
      <c r="AO110" s="3">
        <f t="shared" si="164"/>
        <v>12.6</v>
      </c>
      <c r="AP110" s="3">
        <f t="shared" si="116"/>
        <v>0</v>
      </c>
      <c r="AQ110" s="3">
        <f t="shared" si="151"/>
        <v>0</v>
      </c>
      <c r="AR110" s="3">
        <f t="shared" si="152"/>
        <v>96.950000000005502</v>
      </c>
      <c r="AS110" s="1">
        <f t="shared" si="142"/>
        <v>0</v>
      </c>
      <c r="AT110" s="3">
        <f t="shared" si="117"/>
        <v>96.950000000005502</v>
      </c>
      <c r="AU110" s="1">
        <f t="shared" si="147"/>
        <v>0</v>
      </c>
      <c r="AV110" s="3">
        <f t="shared" si="153"/>
        <v>96.950000000005502</v>
      </c>
      <c r="AW110" s="3">
        <f t="shared" si="154"/>
        <v>14158.37083333334</v>
      </c>
      <c r="AX110" s="3">
        <f>MIN(IF(MOD(S110,12)=0,INDEX(IKE_oplata_wskaznik,MATCH(ROUNDUP(S110/12,0),IKE_oplata_rok,0)),0)*AW110,200)</f>
        <v>0</v>
      </c>
      <c r="AY110" s="3">
        <f t="shared" si="130"/>
        <v>96.758690000000016</v>
      </c>
      <c r="AZ110" s="3">
        <f t="shared" si="118"/>
        <v>14061.612143333339</v>
      </c>
      <c r="BA110" s="3">
        <f t="shared" si="131"/>
        <v>93.8</v>
      </c>
      <c r="BB110" s="3">
        <f t="shared" si="119"/>
        <v>772.26845833333471</v>
      </c>
      <c r="BC110" s="3">
        <f t="shared" si="120"/>
        <v>13195.543685000006</v>
      </c>
      <c r="BE110" s="6">
        <f t="shared" si="132"/>
        <v>100</v>
      </c>
      <c r="BF110" s="3">
        <f t="shared" si="133"/>
        <v>10000</v>
      </c>
      <c r="BG110" s="3">
        <f t="shared" si="134"/>
        <v>10000</v>
      </c>
      <c r="BH110" s="3">
        <f t="shared" si="135"/>
        <v>14426.339371643522</v>
      </c>
      <c r="BI110" s="9">
        <f t="shared" si="121"/>
        <v>6.0000000000000005E-2</v>
      </c>
      <c r="BJ110" s="3">
        <f t="shared" si="122"/>
        <v>15219.788037083916</v>
      </c>
      <c r="BK110" s="3" t="str">
        <f t="shared" si="123"/>
        <v>nie</v>
      </c>
      <c r="BL110" s="3">
        <f t="shared" si="136"/>
        <v>0</v>
      </c>
      <c r="BM110" s="3">
        <f t="shared" si="137"/>
        <v>0</v>
      </c>
      <c r="BN110" s="3">
        <f t="shared" si="138"/>
        <v>15219.788037083916</v>
      </c>
      <c r="BO110" s="3">
        <f>MIN(IF(MOD(S110,12)=0,INDEX(IKE_oplata_wskaznik,MATCH(ROUNDUP(S110/12,0),IKE_oplata_rok,0)),0)*BN110,200)</f>
        <v>0</v>
      </c>
      <c r="BP110" s="3">
        <f t="shared" si="139"/>
        <v>100.23840995399827</v>
      </c>
      <c r="BQ110" s="3">
        <f t="shared" si="140"/>
        <v>15119.549627129918</v>
      </c>
      <c r="BR110" s="3">
        <f t="shared" si="124"/>
        <v>200</v>
      </c>
      <c r="BS110" s="3">
        <f t="shared" si="125"/>
        <v>953.75972704594403</v>
      </c>
      <c r="BT110" s="3">
        <f t="shared" si="141"/>
        <v>13965.789900083973</v>
      </c>
    </row>
    <row r="111" spans="2:72">
      <c r="B111" s="172"/>
      <c r="C111" s="1">
        <f t="shared" si="155"/>
        <v>77</v>
      </c>
      <c r="D111" s="3">
        <f t="shared" si="157"/>
        <v>13018.949905000003</v>
      </c>
      <c r="E111" s="3">
        <f t="shared" si="158"/>
        <v>12358.877280000002</v>
      </c>
      <c r="F111" s="3">
        <f t="shared" si="159"/>
        <v>13865.628540651609</v>
      </c>
      <c r="G111" s="3">
        <f t="shared" si="160"/>
        <v>12953.128924965216</v>
      </c>
      <c r="H111" s="3">
        <f t="shared" si="156"/>
        <v>10810.39478244517</v>
      </c>
      <c r="I111" s="3">
        <f t="shared" si="161"/>
        <v>13680.142998046878</v>
      </c>
      <c r="S111" s="1">
        <f t="shared" si="126"/>
        <v>96</v>
      </c>
      <c r="T111" s="9">
        <f t="shared" si="143"/>
        <v>0.05</v>
      </c>
      <c r="U111" s="3">
        <f t="shared" si="110"/>
        <v>14774.554437890631</v>
      </c>
      <c r="V111" s="6">
        <f t="shared" si="127"/>
        <v>105</v>
      </c>
      <c r="W111" s="3">
        <f t="shared" si="128"/>
        <v>10489.5</v>
      </c>
      <c r="X111" s="3">
        <f t="shared" si="129"/>
        <v>10500</v>
      </c>
      <c r="Y111" s="3">
        <f t="shared" si="111"/>
        <v>10500</v>
      </c>
      <c r="Z111" s="9">
        <f t="shared" si="112"/>
        <v>5.7500000000000002E-2</v>
      </c>
      <c r="AA111" s="3">
        <f t="shared" si="113"/>
        <v>11103.750000000002</v>
      </c>
      <c r="AB111" s="3" t="str">
        <f t="shared" si="114"/>
        <v>tak</v>
      </c>
      <c r="AC111" s="3">
        <f t="shared" si="115"/>
        <v>0</v>
      </c>
      <c r="AD111" s="1">
        <f t="shared" si="144"/>
        <v>11</v>
      </c>
      <c r="AE111" s="1">
        <f t="shared" si="162"/>
        <v>13</v>
      </c>
      <c r="AF111" s="1">
        <f t="shared" si="162"/>
        <v>3</v>
      </c>
      <c r="AG111" s="1">
        <f t="shared" si="162"/>
        <v>2</v>
      </c>
      <c r="AH111" s="3">
        <f t="shared" si="148"/>
        <v>1100</v>
      </c>
      <c r="AI111" s="9">
        <f t="shared" si="145"/>
        <v>1.2999999999999999E-2</v>
      </c>
      <c r="AJ111" s="3">
        <f t="shared" si="149"/>
        <v>1114.3</v>
      </c>
      <c r="AK111" s="3">
        <f t="shared" si="146"/>
        <v>7.6999999999999993</v>
      </c>
      <c r="AL111" s="3">
        <f t="shared" si="165"/>
        <v>1800</v>
      </c>
      <c r="AM111" s="9">
        <f t="shared" si="163"/>
        <v>5.7500000000000002E-2</v>
      </c>
      <c r="AN111" s="3">
        <f t="shared" si="150"/>
        <v>1903.5000000000002</v>
      </c>
      <c r="AO111" s="3">
        <f t="shared" si="164"/>
        <v>12.6</v>
      </c>
      <c r="AP111" s="3">
        <f t="shared" si="116"/>
        <v>14.850000000000364</v>
      </c>
      <c r="AQ111" s="3">
        <f t="shared" si="151"/>
        <v>317.80000000000018</v>
      </c>
      <c r="AR111" s="3">
        <f t="shared" si="152"/>
        <v>429.60000000000605</v>
      </c>
      <c r="AS111" s="1">
        <f t="shared" si="142"/>
        <v>2</v>
      </c>
      <c r="AT111" s="3">
        <f t="shared" si="117"/>
        <v>229.80000000000604</v>
      </c>
      <c r="AU111" s="1">
        <f t="shared" si="147"/>
        <v>2</v>
      </c>
      <c r="AV111" s="3">
        <f t="shared" si="153"/>
        <v>29.800000000006037</v>
      </c>
      <c r="AW111" s="3">
        <f t="shared" si="154"/>
        <v>14218.500000000007</v>
      </c>
      <c r="AX111" s="3">
        <f>MIN(IF(MOD(S111,12)=0,INDEX(IKE_oplata_wskaznik,MATCH(ROUNDUP(S111/12,0),IKE_oplata_rok,0)),0)*AW111,200)</f>
        <v>14.218500000000008</v>
      </c>
      <c r="AY111" s="3">
        <f t="shared" si="130"/>
        <v>110.97719000000002</v>
      </c>
      <c r="AZ111" s="3">
        <f t="shared" si="118"/>
        <v>14107.522810000008</v>
      </c>
      <c r="BA111" s="3">
        <f t="shared" si="131"/>
        <v>20.299999999999997</v>
      </c>
      <c r="BB111" s="3">
        <f t="shared" si="119"/>
        <v>797.65800000000149</v>
      </c>
      <c r="BC111" s="3">
        <f t="shared" si="120"/>
        <v>13289.564810000007</v>
      </c>
      <c r="BE111" s="6">
        <f t="shared" si="132"/>
        <v>100</v>
      </c>
      <c r="BF111" s="3">
        <f t="shared" si="133"/>
        <v>10000</v>
      </c>
      <c r="BG111" s="3">
        <f t="shared" si="134"/>
        <v>10000</v>
      </c>
      <c r="BH111" s="3">
        <f t="shared" si="135"/>
        <v>14426.339371643522</v>
      </c>
      <c r="BI111" s="9">
        <f t="shared" si="121"/>
        <v>6.0000000000000005E-2</v>
      </c>
      <c r="BJ111" s="3">
        <f t="shared" si="122"/>
        <v>15291.919733942133</v>
      </c>
      <c r="BK111" s="3" t="str">
        <f t="shared" si="123"/>
        <v>nie</v>
      </c>
      <c r="BL111" s="3">
        <f t="shared" si="136"/>
        <v>0</v>
      </c>
      <c r="BM111" s="3">
        <f t="shared" si="137"/>
        <v>0</v>
      </c>
      <c r="BN111" s="3">
        <f t="shared" si="138"/>
        <v>15291.919733942133</v>
      </c>
      <c r="BO111" s="3">
        <f>MIN(IF(MOD(S111,12)=0,INDEX(IKE_oplata_wskaznik,MATCH(ROUNDUP(S111/12,0),IKE_oplata_rok,0)),0)*BN111,200)</f>
        <v>15.291919733942134</v>
      </c>
      <c r="BP111" s="3">
        <f t="shared" si="139"/>
        <v>115.53032968794041</v>
      </c>
      <c r="BQ111" s="3">
        <f t="shared" si="140"/>
        <v>15176.389404254192</v>
      </c>
      <c r="BR111" s="3">
        <f t="shared" si="124"/>
        <v>200</v>
      </c>
      <c r="BS111" s="3">
        <f t="shared" si="125"/>
        <v>967.46474944900535</v>
      </c>
      <c r="BT111" s="3">
        <f t="shared" si="141"/>
        <v>14008.924654805187</v>
      </c>
    </row>
    <row r="112" spans="2:72">
      <c r="B112" s="172"/>
      <c r="C112" s="1">
        <f t="shared" si="155"/>
        <v>78</v>
      </c>
      <c r="D112" s="3">
        <f t="shared" si="157"/>
        <v>13075.462405000004</v>
      </c>
      <c r="E112" s="3">
        <f t="shared" si="158"/>
        <v>12403.511655000002</v>
      </c>
      <c r="F112" s="3">
        <f t="shared" si="159"/>
        <v>13933.67731127257</v>
      </c>
      <c r="G112" s="3">
        <f t="shared" si="160"/>
        <v>13008.248429168196</v>
      </c>
      <c r="H112" s="3">
        <f t="shared" si="156"/>
        <v>10821.340307162396</v>
      </c>
      <c r="I112" s="3">
        <f t="shared" si="161"/>
        <v>13735.980316406254</v>
      </c>
      <c r="S112" s="1">
        <f t="shared" si="126"/>
        <v>97</v>
      </c>
      <c r="T112" s="9">
        <f t="shared" si="143"/>
        <v>0.05</v>
      </c>
      <c r="U112" s="3">
        <f t="shared" ref="U112:U143" si="166">zakup_domyslny_wartosc*IFERROR((INDEX(scenariusz_I_inflacja_skumulowana,MATCH(ROUNDDOWN(S112/12,0),scenariusz_I_rok,0))+1),1)
*(1+MOD(S112,12)*INDEX(scenariusz_I_inflacja,MATCH(ROUNDUP(S112/12,0),scenariusz_I_rok,0))/12)</f>
        <v>14836.115081381842</v>
      </c>
      <c r="V112" s="6">
        <f t="shared" si="127"/>
        <v>111</v>
      </c>
      <c r="W112" s="3">
        <f t="shared" si="128"/>
        <v>11088.900000000001</v>
      </c>
      <c r="X112" s="3">
        <f t="shared" si="129"/>
        <v>11100</v>
      </c>
      <c r="Y112" s="3">
        <f t="shared" ref="Y112:Y143" si="167">X112</f>
        <v>11100</v>
      </c>
      <c r="Z112" s="9">
        <f t="shared" ref="Z112:Z143" si="168">IF(AND(MOD($S112,zapadalnosc_COI)&lt;=12,MOD($S112,zapadalnosc_COI)&lt;&gt;0),proc_I_okres_COI,(marza_COI+$T112))</f>
        <v>1.2999999999999999E-2</v>
      </c>
      <c r="AA112" s="3">
        <f t="shared" ref="AA112:AA143" si="169">Y112*(1+Z112*IF(MOD($S112,12)&lt;&gt;0,MOD($S112,12),12)/12)</f>
        <v>11112.025</v>
      </c>
      <c r="AB112" s="3" t="str">
        <f t="shared" ref="AB112:AB143" si="170">IF(MOD($S112,zapadalnosc_COI)=0,"tak","nie")</f>
        <v>nie</v>
      </c>
      <c r="AC112" s="3">
        <f t="shared" ref="AC112:AC143" si="171">IF(MOD($S112,zapadalnosc_COI)=0,0,
IF(AND(MOD($S112,zapadalnosc_COI)&lt;zapadalnosc_COI,MOD($S112,zapadalnosc_COI)&lt;=12),
MIN(AA112-X112,V112*koszt_wczesniejszy_wykup_COI),V112*koszt_wczesniejszy_wykup_COI))</f>
        <v>12.024999999999636</v>
      </c>
      <c r="AD112" s="1">
        <f t="shared" si="144"/>
        <v>4</v>
      </c>
      <c r="AE112" s="1">
        <f t="shared" si="162"/>
        <v>11</v>
      </c>
      <c r="AF112" s="1">
        <f t="shared" si="162"/>
        <v>13</v>
      </c>
      <c r="AG112" s="1">
        <f t="shared" si="162"/>
        <v>3</v>
      </c>
      <c r="AH112" s="3">
        <f t="shared" si="148"/>
        <v>400</v>
      </c>
      <c r="AI112" s="9">
        <f t="shared" si="145"/>
        <v>1.2999999999999999E-2</v>
      </c>
      <c r="AJ112" s="3">
        <f t="shared" si="149"/>
        <v>400.43333333333334</v>
      </c>
      <c r="AK112" s="3">
        <f t="shared" si="146"/>
        <v>0.43333333333333712</v>
      </c>
      <c r="AL112" s="3">
        <f t="shared" si="165"/>
        <v>2700</v>
      </c>
      <c r="AM112" s="9">
        <f t="shared" si="163"/>
        <v>5.7500000000000002E-2</v>
      </c>
      <c r="AN112" s="3">
        <f t="shared" si="150"/>
        <v>2712.9375</v>
      </c>
      <c r="AO112" s="3">
        <f t="shared" si="164"/>
        <v>18.899999999999999</v>
      </c>
      <c r="AP112" s="3">
        <f t="shared" ref="AP112:AP143" si="172">IF(MOD(S112,wyplata_odsetek_COI)=0, (AA112-X112),0)
-IF(AND(AB112="tak",W113&lt;&gt;""),W113-X112,0)</f>
        <v>0</v>
      </c>
      <c r="AQ112" s="3">
        <f t="shared" si="151"/>
        <v>0</v>
      </c>
      <c r="AR112" s="3">
        <f t="shared" si="152"/>
        <v>29.800000000006037</v>
      </c>
      <c r="AS112" s="1">
        <f t="shared" si="142"/>
        <v>0</v>
      </c>
      <c r="AT112" s="3">
        <f t="shared" ref="AT112:AT143" si="173">AR112-AS112*zamiana_COI</f>
        <v>29.800000000006037</v>
      </c>
      <c r="AU112" s="1">
        <f t="shared" si="147"/>
        <v>0</v>
      </c>
      <c r="AV112" s="3">
        <f t="shared" si="153"/>
        <v>29.800000000006037</v>
      </c>
      <c r="AW112" s="3">
        <f t="shared" si="154"/>
        <v>14255.195833333339</v>
      </c>
      <c r="AX112" s="3">
        <f>MIN(IF(MOD(S112,12)=0,INDEX(IKE_oplata_wskaznik,MATCH(ROUNDUP(S112/12,0),IKE_oplata_rok,0)),0)*AW112,200)</f>
        <v>0</v>
      </c>
      <c r="AY112" s="3">
        <f t="shared" si="130"/>
        <v>110.97719000000002</v>
      </c>
      <c r="AZ112" s="3">
        <f t="shared" ref="AZ112:AZ143" si="174">AW112-AY112</f>
        <v>14144.218643333339</v>
      </c>
      <c r="BA112" s="3">
        <f t="shared" si="131"/>
        <v>31.358333333332972</v>
      </c>
      <c r="BB112" s="3">
        <f t="shared" ref="BB112:BB143" si="175">(AW112-BA112-zakup_domyslny_wartosc)*podatek_Belki</f>
        <v>802.52912500000093</v>
      </c>
      <c r="BC112" s="3">
        <f t="shared" ref="BC112:BC143" si="176">AW112-AY112-BA112-BB112</f>
        <v>13310.331185000005</v>
      </c>
      <c r="BE112" s="6">
        <f t="shared" si="132"/>
        <v>100</v>
      </c>
      <c r="BF112" s="3">
        <f t="shared" si="133"/>
        <v>10000</v>
      </c>
      <c r="BG112" s="3">
        <f t="shared" si="134"/>
        <v>10000</v>
      </c>
      <c r="BH112" s="3">
        <f t="shared" si="135"/>
        <v>15291.919733942133</v>
      </c>
      <c r="BI112" s="9">
        <f t="shared" ref="BI112:BI143" si="177">IF(AND(MOD($S112,zapadalnosc_EDO)&lt;=12,MOD($S112,zapadalnosc_EDO)&lt;&gt;0),proc_I_okres_EDO,(marza_EDO+$T112))</f>
        <v>6.0000000000000005E-2</v>
      </c>
      <c r="BJ112" s="3">
        <f t="shared" ref="BJ112:BJ143" si="178">BH112*(1+BI112*IF(MOD($S112,12)&lt;&gt;0,MOD($S112,12),12)/12)</f>
        <v>15368.379332611843</v>
      </c>
      <c r="BK112" s="3" t="str">
        <f t="shared" ref="BK112:BK143" si="179">IF(MOD($S112,zapadalnosc_EDO)=0,"tak","nie")</f>
        <v>nie</v>
      </c>
      <c r="BL112" s="3">
        <f t="shared" si="136"/>
        <v>0</v>
      </c>
      <c r="BM112" s="3">
        <f t="shared" si="137"/>
        <v>0</v>
      </c>
      <c r="BN112" s="3">
        <f t="shared" si="138"/>
        <v>15368.379332611843</v>
      </c>
      <c r="BO112" s="3">
        <f>MIN(IF(MOD(S112,12)=0,INDEX(IKE_oplata_wskaznik,MATCH(ROUNDUP(S112/12,0),IKE_oplata_rok,0)),0)*BN112,200)</f>
        <v>0</v>
      </c>
      <c r="BP112" s="3">
        <f t="shared" si="139"/>
        <v>115.53032968794041</v>
      </c>
      <c r="BQ112" s="3">
        <f t="shared" si="140"/>
        <v>15252.849002923902</v>
      </c>
      <c r="BR112" s="3">
        <f t="shared" ref="BR112:BR143" si="180">IF(AND(MOD($S112,zapadalnosc_EDO)&lt;zapadalnosc_EDO,MOD($S112,zapadalnosc_EDO)&lt;&gt;0),MIN(BJ112-BG112,BE112*koszt_wczesniejszy_wykup_EDO),0)</f>
        <v>200</v>
      </c>
      <c r="BS112" s="3">
        <f t="shared" ref="BS112:BS143" si="181">(BJ112-BR112-zakup_domyslny_wartosc)*podatek_Belki</f>
        <v>981.9920731962502</v>
      </c>
      <c r="BT112" s="3">
        <f t="shared" si="141"/>
        <v>14070.856929727652</v>
      </c>
    </row>
    <row r="113" spans="2:72">
      <c r="B113" s="172"/>
      <c r="C113" s="1">
        <f t="shared" si="155"/>
        <v>79</v>
      </c>
      <c r="D113" s="3">
        <f t="shared" si="157"/>
        <v>13131.974905000005</v>
      </c>
      <c r="E113" s="3">
        <f t="shared" si="158"/>
        <v>12448.760280000004</v>
      </c>
      <c r="F113" s="3">
        <f t="shared" si="159"/>
        <v>14001.726081893528</v>
      </c>
      <c r="G113" s="3">
        <f t="shared" si="160"/>
        <v>13063.367933371172</v>
      </c>
      <c r="H113" s="3">
        <f t="shared" si="156"/>
        <v>10832.2969142234</v>
      </c>
      <c r="I113" s="3">
        <f t="shared" si="161"/>
        <v>13791.817634765628</v>
      </c>
      <c r="S113" s="1">
        <f t="shared" ref="S113:S144" si="182">S112+1</f>
        <v>98</v>
      </c>
      <c r="T113" s="9">
        <f t="shared" si="143"/>
        <v>0.05</v>
      </c>
      <c r="U113" s="3">
        <f t="shared" si="166"/>
        <v>14897.675724873052</v>
      </c>
      <c r="V113" s="6">
        <f t="shared" ref="V113:V144" si="183">IF(AB112="tak",
ROUNDDOWN(AA112/zamiana_COI,0),
V112)</f>
        <v>111</v>
      </c>
      <c r="W113" s="3">
        <f t="shared" ref="W113:W144" si="184">IF(AB112="tak",
V113*zamiana_COI,
W112)</f>
        <v>11088.900000000001</v>
      </c>
      <c r="X113" s="3">
        <f t="shared" ref="X113:X144" si="185">IF(AB112="tak",
V113*100,
X112)</f>
        <v>11100</v>
      </c>
      <c r="Y113" s="3">
        <f t="shared" si="167"/>
        <v>11100</v>
      </c>
      <c r="Z113" s="9">
        <f t="shared" si="168"/>
        <v>1.2999999999999999E-2</v>
      </c>
      <c r="AA113" s="3">
        <f t="shared" si="169"/>
        <v>11124.05</v>
      </c>
      <c r="AB113" s="3" t="str">
        <f t="shared" si="170"/>
        <v>nie</v>
      </c>
      <c r="AC113" s="3">
        <f t="shared" si="171"/>
        <v>24.049999999999272</v>
      </c>
      <c r="AD113" s="1">
        <f t="shared" si="144"/>
        <v>4</v>
      </c>
      <c r="AE113" s="1">
        <f t="shared" si="162"/>
        <v>11</v>
      </c>
      <c r="AF113" s="1">
        <f t="shared" si="162"/>
        <v>13</v>
      </c>
      <c r="AG113" s="1">
        <f t="shared" si="162"/>
        <v>3</v>
      </c>
      <c r="AH113" s="3">
        <f t="shared" si="148"/>
        <v>400</v>
      </c>
      <c r="AI113" s="9">
        <f t="shared" si="145"/>
        <v>1.2999999999999999E-2</v>
      </c>
      <c r="AJ113" s="3">
        <f t="shared" si="149"/>
        <v>400.86666666666667</v>
      </c>
      <c r="AK113" s="3">
        <f t="shared" si="146"/>
        <v>0.86666666666667425</v>
      </c>
      <c r="AL113" s="3">
        <f t="shared" si="165"/>
        <v>2700</v>
      </c>
      <c r="AM113" s="9">
        <f t="shared" si="163"/>
        <v>5.7500000000000002E-2</v>
      </c>
      <c r="AN113" s="3">
        <f t="shared" si="150"/>
        <v>2725.875</v>
      </c>
      <c r="AO113" s="3">
        <f t="shared" si="164"/>
        <v>18.899999999999999</v>
      </c>
      <c r="AP113" s="3">
        <f t="shared" si="172"/>
        <v>0</v>
      </c>
      <c r="AQ113" s="3">
        <f t="shared" si="151"/>
        <v>0</v>
      </c>
      <c r="AR113" s="3">
        <f t="shared" si="152"/>
        <v>29.800000000006037</v>
      </c>
      <c r="AS113" s="1">
        <f t="shared" si="142"/>
        <v>0</v>
      </c>
      <c r="AT113" s="3">
        <f t="shared" si="173"/>
        <v>29.800000000006037</v>
      </c>
      <c r="AU113" s="1">
        <f t="shared" si="147"/>
        <v>0</v>
      </c>
      <c r="AV113" s="3">
        <f t="shared" si="153"/>
        <v>29.800000000006037</v>
      </c>
      <c r="AW113" s="3">
        <f t="shared" si="154"/>
        <v>14280.591666666673</v>
      </c>
      <c r="AX113" s="3">
        <f>MIN(IF(MOD(S113,12)=0,INDEX(IKE_oplata_wskaznik,MATCH(ROUNDUP(S113/12,0),IKE_oplata_rok,0)),0)*AW113,200)</f>
        <v>0</v>
      </c>
      <c r="AY113" s="3">
        <f t="shared" si="130"/>
        <v>110.97719000000002</v>
      </c>
      <c r="AZ113" s="3">
        <f t="shared" si="174"/>
        <v>14169.614476666673</v>
      </c>
      <c r="BA113" s="3">
        <f t="shared" si="131"/>
        <v>43.816666666665945</v>
      </c>
      <c r="BB113" s="3">
        <f t="shared" si="175"/>
        <v>804.98725000000127</v>
      </c>
      <c r="BC113" s="3">
        <f t="shared" si="176"/>
        <v>13320.810560000005</v>
      </c>
      <c r="BE113" s="6">
        <f t="shared" ref="BE113:BE144" si="186">IF(BK112="tak",
ROUNDDOWN(BJ112/zamiana_EDO,0),
BE112)</f>
        <v>100</v>
      </c>
      <c r="BF113" s="3">
        <f t="shared" ref="BF113:BF144" si="187">IF(BK112="tak",
BE113*zamiana_EDO,
BF112)</f>
        <v>10000</v>
      </c>
      <c r="BG113" s="3">
        <f t="shared" ref="BG113:BG144" si="188">IF(BK112="tak",
BE113*100,
BG112)</f>
        <v>10000</v>
      </c>
      <c r="BH113" s="3">
        <f t="shared" ref="BH113:BH144" si="189">IF(BK112="tak",
 BG113,
IF(MOD($S113,kapitalizacja_odsetek_mc_EDO)&lt;&gt;1,BH112,BJ112))</f>
        <v>15291.919733942133</v>
      </c>
      <c r="BI113" s="9">
        <f t="shared" si="177"/>
        <v>6.0000000000000005E-2</v>
      </c>
      <c r="BJ113" s="3">
        <f t="shared" si="178"/>
        <v>15444.838931281554</v>
      </c>
      <c r="BK113" s="3" t="str">
        <f t="shared" si="179"/>
        <v>nie</v>
      </c>
      <c r="BL113" s="3">
        <f t="shared" si="136"/>
        <v>0</v>
      </c>
      <c r="BM113" s="3">
        <f t="shared" si="137"/>
        <v>0</v>
      </c>
      <c r="BN113" s="3">
        <f t="shared" si="138"/>
        <v>15444.838931281554</v>
      </c>
      <c r="BO113" s="3">
        <f>MIN(IF(MOD(S113,12)=0,INDEX(IKE_oplata_wskaznik,MATCH(ROUNDUP(S113/12,0),IKE_oplata_rok,0)),0)*BN113,200)</f>
        <v>0</v>
      </c>
      <c r="BP113" s="3">
        <f t="shared" si="139"/>
        <v>115.53032968794041</v>
      </c>
      <c r="BQ113" s="3">
        <f t="shared" si="140"/>
        <v>15329.308601593613</v>
      </c>
      <c r="BR113" s="3">
        <f t="shared" si="180"/>
        <v>200</v>
      </c>
      <c r="BS113" s="3">
        <f t="shared" si="181"/>
        <v>996.51939694349528</v>
      </c>
      <c r="BT113" s="3">
        <f t="shared" si="141"/>
        <v>14132.789204650118</v>
      </c>
    </row>
    <row r="114" spans="2:72">
      <c r="B114" s="172"/>
      <c r="C114" s="1">
        <f t="shared" si="155"/>
        <v>80</v>
      </c>
      <c r="D114" s="3">
        <f t="shared" si="157"/>
        <v>13188.487405000005</v>
      </c>
      <c r="E114" s="3">
        <f t="shared" si="158"/>
        <v>12494.535405000004</v>
      </c>
      <c r="F114" s="3">
        <f t="shared" si="159"/>
        <v>14069.774852514491</v>
      </c>
      <c r="G114" s="3">
        <f t="shared" si="160"/>
        <v>13118.487437574151</v>
      </c>
      <c r="H114" s="3">
        <f t="shared" si="156"/>
        <v>10843.264614849051</v>
      </c>
      <c r="I114" s="3">
        <f t="shared" si="161"/>
        <v>13847.654953125006</v>
      </c>
      <c r="S114" s="1">
        <f t="shared" si="182"/>
        <v>99</v>
      </c>
      <c r="T114" s="9">
        <f t="shared" si="143"/>
        <v>0.05</v>
      </c>
      <c r="U114" s="3">
        <f t="shared" si="166"/>
        <v>14959.236368364263</v>
      </c>
      <c r="V114" s="6">
        <f t="shared" si="183"/>
        <v>111</v>
      </c>
      <c r="W114" s="3">
        <f t="shared" si="184"/>
        <v>11088.900000000001</v>
      </c>
      <c r="X114" s="3">
        <f t="shared" si="185"/>
        <v>11100</v>
      </c>
      <c r="Y114" s="3">
        <f t="shared" si="167"/>
        <v>11100</v>
      </c>
      <c r="Z114" s="9">
        <f t="shared" si="168"/>
        <v>1.2999999999999999E-2</v>
      </c>
      <c r="AA114" s="3">
        <f t="shared" si="169"/>
        <v>11136.074999999999</v>
      </c>
      <c r="AB114" s="3" t="str">
        <f t="shared" si="170"/>
        <v>nie</v>
      </c>
      <c r="AC114" s="3">
        <f t="shared" si="171"/>
        <v>36.074999999998909</v>
      </c>
      <c r="AD114" s="1">
        <f t="shared" si="144"/>
        <v>4</v>
      </c>
      <c r="AE114" s="1">
        <f t="shared" si="162"/>
        <v>11</v>
      </c>
      <c r="AF114" s="1">
        <f t="shared" si="162"/>
        <v>13</v>
      </c>
      <c r="AG114" s="1">
        <f t="shared" si="162"/>
        <v>3</v>
      </c>
      <c r="AH114" s="3">
        <f t="shared" si="148"/>
        <v>400</v>
      </c>
      <c r="AI114" s="9">
        <f t="shared" si="145"/>
        <v>1.2999999999999999E-2</v>
      </c>
      <c r="AJ114" s="3">
        <f t="shared" si="149"/>
        <v>401.3</v>
      </c>
      <c r="AK114" s="3">
        <f t="shared" si="146"/>
        <v>1.3000000000000114</v>
      </c>
      <c r="AL114" s="3">
        <f t="shared" si="165"/>
        <v>2700</v>
      </c>
      <c r="AM114" s="9">
        <f t="shared" si="163"/>
        <v>5.7500000000000002E-2</v>
      </c>
      <c r="AN114" s="3">
        <f t="shared" si="150"/>
        <v>2738.8125</v>
      </c>
      <c r="AO114" s="3">
        <f t="shared" si="164"/>
        <v>18.899999999999999</v>
      </c>
      <c r="AP114" s="3">
        <f t="shared" si="172"/>
        <v>0</v>
      </c>
      <c r="AQ114" s="3">
        <f t="shared" si="151"/>
        <v>0</v>
      </c>
      <c r="AR114" s="3">
        <f t="shared" si="152"/>
        <v>29.800000000006037</v>
      </c>
      <c r="AS114" s="1">
        <f t="shared" si="142"/>
        <v>0</v>
      </c>
      <c r="AT114" s="3">
        <f t="shared" si="173"/>
        <v>29.800000000006037</v>
      </c>
      <c r="AU114" s="1">
        <f t="shared" si="147"/>
        <v>0</v>
      </c>
      <c r="AV114" s="3">
        <f t="shared" si="153"/>
        <v>29.800000000006037</v>
      </c>
      <c r="AW114" s="3">
        <f t="shared" si="154"/>
        <v>14305.987500000005</v>
      </c>
      <c r="AX114" s="3">
        <f>MIN(IF(MOD(S114,12)=0,INDEX(IKE_oplata_wskaznik,MATCH(ROUNDUP(S114/12,0),IKE_oplata_rok,0)),0)*AW114,200)</f>
        <v>0</v>
      </c>
      <c r="AY114" s="3">
        <f t="shared" si="130"/>
        <v>110.97719000000002</v>
      </c>
      <c r="AZ114" s="3">
        <f t="shared" si="174"/>
        <v>14195.010310000005</v>
      </c>
      <c r="BA114" s="3">
        <f t="shared" si="131"/>
        <v>56.274999999998919</v>
      </c>
      <c r="BB114" s="3">
        <f t="shared" si="175"/>
        <v>807.44537500000092</v>
      </c>
      <c r="BC114" s="3">
        <f t="shared" si="176"/>
        <v>13331.289935000004</v>
      </c>
      <c r="BE114" s="6">
        <f t="shared" si="186"/>
        <v>100</v>
      </c>
      <c r="BF114" s="3">
        <f t="shared" si="187"/>
        <v>10000</v>
      </c>
      <c r="BG114" s="3">
        <f t="shared" si="188"/>
        <v>10000</v>
      </c>
      <c r="BH114" s="3">
        <f t="shared" si="189"/>
        <v>15291.919733942133</v>
      </c>
      <c r="BI114" s="9">
        <f t="shared" si="177"/>
        <v>6.0000000000000005E-2</v>
      </c>
      <c r="BJ114" s="3">
        <f t="shared" si="178"/>
        <v>15521.298529951264</v>
      </c>
      <c r="BK114" s="3" t="str">
        <f t="shared" si="179"/>
        <v>nie</v>
      </c>
      <c r="BL114" s="3">
        <f t="shared" si="136"/>
        <v>0</v>
      </c>
      <c r="BM114" s="3">
        <f t="shared" si="137"/>
        <v>0</v>
      </c>
      <c r="BN114" s="3">
        <f t="shared" si="138"/>
        <v>15521.298529951264</v>
      </c>
      <c r="BO114" s="3">
        <f>MIN(IF(MOD(S114,12)=0,INDEX(IKE_oplata_wskaznik,MATCH(ROUNDUP(S114/12,0),IKE_oplata_rok,0)),0)*BN114,200)</f>
        <v>0</v>
      </c>
      <c r="BP114" s="3">
        <f t="shared" si="139"/>
        <v>115.53032968794041</v>
      </c>
      <c r="BQ114" s="3">
        <f t="shared" si="140"/>
        <v>15405.768200263323</v>
      </c>
      <c r="BR114" s="3">
        <f t="shared" si="180"/>
        <v>200</v>
      </c>
      <c r="BS114" s="3">
        <f t="shared" si="181"/>
        <v>1011.0467206907401</v>
      </c>
      <c r="BT114" s="3">
        <f t="shared" si="141"/>
        <v>14194.721479572583</v>
      </c>
    </row>
    <row r="115" spans="2:72">
      <c r="B115" s="172"/>
      <c r="C115" s="1">
        <f t="shared" si="155"/>
        <v>81</v>
      </c>
      <c r="D115" s="3">
        <f t="shared" si="157"/>
        <v>13244.999905000002</v>
      </c>
      <c r="E115" s="3">
        <f t="shared" si="158"/>
        <v>12540.310530000002</v>
      </c>
      <c r="F115" s="3">
        <f t="shared" si="159"/>
        <v>14137.823623135449</v>
      </c>
      <c r="G115" s="3">
        <f t="shared" si="160"/>
        <v>13173.606941777129</v>
      </c>
      <c r="H115" s="3">
        <f t="shared" si="156"/>
        <v>10854.243420271587</v>
      </c>
      <c r="I115" s="3">
        <f t="shared" si="161"/>
        <v>13903.492271484381</v>
      </c>
      <c r="S115" s="1">
        <f t="shared" si="182"/>
        <v>100</v>
      </c>
      <c r="T115" s="9">
        <f t="shared" si="143"/>
        <v>0.05</v>
      </c>
      <c r="U115" s="3">
        <f t="shared" si="166"/>
        <v>15020.797011855473</v>
      </c>
      <c r="V115" s="6">
        <f t="shared" si="183"/>
        <v>111</v>
      </c>
      <c r="W115" s="3">
        <f t="shared" si="184"/>
        <v>11088.900000000001</v>
      </c>
      <c r="X115" s="3">
        <f t="shared" si="185"/>
        <v>11100</v>
      </c>
      <c r="Y115" s="3">
        <f t="shared" si="167"/>
        <v>11100</v>
      </c>
      <c r="Z115" s="9">
        <f t="shared" si="168"/>
        <v>1.2999999999999999E-2</v>
      </c>
      <c r="AA115" s="3">
        <f t="shared" si="169"/>
        <v>11148.1</v>
      </c>
      <c r="AB115" s="3" t="str">
        <f t="shared" si="170"/>
        <v>nie</v>
      </c>
      <c r="AC115" s="3">
        <f t="shared" si="171"/>
        <v>48.100000000000364</v>
      </c>
      <c r="AD115" s="1">
        <f t="shared" si="144"/>
        <v>4</v>
      </c>
      <c r="AE115" s="1">
        <f t="shared" si="162"/>
        <v>11</v>
      </c>
      <c r="AF115" s="1">
        <f t="shared" si="162"/>
        <v>13</v>
      </c>
      <c r="AG115" s="1">
        <f t="shared" si="162"/>
        <v>3</v>
      </c>
      <c r="AH115" s="3">
        <f t="shared" si="148"/>
        <v>400</v>
      </c>
      <c r="AI115" s="9">
        <f t="shared" si="145"/>
        <v>1.2999999999999999E-2</v>
      </c>
      <c r="AJ115" s="3">
        <f t="shared" si="149"/>
        <v>401.73333333333335</v>
      </c>
      <c r="AK115" s="3">
        <f t="shared" si="146"/>
        <v>1.7333333333333485</v>
      </c>
      <c r="AL115" s="3">
        <f t="shared" si="165"/>
        <v>2700</v>
      </c>
      <c r="AM115" s="9">
        <f t="shared" si="163"/>
        <v>5.7500000000000002E-2</v>
      </c>
      <c r="AN115" s="3">
        <f t="shared" si="150"/>
        <v>2751.7500000000005</v>
      </c>
      <c r="AO115" s="3">
        <f t="shared" si="164"/>
        <v>18.899999999999999</v>
      </c>
      <c r="AP115" s="3">
        <f t="shared" si="172"/>
        <v>0</v>
      </c>
      <c r="AQ115" s="3">
        <f t="shared" si="151"/>
        <v>0</v>
      </c>
      <c r="AR115" s="3">
        <f t="shared" si="152"/>
        <v>29.800000000006037</v>
      </c>
      <c r="AS115" s="1">
        <f t="shared" si="142"/>
        <v>0</v>
      </c>
      <c r="AT115" s="3">
        <f t="shared" si="173"/>
        <v>29.800000000006037</v>
      </c>
      <c r="AU115" s="1">
        <f t="shared" si="147"/>
        <v>0</v>
      </c>
      <c r="AV115" s="3">
        <f t="shared" si="153"/>
        <v>29.800000000006037</v>
      </c>
      <c r="AW115" s="3">
        <f t="shared" si="154"/>
        <v>14331.38333333334</v>
      </c>
      <c r="AX115" s="3">
        <f>MIN(IF(MOD(S115,12)=0,INDEX(IKE_oplata_wskaznik,MATCH(ROUNDUP(S115/12,0),IKE_oplata_rok,0)),0)*AW115,200)</f>
        <v>0</v>
      </c>
      <c r="AY115" s="3">
        <f t="shared" si="130"/>
        <v>110.97719000000002</v>
      </c>
      <c r="AZ115" s="3">
        <f t="shared" si="174"/>
        <v>14220.406143333341</v>
      </c>
      <c r="BA115" s="3">
        <f t="shared" si="131"/>
        <v>68.733333333333718</v>
      </c>
      <c r="BB115" s="3">
        <f t="shared" si="175"/>
        <v>809.90350000000137</v>
      </c>
      <c r="BC115" s="3">
        <f t="shared" si="176"/>
        <v>13341.769310000005</v>
      </c>
      <c r="BE115" s="6">
        <f t="shared" si="186"/>
        <v>100</v>
      </c>
      <c r="BF115" s="3">
        <f t="shared" si="187"/>
        <v>10000</v>
      </c>
      <c r="BG115" s="3">
        <f t="shared" si="188"/>
        <v>10000</v>
      </c>
      <c r="BH115" s="3">
        <f t="shared" si="189"/>
        <v>15291.919733942133</v>
      </c>
      <c r="BI115" s="9">
        <f t="shared" si="177"/>
        <v>6.0000000000000005E-2</v>
      </c>
      <c r="BJ115" s="3">
        <f t="shared" si="178"/>
        <v>15597.758128620977</v>
      </c>
      <c r="BK115" s="3" t="str">
        <f t="shared" si="179"/>
        <v>nie</v>
      </c>
      <c r="BL115" s="3">
        <f t="shared" si="136"/>
        <v>0</v>
      </c>
      <c r="BM115" s="3">
        <f t="shared" si="137"/>
        <v>0</v>
      </c>
      <c r="BN115" s="3">
        <f t="shared" si="138"/>
        <v>15597.758128620977</v>
      </c>
      <c r="BO115" s="3">
        <f>MIN(IF(MOD(S115,12)=0,INDEX(IKE_oplata_wskaznik,MATCH(ROUNDUP(S115/12,0),IKE_oplata_rok,0)),0)*BN115,200)</f>
        <v>0</v>
      </c>
      <c r="BP115" s="3">
        <f t="shared" si="139"/>
        <v>115.53032968794041</v>
      </c>
      <c r="BQ115" s="3">
        <f t="shared" si="140"/>
        <v>15482.227798933036</v>
      </c>
      <c r="BR115" s="3">
        <f t="shared" si="180"/>
        <v>200</v>
      </c>
      <c r="BS115" s="3">
        <f t="shared" si="181"/>
        <v>1025.5740444379855</v>
      </c>
      <c r="BT115" s="3">
        <f t="shared" si="141"/>
        <v>14256.65375449505</v>
      </c>
    </row>
    <row r="116" spans="2:72">
      <c r="B116" s="172"/>
      <c r="C116" s="1">
        <f t="shared" si="155"/>
        <v>82</v>
      </c>
      <c r="D116" s="3">
        <f t="shared" si="157"/>
        <v>13301.512405000003</v>
      </c>
      <c r="E116" s="3">
        <f t="shared" si="158"/>
        <v>12586.085655000003</v>
      </c>
      <c r="F116" s="3">
        <f t="shared" si="159"/>
        <v>14205.87239375641</v>
      </c>
      <c r="G116" s="3">
        <f t="shared" si="160"/>
        <v>13228.726445980106</v>
      </c>
      <c r="H116" s="3">
        <f t="shared" si="156"/>
        <v>10865.233341734613</v>
      </c>
      <c r="I116" s="3">
        <f t="shared" si="161"/>
        <v>13959.329589843755</v>
      </c>
      <c r="S116" s="1">
        <f t="shared" si="182"/>
        <v>101</v>
      </c>
      <c r="T116" s="9">
        <f t="shared" si="143"/>
        <v>0.05</v>
      </c>
      <c r="U116" s="3">
        <f t="shared" si="166"/>
        <v>15082.357655346685</v>
      </c>
      <c r="V116" s="6">
        <f t="shared" si="183"/>
        <v>111</v>
      </c>
      <c r="W116" s="3">
        <f t="shared" si="184"/>
        <v>11088.900000000001</v>
      </c>
      <c r="X116" s="3">
        <f t="shared" si="185"/>
        <v>11100</v>
      </c>
      <c r="Y116" s="3">
        <f t="shared" si="167"/>
        <v>11100</v>
      </c>
      <c r="Z116" s="9">
        <f t="shared" si="168"/>
        <v>1.2999999999999999E-2</v>
      </c>
      <c r="AA116" s="3">
        <f t="shared" si="169"/>
        <v>11160.125</v>
      </c>
      <c r="AB116" s="3" t="str">
        <f t="shared" si="170"/>
        <v>nie</v>
      </c>
      <c r="AC116" s="3">
        <f t="shared" si="171"/>
        <v>60.125</v>
      </c>
      <c r="AD116" s="1">
        <f t="shared" si="144"/>
        <v>4</v>
      </c>
      <c r="AE116" s="1">
        <f t="shared" si="162"/>
        <v>11</v>
      </c>
      <c r="AF116" s="1">
        <f t="shared" si="162"/>
        <v>13</v>
      </c>
      <c r="AG116" s="1">
        <f t="shared" si="162"/>
        <v>3</v>
      </c>
      <c r="AH116" s="3">
        <f t="shared" si="148"/>
        <v>400</v>
      </c>
      <c r="AI116" s="9">
        <f t="shared" si="145"/>
        <v>1.2999999999999999E-2</v>
      </c>
      <c r="AJ116" s="3">
        <f t="shared" si="149"/>
        <v>402.16666666666663</v>
      </c>
      <c r="AK116" s="3">
        <f t="shared" si="146"/>
        <v>2.1666666666666288</v>
      </c>
      <c r="AL116" s="3">
        <f t="shared" si="165"/>
        <v>2700</v>
      </c>
      <c r="AM116" s="9">
        <f t="shared" si="163"/>
        <v>5.7500000000000002E-2</v>
      </c>
      <c r="AN116" s="3">
        <f t="shared" si="150"/>
        <v>2764.6875</v>
      </c>
      <c r="AO116" s="3">
        <f t="shared" si="164"/>
        <v>18.899999999999999</v>
      </c>
      <c r="AP116" s="3">
        <f t="shared" si="172"/>
        <v>0</v>
      </c>
      <c r="AQ116" s="3">
        <f t="shared" si="151"/>
        <v>0</v>
      </c>
      <c r="AR116" s="3">
        <f t="shared" si="152"/>
        <v>29.800000000006037</v>
      </c>
      <c r="AS116" s="1">
        <f t="shared" si="142"/>
        <v>0</v>
      </c>
      <c r="AT116" s="3">
        <f t="shared" si="173"/>
        <v>29.800000000006037</v>
      </c>
      <c r="AU116" s="1">
        <f t="shared" si="147"/>
        <v>0</v>
      </c>
      <c r="AV116" s="3">
        <f t="shared" si="153"/>
        <v>29.800000000006037</v>
      </c>
      <c r="AW116" s="3">
        <f t="shared" si="154"/>
        <v>14356.779166666673</v>
      </c>
      <c r="AX116" s="3">
        <f>MIN(IF(MOD(S116,12)=0,INDEX(IKE_oplata_wskaznik,MATCH(ROUNDUP(S116/12,0),IKE_oplata_rok,0)),0)*AW116,200)</f>
        <v>0</v>
      </c>
      <c r="AY116" s="3">
        <f t="shared" si="130"/>
        <v>110.97719000000002</v>
      </c>
      <c r="AZ116" s="3">
        <f t="shared" si="174"/>
        <v>14245.801976666673</v>
      </c>
      <c r="BA116" s="3">
        <f t="shared" si="131"/>
        <v>81.191666666666634</v>
      </c>
      <c r="BB116" s="3">
        <f t="shared" si="175"/>
        <v>812.36162500000103</v>
      </c>
      <c r="BC116" s="3">
        <f t="shared" si="176"/>
        <v>13352.248685000004</v>
      </c>
      <c r="BE116" s="6">
        <f t="shared" si="186"/>
        <v>100</v>
      </c>
      <c r="BF116" s="3">
        <f t="shared" si="187"/>
        <v>10000</v>
      </c>
      <c r="BG116" s="3">
        <f t="shared" si="188"/>
        <v>10000</v>
      </c>
      <c r="BH116" s="3">
        <f t="shared" si="189"/>
        <v>15291.919733942133</v>
      </c>
      <c r="BI116" s="9">
        <f t="shared" si="177"/>
        <v>6.0000000000000005E-2</v>
      </c>
      <c r="BJ116" s="3">
        <f t="shared" si="178"/>
        <v>15674.217727290685</v>
      </c>
      <c r="BK116" s="3" t="str">
        <f t="shared" si="179"/>
        <v>nie</v>
      </c>
      <c r="BL116" s="3">
        <f t="shared" si="136"/>
        <v>0</v>
      </c>
      <c r="BM116" s="3">
        <f t="shared" si="137"/>
        <v>0</v>
      </c>
      <c r="BN116" s="3">
        <f t="shared" si="138"/>
        <v>15674.217727290685</v>
      </c>
      <c r="BO116" s="3">
        <f>MIN(IF(MOD(S116,12)=0,INDEX(IKE_oplata_wskaznik,MATCH(ROUNDUP(S116/12,0),IKE_oplata_rok,0)),0)*BN116,200)</f>
        <v>0</v>
      </c>
      <c r="BP116" s="3">
        <f t="shared" si="139"/>
        <v>115.53032968794041</v>
      </c>
      <c r="BQ116" s="3">
        <f t="shared" si="140"/>
        <v>15558.687397602744</v>
      </c>
      <c r="BR116" s="3">
        <f t="shared" si="180"/>
        <v>200</v>
      </c>
      <c r="BS116" s="3">
        <f t="shared" si="181"/>
        <v>1040.1013681852301</v>
      </c>
      <c r="BT116" s="3">
        <f t="shared" si="141"/>
        <v>14318.586029417515</v>
      </c>
    </row>
    <row r="117" spans="2:72">
      <c r="B117" s="173"/>
      <c r="C117" s="1">
        <f t="shared" si="155"/>
        <v>83</v>
      </c>
      <c r="D117" s="3">
        <f t="shared" si="157"/>
        <v>13358.024905000004</v>
      </c>
      <c r="E117" s="3">
        <f t="shared" si="158"/>
        <v>12631.860780000003</v>
      </c>
      <c r="F117" s="3">
        <f t="shared" si="159"/>
        <v>14273.921164377369</v>
      </c>
      <c r="G117" s="3">
        <f t="shared" si="160"/>
        <v>13283.845950183082</v>
      </c>
      <c r="H117" s="3">
        <f t="shared" si="156"/>
        <v>10876.23439049312</v>
      </c>
      <c r="I117" s="3">
        <f t="shared" si="161"/>
        <v>14015.166908203131</v>
      </c>
      <c r="S117" s="1">
        <f t="shared" si="182"/>
        <v>102</v>
      </c>
      <c r="T117" s="9">
        <f t="shared" si="143"/>
        <v>0.05</v>
      </c>
      <c r="U117" s="3">
        <f t="shared" si="166"/>
        <v>15143.918298837894</v>
      </c>
      <c r="V117" s="6">
        <f t="shared" si="183"/>
        <v>111</v>
      </c>
      <c r="W117" s="3">
        <f t="shared" si="184"/>
        <v>11088.900000000001</v>
      </c>
      <c r="X117" s="3">
        <f t="shared" si="185"/>
        <v>11100</v>
      </c>
      <c r="Y117" s="3">
        <f t="shared" si="167"/>
        <v>11100</v>
      </c>
      <c r="Z117" s="9">
        <f t="shared" si="168"/>
        <v>1.2999999999999999E-2</v>
      </c>
      <c r="AA117" s="3">
        <f t="shared" si="169"/>
        <v>11172.15</v>
      </c>
      <c r="AB117" s="3" t="str">
        <f t="shared" si="170"/>
        <v>nie</v>
      </c>
      <c r="AC117" s="3">
        <f t="shared" si="171"/>
        <v>72.149999999999636</v>
      </c>
      <c r="AD117" s="1">
        <f t="shared" si="144"/>
        <v>4</v>
      </c>
      <c r="AE117" s="1">
        <f t="shared" si="162"/>
        <v>11</v>
      </c>
      <c r="AF117" s="1">
        <f t="shared" si="162"/>
        <v>13</v>
      </c>
      <c r="AG117" s="1">
        <f t="shared" si="162"/>
        <v>3</v>
      </c>
      <c r="AH117" s="3">
        <f t="shared" si="148"/>
        <v>400</v>
      </c>
      <c r="AI117" s="9">
        <f t="shared" si="145"/>
        <v>1.2999999999999999E-2</v>
      </c>
      <c r="AJ117" s="3">
        <f t="shared" si="149"/>
        <v>402.59999999999997</v>
      </c>
      <c r="AK117" s="3">
        <f t="shared" si="146"/>
        <v>2.5999999999999659</v>
      </c>
      <c r="AL117" s="3">
        <f t="shared" si="165"/>
        <v>2700</v>
      </c>
      <c r="AM117" s="9">
        <f t="shared" si="163"/>
        <v>5.7500000000000002E-2</v>
      </c>
      <c r="AN117" s="3">
        <f t="shared" si="150"/>
        <v>2777.625</v>
      </c>
      <c r="AO117" s="3">
        <f t="shared" si="164"/>
        <v>18.899999999999999</v>
      </c>
      <c r="AP117" s="3">
        <f t="shared" si="172"/>
        <v>0</v>
      </c>
      <c r="AQ117" s="3">
        <f t="shared" si="151"/>
        <v>0</v>
      </c>
      <c r="AR117" s="3">
        <f t="shared" si="152"/>
        <v>29.800000000006037</v>
      </c>
      <c r="AS117" s="1">
        <f t="shared" si="142"/>
        <v>0</v>
      </c>
      <c r="AT117" s="3">
        <f t="shared" si="173"/>
        <v>29.800000000006037</v>
      </c>
      <c r="AU117" s="1">
        <f t="shared" si="147"/>
        <v>0</v>
      </c>
      <c r="AV117" s="3">
        <f t="shared" si="153"/>
        <v>29.800000000006037</v>
      </c>
      <c r="AW117" s="3">
        <f t="shared" si="154"/>
        <v>14382.175000000007</v>
      </c>
      <c r="AX117" s="3">
        <f>MIN(IF(MOD(S117,12)=0,INDEX(IKE_oplata_wskaznik,MATCH(ROUNDUP(S117/12,0),IKE_oplata_rok,0)),0)*AW117,200)</f>
        <v>0</v>
      </c>
      <c r="AY117" s="3">
        <f t="shared" si="130"/>
        <v>110.97719000000002</v>
      </c>
      <c r="AZ117" s="3">
        <f t="shared" si="174"/>
        <v>14271.197810000007</v>
      </c>
      <c r="BA117" s="3">
        <f t="shared" si="131"/>
        <v>93.649999999999608</v>
      </c>
      <c r="BB117" s="3">
        <f t="shared" si="175"/>
        <v>814.81975000000136</v>
      </c>
      <c r="BC117" s="3">
        <f t="shared" si="176"/>
        <v>13362.728060000007</v>
      </c>
      <c r="BE117" s="6">
        <f t="shared" si="186"/>
        <v>100</v>
      </c>
      <c r="BF117" s="3">
        <f t="shared" si="187"/>
        <v>10000</v>
      </c>
      <c r="BG117" s="3">
        <f t="shared" si="188"/>
        <v>10000</v>
      </c>
      <c r="BH117" s="3">
        <f t="shared" si="189"/>
        <v>15291.919733942133</v>
      </c>
      <c r="BI117" s="9">
        <f t="shared" si="177"/>
        <v>6.0000000000000005E-2</v>
      </c>
      <c r="BJ117" s="3">
        <f t="shared" si="178"/>
        <v>15750.677325960398</v>
      </c>
      <c r="BK117" s="3" t="str">
        <f t="shared" si="179"/>
        <v>nie</v>
      </c>
      <c r="BL117" s="3">
        <f t="shared" si="136"/>
        <v>0</v>
      </c>
      <c r="BM117" s="3">
        <f t="shared" si="137"/>
        <v>0</v>
      </c>
      <c r="BN117" s="3">
        <f t="shared" si="138"/>
        <v>15750.677325960398</v>
      </c>
      <c r="BO117" s="3">
        <f>MIN(IF(MOD(S117,12)=0,INDEX(IKE_oplata_wskaznik,MATCH(ROUNDUP(S117/12,0),IKE_oplata_rok,0)),0)*BN117,200)</f>
        <v>0</v>
      </c>
      <c r="BP117" s="3">
        <f t="shared" si="139"/>
        <v>115.53032968794041</v>
      </c>
      <c r="BQ117" s="3">
        <f t="shared" si="140"/>
        <v>15635.146996272457</v>
      </c>
      <c r="BR117" s="3">
        <f t="shared" si="180"/>
        <v>200</v>
      </c>
      <c r="BS117" s="3">
        <f t="shared" si="181"/>
        <v>1054.6286919324757</v>
      </c>
      <c r="BT117" s="3">
        <f t="shared" si="141"/>
        <v>14380.518304339981</v>
      </c>
    </row>
    <row r="118" spans="2:72">
      <c r="B118" s="171">
        <f>ROUNDUP(C119/12,0)</f>
        <v>8</v>
      </c>
      <c r="C118" s="4">
        <f t="shared" si="155"/>
        <v>84</v>
      </c>
      <c r="D118" s="12">
        <f t="shared" si="157"/>
        <v>13399.691310000004</v>
      </c>
      <c r="E118" s="12">
        <f t="shared" si="158"/>
        <v>12662.789810000002</v>
      </c>
      <c r="F118" s="12">
        <f t="shared" si="159"/>
        <v>14326.100961689524</v>
      </c>
      <c r="G118" s="12">
        <f t="shared" si="160"/>
        <v>13323.096481077255</v>
      </c>
      <c r="H118" s="12">
        <f t="shared" si="156"/>
        <v>10887.246577813496</v>
      </c>
      <c r="I118" s="12">
        <f t="shared" si="161"/>
        <v>14071.004226562505</v>
      </c>
      <c r="S118" s="1">
        <f t="shared" si="182"/>
        <v>103</v>
      </c>
      <c r="T118" s="9">
        <f t="shared" si="143"/>
        <v>0.05</v>
      </c>
      <c r="U118" s="3">
        <f t="shared" si="166"/>
        <v>15205.478942329106</v>
      </c>
      <c r="V118" s="6">
        <f t="shared" si="183"/>
        <v>111</v>
      </c>
      <c r="W118" s="3">
        <f t="shared" si="184"/>
        <v>11088.900000000001</v>
      </c>
      <c r="X118" s="3">
        <f t="shared" si="185"/>
        <v>11100</v>
      </c>
      <c r="Y118" s="3">
        <f t="shared" si="167"/>
        <v>11100</v>
      </c>
      <c r="Z118" s="9">
        <f t="shared" si="168"/>
        <v>1.2999999999999999E-2</v>
      </c>
      <c r="AA118" s="3">
        <f t="shared" si="169"/>
        <v>11184.174999999999</v>
      </c>
      <c r="AB118" s="3" t="str">
        <f t="shared" si="170"/>
        <v>nie</v>
      </c>
      <c r="AC118" s="3">
        <f t="shared" si="171"/>
        <v>77.699999999999989</v>
      </c>
      <c r="AD118" s="1">
        <f t="shared" si="144"/>
        <v>4</v>
      </c>
      <c r="AE118" s="1">
        <f t="shared" si="162"/>
        <v>11</v>
      </c>
      <c r="AF118" s="1">
        <f t="shared" si="162"/>
        <v>13</v>
      </c>
      <c r="AG118" s="1">
        <f t="shared" si="162"/>
        <v>3</v>
      </c>
      <c r="AH118" s="3">
        <f t="shared" si="148"/>
        <v>400</v>
      </c>
      <c r="AI118" s="9">
        <f t="shared" si="145"/>
        <v>1.2999999999999999E-2</v>
      </c>
      <c r="AJ118" s="3">
        <f t="shared" si="149"/>
        <v>403.0333333333333</v>
      </c>
      <c r="AK118" s="3">
        <f t="shared" si="146"/>
        <v>2.8</v>
      </c>
      <c r="AL118" s="3">
        <f t="shared" si="165"/>
        <v>2700</v>
      </c>
      <c r="AM118" s="9">
        <f t="shared" si="163"/>
        <v>5.7500000000000002E-2</v>
      </c>
      <c r="AN118" s="3">
        <f t="shared" si="150"/>
        <v>2790.5624999999995</v>
      </c>
      <c r="AO118" s="3">
        <f t="shared" si="164"/>
        <v>18.899999999999999</v>
      </c>
      <c r="AP118" s="3">
        <f t="shared" si="172"/>
        <v>0</v>
      </c>
      <c r="AQ118" s="3">
        <f t="shared" si="151"/>
        <v>0</v>
      </c>
      <c r="AR118" s="3">
        <f t="shared" si="152"/>
        <v>29.800000000006037</v>
      </c>
      <c r="AS118" s="1">
        <f t="shared" si="142"/>
        <v>0</v>
      </c>
      <c r="AT118" s="3">
        <f t="shared" si="173"/>
        <v>29.800000000006037</v>
      </c>
      <c r="AU118" s="1">
        <f t="shared" si="147"/>
        <v>0</v>
      </c>
      <c r="AV118" s="3">
        <f t="shared" si="153"/>
        <v>29.800000000006037</v>
      </c>
      <c r="AW118" s="3">
        <f t="shared" si="154"/>
        <v>14407.570833333339</v>
      </c>
      <c r="AX118" s="3">
        <f>MIN(IF(MOD(S118,12)=0,INDEX(IKE_oplata_wskaznik,MATCH(ROUNDUP(S118/12,0),IKE_oplata_rok,0)),0)*AW118,200)</f>
        <v>0</v>
      </c>
      <c r="AY118" s="3">
        <f t="shared" si="130"/>
        <v>110.97719000000002</v>
      </c>
      <c r="AZ118" s="3">
        <f t="shared" si="174"/>
        <v>14296.593643333339</v>
      </c>
      <c r="BA118" s="3">
        <f t="shared" si="131"/>
        <v>99.399999999999977</v>
      </c>
      <c r="BB118" s="3">
        <f t="shared" si="175"/>
        <v>818.55245833333447</v>
      </c>
      <c r="BC118" s="3">
        <f t="shared" si="176"/>
        <v>13378.641185000004</v>
      </c>
      <c r="BE118" s="6">
        <f t="shared" si="186"/>
        <v>100</v>
      </c>
      <c r="BF118" s="3">
        <f t="shared" si="187"/>
        <v>10000</v>
      </c>
      <c r="BG118" s="3">
        <f t="shared" si="188"/>
        <v>10000</v>
      </c>
      <c r="BH118" s="3">
        <f t="shared" si="189"/>
        <v>15291.919733942133</v>
      </c>
      <c r="BI118" s="9">
        <f t="shared" si="177"/>
        <v>6.0000000000000005E-2</v>
      </c>
      <c r="BJ118" s="3">
        <f t="shared" si="178"/>
        <v>15827.136924630107</v>
      </c>
      <c r="BK118" s="3" t="str">
        <f t="shared" si="179"/>
        <v>nie</v>
      </c>
      <c r="BL118" s="3">
        <f t="shared" si="136"/>
        <v>0</v>
      </c>
      <c r="BM118" s="3">
        <f t="shared" si="137"/>
        <v>0</v>
      </c>
      <c r="BN118" s="3">
        <f t="shared" si="138"/>
        <v>15827.136924630107</v>
      </c>
      <c r="BO118" s="3">
        <f>MIN(IF(MOD(S118,12)=0,INDEX(IKE_oplata_wskaznik,MATCH(ROUNDUP(S118/12,0),IKE_oplata_rok,0)),0)*BN118,200)</f>
        <v>0</v>
      </c>
      <c r="BP118" s="3">
        <f t="shared" si="139"/>
        <v>115.53032968794041</v>
      </c>
      <c r="BQ118" s="3">
        <f t="shared" si="140"/>
        <v>15711.606594942166</v>
      </c>
      <c r="BR118" s="3">
        <f t="shared" si="180"/>
        <v>200</v>
      </c>
      <c r="BS118" s="3">
        <f t="shared" si="181"/>
        <v>1069.1560156797204</v>
      </c>
      <c r="BT118" s="3">
        <f t="shared" si="141"/>
        <v>14442.450579262446</v>
      </c>
    </row>
    <row r="119" spans="2:72">
      <c r="B119" s="172"/>
      <c r="C119" s="1">
        <f t="shared" si="155"/>
        <v>85</v>
      </c>
      <c r="D119" s="3">
        <f t="shared" si="157"/>
        <v>13460.320476666671</v>
      </c>
      <c r="E119" s="3">
        <f t="shared" si="158"/>
        <v>12713.769185000005</v>
      </c>
      <c r="F119" s="3">
        <f t="shared" si="159"/>
        <v>14398.23265854774</v>
      </c>
      <c r="G119" s="3">
        <f t="shared" si="160"/>
        <v>13381.52315553241</v>
      </c>
      <c r="H119" s="3">
        <f t="shared" si="156"/>
        <v>10898.269914973533</v>
      </c>
      <c r="I119" s="3">
        <f t="shared" si="161"/>
        <v>14129.63341083985</v>
      </c>
      <c r="S119" s="1">
        <f t="shared" si="182"/>
        <v>104</v>
      </c>
      <c r="T119" s="9">
        <f t="shared" si="143"/>
        <v>0.05</v>
      </c>
      <c r="U119" s="3">
        <f t="shared" si="166"/>
        <v>15267.039585820319</v>
      </c>
      <c r="V119" s="6">
        <f t="shared" si="183"/>
        <v>111</v>
      </c>
      <c r="W119" s="3">
        <f t="shared" si="184"/>
        <v>11088.900000000001</v>
      </c>
      <c r="X119" s="3">
        <f t="shared" si="185"/>
        <v>11100</v>
      </c>
      <c r="Y119" s="3">
        <f t="shared" si="167"/>
        <v>11100</v>
      </c>
      <c r="Z119" s="9">
        <f t="shared" si="168"/>
        <v>1.2999999999999999E-2</v>
      </c>
      <c r="AA119" s="3">
        <f t="shared" si="169"/>
        <v>11196.199999999999</v>
      </c>
      <c r="AB119" s="3" t="str">
        <f t="shared" si="170"/>
        <v>nie</v>
      </c>
      <c r="AC119" s="3">
        <f t="shared" si="171"/>
        <v>77.699999999999989</v>
      </c>
      <c r="AD119" s="1">
        <f t="shared" si="144"/>
        <v>4</v>
      </c>
      <c r="AE119" s="1">
        <f t="shared" si="162"/>
        <v>11</v>
      </c>
      <c r="AF119" s="1">
        <f t="shared" si="162"/>
        <v>13</v>
      </c>
      <c r="AG119" s="1">
        <f t="shared" si="162"/>
        <v>3</v>
      </c>
      <c r="AH119" s="3">
        <f t="shared" si="148"/>
        <v>400</v>
      </c>
      <c r="AI119" s="9">
        <f t="shared" si="145"/>
        <v>1.2999999999999999E-2</v>
      </c>
      <c r="AJ119" s="3">
        <f t="shared" si="149"/>
        <v>403.46666666666664</v>
      </c>
      <c r="AK119" s="3">
        <f t="shared" si="146"/>
        <v>2.8</v>
      </c>
      <c r="AL119" s="3">
        <f t="shared" si="165"/>
        <v>2700</v>
      </c>
      <c r="AM119" s="9">
        <f t="shared" si="163"/>
        <v>5.7500000000000002E-2</v>
      </c>
      <c r="AN119" s="3">
        <f t="shared" si="150"/>
        <v>2803.5</v>
      </c>
      <c r="AO119" s="3">
        <f t="shared" si="164"/>
        <v>18.899999999999999</v>
      </c>
      <c r="AP119" s="3">
        <f t="shared" si="172"/>
        <v>0</v>
      </c>
      <c r="AQ119" s="3">
        <f t="shared" si="151"/>
        <v>0</v>
      </c>
      <c r="AR119" s="3">
        <f t="shared" si="152"/>
        <v>29.800000000006037</v>
      </c>
      <c r="AS119" s="1">
        <f t="shared" si="142"/>
        <v>0</v>
      </c>
      <c r="AT119" s="3">
        <f t="shared" si="173"/>
        <v>29.800000000006037</v>
      </c>
      <c r="AU119" s="1">
        <f t="shared" si="147"/>
        <v>0</v>
      </c>
      <c r="AV119" s="3">
        <f t="shared" si="153"/>
        <v>29.800000000006037</v>
      </c>
      <c r="AW119" s="3">
        <f t="shared" si="154"/>
        <v>14432.966666666673</v>
      </c>
      <c r="AX119" s="3">
        <f>MIN(IF(MOD(S119,12)=0,INDEX(IKE_oplata_wskaznik,MATCH(ROUNDUP(S119/12,0),IKE_oplata_rok,0)),0)*AW119,200)</f>
        <v>0</v>
      </c>
      <c r="AY119" s="3">
        <f t="shared" si="130"/>
        <v>110.97719000000002</v>
      </c>
      <c r="AZ119" s="3">
        <f t="shared" si="174"/>
        <v>14321.989476666673</v>
      </c>
      <c r="BA119" s="3">
        <f t="shared" si="131"/>
        <v>99.399999999999977</v>
      </c>
      <c r="BB119" s="3">
        <f t="shared" si="175"/>
        <v>823.37766666666789</v>
      </c>
      <c r="BC119" s="3">
        <f t="shared" si="176"/>
        <v>13399.211810000006</v>
      </c>
      <c r="BE119" s="6">
        <f t="shared" si="186"/>
        <v>100</v>
      </c>
      <c r="BF119" s="3">
        <f t="shared" si="187"/>
        <v>10000</v>
      </c>
      <c r="BG119" s="3">
        <f t="shared" si="188"/>
        <v>10000</v>
      </c>
      <c r="BH119" s="3">
        <f t="shared" si="189"/>
        <v>15291.919733942133</v>
      </c>
      <c r="BI119" s="9">
        <f t="shared" si="177"/>
        <v>6.0000000000000005E-2</v>
      </c>
      <c r="BJ119" s="3">
        <f t="shared" si="178"/>
        <v>15903.596523299819</v>
      </c>
      <c r="BK119" s="3" t="str">
        <f t="shared" si="179"/>
        <v>nie</v>
      </c>
      <c r="BL119" s="3">
        <f t="shared" si="136"/>
        <v>0</v>
      </c>
      <c r="BM119" s="3">
        <f t="shared" si="137"/>
        <v>0</v>
      </c>
      <c r="BN119" s="3">
        <f t="shared" si="138"/>
        <v>15903.596523299819</v>
      </c>
      <c r="BO119" s="3">
        <f>MIN(IF(MOD(S119,12)=0,INDEX(IKE_oplata_wskaznik,MATCH(ROUNDUP(S119/12,0),IKE_oplata_rok,0)),0)*BN119,200)</f>
        <v>0</v>
      </c>
      <c r="BP119" s="3">
        <f t="shared" si="139"/>
        <v>115.53032968794041</v>
      </c>
      <c r="BQ119" s="3">
        <f t="shared" si="140"/>
        <v>15788.066193611878</v>
      </c>
      <c r="BR119" s="3">
        <f t="shared" si="180"/>
        <v>200</v>
      </c>
      <c r="BS119" s="3">
        <f t="shared" si="181"/>
        <v>1083.6833394269656</v>
      </c>
      <c r="BT119" s="3">
        <f t="shared" si="141"/>
        <v>14504.382854184913</v>
      </c>
    </row>
    <row r="120" spans="2:72">
      <c r="B120" s="172"/>
      <c r="C120" s="1">
        <f t="shared" si="155"/>
        <v>86</v>
      </c>
      <c r="D120" s="3">
        <f t="shared" si="157"/>
        <v>13520.449643333339</v>
      </c>
      <c r="E120" s="3">
        <f t="shared" si="158"/>
        <v>12761.508560000004</v>
      </c>
      <c r="F120" s="3">
        <f t="shared" si="159"/>
        <v>14470.36435540596</v>
      </c>
      <c r="G120" s="3">
        <f t="shared" si="160"/>
        <v>13439.949829987569</v>
      </c>
      <c r="H120" s="3">
        <f t="shared" si="156"/>
        <v>10909.304413262444</v>
      </c>
      <c r="I120" s="3">
        <f t="shared" si="161"/>
        <v>14188.262595117192</v>
      </c>
      <c r="S120" s="1">
        <f t="shared" si="182"/>
        <v>105</v>
      </c>
      <c r="T120" s="9">
        <f t="shared" si="143"/>
        <v>0.05</v>
      </c>
      <c r="U120" s="3">
        <f t="shared" si="166"/>
        <v>15328.600229311531</v>
      </c>
      <c r="V120" s="6">
        <f t="shared" si="183"/>
        <v>111</v>
      </c>
      <c r="W120" s="3">
        <f t="shared" si="184"/>
        <v>11088.900000000001</v>
      </c>
      <c r="X120" s="3">
        <f t="shared" si="185"/>
        <v>11100</v>
      </c>
      <c r="Y120" s="3">
        <f t="shared" si="167"/>
        <v>11100</v>
      </c>
      <c r="Z120" s="9">
        <f t="shared" si="168"/>
        <v>1.2999999999999999E-2</v>
      </c>
      <c r="AA120" s="3">
        <f t="shared" si="169"/>
        <v>11208.224999999999</v>
      </c>
      <c r="AB120" s="3" t="str">
        <f t="shared" si="170"/>
        <v>nie</v>
      </c>
      <c r="AC120" s="3">
        <f t="shared" si="171"/>
        <v>77.699999999999989</v>
      </c>
      <c r="AD120" s="1">
        <f t="shared" si="144"/>
        <v>4</v>
      </c>
      <c r="AE120" s="1">
        <f t="shared" si="162"/>
        <v>11</v>
      </c>
      <c r="AF120" s="1">
        <f t="shared" si="162"/>
        <v>13</v>
      </c>
      <c r="AG120" s="1">
        <f t="shared" si="162"/>
        <v>3</v>
      </c>
      <c r="AH120" s="3">
        <f t="shared" si="148"/>
        <v>400</v>
      </c>
      <c r="AI120" s="9">
        <f t="shared" si="145"/>
        <v>1.2999999999999999E-2</v>
      </c>
      <c r="AJ120" s="3">
        <f t="shared" si="149"/>
        <v>403.9</v>
      </c>
      <c r="AK120" s="3">
        <f t="shared" si="146"/>
        <v>2.8</v>
      </c>
      <c r="AL120" s="3">
        <f t="shared" si="165"/>
        <v>2700</v>
      </c>
      <c r="AM120" s="9">
        <f t="shared" si="163"/>
        <v>5.7500000000000002E-2</v>
      </c>
      <c r="AN120" s="3">
        <f t="shared" si="150"/>
        <v>2816.4375</v>
      </c>
      <c r="AO120" s="3">
        <f t="shared" si="164"/>
        <v>18.899999999999999</v>
      </c>
      <c r="AP120" s="3">
        <f t="shared" si="172"/>
        <v>0</v>
      </c>
      <c r="AQ120" s="3">
        <f t="shared" si="151"/>
        <v>0</v>
      </c>
      <c r="AR120" s="3">
        <f t="shared" si="152"/>
        <v>29.800000000006037</v>
      </c>
      <c r="AS120" s="1">
        <f t="shared" si="142"/>
        <v>0</v>
      </c>
      <c r="AT120" s="3">
        <f t="shared" si="173"/>
        <v>29.800000000006037</v>
      </c>
      <c r="AU120" s="1">
        <f t="shared" si="147"/>
        <v>0</v>
      </c>
      <c r="AV120" s="3">
        <f t="shared" si="153"/>
        <v>29.800000000006037</v>
      </c>
      <c r="AW120" s="3">
        <f t="shared" si="154"/>
        <v>14458.362500000005</v>
      </c>
      <c r="AX120" s="3">
        <f>MIN(IF(MOD(S120,12)=0,INDEX(IKE_oplata_wskaznik,MATCH(ROUNDUP(S120/12,0),IKE_oplata_rok,0)),0)*AW120,200)</f>
        <v>0</v>
      </c>
      <c r="AY120" s="3">
        <f t="shared" si="130"/>
        <v>110.97719000000002</v>
      </c>
      <c r="AZ120" s="3">
        <f t="shared" si="174"/>
        <v>14347.385310000005</v>
      </c>
      <c r="BA120" s="3">
        <f t="shared" si="131"/>
        <v>99.399999999999977</v>
      </c>
      <c r="BB120" s="3">
        <f t="shared" si="175"/>
        <v>828.20287500000097</v>
      </c>
      <c r="BC120" s="3">
        <f t="shared" si="176"/>
        <v>13419.782435000005</v>
      </c>
      <c r="BE120" s="6">
        <f t="shared" si="186"/>
        <v>100</v>
      </c>
      <c r="BF120" s="3">
        <f t="shared" si="187"/>
        <v>10000</v>
      </c>
      <c r="BG120" s="3">
        <f t="shared" si="188"/>
        <v>10000</v>
      </c>
      <c r="BH120" s="3">
        <f t="shared" si="189"/>
        <v>15291.919733942133</v>
      </c>
      <c r="BI120" s="9">
        <f t="shared" si="177"/>
        <v>6.0000000000000005E-2</v>
      </c>
      <c r="BJ120" s="3">
        <f t="shared" si="178"/>
        <v>15980.056121969528</v>
      </c>
      <c r="BK120" s="3" t="str">
        <f t="shared" si="179"/>
        <v>nie</v>
      </c>
      <c r="BL120" s="3">
        <f t="shared" si="136"/>
        <v>0</v>
      </c>
      <c r="BM120" s="3">
        <f t="shared" si="137"/>
        <v>0</v>
      </c>
      <c r="BN120" s="3">
        <f t="shared" si="138"/>
        <v>15980.056121969528</v>
      </c>
      <c r="BO120" s="3">
        <f>MIN(IF(MOD(S120,12)=0,INDEX(IKE_oplata_wskaznik,MATCH(ROUNDUP(S120/12,0),IKE_oplata_rok,0)),0)*BN120,200)</f>
        <v>0</v>
      </c>
      <c r="BP120" s="3">
        <f t="shared" si="139"/>
        <v>115.53032968794041</v>
      </c>
      <c r="BQ120" s="3">
        <f t="shared" si="140"/>
        <v>15864.525792281587</v>
      </c>
      <c r="BR120" s="3">
        <f t="shared" si="180"/>
        <v>200</v>
      </c>
      <c r="BS120" s="3">
        <f t="shared" si="181"/>
        <v>1098.2106631742104</v>
      </c>
      <c r="BT120" s="3">
        <f t="shared" si="141"/>
        <v>14566.315129107377</v>
      </c>
    </row>
    <row r="121" spans="2:72">
      <c r="B121" s="172"/>
      <c r="C121" s="1">
        <f t="shared" si="155"/>
        <v>87</v>
      </c>
      <c r="D121" s="3">
        <f t="shared" si="157"/>
        <v>13580.578810000006</v>
      </c>
      <c r="E121" s="3">
        <f t="shared" si="158"/>
        <v>12809.247935000005</v>
      </c>
      <c r="F121" s="3">
        <f t="shared" si="159"/>
        <v>14542.496052264176</v>
      </c>
      <c r="G121" s="3">
        <f t="shared" si="160"/>
        <v>13498.376504442724</v>
      </c>
      <c r="H121" s="3">
        <f t="shared" si="156"/>
        <v>10920.350083980873</v>
      </c>
      <c r="I121" s="3">
        <f t="shared" si="161"/>
        <v>14246.891779394537</v>
      </c>
      <c r="S121" s="1">
        <f t="shared" si="182"/>
        <v>106</v>
      </c>
      <c r="T121" s="9">
        <f t="shared" si="143"/>
        <v>0.05</v>
      </c>
      <c r="U121" s="3">
        <f t="shared" si="166"/>
        <v>15390.160872802742</v>
      </c>
      <c r="V121" s="6">
        <f t="shared" si="183"/>
        <v>111</v>
      </c>
      <c r="W121" s="3">
        <f t="shared" si="184"/>
        <v>11088.900000000001</v>
      </c>
      <c r="X121" s="3">
        <f t="shared" si="185"/>
        <v>11100</v>
      </c>
      <c r="Y121" s="3">
        <f t="shared" si="167"/>
        <v>11100</v>
      </c>
      <c r="Z121" s="9">
        <f t="shared" si="168"/>
        <v>1.2999999999999999E-2</v>
      </c>
      <c r="AA121" s="3">
        <f t="shared" si="169"/>
        <v>11220.249999999998</v>
      </c>
      <c r="AB121" s="3" t="str">
        <f t="shared" si="170"/>
        <v>nie</v>
      </c>
      <c r="AC121" s="3">
        <f t="shared" si="171"/>
        <v>77.699999999999989</v>
      </c>
      <c r="AD121" s="1">
        <f t="shared" si="144"/>
        <v>4</v>
      </c>
      <c r="AE121" s="1">
        <f t="shared" si="162"/>
        <v>11</v>
      </c>
      <c r="AF121" s="1">
        <f t="shared" si="162"/>
        <v>13</v>
      </c>
      <c r="AG121" s="1">
        <f t="shared" si="162"/>
        <v>3</v>
      </c>
      <c r="AH121" s="3">
        <f t="shared" si="148"/>
        <v>400</v>
      </c>
      <c r="AI121" s="9">
        <f t="shared" si="145"/>
        <v>1.2999999999999999E-2</v>
      </c>
      <c r="AJ121" s="3">
        <f t="shared" si="149"/>
        <v>404.33333333333331</v>
      </c>
      <c r="AK121" s="3">
        <f t="shared" si="146"/>
        <v>2.8</v>
      </c>
      <c r="AL121" s="3">
        <f t="shared" si="165"/>
        <v>2700</v>
      </c>
      <c r="AM121" s="9">
        <f t="shared" si="163"/>
        <v>5.7500000000000002E-2</v>
      </c>
      <c r="AN121" s="3">
        <f t="shared" si="150"/>
        <v>2829.375</v>
      </c>
      <c r="AO121" s="3">
        <f t="shared" si="164"/>
        <v>18.899999999999999</v>
      </c>
      <c r="AP121" s="3">
        <f t="shared" si="172"/>
        <v>0</v>
      </c>
      <c r="AQ121" s="3">
        <f t="shared" si="151"/>
        <v>0</v>
      </c>
      <c r="AR121" s="3">
        <f t="shared" si="152"/>
        <v>29.800000000006037</v>
      </c>
      <c r="AS121" s="1">
        <f t="shared" si="142"/>
        <v>0</v>
      </c>
      <c r="AT121" s="3">
        <f t="shared" si="173"/>
        <v>29.800000000006037</v>
      </c>
      <c r="AU121" s="1">
        <f t="shared" si="147"/>
        <v>0</v>
      </c>
      <c r="AV121" s="3">
        <f t="shared" si="153"/>
        <v>29.800000000006037</v>
      </c>
      <c r="AW121" s="3">
        <f t="shared" si="154"/>
        <v>14483.758333333339</v>
      </c>
      <c r="AX121" s="3">
        <f>MIN(IF(MOD(S121,12)=0,INDEX(IKE_oplata_wskaznik,MATCH(ROUNDUP(S121/12,0),IKE_oplata_rok,0)),0)*AW121,200)</f>
        <v>0</v>
      </c>
      <c r="AY121" s="3">
        <f t="shared" si="130"/>
        <v>110.97719000000002</v>
      </c>
      <c r="AZ121" s="3">
        <f t="shared" si="174"/>
        <v>14372.781143333339</v>
      </c>
      <c r="BA121" s="3">
        <f t="shared" si="131"/>
        <v>99.399999999999977</v>
      </c>
      <c r="BB121" s="3">
        <f t="shared" si="175"/>
        <v>833.02808333333439</v>
      </c>
      <c r="BC121" s="3">
        <f t="shared" si="176"/>
        <v>13440.353060000005</v>
      </c>
      <c r="BE121" s="6">
        <f t="shared" si="186"/>
        <v>100</v>
      </c>
      <c r="BF121" s="3">
        <f t="shared" si="187"/>
        <v>10000</v>
      </c>
      <c r="BG121" s="3">
        <f t="shared" si="188"/>
        <v>10000</v>
      </c>
      <c r="BH121" s="3">
        <f t="shared" si="189"/>
        <v>15291.919733942133</v>
      </c>
      <c r="BI121" s="9">
        <f t="shared" si="177"/>
        <v>6.0000000000000005E-2</v>
      </c>
      <c r="BJ121" s="3">
        <f t="shared" si="178"/>
        <v>16056.515720639241</v>
      </c>
      <c r="BK121" s="3" t="str">
        <f t="shared" si="179"/>
        <v>nie</v>
      </c>
      <c r="BL121" s="3">
        <f t="shared" si="136"/>
        <v>0</v>
      </c>
      <c r="BM121" s="3">
        <f t="shared" si="137"/>
        <v>0</v>
      </c>
      <c r="BN121" s="3">
        <f t="shared" si="138"/>
        <v>16056.515720639241</v>
      </c>
      <c r="BO121" s="3">
        <f>MIN(IF(MOD(S121,12)=0,INDEX(IKE_oplata_wskaznik,MATCH(ROUNDUP(S121/12,0),IKE_oplata_rok,0)),0)*BN121,200)</f>
        <v>0</v>
      </c>
      <c r="BP121" s="3">
        <f t="shared" si="139"/>
        <v>115.53032968794041</v>
      </c>
      <c r="BQ121" s="3">
        <f t="shared" si="140"/>
        <v>15940.9853909513</v>
      </c>
      <c r="BR121" s="3">
        <f t="shared" si="180"/>
        <v>200</v>
      </c>
      <c r="BS121" s="3">
        <f t="shared" si="181"/>
        <v>1112.7379869214558</v>
      </c>
      <c r="BT121" s="3">
        <f t="shared" si="141"/>
        <v>14628.247404029844</v>
      </c>
    </row>
    <row r="122" spans="2:72">
      <c r="B122" s="172"/>
      <c r="C122" s="1">
        <f t="shared" si="155"/>
        <v>88</v>
      </c>
      <c r="D122" s="3">
        <f t="shared" si="157"/>
        <v>13640.707976666674</v>
      </c>
      <c r="E122" s="3">
        <f t="shared" si="158"/>
        <v>12856.987310000006</v>
      </c>
      <c r="F122" s="3">
        <f t="shared" si="159"/>
        <v>14614.627749122395</v>
      </c>
      <c r="G122" s="3">
        <f t="shared" si="160"/>
        <v>13556.803178897881</v>
      </c>
      <c r="H122" s="3">
        <f t="shared" si="156"/>
        <v>10931.406938440905</v>
      </c>
      <c r="I122" s="3">
        <f t="shared" si="161"/>
        <v>14305.520963671879</v>
      </c>
      <c r="S122" s="1">
        <f t="shared" si="182"/>
        <v>107</v>
      </c>
      <c r="T122" s="9">
        <f t="shared" si="143"/>
        <v>0.05</v>
      </c>
      <c r="U122" s="3">
        <f t="shared" si="166"/>
        <v>15451.721516293952</v>
      </c>
      <c r="V122" s="6">
        <f t="shared" si="183"/>
        <v>111</v>
      </c>
      <c r="W122" s="3">
        <f t="shared" si="184"/>
        <v>11088.900000000001</v>
      </c>
      <c r="X122" s="3">
        <f t="shared" si="185"/>
        <v>11100</v>
      </c>
      <c r="Y122" s="3">
        <f t="shared" si="167"/>
        <v>11100</v>
      </c>
      <c r="Z122" s="9">
        <f t="shared" si="168"/>
        <v>1.2999999999999999E-2</v>
      </c>
      <c r="AA122" s="3">
        <f t="shared" si="169"/>
        <v>11232.275</v>
      </c>
      <c r="AB122" s="3" t="str">
        <f t="shared" si="170"/>
        <v>nie</v>
      </c>
      <c r="AC122" s="3">
        <f t="shared" si="171"/>
        <v>77.699999999999989</v>
      </c>
      <c r="AD122" s="1">
        <f t="shared" si="144"/>
        <v>4</v>
      </c>
      <c r="AE122" s="1">
        <f t="shared" si="162"/>
        <v>11</v>
      </c>
      <c r="AF122" s="1">
        <f t="shared" si="162"/>
        <v>13</v>
      </c>
      <c r="AG122" s="1">
        <f t="shared" si="162"/>
        <v>3</v>
      </c>
      <c r="AH122" s="3">
        <f t="shared" si="148"/>
        <v>400</v>
      </c>
      <c r="AI122" s="9">
        <f t="shared" si="145"/>
        <v>1.2999999999999999E-2</v>
      </c>
      <c r="AJ122" s="3">
        <f t="shared" si="149"/>
        <v>404.76666666666665</v>
      </c>
      <c r="AK122" s="3">
        <f t="shared" si="146"/>
        <v>2.8</v>
      </c>
      <c r="AL122" s="3">
        <f t="shared" si="165"/>
        <v>2700</v>
      </c>
      <c r="AM122" s="9">
        <f t="shared" si="163"/>
        <v>5.7500000000000002E-2</v>
      </c>
      <c r="AN122" s="3">
        <f t="shared" si="150"/>
        <v>2842.3125</v>
      </c>
      <c r="AO122" s="3">
        <f t="shared" si="164"/>
        <v>18.899999999999999</v>
      </c>
      <c r="AP122" s="3">
        <f t="shared" si="172"/>
        <v>0</v>
      </c>
      <c r="AQ122" s="3">
        <f t="shared" si="151"/>
        <v>0</v>
      </c>
      <c r="AR122" s="3">
        <f t="shared" si="152"/>
        <v>29.800000000006037</v>
      </c>
      <c r="AS122" s="1">
        <f t="shared" si="142"/>
        <v>0</v>
      </c>
      <c r="AT122" s="3">
        <f t="shared" si="173"/>
        <v>29.800000000006037</v>
      </c>
      <c r="AU122" s="1">
        <f t="shared" si="147"/>
        <v>0</v>
      </c>
      <c r="AV122" s="3">
        <f t="shared" si="153"/>
        <v>29.800000000006037</v>
      </c>
      <c r="AW122" s="3">
        <f t="shared" si="154"/>
        <v>14509.154166666673</v>
      </c>
      <c r="AX122" s="3">
        <f>MIN(IF(MOD(S122,12)=0,INDEX(IKE_oplata_wskaznik,MATCH(ROUNDUP(S122/12,0),IKE_oplata_rok,0)),0)*AW122,200)</f>
        <v>0</v>
      </c>
      <c r="AY122" s="3">
        <f t="shared" si="130"/>
        <v>110.97719000000002</v>
      </c>
      <c r="AZ122" s="3">
        <f t="shared" si="174"/>
        <v>14398.176976666673</v>
      </c>
      <c r="BA122" s="3">
        <f t="shared" si="131"/>
        <v>99.399999999999977</v>
      </c>
      <c r="BB122" s="3">
        <f t="shared" si="175"/>
        <v>837.85329166666793</v>
      </c>
      <c r="BC122" s="3">
        <f t="shared" si="176"/>
        <v>13460.923685000005</v>
      </c>
      <c r="BE122" s="6">
        <f t="shared" si="186"/>
        <v>100</v>
      </c>
      <c r="BF122" s="3">
        <f t="shared" si="187"/>
        <v>10000</v>
      </c>
      <c r="BG122" s="3">
        <f t="shared" si="188"/>
        <v>10000</v>
      </c>
      <c r="BH122" s="3">
        <f t="shared" si="189"/>
        <v>15291.919733942133</v>
      </c>
      <c r="BI122" s="9">
        <f t="shared" si="177"/>
        <v>6.0000000000000005E-2</v>
      </c>
      <c r="BJ122" s="3">
        <f t="shared" si="178"/>
        <v>16132.975319308949</v>
      </c>
      <c r="BK122" s="3" t="str">
        <f t="shared" si="179"/>
        <v>nie</v>
      </c>
      <c r="BL122" s="3">
        <f t="shared" si="136"/>
        <v>0</v>
      </c>
      <c r="BM122" s="3">
        <f t="shared" si="137"/>
        <v>0</v>
      </c>
      <c r="BN122" s="3">
        <f t="shared" si="138"/>
        <v>16132.975319308949</v>
      </c>
      <c r="BO122" s="3">
        <f>MIN(IF(MOD(S122,12)=0,INDEX(IKE_oplata_wskaznik,MATCH(ROUNDUP(S122/12,0),IKE_oplata_rok,0)),0)*BN122,200)</f>
        <v>0</v>
      </c>
      <c r="BP122" s="3">
        <f t="shared" si="139"/>
        <v>115.53032968794041</v>
      </c>
      <c r="BQ122" s="3">
        <f t="shared" si="140"/>
        <v>16017.444989621008</v>
      </c>
      <c r="BR122" s="3">
        <f t="shared" si="180"/>
        <v>200</v>
      </c>
      <c r="BS122" s="3">
        <f t="shared" si="181"/>
        <v>1127.2653106687003</v>
      </c>
      <c r="BT122" s="3">
        <f t="shared" si="141"/>
        <v>14690.179678952307</v>
      </c>
    </row>
    <row r="123" spans="2:72">
      <c r="B123" s="172"/>
      <c r="C123" s="1">
        <f t="shared" si="155"/>
        <v>89</v>
      </c>
      <c r="D123" s="3">
        <f t="shared" si="157"/>
        <v>13700.83714333334</v>
      </c>
      <c r="E123" s="3">
        <f t="shared" si="158"/>
        <v>12904.726685000005</v>
      </c>
      <c r="F123" s="3">
        <f t="shared" si="159"/>
        <v>14686.759445980611</v>
      </c>
      <c r="G123" s="3">
        <f t="shared" si="160"/>
        <v>13615.229853353036</v>
      </c>
      <c r="H123" s="3">
        <f t="shared" si="156"/>
        <v>10942.474987966078</v>
      </c>
      <c r="I123" s="3">
        <f t="shared" si="161"/>
        <v>14364.150147949224</v>
      </c>
      <c r="S123" s="1">
        <f t="shared" si="182"/>
        <v>108</v>
      </c>
      <c r="T123" s="9">
        <f t="shared" si="143"/>
        <v>0.05</v>
      </c>
      <c r="U123" s="3">
        <f t="shared" si="166"/>
        <v>15513.282159785162</v>
      </c>
      <c r="V123" s="6">
        <f t="shared" si="183"/>
        <v>111</v>
      </c>
      <c r="W123" s="3">
        <f t="shared" si="184"/>
        <v>11088.900000000001</v>
      </c>
      <c r="X123" s="3">
        <f t="shared" si="185"/>
        <v>11100</v>
      </c>
      <c r="Y123" s="3">
        <f t="shared" si="167"/>
        <v>11100</v>
      </c>
      <c r="Z123" s="9">
        <f t="shared" si="168"/>
        <v>1.2999999999999999E-2</v>
      </c>
      <c r="AA123" s="3">
        <f t="shared" si="169"/>
        <v>11244.3</v>
      </c>
      <c r="AB123" s="3" t="str">
        <f t="shared" si="170"/>
        <v>nie</v>
      </c>
      <c r="AC123" s="3">
        <f t="shared" si="171"/>
        <v>77.699999999999989</v>
      </c>
      <c r="AD123" s="1">
        <f t="shared" si="144"/>
        <v>4</v>
      </c>
      <c r="AE123" s="1">
        <f t="shared" si="162"/>
        <v>11</v>
      </c>
      <c r="AF123" s="1">
        <f t="shared" si="162"/>
        <v>13</v>
      </c>
      <c r="AG123" s="1">
        <f t="shared" si="162"/>
        <v>3</v>
      </c>
      <c r="AH123" s="3">
        <f t="shared" si="148"/>
        <v>400</v>
      </c>
      <c r="AI123" s="9">
        <f t="shared" si="145"/>
        <v>1.2999999999999999E-2</v>
      </c>
      <c r="AJ123" s="3">
        <f t="shared" si="149"/>
        <v>405.19999999999993</v>
      </c>
      <c r="AK123" s="3">
        <f t="shared" si="146"/>
        <v>2.8</v>
      </c>
      <c r="AL123" s="3">
        <f t="shared" si="165"/>
        <v>2700</v>
      </c>
      <c r="AM123" s="9">
        <f t="shared" si="163"/>
        <v>5.7500000000000002E-2</v>
      </c>
      <c r="AN123" s="3">
        <f t="shared" si="150"/>
        <v>2855.2500000000005</v>
      </c>
      <c r="AO123" s="3">
        <f t="shared" si="164"/>
        <v>18.899999999999999</v>
      </c>
      <c r="AP123" s="3">
        <f t="shared" si="172"/>
        <v>144.29999999999927</v>
      </c>
      <c r="AQ123" s="3">
        <f t="shared" si="151"/>
        <v>460.45000000000027</v>
      </c>
      <c r="AR123" s="3">
        <f t="shared" si="152"/>
        <v>634.55000000000564</v>
      </c>
      <c r="AS123" s="1">
        <f t="shared" ref="AS123:AS154" si="190">IF(AP123&lt;&gt;0,MIN(IF(AG123&lt;&gt;"",AG123,0),ROUNDDOWN(AR123/zamiana_COI,0)),0)</f>
        <v>3</v>
      </c>
      <c r="AT123" s="3">
        <f t="shared" si="173"/>
        <v>334.85000000000559</v>
      </c>
      <c r="AU123" s="1">
        <f t="shared" si="147"/>
        <v>3</v>
      </c>
      <c r="AV123" s="3">
        <f t="shared" si="153"/>
        <v>34.850000000005593</v>
      </c>
      <c r="AW123" s="3">
        <f t="shared" si="154"/>
        <v>14534.550000000007</v>
      </c>
      <c r="AX123" s="3">
        <f>MIN(IF(MOD(S123,12)=0,INDEX(IKE_oplata_wskaznik,MATCH(ROUNDUP(S123/12,0),IKE_oplata_rok,0)),0)*AW123,200)</f>
        <v>14.534550000000007</v>
      </c>
      <c r="AY123" s="3">
        <f t="shared" si="130"/>
        <v>125.51174000000003</v>
      </c>
      <c r="AZ123" s="3">
        <f t="shared" si="174"/>
        <v>14409.038260000007</v>
      </c>
      <c r="BA123" s="3">
        <f t="shared" si="131"/>
        <v>99.399999999999977</v>
      </c>
      <c r="BB123" s="3">
        <f t="shared" si="175"/>
        <v>842.67850000000135</v>
      </c>
      <c r="BC123" s="3">
        <f t="shared" si="176"/>
        <v>13466.959760000005</v>
      </c>
      <c r="BE123" s="6">
        <f t="shared" si="186"/>
        <v>100</v>
      </c>
      <c r="BF123" s="3">
        <f t="shared" si="187"/>
        <v>10000</v>
      </c>
      <c r="BG123" s="3">
        <f t="shared" si="188"/>
        <v>10000</v>
      </c>
      <c r="BH123" s="3">
        <f t="shared" si="189"/>
        <v>15291.919733942133</v>
      </c>
      <c r="BI123" s="9">
        <f t="shared" si="177"/>
        <v>6.0000000000000005E-2</v>
      </c>
      <c r="BJ123" s="3">
        <f t="shared" si="178"/>
        <v>16209.434917978662</v>
      </c>
      <c r="BK123" s="3" t="str">
        <f t="shared" si="179"/>
        <v>nie</v>
      </c>
      <c r="BL123" s="3">
        <f t="shared" si="136"/>
        <v>0</v>
      </c>
      <c r="BM123" s="3">
        <f t="shared" si="137"/>
        <v>0</v>
      </c>
      <c r="BN123" s="3">
        <f t="shared" si="138"/>
        <v>16209.434917978662</v>
      </c>
      <c r="BO123" s="3">
        <f>MIN(IF(MOD(S123,12)=0,INDEX(IKE_oplata_wskaznik,MATCH(ROUNDUP(S123/12,0),IKE_oplata_rok,0)),0)*BN123,200)</f>
        <v>16.209434917978662</v>
      </c>
      <c r="BP123" s="3">
        <f t="shared" si="139"/>
        <v>131.73976460591908</v>
      </c>
      <c r="BQ123" s="3">
        <f t="shared" si="140"/>
        <v>16077.695153372742</v>
      </c>
      <c r="BR123" s="3">
        <f t="shared" si="180"/>
        <v>200</v>
      </c>
      <c r="BS123" s="3">
        <f t="shared" si="181"/>
        <v>1141.7926344159459</v>
      </c>
      <c r="BT123" s="3">
        <f t="shared" si="141"/>
        <v>14735.902518956796</v>
      </c>
    </row>
    <row r="124" spans="2:72">
      <c r="B124" s="172"/>
      <c r="C124" s="1">
        <f t="shared" si="155"/>
        <v>90</v>
      </c>
      <c r="D124" s="3">
        <f t="shared" si="157"/>
        <v>13760.966310000005</v>
      </c>
      <c r="E124" s="3">
        <f t="shared" si="158"/>
        <v>12952.466060000004</v>
      </c>
      <c r="F124" s="3">
        <f t="shared" si="159"/>
        <v>14758.891142838831</v>
      </c>
      <c r="G124" s="3">
        <f t="shared" si="160"/>
        <v>13673.656527808194</v>
      </c>
      <c r="H124" s="3">
        <f t="shared" si="156"/>
        <v>10953.554243891394</v>
      </c>
      <c r="I124" s="3">
        <f t="shared" si="161"/>
        <v>14422.779332226566</v>
      </c>
      <c r="S124" s="1">
        <f t="shared" si="182"/>
        <v>109</v>
      </c>
      <c r="T124" s="9">
        <f t="shared" ref="T124:T155" si="191">MAX(INDEX(scenariusz_I_inflacja,MATCH(ROUNDUP(S124/12,0)-1,scenariusz_I_rok,0)),0)</f>
        <v>0.05</v>
      </c>
      <c r="U124" s="3">
        <f t="shared" si="166"/>
        <v>15577.920835450934</v>
      </c>
      <c r="V124" s="6">
        <f t="shared" si="183"/>
        <v>111</v>
      </c>
      <c r="W124" s="3">
        <f t="shared" si="184"/>
        <v>11088.900000000001</v>
      </c>
      <c r="X124" s="3">
        <f t="shared" si="185"/>
        <v>11100</v>
      </c>
      <c r="Y124" s="3">
        <f t="shared" si="167"/>
        <v>11100</v>
      </c>
      <c r="Z124" s="9">
        <f t="shared" si="168"/>
        <v>5.7500000000000002E-2</v>
      </c>
      <c r="AA124" s="3">
        <f t="shared" si="169"/>
        <v>11153.187500000002</v>
      </c>
      <c r="AB124" s="3" t="str">
        <f t="shared" si="170"/>
        <v>nie</v>
      </c>
      <c r="AC124" s="3">
        <f t="shared" si="171"/>
        <v>77.699999999999989</v>
      </c>
      <c r="AD124" s="1">
        <f t="shared" ref="AD124:AD159" si="192">IF(AP123&lt;&gt;0,AS123+AU123,AD123)</f>
        <v>6</v>
      </c>
      <c r="AE124" s="1">
        <f t="shared" si="162"/>
        <v>4</v>
      </c>
      <c r="AF124" s="1">
        <f t="shared" si="162"/>
        <v>11</v>
      </c>
      <c r="AG124" s="1">
        <f t="shared" si="162"/>
        <v>13</v>
      </c>
      <c r="AH124" s="3">
        <f t="shared" si="148"/>
        <v>600</v>
      </c>
      <c r="AI124" s="9">
        <f t="shared" ref="AI124:AI159" si="193">proc_I_okres_COI</f>
        <v>1.2999999999999999E-2</v>
      </c>
      <c r="AJ124" s="3">
        <f t="shared" si="149"/>
        <v>600.65</v>
      </c>
      <c r="AK124" s="3">
        <f t="shared" ref="AK124:AK155" si="194">MIN(AD124*koszt_wczesniejszy_wykup_COI,AJ124-AH124)</f>
        <v>0.64999999999997726</v>
      </c>
      <c r="AL124" s="3">
        <f t="shared" si="165"/>
        <v>2800</v>
      </c>
      <c r="AM124" s="9">
        <f t="shared" si="163"/>
        <v>5.7500000000000002E-2</v>
      </c>
      <c r="AN124" s="3">
        <f t="shared" si="150"/>
        <v>2813.416666666667</v>
      </c>
      <c r="AO124" s="3">
        <f t="shared" si="164"/>
        <v>19.599999999999998</v>
      </c>
      <c r="AP124" s="3">
        <f t="shared" si="172"/>
        <v>0</v>
      </c>
      <c r="AQ124" s="3">
        <f t="shared" si="151"/>
        <v>0</v>
      </c>
      <c r="AR124" s="3">
        <f t="shared" si="152"/>
        <v>34.850000000005593</v>
      </c>
      <c r="AS124" s="1">
        <f t="shared" si="190"/>
        <v>0</v>
      </c>
      <c r="AT124" s="3">
        <f t="shared" si="173"/>
        <v>34.850000000005593</v>
      </c>
      <c r="AU124" s="1">
        <f t="shared" si="147"/>
        <v>0</v>
      </c>
      <c r="AV124" s="3">
        <f t="shared" si="153"/>
        <v>34.850000000005593</v>
      </c>
      <c r="AW124" s="3">
        <f t="shared" si="154"/>
        <v>14602.104166666675</v>
      </c>
      <c r="AX124" s="3">
        <f>MIN(IF(MOD(S124,12)=0,INDEX(IKE_oplata_wskaznik,MATCH(ROUNDUP(S124/12,0),IKE_oplata_rok,0)),0)*AW124,200)</f>
        <v>0</v>
      </c>
      <c r="AY124" s="3">
        <f t="shared" si="130"/>
        <v>125.51174000000003</v>
      </c>
      <c r="AZ124" s="3">
        <f t="shared" si="174"/>
        <v>14476.592426666675</v>
      </c>
      <c r="BA124" s="3">
        <f t="shared" si="131"/>
        <v>97.94999999999996</v>
      </c>
      <c r="BB124" s="3">
        <f t="shared" si="175"/>
        <v>855.78929166666819</v>
      </c>
      <c r="BC124" s="3">
        <f t="shared" si="176"/>
        <v>13522.853135000007</v>
      </c>
      <c r="BE124" s="6">
        <f t="shared" si="186"/>
        <v>100</v>
      </c>
      <c r="BF124" s="3">
        <f t="shared" si="187"/>
        <v>10000</v>
      </c>
      <c r="BG124" s="3">
        <f t="shared" si="188"/>
        <v>10000</v>
      </c>
      <c r="BH124" s="3">
        <f t="shared" si="189"/>
        <v>16209.434917978662</v>
      </c>
      <c r="BI124" s="9">
        <f t="shared" si="177"/>
        <v>6.0000000000000005E-2</v>
      </c>
      <c r="BJ124" s="3">
        <f t="shared" si="178"/>
        <v>16290.482092568554</v>
      </c>
      <c r="BK124" s="3" t="str">
        <f t="shared" si="179"/>
        <v>nie</v>
      </c>
      <c r="BL124" s="3">
        <f t="shared" si="136"/>
        <v>0</v>
      </c>
      <c r="BM124" s="3">
        <f t="shared" si="137"/>
        <v>0</v>
      </c>
      <c r="BN124" s="3">
        <f t="shared" si="138"/>
        <v>16290.482092568554</v>
      </c>
      <c r="BO124" s="3">
        <f>MIN(IF(MOD(S124,12)=0,INDEX(IKE_oplata_wskaznik,MATCH(ROUNDUP(S124/12,0),IKE_oplata_rok,0)),0)*BN124,200)</f>
        <v>0</v>
      </c>
      <c r="BP124" s="3">
        <f t="shared" si="139"/>
        <v>131.73976460591908</v>
      </c>
      <c r="BQ124" s="3">
        <f t="shared" si="140"/>
        <v>16158.742327962635</v>
      </c>
      <c r="BR124" s="3">
        <f t="shared" si="180"/>
        <v>200</v>
      </c>
      <c r="BS124" s="3">
        <f t="shared" si="181"/>
        <v>1157.1915975880254</v>
      </c>
      <c r="BT124" s="3">
        <f t="shared" si="141"/>
        <v>14801.550730374609</v>
      </c>
    </row>
    <row r="125" spans="2:72">
      <c r="B125" s="172"/>
      <c r="C125" s="1">
        <f t="shared" si="155"/>
        <v>91</v>
      </c>
      <c r="D125" s="3">
        <f t="shared" si="157"/>
        <v>13821.095476666673</v>
      </c>
      <c r="E125" s="3">
        <f t="shared" si="158"/>
        <v>13000.725185000005</v>
      </c>
      <c r="F125" s="3">
        <f t="shared" si="159"/>
        <v>14831.022839697047</v>
      </c>
      <c r="G125" s="3">
        <f t="shared" si="160"/>
        <v>13732.083202263348</v>
      </c>
      <c r="H125" s="3">
        <f t="shared" si="156"/>
        <v>10964.644717563335</v>
      </c>
      <c r="I125" s="3">
        <f t="shared" si="161"/>
        <v>14481.408516503911</v>
      </c>
      <c r="S125" s="1">
        <f t="shared" si="182"/>
        <v>110</v>
      </c>
      <c r="T125" s="9">
        <f t="shared" si="191"/>
        <v>0.05</v>
      </c>
      <c r="U125" s="3">
        <f t="shared" si="166"/>
        <v>15642.559511116704</v>
      </c>
      <c r="V125" s="6">
        <f t="shared" si="183"/>
        <v>111</v>
      </c>
      <c r="W125" s="3">
        <f t="shared" si="184"/>
        <v>11088.900000000001</v>
      </c>
      <c r="X125" s="3">
        <f t="shared" si="185"/>
        <v>11100</v>
      </c>
      <c r="Y125" s="3">
        <f t="shared" si="167"/>
        <v>11100</v>
      </c>
      <c r="Z125" s="9">
        <f t="shared" si="168"/>
        <v>5.7500000000000002E-2</v>
      </c>
      <c r="AA125" s="3">
        <f t="shared" si="169"/>
        <v>11206.375</v>
      </c>
      <c r="AB125" s="3" t="str">
        <f t="shared" si="170"/>
        <v>nie</v>
      </c>
      <c r="AC125" s="3">
        <f t="shared" si="171"/>
        <v>77.699999999999989</v>
      </c>
      <c r="AD125" s="1">
        <f t="shared" si="192"/>
        <v>6</v>
      </c>
      <c r="AE125" s="1">
        <f t="shared" si="162"/>
        <v>4</v>
      </c>
      <c r="AF125" s="1">
        <f t="shared" si="162"/>
        <v>11</v>
      </c>
      <c r="AG125" s="1">
        <f t="shared" si="162"/>
        <v>13</v>
      </c>
      <c r="AH125" s="3">
        <f t="shared" si="148"/>
        <v>600</v>
      </c>
      <c r="AI125" s="9">
        <f t="shared" si="193"/>
        <v>1.2999999999999999E-2</v>
      </c>
      <c r="AJ125" s="3">
        <f t="shared" si="149"/>
        <v>601.29999999999995</v>
      </c>
      <c r="AK125" s="3">
        <f t="shared" si="194"/>
        <v>1.2999999999999545</v>
      </c>
      <c r="AL125" s="3">
        <f t="shared" si="165"/>
        <v>2800</v>
      </c>
      <c r="AM125" s="9">
        <f t="shared" si="163"/>
        <v>5.7500000000000002E-2</v>
      </c>
      <c r="AN125" s="3">
        <f t="shared" si="150"/>
        <v>2826.833333333333</v>
      </c>
      <c r="AO125" s="3">
        <f t="shared" si="164"/>
        <v>19.599999999999998</v>
      </c>
      <c r="AP125" s="3">
        <f t="shared" si="172"/>
        <v>0</v>
      </c>
      <c r="AQ125" s="3">
        <f t="shared" si="151"/>
        <v>0</v>
      </c>
      <c r="AR125" s="3">
        <f t="shared" si="152"/>
        <v>34.850000000005593</v>
      </c>
      <c r="AS125" s="1">
        <f t="shared" si="190"/>
        <v>0</v>
      </c>
      <c r="AT125" s="3">
        <f t="shared" si="173"/>
        <v>34.850000000005593</v>
      </c>
      <c r="AU125" s="1">
        <f t="shared" si="147"/>
        <v>0</v>
      </c>
      <c r="AV125" s="3">
        <f t="shared" si="153"/>
        <v>34.850000000005593</v>
      </c>
      <c r="AW125" s="3">
        <f t="shared" si="154"/>
        <v>14669.358333333337</v>
      </c>
      <c r="AX125" s="3">
        <f>MIN(IF(MOD(S125,12)=0,INDEX(IKE_oplata_wskaznik,MATCH(ROUNDUP(S125/12,0),IKE_oplata_rok,0)),0)*AW125,200)</f>
        <v>0</v>
      </c>
      <c r="AY125" s="3">
        <f t="shared" si="130"/>
        <v>125.51174000000003</v>
      </c>
      <c r="AZ125" s="3">
        <f t="shared" si="174"/>
        <v>14543.846593333337</v>
      </c>
      <c r="BA125" s="3">
        <f t="shared" si="131"/>
        <v>98.599999999999937</v>
      </c>
      <c r="BB125" s="3">
        <f t="shared" si="175"/>
        <v>868.44408333333399</v>
      </c>
      <c r="BC125" s="3">
        <f t="shared" si="176"/>
        <v>13576.802510000003</v>
      </c>
      <c r="BE125" s="6">
        <f t="shared" si="186"/>
        <v>100</v>
      </c>
      <c r="BF125" s="3">
        <f t="shared" si="187"/>
        <v>10000</v>
      </c>
      <c r="BG125" s="3">
        <f t="shared" si="188"/>
        <v>10000</v>
      </c>
      <c r="BH125" s="3">
        <f t="shared" si="189"/>
        <v>16209.434917978662</v>
      </c>
      <c r="BI125" s="9">
        <f t="shared" si="177"/>
        <v>6.0000000000000005E-2</v>
      </c>
      <c r="BJ125" s="3">
        <f t="shared" si="178"/>
        <v>16371.529267158448</v>
      </c>
      <c r="BK125" s="3" t="str">
        <f t="shared" si="179"/>
        <v>nie</v>
      </c>
      <c r="BL125" s="3">
        <f t="shared" si="136"/>
        <v>0</v>
      </c>
      <c r="BM125" s="3">
        <f t="shared" si="137"/>
        <v>0</v>
      </c>
      <c r="BN125" s="3">
        <f t="shared" si="138"/>
        <v>16371.529267158448</v>
      </c>
      <c r="BO125" s="3">
        <f>MIN(IF(MOD(S125,12)=0,INDEX(IKE_oplata_wskaznik,MATCH(ROUNDUP(S125/12,0),IKE_oplata_rok,0)),0)*BN125,200)</f>
        <v>0</v>
      </c>
      <c r="BP125" s="3">
        <f t="shared" si="139"/>
        <v>131.73976460591908</v>
      </c>
      <c r="BQ125" s="3">
        <f t="shared" si="140"/>
        <v>16239.789502552529</v>
      </c>
      <c r="BR125" s="3">
        <f t="shared" si="180"/>
        <v>200</v>
      </c>
      <c r="BS125" s="3">
        <f t="shared" si="181"/>
        <v>1172.5905607601053</v>
      </c>
      <c r="BT125" s="3">
        <f t="shared" si="141"/>
        <v>14867.198941792423</v>
      </c>
    </row>
    <row r="126" spans="2:72">
      <c r="B126" s="172"/>
      <c r="C126" s="1">
        <f t="shared" si="155"/>
        <v>92</v>
      </c>
      <c r="D126" s="3">
        <f t="shared" si="157"/>
        <v>13881.224643333338</v>
      </c>
      <c r="E126" s="3">
        <f t="shared" si="158"/>
        <v>13049.429810000005</v>
      </c>
      <c r="F126" s="3">
        <f t="shared" si="159"/>
        <v>14903.154536555267</v>
      </c>
      <c r="G126" s="3">
        <f t="shared" si="160"/>
        <v>13790.509876718506</v>
      </c>
      <c r="H126" s="3">
        <f t="shared" si="156"/>
        <v>10975.746420339869</v>
      </c>
      <c r="I126" s="3">
        <f t="shared" si="161"/>
        <v>14540.037700781257</v>
      </c>
      <c r="S126" s="1">
        <f t="shared" si="182"/>
        <v>111</v>
      </c>
      <c r="T126" s="9">
        <f t="shared" si="191"/>
        <v>0.05</v>
      </c>
      <c r="U126" s="3">
        <f t="shared" si="166"/>
        <v>15707.198186782476</v>
      </c>
      <c r="V126" s="6">
        <f t="shared" si="183"/>
        <v>111</v>
      </c>
      <c r="W126" s="3">
        <f t="shared" si="184"/>
        <v>11088.900000000001</v>
      </c>
      <c r="X126" s="3">
        <f t="shared" si="185"/>
        <v>11100</v>
      </c>
      <c r="Y126" s="3">
        <f t="shared" si="167"/>
        <v>11100</v>
      </c>
      <c r="Z126" s="9">
        <f t="shared" si="168"/>
        <v>5.7500000000000002E-2</v>
      </c>
      <c r="AA126" s="3">
        <f t="shared" si="169"/>
        <v>11259.5625</v>
      </c>
      <c r="AB126" s="3" t="str">
        <f t="shared" si="170"/>
        <v>nie</v>
      </c>
      <c r="AC126" s="3">
        <f t="shared" si="171"/>
        <v>77.699999999999989</v>
      </c>
      <c r="AD126" s="1">
        <f t="shared" si="192"/>
        <v>6</v>
      </c>
      <c r="AE126" s="1">
        <f t="shared" si="162"/>
        <v>4</v>
      </c>
      <c r="AF126" s="1">
        <f t="shared" si="162"/>
        <v>11</v>
      </c>
      <c r="AG126" s="1">
        <f t="shared" si="162"/>
        <v>13</v>
      </c>
      <c r="AH126" s="3">
        <f t="shared" si="148"/>
        <v>600</v>
      </c>
      <c r="AI126" s="9">
        <f t="shared" si="193"/>
        <v>1.2999999999999999E-2</v>
      </c>
      <c r="AJ126" s="3">
        <f t="shared" si="149"/>
        <v>601.94999999999993</v>
      </c>
      <c r="AK126" s="3">
        <f t="shared" si="194"/>
        <v>1.9499999999999318</v>
      </c>
      <c r="AL126" s="3">
        <f t="shared" si="165"/>
        <v>2800</v>
      </c>
      <c r="AM126" s="9">
        <f t="shared" si="163"/>
        <v>5.7500000000000002E-2</v>
      </c>
      <c r="AN126" s="3">
        <f t="shared" si="150"/>
        <v>2840.25</v>
      </c>
      <c r="AO126" s="3">
        <f t="shared" si="164"/>
        <v>19.599999999999998</v>
      </c>
      <c r="AP126" s="3">
        <f t="shared" si="172"/>
        <v>0</v>
      </c>
      <c r="AQ126" s="3">
        <f t="shared" si="151"/>
        <v>0</v>
      </c>
      <c r="AR126" s="3">
        <f t="shared" si="152"/>
        <v>34.850000000005593</v>
      </c>
      <c r="AS126" s="1">
        <f t="shared" si="190"/>
        <v>0</v>
      </c>
      <c r="AT126" s="3">
        <f t="shared" si="173"/>
        <v>34.850000000005593</v>
      </c>
      <c r="AU126" s="1">
        <f t="shared" si="147"/>
        <v>0</v>
      </c>
      <c r="AV126" s="3">
        <f t="shared" si="153"/>
        <v>34.850000000005593</v>
      </c>
      <c r="AW126" s="3">
        <f t="shared" si="154"/>
        <v>14736.612500000007</v>
      </c>
      <c r="AX126" s="3">
        <f>MIN(IF(MOD(S126,12)=0,INDEX(IKE_oplata_wskaznik,MATCH(ROUNDUP(S126/12,0),IKE_oplata_rok,0)),0)*AW126,200)</f>
        <v>0</v>
      </c>
      <c r="AY126" s="3">
        <f t="shared" si="130"/>
        <v>125.51174000000003</v>
      </c>
      <c r="AZ126" s="3">
        <f t="shared" si="174"/>
        <v>14611.100760000007</v>
      </c>
      <c r="BA126" s="3">
        <f t="shared" si="131"/>
        <v>99.249999999999915</v>
      </c>
      <c r="BB126" s="3">
        <f t="shared" si="175"/>
        <v>881.09887500000127</v>
      </c>
      <c r="BC126" s="3">
        <f t="shared" si="176"/>
        <v>13630.751885000005</v>
      </c>
      <c r="BE126" s="6">
        <f t="shared" si="186"/>
        <v>100</v>
      </c>
      <c r="BF126" s="3">
        <f t="shared" si="187"/>
        <v>10000</v>
      </c>
      <c r="BG126" s="3">
        <f t="shared" si="188"/>
        <v>10000</v>
      </c>
      <c r="BH126" s="3">
        <f t="shared" si="189"/>
        <v>16209.434917978662</v>
      </c>
      <c r="BI126" s="9">
        <f t="shared" si="177"/>
        <v>6.0000000000000005E-2</v>
      </c>
      <c r="BJ126" s="3">
        <f t="shared" si="178"/>
        <v>16452.576441748341</v>
      </c>
      <c r="BK126" s="3" t="str">
        <f t="shared" si="179"/>
        <v>nie</v>
      </c>
      <c r="BL126" s="3">
        <f t="shared" si="136"/>
        <v>0</v>
      </c>
      <c r="BM126" s="3">
        <f t="shared" si="137"/>
        <v>0</v>
      </c>
      <c r="BN126" s="3">
        <f t="shared" si="138"/>
        <v>16452.576441748341</v>
      </c>
      <c r="BO126" s="3">
        <f>MIN(IF(MOD(S126,12)=0,INDEX(IKE_oplata_wskaznik,MATCH(ROUNDUP(S126/12,0),IKE_oplata_rok,0)),0)*BN126,200)</f>
        <v>0</v>
      </c>
      <c r="BP126" s="3">
        <f t="shared" si="139"/>
        <v>131.73976460591908</v>
      </c>
      <c r="BQ126" s="3">
        <f t="shared" si="140"/>
        <v>16320.836677142421</v>
      </c>
      <c r="BR126" s="3">
        <f t="shared" si="180"/>
        <v>200</v>
      </c>
      <c r="BS126" s="3">
        <f t="shared" si="181"/>
        <v>1187.9895239321847</v>
      </c>
      <c r="BT126" s="3">
        <f t="shared" si="141"/>
        <v>14932.847153210236</v>
      </c>
    </row>
    <row r="127" spans="2:72">
      <c r="B127" s="172"/>
      <c r="C127" s="1">
        <f t="shared" si="155"/>
        <v>93</v>
      </c>
      <c r="D127" s="3">
        <f t="shared" si="157"/>
        <v>13941.353810000006</v>
      </c>
      <c r="E127" s="3">
        <f t="shared" si="158"/>
        <v>13098.134435000005</v>
      </c>
      <c r="F127" s="3">
        <f t="shared" si="159"/>
        <v>14975.286233413482</v>
      </c>
      <c r="G127" s="3">
        <f t="shared" si="160"/>
        <v>13848.936551173661</v>
      </c>
      <c r="H127" s="3">
        <f t="shared" si="156"/>
        <v>10986.859363590464</v>
      </c>
      <c r="I127" s="3">
        <f t="shared" si="161"/>
        <v>14598.666885058601</v>
      </c>
      <c r="S127" s="1">
        <f t="shared" si="182"/>
        <v>112</v>
      </c>
      <c r="T127" s="9">
        <f t="shared" si="191"/>
        <v>0.05</v>
      </c>
      <c r="U127" s="3">
        <f t="shared" si="166"/>
        <v>15771.836862448246</v>
      </c>
      <c r="V127" s="6">
        <f t="shared" si="183"/>
        <v>111</v>
      </c>
      <c r="W127" s="3">
        <f t="shared" si="184"/>
        <v>11088.900000000001</v>
      </c>
      <c r="X127" s="3">
        <f t="shared" si="185"/>
        <v>11100</v>
      </c>
      <c r="Y127" s="3">
        <f t="shared" si="167"/>
        <v>11100</v>
      </c>
      <c r="Z127" s="9">
        <f t="shared" si="168"/>
        <v>5.7500000000000002E-2</v>
      </c>
      <c r="AA127" s="3">
        <f t="shared" si="169"/>
        <v>11312.750000000002</v>
      </c>
      <c r="AB127" s="3" t="str">
        <f t="shared" si="170"/>
        <v>nie</v>
      </c>
      <c r="AC127" s="3">
        <f t="shared" si="171"/>
        <v>77.699999999999989</v>
      </c>
      <c r="AD127" s="1">
        <f t="shared" si="192"/>
        <v>6</v>
      </c>
      <c r="AE127" s="1">
        <f t="shared" si="162"/>
        <v>4</v>
      </c>
      <c r="AF127" s="1">
        <f t="shared" si="162"/>
        <v>11</v>
      </c>
      <c r="AG127" s="1">
        <f t="shared" si="162"/>
        <v>13</v>
      </c>
      <c r="AH127" s="3">
        <f t="shared" si="148"/>
        <v>600</v>
      </c>
      <c r="AI127" s="9">
        <f t="shared" si="193"/>
        <v>1.2999999999999999E-2</v>
      </c>
      <c r="AJ127" s="3">
        <f t="shared" si="149"/>
        <v>602.6</v>
      </c>
      <c r="AK127" s="3">
        <f t="shared" si="194"/>
        <v>2.6000000000000227</v>
      </c>
      <c r="AL127" s="3">
        <f t="shared" si="165"/>
        <v>2800</v>
      </c>
      <c r="AM127" s="9">
        <f t="shared" si="163"/>
        <v>5.7500000000000002E-2</v>
      </c>
      <c r="AN127" s="3">
        <f t="shared" si="150"/>
        <v>2853.666666666667</v>
      </c>
      <c r="AO127" s="3">
        <f t="shared" si="164"/>
        <v>19.599999999999998</v>
      </c>
      <c r="AP127" s="3">
        <f t="shared" si="172"/>
        <v>0</v>
      </c>
      <c r="AQ127" s="3">
        <f t="shared" si="151"/>
        <v>0</v>
      </c>
      <c r="AR127" s="3">
        <f t="shared" si="152"/>
        <v>34.850000000005593</v>
      </c>
      <c r="AS127" s="1">
        <f t="shared" si="190"/>
        <v>0</v>
      </c>
      <c r="AT127" s="3">
        <f t="shared" si="173"/>
        <v>34.850000000005593</v>
      </c>
      <c r="AU127" s="1">
        <f t="shared" si="147"/>
        <v>0</v>
      </c>
      <c r="AV127" s="3">
        <f t="shared" si="153"/>
        <v>34.850000000005593</v>
      </c>
      <c r="AW127" s="3">
        <f t="shared" si="154"/>
        <v>14803.866666666676</v>
      </c>
      <c r="AX127" s="3">
        <f>MIN(IF(MOD(S127,12)=0,INDEX(IKE_oplata_wskaznik,MATCH(ROUNDUP(S127/12,0),IKE_oplata_rok,0)),0)*AW127,200)</f>
        <v>0</v>
      </c>
      <c r="AY127" s="3">
        <f t="shared" si="130"/>
        <v>125.51174000000003</v>
      </c>
      <c r="AZ127" s="3">
        <f t="shared" si="174"/>
        <v>14678.354926666676</v>
      </c>
      <c r="BA127" s="3">
        <f t="shared" si="131"/>
        <v>99.9</v>
      </c>
      <c r="BB127" s="3">
        <f t="shared" si="175"/>
        <v>893.75366666666855</v>
      </c>
      <c r="BC127" s="3">
        <f t="shared" si="176"/>
        <v>13684.701260000007</v>
      </c>
      <c r="BE127" s="6">
        <f t="shared" si="186"/>
        <v>100</v>
      </c>
      <c r="BF127" s="3">
        <f t="shared" si="187"/>
        <v>10000</v>
      </c>
      <c r="BG127" s="3">
        <f t="shared" si="188"/>
        <v>10000</v>
      </c>
      <c r="BH127" s="3">
        <f t="shared" si="189"/>
        <v>16209.434917978662</v>
      </c>
      <c r="BI127" s="9">
        <f t="shared" si="177"/>
        <v>6.0000000000000005E-2</v>
      </c>
      <c r="BJ127" s="3">
        <f t="shared" si="178"/>
        <v>16533.623616338235</v>
      </c>
      <c r="BK127" s="3" t="str">
        <f t="shared" si="179"/>
        <v>nie</v>
      </c>
      <c r="BL127" s="3">
        <f t="shared" si="136"/>
        <v>0</v>
      </c>
      <c r="BM127" s="3">
        <f t="shared" si="137"/>
        <v>0</v>
      </c>
      <c r="BN127" s="3">
        <f t="shared" si="138"/>
        <v>16533.623616338235</v>
      </c>
      <c r="BO127" s="3">
        <f>MIN(IF(MOD(S127,12)=0,INDEX(IKE_oplata_wskaznik,MATCH(ROUNDUP(S127/12,0),IKE_oplata_rok,0)),0)*BN127,200)</f>
        <v>0</v>
      </c>
      <c r="BP127" s="3">
        <f t="shared" si="139"/>
        <v>131.73976460591908</v>
      </c>
      <c r="BQ127" s="3">
        <f t="shared" si="140"/>
        <v>16401.883851732317</v>
      </c>
      <c r="BR127" s="3">
        <f t="shared" si="180"/>
        <v>200</v>
      </c>
      <c r="BS127" s="3">
        <f t="shared" si="181"/>
        <v>1203.3884871042646</v>
      </c>
      <c r="BT127" s="3">
        <f t="shared" si="141"/>
        <v>14998.495364628052</v>
      </c>
    </row>
    <row r="128" spans="2:72">
      <c r="B128" s="172"/>
      <c r="C128" s="1">
        <f t="shared" si="155"/>
        <v>94</v>
      </c>
      <c r="D128" s="3">
        <f t="shared" si="157"/>
        <v>14001.482976666672</v>
      </c>
      <c r="E128" s="3">
        <f t="shared" si="158"/>
        <v>13146.839060000004</v>
      </c>
      <c r="F128" s="3">
        <f t="shared" si="159"/>
        <v>15047.417930271702</v>
      </c>
      <c r="G128" s="3">
        <f t="shared" si="160"/>
        <v>13907.363225628818</v>
      </c>
      <c r="H128" s="3">
        <f t="shared" si="156"/>
        <v>10997.9835586961</v>
      </c>
      <c r="I128" s="3">
        <f t="shared" si="161"/>
        <v>14657.296069335944</v>
      </c>
      <c r="S128" s="1">
        <f t="shared" si="182"/>
        <v>113</v>
      </c>
      <c r="T128" s="9">
        <f t="shared" si="191"/>
        <v>0.05</v>
      </c>
      <c r="U128" s="3">
        <f t="shared" si="166"/>
        <v>15836.475538114018</v>
      </c>
      <c r="V128" s="6">
        <f t="shared" si="183"/>
        <v>111</v>
      </c>
      <c r="W128" s="3">
        <f t="shared" si="184"/>
        <v>11088.900000000001</v>
      </c>
      <c r="X128" s="3">
        <f t="shared" si="185"/>
        <v>11100</v>
      </c>
      <c r="Y128" s="3">
        <f t="shared" si="167"/>
        <v>11100</v>
      </c>
      <c r="Z128" s="9">
        <f t="shared" si="168"/>
        <v>5.7500000000000002E-2</v>
      </c>
      <c r="AA128" s="3">
        <f t="shared" si="169"/>
        <v>11365.9375</v>
      </c>
      <c r="AB128" s="3" t="str">
        <f t="shared" si="170"/>
        <v>nie</v>
      </c>
      <c r="AC128" s="3">
        <f t="shared" si="171"/>
        <v>77.699999999999989</v>
      </c>
      <c r="AD128" s="1">
        <f t="shared" si="192"/>
        <v>6</v>
      </c>
      <c r="AE128" s="1">
        <f t="shared" si="162"/>
        <v>4</v>
      </c>
      <c r="AF128" s="1">
        <f t="shared" si="162"/>
        <v>11</v>
      </c>
      <c r="AG128" s="1">
        <f t="shared" si="162"/>
        <v>13</v>
      </c>
      <c r="AH128" s="3">
        <f t="shared" si="148"/>
        <v>600</v>
      </c>
      <c r="AI128" s="9">
        <f t="shared" si="193"/>
        <v>1.2999999999999999E-2</v>
      </c>
      <c r="AJ128" s="3">
        <f t="shared" si="149"/>
        <v>603.25</v>
      </c>
      <c r="AK128" s="3">
        <f t="shared" si="194"/>
        <v>3.25</v>
      </c>
      <c r="AL128" s="3">
        <f t="shared" si="165"/>
        <v>2800</v>
      </c>
      <c r="AM128" s="9">
        <f t="shared" si="163"/>
        <v>5.7500000000000002E-2</v>
      </c>
      <c r="AN128" s="3">
        <f t="shared" si="150"/>
        <v>2867.083333333333</v>
      </c>
      <c r="AO128" s="3">
        <f t="shared" si="164"/>
        <v>19.599999999999998</v>
      </c>
      <c r="AP128" s="3">
        <f t="shared" si="172"/>
        <v>0</v>
      </c>
      <c r="AQ128" s="3">
        <f t="shared" si="151"/>
        <v>0</v>
      </c>
      <c r="AR128" s="3">
        <f t="shared" si="152"/>
        <v>34.850000000005593</v>
      </c>
      <c r="AS128" s="1">
        <f t="shared" si="190"/>
        <v>0</v>
      </c>
      <c r="AT128" s="3">
        <f t="shared" si="173"/>
        <v>34.850000000005593</v>
      </c>
      <c r="AU128" s="1">
        <f t="shared" si="147"/>
        <v>0</v>
      </c>
      <c r="AV128" s="3">
        <f t="shared" si="153"/>
        <v>34.850000000005593</v>
      </c>
      <c r="AW128" s="3">
        <f t="shared" si="154"/>
        <v>14871.120833333338</v>
      </c>
      <c r="AX128" s="3">
        <f>MIN(IF(MOD(S128,12)=0,INDEX(IKE_oplata_wskaznik,MATCH(ROUNDUP(S128/12,0),IKE_oplata_rok,0)),0)*AW128,200)</f>
        <v>0</v>
      </c>
      <c r="AY128" s="3">
        <f t="shared" si="130"/>
        <v>125.51174000000003</v>
      </c>
      <c r="AZ128" s="3">
        <f t="shared" si="174"/>
        <v>14745.609093333338</v>
      </c>
      <c r="BA128" s="3">
        <f t="shared" si="131"/>
        <v>100.54999999999998</v>
      </c>
      <c r="BB128" s="3">
        <f t="shared" si="175"/>
        <v>906.40845833333435</v>
      </c>
      <c r="BC128" s="3">
        <f t="shared" si="176"/>
        <v>13738.650635000004</v>
      </c>
      <c r="BE128" s="6">
        <f t="shared" si="186"/>
        <v>100</v>
      </c>
      <c r="BF128" s="3">
        <f t="shared" si="187"/>
        <v>10000</v>
      </c>
      <c r="BG128" s="3">
        <f t="shared" si="188"/>
        <v>10000</v>
      </c>
      <c r="BH128" s="3">
        <f t="shared" si="189"/>
        <v>16209.434917978662</v>
      </c>
      <c r="BI128" s="9">
        <f t="shared" si="177"/>
        <v>6.0000000000000005E-2</v>
      </c>
      <c r="BJ128" s="3">
        <f t="shared" si="178"/>
        <v>16614.670790928129</v>
      </c>
      <c r="BK128" s="3" t="str">
        <f t="shared" si="179"/>
        <v>nie</v>
      </c>
      <c r="BL128" s="3">
        <f t="shared" si="136"/>
        <v>0</v>
      </c>
      <c r="BM128" s="3">
        <f t="shared" si="137"/>
        <v>0</v>
      </c>
      <c r="BN128" s="3">
        <f t="shared" si="138"/>
        <v>16614.670790928129</v>
      </c>
      <c r="BO128" s="3">
        <f>MIN(IF(MOD(S128,12)=0,INDEX(IKE_oplata_wskaznik,MATCH(ROUNDUP(S128/12,0),IKE_oplata_rok,0)),0)*BN128,200)</f>
        <v>0</v>
      </c>
      <c r="BP128" s="3">
        <f t="shared" si="139"/>
        <v>131.73976460591908</v>
      </c>
      <c r="BQ128" s="3">
        <f t="shared" si="140"/>
        <v>16482.931026322211</v>
      </c>
      <c r="BR128" s="3">
        <f t="shared" si="180"/>
        <v>200</v>
      </c>
      <c r="BS128" s="3">
        <f t="shared" si="181"/>
        <v>1218.7874502763445</v>
      </c>
      <c r="BT128" s="3">
        <f t="shared" si="141"/>
        <v>15064.143576045866</v>
      </c>
    </row>
    <row r="129" spans="2:72">
      <c r="B129" s="173"/>
      <c r="C129" s="1">
        <f t="shared" si="155"/>
        <v>95</v>
      </c>
      <c r="D129" s="3">
        <f t="shared" si="157"/>
        <v>14061.612143333339</v>
      </c>
      <c r="E129" s="3">
        <f t="shared" si="158"/>
        <v>13195.543685000006</v>
      </c>
      <c r="F129" s="3">
        <f t="shared" si="159"/>
        <v>15119.549627129918</v>
      </c>
      <c r="G129" s="3">
        <f t="shared" si="160"/>
        <v>13965.789900083973</v>
      </c>
      <c r="H129" s="3">
        <f t="shared" si="156"/>
        <v>11009.119017049281</v>
      </c>
      <c r="I129" s="3">
        <f t="shared" si="161"/>
        <v>14715.925253613288</v>
      </c>
      <c r="S129" s="1">
        <f t="shared" si="182"/>
        <v>114</v>
      </c>
      <c r="T129" s="9">
        <f t="shared" si="191"/>
        <v>0.05</v>
      </c>
      <c r="U129" s="3">
        <f t="shared" si="166"/>
        <v>15901.114213779789</v>
      </c>
      <c r="V129" s="6">
        <f t="shared" si="183"/>
        <v>111</v>
      </c>
      <c r="W129" s="3">
        <f t="shared" si="184"/>
        <v>11088.900000000001</v>
      </c>
      <c r="X129" s="3">
        <f t="shared" si="185"/>
        <v>11100</v>
      </c>
      <c r="Y129" s="3">
        <f t="shared" si="167"/>
        <v>11100</v>
      </c>
      <c r="Z129" s="9">
        <f t="shared" si="168"/>
        <v>5.7500000000000002E-2</v>
      </c>
      <c r="AA129" s="3">
        <f t="shared" si="169"/>
        <v>11419.125</v>
      </c>
      <c r="AB129" s="3" t="str">
        <f t="shared" si="170"/>
        <v>nie</v>
      </c>
      <c r="AC129" s="3">
        <f t="shared" si="171"/>
        <v>77.699999999999989</v>
      </c>
      <c r="AD129" s="1">
        <f t="shared" si="192"/>
        <v>6</v>
      </c>
      <c r="AE129" s="1">
        <f t="shared" si="162"/>
        <v>4</v>
      </c>
      <c r="AF129" s="1">
        <f t="shared" si="162"/>
        <v>11</v>
      </c>
      <c r="AG129" s="1">
        <f t="shared" si="162"/>
        <v>13</v>
      </c>
      <c r="AH129" s="3">
        <f t="shared" si="148"/>
        <v>600</v>
      </c>
      <c r="AI129" s="9">
        <f t="shared" si="193"/>
        <v>1.2999999999999999E-2</v>
      </c>
      <c r="AJ129" s="3">
        <f t="shared" si="149"/>
        <v>603.9</v>
      </c>
      <c r="AK129" s="3">
        <f t="shared" si="194"/>
        <v>3.8999999999999773</v>
      </c>
      <c r="AL129" s="3">
        <f t="shared" si="165"/>
        <v>2800</v>
      </c>
      <c r="AM129" s="9">
        <f t="shared" si="163"/>
        <v>5.7500000000000002E-2</v>
      </c>
      <c r="AN129" s="3">
        <f t="shared" si="150"/>
        <v>2880.5</v>
      </c>
      <c r="AO129" s="3">
        <f t="shared" si="164"/>
        <v>19.599999999999998</v>
      </c>
      <c r="AP129" s="3">
        <f t="shared" si="172"/>
        <v>0</v>
      </c>
      <c r="AQ129" s="3">
        <f t="shared" si="151"/>
        <v>0</v>
      </c>
      <c r="AR129" s="3">
        <f t="shared" si="152"/>
        <v>34.850000000005593</v>
      </c>
      <c r="AS129" s="1">
        <f t="shared" si="190"/>
        <v>0</v>
      </c>
      <c r="AT129" s="3">
        <f t="shared" si="173"/>
        <v>34.850000000005593</v>
      </c>
      <c r="AU129" s="1">
        <f t="shared" si="147"/>
        <v>0</v>
      </c>
      <c r="AV129" s="3">
        <f t="shared" si="153"/>
        <v>34.850000000005593</v>
      </c>
      <c r="AW129" s="3">
        <f t="shared" si="154"/>
        <v>14938.375000000005</v>
      </c>
      <c r="AX129" s="3">
        <f>MIN(IF(MOD(S129,12)=0,INDEX(IKE_oplata_wskaznik,MATCH(ROUNDUP(S129/12,0),IKE_oplata_rok,0)),0)*AW129,200)</f>
        <v>0</v>
      </c>
      <c r="AY129" s="3">
        <f t="shared" si="130"/>
        <v>125.51174000000003</v>
      </c>
      <c r="AZ129" s="3">
        <f t="shared" si="174"/>
        <v>14812.863260000006</v>
      </c>
      <c r="BA129" s="3">
        <f t="shared" si="131"/>
        <v>101.19999999999996</v>
      </c>
      <c r="BB129" s="3">
        <f t="shared" si="175"/>
        <v>919.06325000000095</v>
      </c>
      <c r="BC129" s="3">
        <f t="shared" si="176"/>
        <v>13792.600010000004</v>
      </c>
      <c r="BE129" s="6">
        <f t="shared" si="186"/>
        <v>100</v>
      </c>
      <c r="BF129" s="3">
        <f t="shared" si="187"/>
        <v>10000</v>
      </c>
      <c r="BG129" s="3">
        <f t="shared" si="188"/>
        <v>10000</v>
      </c>
      <c r="BH129" s="3">
        <f t="shared" si="189"/>
        <v>16209.434917978662</v>
      </c>
      <c r="BI129" s="9">
        <f t="shared" si="177"/>
        <v>6.0000000000000005E-2</v>
      </c>
      <c r="BJ129" s="3">
        <f t="shared" si="178"/>
        <v>16695.717965518023</v>
      </c>
      <c r="BK129" s="3" t="str">
        <f t="shared" si="179"/>
        <v>nie</v>
      </c>
      <c r="BL129" s="3">
        <f t="shared" si="136"/>
        <v>0</v>
      </c>
      <c r="BM129" s="3">
        <f t="shared" si="137"/>
        <v>0</v>
      </c>
      <c r="BN129" s="3">
        <f t="shared" si="138"/>
        <v>16695.717965518023</v>
      </c>
      <c r="BO129" s="3">
        <f>MIN(IF(MOD(S129,12)=0,INDEX(IKE_oplata_wskaznik,MATCH(ROUNDUP(S129/12,0),IKE_oplata_rok,0)),0)*BN129,200)</f>
        <v>0</v>
      </c>
      <c r="BP129" s="3">
        <f t="shared" si="139"/>
        <v>131.73976460591908</v>
      </c>
      <c r="BQ129" s="3">
        <f t="shared" si="140"/>
        <v>16563.978200912105</v>
      </c>
      <c r="BR129" s="3">
        <f t="shared" si="180"/>
        <v>200</v>
      </c>
      <c r="BS129" s="3">
        <f t="shared" si="181"/>
        <v>1234.1864134484242</v>
      </c>
      <c r="BT129" s="3">
        <f t="shared" si="141"/>
        <v>15129.791787463681</v>
      </c>
    </row>
    <row r="130" spans="2:72">
      <c r="B130" s="171">
        <f>ROUNDUP(C131/12,0)</f>
        <v>9</v>
      </c>
      <c r="C130" s="4">
        <f t="shared" si="155"/>
        <v>96</v>
      </c>
      <c r="D130" s="12">
        <f t="shared" si="157"/>
        <v>14107.522810000008</v>
      </c>
      <c r="E130" s="12">
        <f t="shared" si="158"/>
        <v>13289.564810000007</v>
      </c>
      <c r="F130" s="12">
        <f t="shared" si="159"/>
        <v>15176.389404254192</v>
      </c>
      <c r="G130" s="12">
        <f t="shared" si="160"/>
        <v>14008.924654805187</v>
      </c>
      <c r="H130" s="12">
        <f t="shared" si="156"/>
        <v>11020.265750054044</v>
      </c>
      <c r="I130" s="12">
        <f t="shared" si="161"/>
        <v>14774.554437890631</v>
      </c>
      <c r="S130" s="1">
        <f t="shared" si="182"/>
        <v>115</v>
      </c>
      <c r="T130" s="9">
        <f t="shared" si="191"/>
        <v>0.05</v>
      </c>
      <c r="U130" s="3">
        <f t="shared" si="166"/>
        <v>15965.752889445561</v>
      </c>
      <c r="V130" s="6">
        <f t="shared" si="183"/>
        <v>111</v>
      </c>
      <c r="W130" s="3">
        <f t="shared" si="184"/>
        <v>11088.900000000001</v>
      </c>
      <c r="X130" s="3">
        <f t="shared" si="185"/>
        <v>11100</v>
      </c>
      <c r="Y130" s="3">
        <f t="shared" si="167"/>
        <v>11100</v>
      </c>
      <c r="Z130" s="9">
        <f t="shared" si="168"/>
        <v>5.7500000000000002E-2</v>
      </c>
      <c r="AA130" s="3">
        <f t="shared" si="169"/>
        <v>11472.312499999998</v>
      </c>
      <c r="AB130" s="3" t="str">
        <f t="shared" si="170"/>
        <v>nie</v>
      </c>
      <c r="AC130" s="3">
        <f t="shared" si="171"/>
        <v>77.699999999999989</v>
      </c>
      <c r="AD130" s="1">
        <f t="shared" si="192"/>
        <v>6</v>
      </c>
      <c r="AE130" s="1">
        <f t="shared" si="162"/>
        <v>4</v>
      </c>
      <c r="AF130" s="1">
        <f t="shared" si="162"/>
        <v>11</v>
      </c>
      <c r="AG130" s="1">
        <f t="shared" si="162"/>
        <v>13</v>
      </c>
      <c r="AH130" s="3">
        <f t="shared" si="148"/>
        <v>600</v>
      </c>
      <c r="AI130" s="9">
        <f t="shared" si="193"/>
        <v>1.2999999999999999E-2</v>
      </c>
      <c r="AJ130" s="3">
        <f t="shared" si="149"/>
        <v>604.54999999999995</v>
      </c>
      <c r="AK130" s="3">
        <f t="shared" si="194"/>
        <v>4.1999999999999993</v>
      </c>
      <c r="AL130" s="3">
        <f t="shared" si="165"/>
        <v>2800</v>
      </c>
      <c r="AM130" s="9">
        <f t="shared" si="163"/>
        <v>5.7500000000000002E-2</v>
      </c>
      <c r="AN130" s="3">
        <f t="shared" si="150"/>
        <v>2893.9166666666665</v>
      </c>
      <c r="AO130" s="3">
        <f t="shared" si="164"/>
        <v>19.599999999999998</v>
      </c>
      <c r="AP130" s="3">
        <f t="shared" si="172"/>
        <v>0</v>
      </c>
      <c r="AQ130" s="3">
        <f t="shared" si="151"/>
        <v>0</v>
      </c>
      <c r="AR130" s="3">
        <f t="shared" si="152"/>
        <v>34.850000000005593</v>
      </c>
      <c r="AS130" s="1">
        <f t="shared" si="190"/>
        <v>0</v>
      </c>
      <c r="AT130" s="3">
        <f t="shared" si="173"/>
        <v>34.850000000005593</v>
      </c>
      <c r="AU130" s="1">
        <f t="shared" si="147"/>
        <v>0</v>
      </c>
      <c r="AV130" s="3">
        <f t="shared" si="153"/>
        <v>34.850000000005593</v>
      </c>
      <c r="AW130" s="3">
        <f t="shared" si="154"/>
        <v>15005.629166666669</v>
      </c>
      <c r="AX130" s="3">
        <f>MIN(IF(MOD(S130,12)=0,INDEX(IKE_oplata_wskaznik,MATCH(ROUNDUP(S130/12,0),IKE_oplata_rok,0)),0)*AW130,200)</f>
        <v>0</v>
      </c>
      <c r="AY130" s="3">
        <f t="shared" si="130"/>
        <v>125.51174000000003</v>
      </c>
      <c r="AZ130" s="3">
        <f t="shared" si="174"/>
        <v>14880.117426666669</v>
      </c>
      <c r="BA130" s="3">
        <f t="shared" si="131"/>
        <v>101.49999999999999</v>
      </c>
      <c r="BB130" s="3">
        <f t="shared" si="175"/>
        <v>931.78454166666722</v>
      </c>
      <c r="BC130" s="3">
        <f t="shared" si="176"/>
        <v>13846.832885000002</v>
      </c>
      <c r="BE130" s="6">
        <f t="shared" si="186"/>
        <v>100</v>
      </c>
      <c r="BF130" s="3">
        <f t="shared" si="187"/>
        <v>10000</v>
      </c>
      <c r="BG130" s="3">
        <f t="shared" si="188"/>
        <v>10000</v>
      </c>
      <c r="BH130" s="3">
        <f t="shared" si="189"/>
        <v>16209.434917978662</v>
      </c>
      <c r="BI130" s="9">
        <f t="shared" si="177"/>
        <v>6.0000000000000005E-2</v>
      </c>
      <c r="BJ130" s="3">
        <f t="shared" si="178"/>
        <v>16776.765140107913</v>
      </c>
      <c r="BK130" s="3" t="str">
        <f t="shared" si="179"/>
        <v>nie</v>
      </c>
      <c r="BL130" s="3">
        <f t="shared" si="136"/>
        <v>0</v>
      </c>
      <c r="BM130" s="3">
        <f t="shared" si="137"/>
        <v>0</v>
      </c>
      <c r="BN130" s="3">
        <f t="shared" si="138"/>
        <v>16776.765140107913</v>
      </c>
      <c r="BO130" s="3">
        <f>MIN(IF(MOD(S130,12)=0,INDEX(IKE_oplata_wskaznik,MATCH(ROUNDUP(S130/12,0),IKE_oplata_rok,0)),0)*BN130,200)</f>
        <v>0</v>
      </c>
      <c r="BP130" s="3">
        <f t="shared" si="139"/>
        <v>131.73976460591908</v>
      </c>
      <c r="BQ130" s="3">
        <f t="shared" si="140"/>
        <v>16645.025375501995</v>
      </c>
      <c r="BR130" s="3">
        <f t="shared" si="180"/>
        <v>200</v>
      </c>
      <c r="BS130" s="3">
        <f t="shared" si="181"/>
        <v>1249.5853766205034</v>
      </c>
      <c r="BT130" s="3">
        <f t="shared" si="141"/>
        <v>15195.439998881491</v>
      </c>
    </row>
    <row r="131" spans="2:72">
      <c r="B131" s="172"/>
      <c r="C131" s="1">
        <f t="shared" ref="C131:C162" si="195">S112</f>
        <v>97</v>
      </c>
      <c r="D131" s="3">
        <f t="shared" si="157"/>
        <v>14144.218643333339</v>
      </c>
      <c r="E131" s="3">
        <f t="shared" si="158"/>
        <v>13310.331185000005</v>
      </c>
      <c r="F131" s="3">
        <f t="shared" si="159"/>
        <v>15252.849002923902</v>
      </c>
      <c r="G131" s="3">
        <f t="shared" si="160"/>
        <v>14070.856929727652</v>
      </c>
      <c r="H131" s="3">
        <f t="shared" ref="H131:H162" si="196">FV(INDEX(scenariusz_I_konto,MATCH(ROUNDUP(C131/12,0),scenariusz_I_rok,0))/12*(1-podatek_Belki),1,0,-H130,1)</f>
        <v>11031.423769125975</v>
      </c>
      <c r="I131" s="3">
        <f t="shared" si="161"/>
        <v>14836.115081381842</v>
      </c>
      <c r="S131" s="1">
        <f t="shared" si="182"/>
        <v>116</v>
      </c>
      <c r="T131" s="9">
        <f t="shared" si="191"/>
        <v>0.05</v>
      </c>
      <c r="U131" s="3">
        <f t="shared" si="166"/>
        <v>16030.391565111335</v>
      </c>
      <c r="V131" s="6">
        <f t="shared" si="183"/>
        <v>111</v>
      </c>
      <c r="W131" s="3">
        <f t="shared" si="184"/>
        <v>11088.900000000001</v>
      </c>
      <c r="X131" s="3">
        <f t="shared" si="185"/>
        <v>11100</v>
      </c>
      <c r="Y131" s="3">
        <f t="shared" si="167"/>
        <v>11100</v>
      </c>
      <c r="Z131" s="9">
        <f t="shared" si="168"/>
        <v>5.7500000000000002E-2</v>
      </c>
      <c r="AA131" s="3">
        <f t="shared" si="169"/>
        <v>11525.5</v>
      </c>
      <c r="AB131" s="3" t="str">
        <f t="shared" si="170"/>
        <v>nie</v>
      </c>
      <c r="AC131" s="3">
        <f t="shared" si="171"/>
        <v>77.699999999999989</v>
      </c>
      <c r="AD131" s="1">
        <f t="shared" si="192"/>
        <v>6</v>
      </c>
      <c r="AE131" s="1">
        <f t="shared" si="162"/>
        <v>4</v>
      </c>
      <c r="AF131" s="1">
        <f t="shared" si="162"/>
        <v>11</v>
      </c>
      <c r="AG131" s="1">
        <f t="shared" si="162"/>
        <v>13</v>
      </c>
      <c r="AH131" s="3">
        <f t="shared" si="148"/>
        <v>600</v>
      </c>
      <c r="AI131" s="9">
        <f t="shared" si="193"/>
        <v>1.2999999999999999E-2</v>
      </c>
      <c r="AJ131" s="3">
        <f t="shared" si="149"/>
        <v>605.19999999999993</v>
      </c>
      <c r="AK131" s="3">
        <f t="shared" si="194"/>
        <v>4.1999999999999993</v>
      </c>
      <c r="AL131" s="3">
        <f t="shared" si="165"/>
        <v>2800</v>
      </c>
      <c r="AM131" s="9">
        <f t="shared" si="163"/>
        <v>5.7500000000000002E-2</v>
      </c>
      <c r="AN131" s="3">
        <f t="shared" si="150"/>
        <v>2907.3333333333335</v>
      </c>
      <c r="AO131" s="3">
        <f t="shared" si="164"/>
        <v>19.599999999999998</v>
      </c>
      <c r="AP131" s="3">
        <f t="shared" si="172"/>
        <v>0</v>
      </c>
      <c r="AQ131" s="3">
        <f t="shared" si="151"/>
        <v>0</v>
      </c>
      <c r="AR131" s="3">
        <f t="shared" si="152"/>
        <v>34.850000000005593</v>
      </c>
      <c r="AS131" s="1">
        <f t="shared" si="190"/>
        <v>0</v>
      </c>
      <c r="AT131" s="3">
        <f t="shared" si="173"/>
        <v>34.850000000005593</v>
      </c>
      <c r="AU131" s="1">
        <f t="shared" si="147"/>
        <v>0</v>
      </c>
      <c r="AV131" s="3">
        <f t="shared" si="153"/>
        <v>34.850000000005593</v>
      </c>
      <c r="AW131" s="3">
        <f t="shared" si="154"/>
        <v>15072.88333333334</v>
      </c>
      <c r="AX131" s="3">
        <f>MIN(IF(MOD(S131,12)=0,INDEX(IKE_oplata_wskaznik,MATCH(ROUNDUP(S131/12,0),IKE_oplata_rok,0)),0)*AW131,200)</f>
        <v>0</v>
      </c>
      <c r="AY131" s="3">
        <f t="shared" si="130"/>
        <v>125.51174000000003</v>
      </c>
      <c r="AZ131" s="3">
        <f t="shared" si="174"/>
        <v>14947.371593333341</v>
      </c>
      <c r="BA131" s="3">
        <f t="shared" si="131"/>
        <v>101.49999999999999</v>
      </c>
      <c r="BB131" s="3">
        <f t="shared" si="175"/>
        <v>944.56283333333465</v>
      </c>
      <c r="BC131" s="3">
        <f t="shared" si="176"/>
        <v>13901.308760000005</v>
      </c>
      <c r="BE131" s="6">
        <f t="shared" si="186"/>
        <v>100</v>
      </c>
      <c r="BF131" s="3">
        <f t="shared" si="187"/>
        <v>10000</v>
      </c>
      <c r="BG131" s="3">
        <f t="shared" si="188"/>
        <v>10000</v>
      </c>
      <c r="BH131" s="3">
        <f t="shared" si="189"/>
        <v>16209.434917978662</v>
      </c>
      <c r="BI131" s="9">
        <f t="shared" si="177"/>
        <v>6.0000000000000005E-2</v>
      </c>
      <c r="BJ131" s="3">
        <f t="shared" si="178"/>
        <v>16857.812314697811</v>
      </c>
      <c r="BK131" s="3" t="str">
        <f t="shared" si="179"/>
        <v>nie</v>
      </c>
      <c r="BL131" s="3">
        <f t="shared" si="136"/>
        <v>0</v>
      </c>
      <c r="BM131" s="3">
        <f t="shared" si="137"/>
        <v>0</v>
      </c>
      <c r="BN131" s="3">
        <f t="shared" si="138"/>
        <v>16857.812314697811</v>
      </c>
      <c r="BO131" s="3">
        <f>MIN(IF(MOD(S131,12)=0,INDEX(IKE_oplata_wskaznik,MATCH(ROUNDUP(S131/12,0),IKE_oplata_rok,0)),0)*BN131,200)</f>
        <v>0</v>
      </c>
      <c r="BP131" s="3">
        <f t="shared" si="139"/>
        <v>131.73976460591908</v>
      </c>
      <c r="BQ131" s="3">
        <f t="shared" si="140"/>
        <v>16726.072550091892</v>
      </c>
      <c r="BR131" s="3">
        <f t="shared" si="180"/>
        <v>200</v>
      </c>
      <c r="BS131" s="3">
        <f t="shared" si="181"/>
        <v>1264.984339792584</v>
      </c>
      <c r="BT131" s="3">
        <f t="shared" si="141"/>
        <v>15261.088210299309</v>
      </c>
    </row>
    <row r="132" spans="2:72">
      <c r="B132" s="172"/>
      <c r="C132" s="1">
        <f t="shared" si="195"/>
        <v>98</v>
      </c>
      <c r="D132" s="3">
        <f t="shared" si="157"/>
        <v>14169.614476666673</v>
      </c>
      <c r="E132" s="3">
        <f t="shared" si="158"/>
        <v>13320.810560000005</v>
      </c>
      <c r="F132" s="3">
        <f t="shared" si="159"/>
        <v>15329.308601593613</v>
      </c>
      <c r="G132" s="3">
        <f t="shared" si="160"/>
        <v>14132.789204650118</v>
      </c>
      <c r="H132" s="3">
        <f t="shared" si="196"/>
        <v>11042.593085692217</v>
      </c>
      <c r="I132" s="3">
        <f t="shared" si="161"/>
        <v>14897.675724873052</v>
      </c>
      <c r="S132" s="1">
        <f t="shared" si="182"/>
        <v>117</v>
      </c>
      <c r="T132" s="9">
        <f t="shared" si="191"/>
        <v>0.05</v>
      </c>
      <c r="U132" s="3">
        <f t="shared" si="166"/>
        <v>16095.030240777107</v>
      </c>
      <c r="V132" s="6">
        <f t="shared" si="183"/>
        <v>111</v>
      </c>
      <c r="W132" s="3">
        <f t="shared" si="184"/>
        <v>11088.900000000001</v>
      </c>
      <c r="X132" s="3">
        <f t="shared" si="185"/>
        <v>11100</v>
      </c>
      <c r="Y132" s="3">
        <f t="shared" si="167"/>
        <v>11100</v>
      </c>
      <c r="Z132" s="9">
        <f t="shared" si="168"/>
        <v>5.7500000000000002E-2</v>
      </c>
      <c r="AA132" s="3">
        <f t="shared" si="169"/>
        <v>11578.6875</v>
      </c>
      <c r="AB132" s="3" t="str">
        <f t="shared" si="170"/>
        <v>nie</v>
      </c>
      <c r="AC132" s="3">
        <f t="shared" si="171"/>
        <v>77.699999999999989</v>
      </c>
      <c r="AD132" s="1">
        <f t="shared" si="192"/>
        <v>6</v>
      </c>
      <c r="AE132" s="1">
        <f t="shared" si="162"/>
        <v>4</v>
      </c>
      <c r="AF132" s="1">
        <f t="shared" si="162"/>
        <v>11</v>
      </c>
      <c r="AG132" s="1">
        <f t="shared" si="162"/>
        <v>13</v>
      </c>
      <c r="AH132" s="3">
        <f t="shared" si="148"/>
        <v>600</v>
      </c>
      <c r="AI132" s="9">
        <f t="shared" si="193"/>
        <v>1.2999999999999999E-2</v>
      </c>
      <c r="AJ132" s="3">
        <f t="shared" si="149"/>
        <v>605.84999999999991</v>
      </c>
      <c r="AK132" s="3">
        <f t="shared" si="194"/>
        <v>4.1999999999999993</v>
      </c>
      <c r="AL132" s="3">
        <f t="shared" si="165"/>
        <v>2800</v>
      </c>
      <c r="AM132" s="9">
        <f t="shared" si="163"/>
        <v>5.7500000000000002E-2</v>
      </c>
      <c r="AN132" s="3">
        <f t="shared" si="150"/>
        <v>2920.75</v>
      </c>
      <c r="AO132" s="3">
        <f t="shared" si="164"/>
        <v>19.599999999999998</v>
      </c>
      <c r="AP132" s="3">
        <f t="shared" si="172"/>
        <v>0</v>
      </c>
      <c r="AQ132" s="3">
        <f t="shared" si="151"/>
        <v>0</v>
      </c>
      <c r="AR132" s="3">
        <f t="shared" si="152"/>
        <v>34.850000000005593</v>
      </c>
      <c r="AS132" s="1">
        <f t="shared" si="190"/>
        <v>0</v>
      </c>
      <c r="AT132" s="3">
        <f t="shared" si="173"/>
        <v>34.850000000005593</v>
      </c>
      <c r="AU132" s="1">
        <f t="shared" si="147"/>
        <v>0</v>
      </c>
      <c r="AV132" s="3">
        <f t="shared" si="153"/>
        <v>34.850000000005593</v>
      </c>
      <c r="AW132" s="3">
        <f t="shared" si="154"/>
        <v>15140.137500000006</v>
      </c>
      <c r="AX132" s="3">
        <f>MIN(IF(MOD(S132,12)=0,INDEX(IKE_oplata_wskaznik,MATCH(ROUNDUP(S132/12,0),IKE_oplata_rok,0)),0)*AW132,200)</f>
        <v>0</v>
      </c>
      <c r="AY132" s="3">
        <f t="shared" si="130"/>
        <v>125.51174000000003</v>
      </c>
      <c r="AZ132" s="3">
        <f t="shared" si="174"/>
        <v>15014.625760000006</v>
      </c>
      <c r="BA132" s="3">
        <f t="shared" si="131"/>
        <v>101.49999999999999</v>
      </c>
      <c r="BB132" s="3">
        <f t="shared" si="175"/>
        <v>957.34112500000117</v>
      </c>
      <c r="BC132" s="3">
        <f t="shared" si="176"/>
        <v>13955.784635000005</v>
      </c>
      <c r="BE132" s="6">
        <f t="shared" si="186"/>
        <v>100</v>
      </c>
      <c r="BF132" s="3">
        <f t="shared" si="187"/>
        <v>10000</v>
      </c>
      <c r="BG132" s="3">
        <f t="shared" si="188"/>
        <v>10000</v>
      </c>
      <c r="BH132" s="3">
        <f t="shared" si="189"/>
        <v>16209.434917978662</v>
      </c>
      <c r="BI132" s="9">
        <f t="shared" si="177"/>
        <v>6.0000000000000005E-2</v>
      </c>
      <c r="BJ132" s="3">
        <f t="shared" si="178"/>
        <v>16938.859489287701</v>
      </c>
      <c r="BK132" s="3" t="str">
        <f t="shared" si="179"/>
        <v>nie</v>
      </c>
      <c r="BL132" s="3">
        <f t="shared" si="136"/>
        <v>0</v>
      </c>
      <c r="BM132" s="3">
        <f t="shared" si="137"/>
        <v>0</v>
      </c>
      <c r="BN132" s="3">
        <f t="shared" si="138"/>
        <v>16938.859489287701</v>
      </c>
      <c r="BO132" s="3">
        <f>MIN(IF(MOD(S132,12)=0,INDEX(IKE_oplata_wskaznik,MATCH(ROUNDUP(S132/12,0),IKE_oplata_rok,0)),0)*BN132,200)</f>
        <v>0</v>
      </c>
      <c r="BP132" s="3">
        <f t="shared" si="139"/>
        <v>131.73976460591908</v>
      </c>
      <c r="BQ132" s="3">
        <f t="shared" si="140"/>
        <v>16807.119724681783</v>
      </c>
      <c r="BR132" s="3">
        <f t="shared" si="180"/>
        <v>200</v>
      </c>
      <c r="BS132" s="3">
        <f t="shared" si="181"/>
        <v>1280.3833029646632</v>
      </c>
      <c r="BT132" s="3">
        <f t="shared" si="141"/>
        <v>15326.73642171712</v>
      </c>
    </row>
    <row r="133" spans="2:72">
      <c r="B133" s="172"/>
      <c r="C133" s="1">
        <f t="shared" si="195"/>
        <v>99</v>
      </c>
      <c r="D133" s="3">
        <f t="shared" si="157"/>
        <v>14195.010310000005</v>
      </c>
      <c r="E133" s="3">
        <f t="shared" si="158"/>
        <v>13331.289935000004</v>
      </c>
      <c r="F133" s="3">
        <f t="shared" si="159"/>
        <v>15405.768200263323</v>
      </c>
      <c r="G133" s="3">
        <f t="shared" si="160"/>
        <v>14194.721479572583</v>
      </c>
      <c r="H133" s="3">
        <f t="shared" si="196"/>
        <v>11053.773711191481</v>
      </c>
      <c r="I133" s="3">
        <f t="shared" si="161"/>
        <v>14959.236368364263</v>
      </c>
      <c r="S133" s="1">
        <f t="shared" si="182"/>
        <v>118</v>
      </c>
      <c r="T133" s="9">
        <f t="shared" si="191"/>
        <v>0.05</v>
      </c>
      <c r="U133" s="3">
        <f t="shared" si="166"/>
        <v>16159.668916442877</v>
      </c>
      <c r="V133" s="6">
        <f t="shared" si="183"/>
        <v>111</v>
      </c>
      <c r="W133" s="3">
        <f t="shared" si="184"/>
        <v>11088.900000000001</v>
      </c>
      <c r="X133" s="3">
        <f t="shared" si="185"/>
        <v>11100</v>
      </c>
      <c r="Y133" s="3">
        <f t="shared" si="167"/>
        <v>11100</v>
      </c>
      <c r="Z133" s="9">
        <f t="shared" si="168"/>
        <v>5.7500000000000002E-2</v>
      </c>
      <c r="AA133" s="3">
        <f t="shared" si="169"/>
        <v>11631.875</v>
      </c>
      <c r="AB133" s="3" t="str">
        <f t="shared" si="170"/>
        <v>nie</v>
      </c>
      <c r="AC133" s="3">
        <f t="shared" si="171"/>
        <v>77.699999999999989</v>
      </c>
      <c r="AD133" s="1">
        <f t="shared" si="192"/>
        <v>6</v>
      </c>
      <c r="AE133" s="1">
        <f t="shared" si="162"/>
        <v>4</v>
      </c>
      <c r="AF133" s="1">
        <f t="shared" si="162"/>
        <v>11</v>
      </c>
      <c r="AG133" s="1">
        <f t="shared" si="162"/>
        <v>13</v>
      </c>
      <c r="AH133" s="3">
        <f t="shared" si="148"/>
        <v>600</v>
      </c>
      <c r="AI133" s="9">
        <f t="shared" si="193"/>
        <v>1.2999999999999999E-2</v>
      </c>
      <c r="AJ133" s="3">
        <f t="shared" si="149"/>
        <v>606.5</v>
      </c>
      <c r="AK133" s="3">
        <f t="shared" si="194"/>
        <v>4.1999999999999993</v>
      </c>
      <c r="AL133" s="3">
        <f t="shared" si="165"/>
        <v>2800</v>
      </c>
      <c r="AM133" s="9">
        <f t="shared" si="163"/>
        <v>5.7500000000000002E-2</v>
      </c>
      <c r="AN133" s="3">
        <f t="shared" si="150"/>
        <v>2934.1666666666665</v>
      </c>
      <c r="AO133" s="3">
        <f t="shared" si="164"/>
        <v>19.599999999999998</v>
      </c>
      <c r="AP133" s="3">
        <f t="shared" si="172"/>
        <v>0</v>
      </c>
      <c r="AQ133" s="3">
        <f t="shared" si="151"/>
        <v>0</v>
      </c>
      <c r="AR133" s="3">
        <f t="shared" si="152"/>
        <v>34.850000000005593</v>
      </c>
      <c r="AS133" s="1">
        <f t="shared" si="190"/>
        <v>0</v>
      </c>
      <c r="AT133" s="3">
        <f t="shared" si="173"/>
        <v>34.850000000005593</v>
      </c>
      <c r="AU133" s="1">
        <f t="shared" si="147"/>
        <v>0</v>
      </c>
      <c r="AV133" s="3">
        <f t="shared" si="153"/>
        <v>34.850000000005593</v>
      </c>
      <c r="AW133" s="3">
        <f t="shared" si="154"/>
        <v>15207.391666666672</v>
      </c>
      <c r="AX133" s="3">
        <f>MIN(IF(MOD(S133,12)=0,INDEX(IKE_oplata_wskaznik,MATCH(ROUNDUP(S133/12,0),IKE_oplata_rok,0)),0)*AW133,200)</f>
        <v>0</v>
      </c>
      <c r="AY133" s="3">
        <f t="shared" si="130"/>
        <v>125.51174000000003</v>
      </c>
      <c r="AZ133" s="3">
        <f t="shared" si="174"/>
        <v>15081.879926666672</v>
      </c>
      <c r="BA133" s="3">
        <f t="shared" si="131"/>
        <v>101.49999999999999</v>
      </c>
      <c r="BB133" s="3">
        <f t="shared" si="175"/>
        <v>970.11941666666769</v>
      </c>
      <c r="BC133" s="3">
        <f t="shared" si="176"/>
        <v>14010.260510000004</v>
      </c>
      <c r="BE133" s="6">
        <f t="shared" si="186"/>
        <v>100</v>
      </c>
      <c r="BF133" s="3">
        <f t="shared" si="187"/>
        <v>10000</v>
      </c>
      <c r="BG133" s="3">
        <f t="shared" si="188"/>
        <v>10000</v>
      </c>
      <c r="BH133" s="3">
        <f t="shared" si="189"/>
        <v>16209.434917978662</v>
      </c>
      <c r="BI133" s="9">
        <f t="shared" si="177"/>
        <v>6.0000000000000005E-2</v>
      </c>
      <c r="BJ133" s="3">
        <f t="shared" si="178"/>
        <v>17019.906663877595</v>
      </c>
      <c r="BK133" s="3" t="str">
        <f t="shared" si="179"/>
        <v>nie</v>
      </c>
      <c r="BL133" s="3">
        <f t="shared" si="136"/>
        <v>0</v>
      </c>
      <c r="BM133" s="3">
        <f t="shared" si="137"/>
        <v>0</v>
      </c>
      <c r="BN133" s="3">
        <f t="shared" si="138"/>
        <v>17019.906663877595</v>
      </c>
      <c r="BO133" s="3">
        <f>MIN(IF(MOD(S133,12)=0,INDEX(IKE_oplata_wskaznik,MATCH(ROUNDUP(S133/12,0),IKE_oplata_rok,0)),0)*BN133,200)</f>
        <v>0</v>
      </c>
      <c r="BP133" s="3">
        <f t="shared" si="139"/>
        <v>131.73976460591908</v>
      </c>
      <c r="BQ133" s="3">
        <f t="shared" si="140"/>
        <v>16888.166899271677</v>
      </c>
      <c r="BR133" s="3">
        <f t="shared" si="180"/>
        <v>200</v>
      </c>
      <c r="BS133" s="3">
        <f t="shared" si="181"/>
        <v>1295.7822661367431</v>
      </c>
      <c r="BT133" s="3">
        <f t="shared" si="141"/>
        <v>15392.384633134934</v>
      </c>
    </row>
    <row r="134" spans="2:72">
      <c r="B134" s="172"/>
      <c r="C134" s="1">
        <f t="shared" si="195"/>
        <v>100</v>
      </c>
      <c r="D134" s="3">
        <f t="shared" si="157"/>
        <v>14220.406143333341</v>
      </c>
      <c r="E134" s="3">
        <f t="shared" si="158"/>
        <v>13341.769310000005</v>
      </c>
      <c r="F134" s="3">
        <f t="shared" si="159"/>
        <v>15482.227798933036</v>
      </c>
      <c r="G134" s="3">
        <f t="shared" si="160"/>
        <v>14256.65375449505</v>
      </c>
      <c r="H134" s="3">
        <f t="shared" si="196"/>
        <v>11064.965657074063</v>
      </c>
      <c r="I134" s="3">
        <f t="shared" si="161"/>
        <v>15020.797011855473</v>
      </c>
      <c r="S134" s="1">
        <f t="shared" si="182"/>
        <v>119</v>
      </c>
      <c r="T134" s="9">
        <f t="shared" si="191"/>
        <v>0.05</v>
      </c>
      <c r="U134" s="3">
        <f t="shared" si="166"/>
        <v>16224.307592108649</v>
      </c>
      <c r="V134" s="6">
        <f t="shared" si="183"/>
        <v>111</v>
      </c>
      <c r="W134" s="3">
        <f t="shared" si="184"/>
        <v>11088.900000000001</v>
      </c>
      <c r="X134" s="3">
        <f t="shared" si="185"/>
        <v>11100</v>
      </c>
      <c r="Y134" s="3">
        <f t="shared" si="167"/>
        <v>11100</v>
      </c>
      <c r="Z134" s="9">
        <f t="shared" si="168"/>
        <v>5.7500000000000002E-2</v>
      </c>
      <c r="AA134" s="3">
        <f t="shared" si="169"/>
        <v>11685.0625</v>
      </c>
      <c r="AB134" s="3" t="str">
        <f t="shared" si="170"/>
        <v>nie</v>
      </c>
      <c r="AC134" s="3">
        <f t="shared" si="171"/>
        <v>77.699999999999989</v>
      </c>
      <c r="AD134" s="1">
        <f t="shared" si="192"/>
        <v>6</v>
      </c>
      <c r="AE134" s="1">
        <f t="shared" si="162"/>
        <v>4</v>
      </c>
      <c r="AF134" s="1">
        <f t="shared" si="162"/>
        <v>11</v>
      </c>
      <c r="AG134" s="1">
        <f t="shared" si="162"/>
        <v>13</v>
      </c>
      <c r="AH134" s="3">
        <f t="shared" si="148"/>
        <v>600</v>
      </c>
      <c r="AI134" s="9">
        <f t="shared" si="193"/>
        <v>1.2999999999999999E-2</v>
      </c>
      <c r="AJ134" s="3">
        <f t="shared" si="149"/>
        <v>607.15</v>
      </c>
      <c r="AK134" s="3">
        <f t="shared" si="194"/>
        <v>4.1999999999999993</v>
      </c>
      <c r="AL134" s="3">
        <f t="shared" si="165"/>
        <v>2800</v>
      </c>
      <c r="AM134" s="9">
        <f t="shared" si="163"/>
        <v>5.7500000000000002E-2</v>
      </c>
      <c r="AN134" s="3">
        <f t="shared" si="150"/>
        <v>2947.5833333333335</v>
      </c>
      <c r="AO134" s="3">
        <f t="shared" si="164"/>
        <v>19.599999999999998</v>
      </c>
      <c r="AP134" s="3">
        <f t="shared" si="172"/>
        <v>0</v>
      </c>
      <c r="AQ134" s="3">
        <f t="shared" si="151"/>
        <v>0</v>
      </c>
      <c r="AR134" s="3">
        <f t="shared" si="152"/>
        <v>34.850000000005593</v>
      </c>
      <c r="AS134" s="1">
        <f t="shared" si="190"/>
        <v>0</v>
      </c>
      <c r="AT134" s="3">
        <f t="shared" si="173"/>
        <v>34.850000000005593</v>
      </c>
      <c r="AU134" s="1">
        <f t="shared" si="147"/>
        <v>0</v>
      </c>
      <c r="AV134" s="3">
        <f t="shared" si="153"/>
        <v>34.850000000005593</v>
      </c>
      <c r="AW134" s="3">
        <f t="shared" si="154"/>
        <v>15274.645833333339</v>
      </c>
      <c r="AX134" s="3">
        <f>MIN(IF(MOD(S134,12)=0,INDEX(IKE_oplata_wskaznik,MATCH(ROUNDUP(S134/12,0),IKE_oplata_rok,0)),0)*AW134,200)</f>
        <v>0</v>
      </c>
      <c r="AY134" s="3">
        <f t="shared" si="130"/>
        <v>125.51174000000003</v>
      </c>
      <c r="AZ134" s="3">
        <f t="shared" si="174"/>
        <v>15149.134093333339</v>
      </c>
      <c r="BA134" s="3">
        <f t="shared" si="131"/>
        <v>101.49999999999999</v>
      </c>
      <c r="BB134" s="3">
        <f t="shared" si="175"/>
        <v>982.89770833333455</v>
      </c>
      <c r="BC134" s="3">
        <f t="shared" si="176"/>
        <v>14064.736385000006</v>
      </c>
      <c r="BE134" s="6">
        <f t="shared" si="186"/>
        <v>100</v>
      </c>
      <c r="BF134" s="3">
        <f t="shared" si="187"/>
        <v>10000</v>
      </c>
      <c r="BG134" s="3">
        <f t="shared" si="188"/>
        <v>10000</v>
      </c>
      <c r="BH134" s="3">
        <f t="shared" si="189"/>
        <v>16209.434917978662</v>
      </c>
      <c r="BI134" s="9">
        <f t="shared" si="177"/>
        <v>6.0000000000000005E-2</v>
      </c>
      <c r="BJ134" s="3">
        <f t="shared" si="178"/>
        <v>17100.953838467489</v>
      </c>
      <c r="BK134" s="3" t="str">
        <f t="shared" si="179"/>
        <v>nie</v>
      </c>
      <c r="BL134" s="3">
        <f t="shared" si="136"/>
        <v>0</v>
      </c>
      <c r="BM134" s="3">
        <f t="shared" si="137"/>
        <v>0</v>
      </c>
      <c r="BN134" s="3">
        <f t="shared" si="138"/>
        <v>17100.953838467489</v>
      </c>
      <c r="BO134" s="3">
        <f>MIN(IF(MOD(S134,12)=0,INDEX(IKE_oplata_wskaznik,MATCH(ROUNDUP(S134/12,0),IKE_oplata_rok,0)),0)*BN134,200)</f>
        <v>0</v>
      </c>
      <c r="BP134" s="3">
        <f t="shared" si="139"/>
        <v>131.73976460591908</v>
      </c>
      <c r="BQ134" s="3">
        <f t="shared" si="140"/>
        <v>16969.214073861571</v>
      </c>
      <c r="BR134" s="3">
        <f t="shared" si="180"/>
        <v>200</v>
      </c>
      <c r="BS134" s="3">
        <f t="shared" si="181"/>
        <v>1311.1812293088228</v>
      </c>
      <c r="BT134" s="3">
        <f t="shared" si="141"/>
        <v>15458.032844552748</v>
      </c>
    </row>
    <row r="135" spans="2:72">
      <c r="B135" s="172"/>
      <c r="C135" s="1">
        <f t="shared" si="195"/>
        <v>101</v>
      </c>
      <c r="D135" s="3">
        <f t="shared" si="157"/>
        <v>14245.801976666673</v>
      </c>
      <c r="E135" s="3">
        <f t="shared" si="158"/>
        <v>13352.248685000004</v>
      </c>
      <c r="F135" s="3">
        <f t="shared" si="159"/>
        <v>15558.687397602744</v>
      </c>
      <c r="G135" s="3">
        <f t="shared" si="160"/>
        <v>14318.586029417515</v>
      </c>
      <c r="H135" s="3">
        <f t="shared" si="196"/>
        <v>11076.168934801852</v>
      </c>
      <c r="I135" s="3">
        <f t="shared" si="161"/>
        <v>15082.357655346685</v>
      </c>
      <c r="S135" s="1">
        <f t="shared" si="182"/>
        <v>120</v>
      </c>
      <c r="T135" s="9">
        <f t="shared" si="191"/>
        <v>0.05</v>
      </c>
      <c r="U135" s="3">
        <f t="shared" si="166"/>
        <v>16288.94626777442</v>
      </c>
      <c r="V135" s="6">
        <f t="shared" si="183"/>
        <v>111</v>
      </c>
      <c r="W135" s="3">
        <f t="shared" si="184"/>
        <v>11088.900000000001</v>
      </c>
      <c r="X135" s="3">
        <f t="shared" si="185"/>
        <v>11100</v>
      </c>
      <c r="Y135" s="3">
        <f t="shared" si="167"/>
        <v>11100</v>
      </c>
      <c r="Z135" s="9">
        <f t="shared" si="168"/>
        <v>5.7500000000000002E-2</v>
      </c>
      <c r="AA135" s="3">
        <f t="shared" si="169"/>
        <v>11738.250000000002</v>
      </c>
      <c r="AB135" s="3" t="str">
        <f t="shared" si="170"/>
        <v>nie</v>
      </c>
      <c r="AC135" s="3">
        <f t="shared" si="171"/>
        <v>77.699999999999989</v>
      </c>
      <c r="AD135" s="1">
        <f t="shared" si="192"/>
        <v>6</v>
      </c>
      <c r="AE135" s="1">
        <f t="shared" si="162"/>
        <v>4</v>
      </c>
      <c r="AF135" s="1">
        <f t="shared" si="162"/>
        <v>11</v>
      </c>
      <c r="AG135" s="1">
        <f t="shared" si="162"/>
        <v>13</v>
      </c>
      <c r="AH135" s="3">
        <f t="shared" si="148"/>
        <v>600</v>
      </c>
      <c r="AI135" s="9">
        <f t="shared" si="193"/>
        <v>1.2999999999999999E-2</v>
      </c>
      <c r="AJ135" s="3">
        <f t="shared" si="149"/>
        <v>607.79999999999995</v>
      </c>
      <c r="AK135" s="3">
        <f t="shared" si="194"/>
        <v>4.1999999999999993</v>
      </c>
      <c r="AL135" s="3">
        <f t="shared" si="165"/>
        <v>2800</v>
      </c>
      <c r="AM135" s="9">
        <f t="shared" si="163"/>
        <v>5.7500000000000002E-2</v>
      </c>
      <c r="AN135" s="3">
        <f t="shared" si="150"/>
        <v>2961.0000000000005</v>
      </c>
      <c r="AO135" s="3">
        <f t="shared" si="164"/>
        <v>19.599999999999998</v>
      </c>
      <c r="AP135" s="3">
        <f t="shared" si="172"/>
        <v>638.25000000000182</v>
      </c>
      <c r="AQ135" s="3">
        <f t="shared" si="151"/>
        <v>1468.8000000000002</v>
      </c>
      <c r="AR135" s="3">
        <f t="shared" si="152"/>
        <v>2141.9000000000078</v>
      </c>
      <c r="AS135" s="1">
        <f t="shared" si="190"/>
        <v>13</v>
      </c>
      <c r="AT135" s="3">
        <f t="shared" si="173"/>
        <v>843.20000000000778</v>
      </c>
      <c r="AU135" s="1">
        <f t="shared" si="147"/>
        <v>8</v>
      </c>
      <c r="AV135" s="3">
        <f t="shared" si="153"/>
        <v>43.200000000007776</v>
      </c>
      <c r="AW135" s="3">
        <f t="shared" si="154"/>
        <v>15341.900000000007</v>
      </c>
      <c r="AX135" s="3">
        <f>MIN(IF(MOD(S135,12)=0,INDEX(IKE_oplata_wskaznik,MATCH(ROUNDUP(S135/12,0),IKE_oplata_rok,0)),0)*AW135,200)</f>
        <v>15.341900000000008</v>
      </c>
      <c r="AY135" s="3">
        <f t="shared" si="130"/>
        <v>140.85364000000004</v>
      </c>
      <c r="AZ135" s="3">
        <f t="shared" si="174"/>
        <v>15201.046360000008</v>
      </c>
      <c r="BA135" s="3">
        <f t="shared" si="131"/>
        <v>101.49999999999999</v>
      </c>
      <c r="BB135" s="3">
        <f t="shared" si="175"/>
        <v>995.6760000000013</v>
      </c>
      <c r="BC135" s="3">
        <f t="shared" si="176"/>
        <v>14103.870360000006</v>
      </c>
      <c r="BE135" s="6">
        <f t="shared" si="186"/>
        <v>100</v>
      </c>
      <c r="BF135" s="3">
        <f t="shared" si="187"/>
        <v>10000</v>
      </c>
      <c r="BG135" s="3">
        <f t="shared" si="188"/>
        <v>10000</v>
      </c>
      <c r="BH135" s="3">
        <f t="shared" si="189"/>
        <v>16209.434917978662</v>
      </c>
      <c r="BI135" s="9">
        <f t="shared" si="177"/>
        <v>6.0000000000000005E-2</v>
      </c>
      <c r="BJ135" s="3">
        <f t="shared" si="178"/>
        <v>17182.001013057383</v>
      </c>
      <c r="BK135" s="3" t="str">
        <f t="shared" si="179"/>
        <v>tak</v>
      </c>
      <c r="BL135" s="3">
        <f t="shared" si="136"/>
        <v>99.101013057381351</v>
      </c>
      <c r="BM135" s="3">
        <f t="shared" si="137"/>
        <v>99.101013057381351</v>
      </c>
      <c r="BN135" s="3">
        <f t="shared" si="138"/>
        <v>17182.001013057383</v>
      </c>
      <c r="BO135" s="3">
        <f>MIN(IF(MOD(S135,12)=0,INDEX(IKE_oplata_wskaznik,MATCH(ROUNDUP(S135/12,0),IKE_oplata_rok,0)),0)*BN135,200)</f>
        <v>17.182001013057384</v>
      </c>
      <c r="BP135" s="3">
        <f t="shared" si="139"/>
        <v>148.92176561897645</v>
      </c>
      <c r="BQ135" s="3">
        <f t="shared" si="140"/>
        <v>17033.079247438407</v>
      </c>
      <c r="BR135" s="3">
        <f t="shared" si="180"/>
        <v>0</v>
      </c>
      <c r="BS135" s="3">
        <f t="shared" si="181"/>
        <v>1364.5801924809027</v>
      </c>
      <c r="BT135" s="3">
        <f t="shared" si="141"/>
        <v>15668.499054957505</v>
      </c>
    </row>
    <row r="136" spans="2:72">
      <c r="B136" s="172"/>
      <c r="C136" s="1">
        <f t="shared" si="195"/>
        <v>102</v>
      </c>
      <c r="D136" s="3">
        <f t="shared" si="157"/>
        <v>14271.197810000007</v>
      </c>
      <c r="E136" s="3">
        <f t="shared" si="158"/>
        <v>13362.728060000007</v>
      </c>
      <c r="F136" s="3">
        <f t="shared" si="159"/>
        <v>15635.146996272457</v>
      </c>
      <c r="G136" s="3">
        <f t="shared" si="160"/>
        <v>14380.518304339981</v>
      </c>
      <c r="H136" s="3">
        <f t="shared" si="196"/>
        <v>11087.383555848339</v>
      </c>
      <c r="I136" s="3">
        <f t="shared" si="161"/>
        <v>15143.918298837894</v>
      </c>
      <c r="S136" s="1">
        <f t="shared" si="182"/>
        <v>121</v>
      </c>
      <c r="T136" s="9">
        <f t="shared" si="191"/>
        <v>0.05</v>
      </c>
      <c r="U136" s="3">
        <f t="shared" si="166"/>
        <v>16356.816877223479</v>
      </c>
      <c r="V136" s="6">
        <f t="shared" si="183"/>
        <v>111</v>
      </c>
      <c r="W136" s="3">
        <f t="shared" si="184"/>
        <v>11088.900000000001</v>
      </c>
      <c r="X136" s="3">
        <f t="shared" si="185"/>
        <v>11100</v>
      </c>
      <c r="Y136" s="3">
        <f t="shared" si="167"/>
        <v>11100</v>
      </c>
      <c r="Z136" s="9">
        <f t="shared" si="168"/>
        <v>5.7500000000000002E-2</v>
      </c>
      <c r="AA136" s="3">
        <f t="shared" si="169"/>
        <v>11153.187500000002</v>
      </c>
      <c r="AB136" s="3" t="str">
        <f t="shared" si="170"/>
        <v>nie</v>
      </c>
      <c r="AC136" s="3">
        <f t="shared" si="171"/>
        <v>77.699999999999989</v>
      </c>
      <c r="AD136" s="1">
        <f t="shared" si="192"/>
        <v>21</v>
      </c>
      <c r="AE136" s="1">
        <f t="shared" si="162"/>
        <v>6</v>
      </c>
      <c r="AF136" s="1">
        <f t="shared" si="162"/>
        <v>4</v>
      </c>
      <c r="AG136" s="1">
        <f t="shared" si="162"/>
        <v>11</v>
      </c>
      <c r="AH136" s="3">
        <f t="shared" si="148"/>
        <v>2100</v>
      </c>
      <c r="AI136" s="9">
        <f t="shared" si="193"/>
        <v>1.2999999999999999E-2</v>
      </c>
      <c r="AJ136" s="3">
        <f t="shared" si="149"/>
        <v>2102.2750000000001</v>
      </c>
      <c r="AK136" s="3">
        <f t="shared" si="194"/>
        <v>2.2750000000000909</v>
      </c>
      <c r="AL136" s="3">
        <f t="shared" si="165"/>
        <v>2100</v>
      </c>
      <c r="AM136" s="9">
        <f t="shared" ref="AM136:AM159" si="197">marza_COI+T136</f>
        <v>5.7500000000000002E-2</v>
      </c>
      <c r="AN136" s="3">
        <f t="shared" si="150"/>
        <v>2110.0625</v>
      </c>
      <c r="AO136" s="3">
        <f t="shared" ref="AO136:AO159" si="198">SUM(AE136:AG136)*koszt_wczesniejszy_wykup_COI</f>
        <v>14.7</v>
      </c>
      <c r="AP136" s="3">
        <f t="shared" si="172"/>
        <v>0</v>
      </c>
      <c r="AQ136" s="3">
        <f t="shared" si="151"/>
        <v>0</v>
      </c>
      <c r="AR136" s="3">
        <f t="shared" si="152"/>
        <v>43.200000000007776</v>
      </c>
      <c r="AS136" s="1">
        <f t="shared" si="190"/>
        <v>0</v>
      </c>
      <c r="AT136" s="3">
        <f t="shared" si="173"/>
        <v>43.200000000007776</v>
      </c>
      <c r="AU136" s="1">
        <f t="shared" si="147"/>
        <v>0</v>
      </c>
      <c r="AV136" s="3">
        <f t="shared" si="153"/>
        <v>43.200000000007776</v>
      </c>
      <c r="AW136" s="3">
        <f t="shared" si="154"/>
        <v>15408.725000000009</v>
      </c>
      <c r="AX136" s="3">
        <f>MIN(IF(MOD(S136,12)=0,INDEX(IKE_oplata_wskaznik,MATCH(ROUNDUP(S136/12,0),IKE_oplata_rok,0)),0)*AW136,200)</f>
        <v>0</v>
      </c>
      <c r="AY136" s="3">
        <f t="shared" si="130"/>
        <v>140.85364000000004</v>
      </c>
      <c r="AZ136" s="3">
        <f t="shared" si="174"/>
        <v>15267.87136000001</v>
      </c>
      <c r="BA136" s="3">
        <f t="shared" si="131"/>
        <v>94.675000000000082</v>
      </c>
      <c r="BB136" s="3">
        <f t="shared" si="175"/>
        <v>1009.6695000000019</v>
      </c>
      <c r="BC136" s="3">
        <f t="shared" si="176"/>
        <v>14163.526860000009</v>
      </c>
      <c r="BE136" s="6">
        <f t="shared" si="186"/>
        <v>171</v>
      </c>
      <c r="BF136" s="3">
        <f t="shared" si="187"/>
        <v>17082.900000000001</v>
      </c>
      <c r="BG136" s="3">
        <f t="shared" si="188"/>
        <v>17100</v>
      </c>
      <c r="BH136" s="3">
        <f t="shared" si="189"/>
        <v>17100</v>
      </c>
      <c r="BI136" s="9">
        <f t="shared" si="177"/>
        <v>1.7000000000000001E-2</v>
      </c>
      <c r="BJ136" s="3">
        <f t="shared" si="178"/>
        <v>17124.224999999999</v>
      </c>
      <c r="BK136" s="3" t="str">
        <f t="shared" si="179"/>
        <v>nie</v>
      </c>
      <c r="BL136" s="3">
        <f t="shared" si="136"/>
        <v>0</v>
      </c>
      <c r="BM136" s="3">
        <f t="shared" si="137"/>
        <v>99.101013057381351</v>
      </c>
      <c r="BN136" s="3">
        <f t="shared" si="138"/>
        <v>17223.32601305738</v>
      </c>
      <c r="BO136" s="3">
        <f>MIN(IF(MOD(S136,12)=0,INDEX(IKE_oplata_wskaznik,MATCH(ROUNDUP(S136/12,0),IKE_oplata_rok,0)),0)*BN136,200)</f>
        <v>0</v>
      </c>
      <c r="BP136" s="3">
        <f t="shared" si="139"/>
        <v>148.92176561897645</v>
      </c>
      <c r="BQ136" s="3">
        <f t="shared" si="140"/>
        <v>17074.404247438404</v>
      </c>
      <c r="BR136" s="3">
        <f t="shared" si="180"/>
        <v>24.224999999998545</v>
      </c>
      <c r="BS136" s="3">
        <f t="shared" si="181"/>
        <v>1349</v>
      </c>
      <c r="BT136" s="3">
        <f t="shared" si="141"/>
        <v>15701.179247438406</v>
      </c>
    </row>
    <row r="137" spans="2:72">
      <c r="B137" s="172"/>
      <c r="C137" s="1">
        <f t="shared" si="195"/>
        <v>103</v>
      </c>
      <c r="D137" s="3">
        <f t="shared" si="157"/>
        <v>14296.593643333339</v>
      </c>
      <c r="E137" s="3">
        <f t="shared" si="158"/>
        <v>13378.641185000004</v>
      </c>
      <c r="F137" s="3">
        <f t="shared" si="159"/>
        <v>15711.606594942166</v>
      </c>
      <c r="G137" s="3">
        <f t="shared" si="160"/>
        <v>14442.450579262446</v>
      </c>
      <c r="H137" s="3">
        <f t="shared" si="196"/>
        <v>11098.609531698636</v>
      </c>
      <c r="I137" s="3">
        <f t="shared" si="161"/>
        <v>15205.478942329106</v>
      </c>
      <c r="S137" s="1">
        <f t="shared" si="182"/>
        <v>122</v>
      </c>
      <c r="T137" s="9">
        <f t="shared" si="191"/>
        <v>0.05</v>
      </c>
      <c r="U137" s="3">
        <f t="shared" si="166"/>
        <v>16424.687486672537</v>
      </c>
      <c r="V137" s="6">
        <f t="shared" si="183"/>
        <v>111</v>
      </c>
      <c r="W137" s="3">
        <f t="shared" si="184"/>
        <v>11088.900000000001</v>
      </c>
      <c r="X137" s="3">
        <f t="shared" si="185"/>
        <v>11100</v>
      </c>
      <c r="Y137" s="3">
        <f t="shared" si="167"/>
        <v>11100</v>
      </c>
      <c r="Z137" s="9">
        <f t="shared" si="168"/>
        <v>5.7500000000000002E-2</v>
      </c>
      <c r="AA137" s="3">
        <f t="shared" si="169"/>
        <v>11206.375</v>
      </c>
      <c r="AB137" s="3" t="str">
        <f t="shared" si="170"/>
        <v>nie</v>
      </c>
      <c r="AC137" s="3">
        <f t="shared" si="171"/>
        <v>77.699999999999989</v>
      </c>
      <c r="AD137" s="1">
        <f t="shared" si="192"/>
        <v>21</v>
      </c>
      <c r="AE137" s="1">
        <f t="shared" si="162"/>
        <v>6</v>
      </c>
      <c r="AF137" s="1">
        <f t="shared" si="162"/>
        <v>4</v>
      </c>
      <c r="AG137" s="1">
        <f t="shared" si="162"/>
        <v>11</v>
      </c>
      <c r="AH137" s="3">
        <f t="shared" si="148"/>
        <v>2100</v>
      </c>
      <c r="AI137" s="9">
        <f t="shared" si="193"/>
        <v>1.2999999999999999E-2</v>
      </c>
      <c r="AJ137" s="3">
        <f t="shared" si="149"/>
        <v>2104.5500000000002</v>
      </c>
      <c r="AK137" s="3">
        <f t="shared" si="194"/>
        <v>4.5500000000001819</v>
      </c>
      <c r="AL137" s="3">
        <f t="shared" si="165"/>
        <v>2100</v>
      </c>
      <c r="AM137" s="9">
        <f t="shared" si="197"/>
        <v>5.7500000000000002E-2</v>
      </c>
      <c r="AN137" s="3">
        <f t="shared" si="150"/>
        <v>2120.125</v>
      </c>
      <c r="AO137" s="3">
        <f t="shared" si="198"/>
        <v>14.7</v>
      </c>
      <c r="AP137" s="3">
        <f t="shared" si="172"/>
        <v>0</v>
      </c>
      <c r="AQ137" s="3">
        <f t="shared" si="151"/>
        <v>0</v>
      </c>
      <c r="AR137" s="3">
        <f t="shared" si="152"/>
        <v>43.200000000007776</v>
      </c>
      <c r="AS137" s="1">
        <f t="shared" si="190"/>
        <v>0</v>
      </c>
      <c r="AT137" s="3">
        <f t="shared" si="173"/>
        <v>43.200000000007776</v>
      </c>
      <c r="AU137" s="1">
        <f t="shared" si="147"/>
        <v>0</v>
      </c>
      <c r="AV137" s="3">
        <f t="shared" si="153"/>
        <v>43.200000000007776</v>
      </c>
      <c r="AW137" s="3">
        <f t="shared" si="154"/>
        <v>15474.250000000007</v>
      </c>
      <c r="AX137" s="3">
        <f>MIN(IF(MOD(S137,12)=0,INDEX(IKE_oplata_wskaznik,MATCH(ROUNDUP(S137/12,0),IKE_oplata_rok,0)),0)*AW137,200)</f>
        <v>0</v>
      </c>
      <c r="AY137" s="3">
        <f t="shared" si="130"/>
        <v>140.85364000000004</v>
      </c>
      <c r="AZ137" s="3">
        <f t="shared" si="174"/>
        <v>15333.396360000008</v>
      </c>
      <c r="BA137" s="3">
        <f t="shared" si="131"/>
        <v>96.950000000000173</v>
      </c>
      <c r="BB137" s="3">
        <f t="shared" si="175"/>
        <v>1021.6870000000013</v>
      </c>
      <c r="BC137" s="3">
        <f t="shared" si="176"/>
        <v>14214.759360000005</v>
      </c>
      <c r="BE137" s="6">
        <f t="shared" si="186"/>
        <v>171</v>
      </c>
      <c r="BF137" s="3">
        <f t="shared" si="187"/>
        <v>17082.900000000001</v>
      </c>
      <c r="BG137" s="3">
        <f t="shared" si="188"/>
        <v>17100</v>
      </c>
      <c r="BH137" s="3">
        <f t="shared" si="189"/>
        <v>17100</v>
      </c>
      <c r="BI137" s="9">
        <f t="shared" si="177"/>
        <v>1.7000000000000001E-2</v>
      </c>
      <c r="BJ137" s="3">
        <f t="shared" si="178"/>
        <v>17148.449999999997</v>
      </c>
      <c r="BK137" s="3" t="str">
        <f t="shared" si="179"/>
        <v>nie</v>
      </c>
      <c r="BL137" s="3">
        <f t="shared" si="136"/>
        <v>0</v>
      </c>
      <c r="BM137" s="3">
        <f t="shared" si="137"/>
        <v>99.101013057381351</v>
      </c>
      <c r="BN137" s="3">
        <f t="shared" si="138"/>
        <v>17247.551013057378</v>
      </c>
      <c r="BO137" s="3">
        <f>MIN(IF(MOD(S137,12)=0,INDEX(IKE_oplata_wskaznik,MATCH(ROUNDUP(S137/12,0),IKE_oplata_rok,0)),0)*BN137,200)</f>
        <v>0</v>
      </c>
      <c r="BP137" s="3">
        <f t="shared" si="139"/>
        <v>148.92176561897645</v>
      </c>
      <c r="BQ137" s="3">
        <f t="shared" si="140"/>
        <v>17098.629247438403</v>
      </c>
      <c r="BR137" s="3">
        <f t="shared" si="180"/>
        <v>48.44999999999709</v>
      </c>
      <c r="BS137" s="3">
        <f t="shared" si="181"/>
        <v>1349</v>
      </c>
      <c r="BT137" s="3">
        <f t="shared" si="141"/>
        <v>15701.179247438406</v>
      </c>
    </row>
    <row r="138" spans="2:72">
      <c r="B138" s="172"/>
      <c r="C138" s="1">
        <f t="shared" si="195"/>
        <v>104</v>
      </c>
      <c r="D138" s="3">
        <f t="shared" si="157"/>
        <v>14321.989476666673</v>
      </c>
      <c r="E138" s="3">
        <f t="shared" si="158"/>
        <v>13399.211810000006</v>
      </c>
      <c r="F138" s="3">
        <f t="shared" si="159"/>
        <v>15788.066193611878</v>
      </c>
      <c r="G138" s="3">
        <f t="shared" si="160"/>
        <v>14504.382854184913</v>
      </c>
      <c r="H138" s="3">
        <f t="shared" si="196"/>
        <v>11109.846873849481</v>
      </c>
      <c r="I138" s="3">
        <f t="shared" si="161"/>
        <v>15267.039585820319</v>
      </c>
      <c r="S138" s="1">
        <f t="shared" si="182"/>
        <v>123</v>
      </c>
      <c r="T138" s="9">
        <f t="shared" si="191"/>
        <v>0.05</v>
      </c>
      <c r="U138" s="3">
        <f t="shared" si="166"/>
        <v>16492.5580961216</v>
      </c>
      <c r="V138" s="6">
        <f t="shared" si="183"/>
        <v>111</v>
      </c>
      <c r="W138" s="3">
        <f t="shared" si="184"/>
        <v>11088.900000000001</v>
      </c>
      <c r="X138" s="3">
        <f t="shared" si="185"/>
        <v>11100</v>
      </c>
      <c r="Y138" s="3">
        <f t="shared" si="167"/>
        <v>11100</v>
      </c>
      <c r="Z138" s="9">
        <f t="shared" si="168"/>
        <v>5.7500000000000002E-2</v>
      </c>
      <c r="AA138" s="3">
        <f t="shared" si="169"/>
        <v>11259.5625</v>
      </c>
      <c r="AB138" s="3" t="str">
        <f t="shared" si="170"/>
        <v>nie</v>
      </c>
      <c r="AC138" s="3">
        <f t="shared" si="171"/>
        <v>77.699999999999989</v>
      </c>
      <c r="AD138" s="1">
        <f t="shared" si="192"/>
        <v>21</v>
      </c>
      <c r="AE138" s="1">
        <f t="shared" si="162"/>
        <v>6</v>
      </c>
      <c r="AF138" s="1">
        <f t="shared" si="162"/>
        <v>4</v>
      </c>
      <c r="AG138" s="1">
        <f t="shared" si="162"/>
        <v>11</v>
      </c>
      <c r="AH138" s="3">
        <f t="shared" si="148"/>
        <v>2100</v>
      </c>
      <c r="AI138" s="9">
        <f t="shared" si="193"/>
        <v>1.2999999999999999E-2</v>
      </c>
      <c r="AJ138" s="3">
        <f t="shared" si="149"/>
        <v>2106.8249999999998</v>
      </c>
      <c r="AK138" s="3">
        <f t="shared" si="194"/>
        <v>6.8249999999998181</v>
      </c>
      <c r="AL138" s="3">
        <f t="shared" si="165"/>
        <v>2100</v>
      </c>
      <c r="AM138" s="9">
        <f t="shared" si="197"/>
        <v>5.7500000000000002E-2</v>
      </c>
      <c r="AN138" s="3">
        <f t="shared" si="150"/>
        <v>2130.1875</v>
      </c>
      <c r="AO138" s="3">
        <f t="shared" si="198"/>
        <v>14.7</v>
      </c>
      <c r="AP138" s="3">
        <f t="shared" si="172"/>
        <v>0</v>
      </c>
      <c r="AQ138" s="3">
        <f t="shared" si="151"/>
        <v>0</v>
      </c>
      <c r="AR138" s="3">
        <f t="shared" si="152"/>
        <v>43.200000000007776</v>
      </c>
      <c r="AS138" s="1">
        <f t="shared" si="190"/>
        <v>0</v>
      </c>
      <c r="AT138" s="3">
        <f t="shared" si="173"/>
        <v>43.200000000007776</v>
      </c>
      <c r="AU138" s="1">
        <f t="shared" si="147"/>
        <v>0</v>
      </c>
      <c r="AV138" s="3">
        <f t="shared" si="153"/>
        <v>43.200000000007776</v>
      </c>
      <c r="AW138" s="3">
        <f t="shared" si="154"/>
        <v>15539.775000000009</v>
      </c>
      <c r="AX138" s="3">
        <f>MIN(IF(MOD(S138,12)=0,INDEX(IKE_oplata_wskaznik,MATCH(ROUNDUP(S138/12,0),IKE_oplata_rok,0)),0)*AW138,200)</f>
        <v>0</v>
      </c>
      <c r="AY138" s="3">
        <f t="shared" si="130"/>
        <v>140.85364000000004</v>
      </c>
      <c r="AZ138" s="3">
        <f t="shared" si="174"/>
        <v>15398.921360000009</v>
      </c>
      <c r="BA138" s="3">
        <f t="shared" si="131"/>
        <v>99.22499999999981</v>
      </c>
      <c r="BB138" s="3">
        <f t="shared" si="175"/>
        <v>1033.7045000000016</v>
      </c>
      <c r="BC138" s="3">
        <f t="shared" si="176"/>
        <v>14265.991860000007</v>
      </c>
      <c r="BE138" s="6">
        <f t="shared" si="186"/>
        <v>171</v>
      </c>
      <c r="BF138" s="3">
        <f t="shared" si="187"/>
        <v>17082.900000000001</v>
      </c>
      <c r="BG138" s="3">
        <f t="shared" si="188"/>
        <v>17100</v>
      </c>
      <c r="BH138" s="3">
        <f t="shared" si="189"/>
        <v>17100</v>
      </c>
      <c r="BI138" s="9">
        <f t="shared" si="177"/>
        <v>1.7000000000000001E-2</v>
      </c>
      <c r="BJ138" s="3">
        <f t="shared" si="178"/>
        <v>17172.675000000003</v>
      </c>
      <c r="BK138" s="3" t="str">
        <f t="shared" si="179"/>
        <v>nie</v>
      </c>
      <c r="BL138" s="3">
        <f t="shared" si="136"/>
        <v>0</v>
      </c>
      <c r="BM138" s="3">
        <f t="shared" si="137"/>
        <v>99.101013057381351</v>
      </c>
      <c r="BN138" s="3">
        <f t="shared" si="138"/>
        <v>17271.776013057384</v>
      </c>
      <c r="BO138" s="3">
        <f>MIN(IF(MOD(S138,12)=0,INDEX(IKE_oplata_wskaznik,MATCH(ROUNDUP(S138/12,0),IKE_oplata_rok,0)),0)*BN138,200)</f>
        <v>0</v>
      </c>
      <c r="BP138" s="3">
        <f t="shared" si="139"/>
        <v>148.92176561897645</v>
      </c>
      <c r="BQ138" s="3">
        <f t="shared" si="140"/>
        <v>17122.854247438408</v>
      </c>
      <c r="BR138" s="3">
        <f t="shared" si="180"/>
        <v>72.67500000000291</v>
      </c>
      <c r="BS138" s="3">
        <f t="shared" si="181"/>
        <v>1349</v>
      </c>
      <c r="BT138" s="3">
        <f t="shared" si="141"/>
        <v>15701.179247438406</v>
      </c>
    </row>
    <row r="139" spans="2:72">
      <c r="B139" s="172"/>
      <c r="C139" s="1">
        <f t="shared" si="195"/>
        <v>105</v>
      </c>
      <c r="D139" s="3">
        <f t="shared" si="157"/>
        <v>14347.385310000005</v>
      </c>
      <c r="E139" s="3">
        <f t="shared" si="158"/>
        <v>13419.782435000005</v>
      </c>
      <c r="F139" s="3">
        <f t="shared" si="159"/>
        <v>15864.525792281587</v>
      </c>
      <c r="G139" s="3">
        <f t="shared" si="160"/>
        <v>14566.315129107377</v>
      </c>
      <c r="H139" s="3">
        <f t="shared" si="196"/>
        <v>11121.095593809254</v>
      </c>
      <c r="I139" s="3">
        <f t="shared" si="161"/>
        <v>15328.600229311531</v>
      </c>
      <c r="S139" s="1">
        <f t="shared" si="182"/>
        <v>124</v>
      </c>
      <c r="T139" s="9">
        <f t="shared" si="191"/>
        <v>0.05</v>
      </c>
      <c r="U139" s="3">
        <f t="shared" si="166"/>
        <v>16560.428705570659</v>
      </c>
      <c r="V139" s="6">
        <f t="shared" si="183"/>
        <v>111</v>
      </c>
      <c r="W139" s="3">
        <f t="shared" si="184"/>
        <v>11088.900000000001</v>
      </c>
      <c r="X139" s="3">
        <f t="shared" si="185"/>
        <v>11100</v>
      </c>
      <c r="Y139" s="3">
        <f t="shared" si="167"/>
        <v>11100</v>
      </c>
      <c r="Z139" s="9">
        <f t="shared" si="168"/>
        <v>5.7500000000000002E-2</v>
      </c>
      <c r="AA139" s="3">
        <f t="shared" si="169"/>
        <v>11312.750000000002</v>
      </c>
      <c r="AB139" s="3" t="str">
        <f t="shared" si="170"/>
        <v>nie</v>
      </c>
      <c r="AC139" s="3">
        <f t="shared" si="171"/>
        <v>77.699999999999989</v>
      </c>
      <c r="AD139" s="1">
        <f t="shared" si="192"/>
        <v>21</v>
      </c>
      <c r="AE139" s="1">
        <f t="shared" si="162"/>
        <v>6</v>
      </c>
      <c r="AF139" s="1">
        <f t="shared" si="162"/>
        <v>4</v>
      </c>
      <c r="AG139" s="1">
        <f t="shared" si="162"/>
        <v>11</v>
      </c>
      <c r="AH139" s="3">
        <f t="shared" si="148"/>
        <v>2100</v>
      </c>
      <c r="AI139" s="9">
        <f t="shared" si="193"/>
        <v>1.2999999999999999E-2</v>
      </c>
      <c r="AJ139" s="3">
        <f t="shared" si="149"/>
        <v>2109.1</v>
      </c>
      <c r="AK139" s="3">
        <f t="shared" si="194"/>
        <v>9.0999999999999091</v>
      </c>
      <c r="AL139" s="3">
        <f t="shared" si="165"/>
        <v>2100</v>
      </c>
      <c r="AM139" s="9">
        <f t="shared" si="197"/>
        <v>5.7500000000000002E-2</v>
      </c>
      <c r="AN139" s="3">
        <f t="shared" si="150"/>
        <v>2140.2500000000005</v>
      </c>
      <c r="AO139" s="3">
        <f t="shared" si="198"/>
        <v>14.7</v>
      </c>
      <c r="AP139" s="3">
        <f t="shared" si="172"/>
        <v>0</v>
      </c>
      <c r="AQ139" s="3">
        <f t="shared" si="151"/>
        <v>0</v>
      </c>
      <c r="AR139" s="3">
        <f t="shared" si="152"/>
        <v>43.200000000007776</v>
      </c>
      <c r="AS139" s="1">
        <f t="shared" si="190"/>
        <v>0</v>
      </c>
      <c r="AT139" s="3">
        <f t="shared" si="173"/>
        <v>43.200000000007776</v>
      </c>
      <c r="AU139" s="1">
        <f t="shared" si="147"/>
        <v>0</v>
      </c>
      <c r="AV139" s="3">
        <f t="shared" si="153"/>
        <v>43.200000000007776</v>
      </c>
      <c r="AW139" s="3">
        <f t="shared" si="154"/>
        <v>15605.30000000001</v>
      </c>
      <c r="AX139" s="3">
        <f>MIN(IF(MOD(S139,12)=0,INDEX(IKE_oplata_wskaznik,MATCH(ROUNDUP(S139/12,0),IKE_oplata_rok,0)),0)*AW139,200)</f>
        <v>0</v>
      </c>
      <c r="AY139" s="3">
        <f t="shared" si="130"/>
        <v>140.85364000000004</v>
      </c>
      <c r="AZ139" s="3">
        <f t="shared" si="174"/>
        <v>15464.446360000011</v>
      </c>
      <c r="BA139" s="3">
        <f t="shared" si="131"/>
        <v>101.4999999999999</v>
      </c>
      <c r="BB139" s="3">
        <f t="shared" si="175"/>
        <v>1045.722000000002</v>
      </c>
      <c r="BC139" s="3">
        <f t="shared" si="176"/>
        <v>14317.224360000009</v>
      </c>
      <c r="BE139" s="6">
        <f t="shared" si="186"/>
        <v>171</v>
      </c>
      <c r="BF139" s="3">
        <f t="shared" si="187"/>
        <v>17082.900000000001</v>
      </c>
      <c r="BG139" s="3">
        <f t="shared" si="188"/>
        <v>17100</v>
      </c>
      <c r="BH139" s="3">
        <f t="shared" si="189"/>
        <v>17100</v>
      </c>
      <c r="BI139" s="9">
        <f t="shared" si="177"/>
        <v>1.7000000000000001E-2</v>
      </c>
      <c r="BJ139" s="3">
        <f t="shared" si="178"/>
        <v>17196.900000000001</v>
      </c>
      <c r="BK139" s="3" t="str">
        <f t="shared" si="179"/>
        <v>nie</v>
      </c>
      <c r="BL139" s="3">
        <f t="shared" si="136"/>
        <v>0</v>
      </c>
      <c r="BM139" s="3">
        <f t="shared" si="137"/>
        <v>99.101013057381351</v>
      </c>
      <c r="BN139" s="3">
        <f t="shared" si="138"/>
        <v>17296.001013057383</v>
      </c>
      <c r="BO139" s="3">
        <f>MIN(IF(MOD(S139,12)=0,INDEX(IKE_oplata_wskaznik,MATCH(ROUNDUP(S139/12,0),IKE_oplata_rok,0)),0)*BN139,200)</f>
        <v>0</v>
      </c>
      <c r="BP139" s="3">
        <f t="shared" si="139"/>
        <v>148.92176561897645</v>
      </c>
      <c r="BQ139" s="3">
        <f t="shared" si="140"/>
        <v>17147.079247438407</v>
      </c>
      <c r="BR139" s="3">
        <f t="shared" si="180"/>
        <v>96.900000000001455</v>
      </c>
      <c r="BS139" s="3">
        <f t="shared" si="181"/>
        <v>1349</v>
      </c>
      <c r="BT139" s="3">
        <f t="shared" si="141"/>
        <v>15701.179247438406</v>
      </c>
    </row>
    <row r="140" spans="2:72">
      <c r="B140" s="172"/>
      <c r="C140" s="1">
        <f t="shared" si="195"/>
        <v>106</v>
      </c>
      <c r="D140" s="3">
        <f t="shared" si="157"/>
        <v>14372.781143333339</v>
      </c>
      <c r="E140" s="3">
        <f t="shared" si="158"/>
        <v>13440.353060000005</v>
      </c>
      <c r="F140" s="3">
        <f t="shared" si="159"/>
        <v>15940.9853909513</v>
      </c>
      <c r="G140" s="3">
        <f t="shared" si="160"/>
        <v>14628.247404029844</v>
      </c>
      <c r="H140" s="3">
        <f t="shared" si="196"/>
        <v>11132.355703097986</v>
      </c>
      <c r="I140" s="3">
        <f t="shared" si="161"/>
        <v>15390.160872802742</v>
      </c>
      <c r="S140" s="1">
        <f t="shared" si="182"/>
        <v>125</v>
      </c>
      <c r="T140" s="9">
        <f t="shared" si="191"/>
        <v>0.05</v>
      </c>
      <c r="U140" s="3">
        <f t="shared" si="166"/>
        <v>16628.299315019718</v>
      </c>
      <c r="V140" s="6">
        <f t="shared" si="183"/>
        <v>111</v>
      </c>
      <c r="W140" s="3">
        <f t="shared" si="184"/>
        <v>11088.900000000001</v>
      </c>
      <c r="X140" s="3">
        <f t="shared" si="185"/>
        <v>11100</v>
      </c>
      <c r="Y140" s="3">
        <f t="shared" si="167"/>
        <v>11100</v>
      </c>
      <c r="Z140" s="9">
        <f t="shared" si="168"/>
        <v>5.7500000000000002E-2</v>
      </c>
      <c r="AA140" s="3">
        <f t="shared" si="169"/>
        <v>11365.9375</v>
      </c>
      <c r="AB140" s="3" t="str">
        <f t="shared" si="170"/>
        <v>nie</v>
      </c>
      <c r="AC140" s="3">
        <f t="shared" si="171"/>
        <v>77.699999999999989</v>
      </c>
      <c r="AD140" s="1">
        <f t="shared" si="192"/>
        <v>21</v>
      </c>
      <c r="AE140" s="1">
        <f t="shared" si="162"/>
        <v>6</v>
      </c>
      <c r="AF140" s="1">
        <f t="shared" si="162"/>
        <v>4</v>
      </c>
      <c r="AG140" s="1">
        <f t="shared" si="162"/>
        <v>11</v>
      </c>
      <c r="AH140" s="3">
        <f t="shared" si="148"/>
        <v>2100</v>
      </c>
      <c r="AI140" s="9">
        <f t="shared" si="193"/>
        <v>1.2999999999999999E-2</v>
      </c>
      <c r="AJ140" s="3">
        <f t="shared" si="149"/>
        <v>2111.375</v>
      </c>
      <c r="AK140" s="3">
        <f t="shared" si="194"/>
        <v>11.375</v>
      </c>
      <c r="AL140" s="3">
        <f t="shared" si="165"/>
        <v>2100</v>
      </c>
      <c r="AM140" s="9">
        <f t="shared" si="197"/>
        <v>5.7500000000000002E-2</v>
      </c>
      <c r="AN140" s="3">
        <f t="shared" si="150"/>
        <v>2150.3125</v>
      </c>
      <c r="AO140" s="3">
        <f t="shared" si="198"/>
        <v>14.7</v>
      </c>
      <c r="AP140" s="3">
        <f t="shared" si="172"/>
        <v>0</v>
      </c>
      <c r="AQ140" s="3">
        <f t="shared" si="151"/>
        <v>0</v>
      </c>
      <c r="AR140" s="3">
        <f t="shared" si="152"/>
        <v>43.200000000007776</v>
      </c>
      <c r="AS140" s="1">
        <f t="shared" si="190"/>
        <v>0</v>
      </c>
      <c r="AT140" s="3">
        <f t="shared" si="173"/>
        <v>43.200000000007776</v>
      </c>
      <c r="AU140" s="1">
        <f t="shared" si="147"/>
        <v>0</v>
      </c>
      <c r="AV140" s="3">
        <f t="shared" si="153"/>
        <v>43.200000000007776</v>
      </c>
      <c r="AW140" s="3">
        <f t="shared" si="154"/>
        <v>15670.825000000008</v>
      </c>
      <c r="AX140" s="3">
        <f>MIN(IF(MOD(S140,12)=0,INDEX(IKE_oplata_wskaznik,MATCH(ROUNDUP(S140/12,0),IKE_oplata_rok,0)),0)*AW140,200)</f>
        <v>0</v>
      </c>
      <c r="AY140" s="3">
        <f t="shared" si="130"/>
        <v>140.85364000000004</v>
      </c>
      <c r="AZ140" s="3">
        <f t="shared" si="174"/>
        <v>15529.971360000009</v>
      </c>
      <c r="BA140" s="3">
        <f t="shared" si="131"/>
        <v>103.77499999999999</v>
      </c>
      <c r="BB140" s="3">
        <f t="shared" si="175"/>
        <v>1057.7395000000015</v>
      </c>
      <c r="BC140" s="3">
        <f t="shared" si="176"/>
        <v>14368.456860000008</v>
      </c>
      <c r="BE140" s="6">
        <f t="shared" si="186"/>
        <v>171</v>
      </c>
      <c r="BF140" s="3">
        <f t="shared" si="187"/>
        <v>17082.900000000001</v>
      </c>
      <c r="BG140" s="3">
        <f t="shared" si="188"/>
        <v>17100</v>
      </c>
      <c r="BH140" s="3">
        <f t="shared" si="189"/>
        <v>17100</v>
      </c>
      <c r="BI140" s="9">
        <f t="shared" si="177"/>
        <v>1.7000000000000001E-2</v>
      </c>
      <c r="BJ140" s="3">
        <f t="shared" si="178"/>
        <v>17221.125</v>
      </c>
      <c r="BK140" s="3" t="str">
        <f t="shared" si="179"/>
        <v>nie</v>
      </c>
      <c r="BL140" s="3">
        <f t="shared" si="136"/>
        <v>0</v>
      </c>
      <c r="BM140" s="3">
        <f t="shared" si="137"/>
        <v>99.101013057381351</v>
      </c>
      <c r="BN140" s="3">
        <f t="shared" si="138"/>
        <v>17320.226013057381</v>
      </c>
      <c r="BO140" s="3">
        <f>MIN(IF(MOD(S140,12)=0,INDEX(IKE_oplata_wskaznik,MATCH(ROUNDUP(S140/12,0),IKE_oplata_rok,0)),0)*BN140,200)</f>
        <v>0</v>
      </c>
      <c r="BP140" s="3">
        <f t="shared" si="139"/>
        <v>148.92176561897645</v>
      </c>
      <c r="BQ140" s="3">
        <f t="shared" si="140"/>
        <v>17171.304247438406</v>
      </c>
      <c r="BR140" s="3">
        <f t="shared" si="180"/>
        <v>121.125</v>
      </c>
      <c r="BS140" s="3">
        <f t="shared" si="181"/>
        <v>1349</v>
      </c>
      <c r="BT140" s="3">
        <f t="shared" si="141"/>
        <v>15701.179247438406</v>
      </c>
    </row>
    <row r="141" spans="2:72">
      <c r="B141" s="173"/>
      <c r="C141" s="1">
        <f t="shared" si="195"/>
        <v>107</v>
      </c>
      <c r="D141" s="3">
        <f t="shared" si="157"/>
        <v>14398.176976666673</v>
      </c>
      <c r="E141" s="3">
        <f t="shared" si="158"/>
        <v>13460.923685000005</v>
      </c>
      <c r="F141" s="3">
        <f t="shared" si="159"/>
        <v>16017.444989621008</v>
      </c>
      <c r="G141" s="3">
        <f t="shared" si="160"/>
        <v>14690.179678952307</v>
      </c>
      <c r="H141" s="3">
        <f t="shared" si="196"/>
        <v>11143.627213247373</v>
      </c>
      <c r="I141" s="3">
        <f t="shared" si="161"/>
        <v>15451.721516293952</v>
      </c>
      <c r="S141" s="1">
        <f t="shared" si="182"/>
        <v>126</v>
      </c>
      <c r="T141" s="9">
        <f t="shared" si="191"/>
        <v>0.05</v>
      </c>
      <c r="U141" s="3">
        <f t="shared" si="166"/>
        <v>16696.169924468777</v>
      </c>
      <c r="V141" s="6">
        <f t="shared" si="183"/>
        <v>111</v>
      </c>
      <c r="W141" s="3">
        <f t="shared" si="184"/>
        <v>11088.900000000001</v>
      </c>
      <c r="X141" s="3">
        <f t="shared" si="185"/>
        <v>11100</v>
      </c>
      <c r="Y141" s="3">
        <f t="shared" si="167"/>
        <v>11100</v>
      </c>
      <c r="Z141" s="9">
        <f t="shared" si="168"/>
        <v>5.7500000000000002E-2</v>
      </c>
      <c r="AA141" s="3">
        <f t="shared" si="169"/>
        <v>11419.125</v>
      </c>
      <c r="AB141" s="3" t="str">
        <f t="shared" si="170"/>
        <v>nie</v>
      </c>
      <c r="AC141" s="3">
        <f t="shared" si="171"/>
        <v>77.699999999999989</v>
      </c>
      <c r="AD141" s="1">
        <f t="shared" si="192"/>
        <v>21</v>
      </c>
      <c r="AE141" s="1">
        <f t="shared" si="162"/>
        <v>6</v>
      </c>
      <c r="AF141" s="1">
        <f t="shared" si="162"/>
        <v>4</v>
      </c>
      <c r="AG141" s="1">
        <f t="shared" si="162"/>
        <v>11</v>
      </c>
      <c r="AH141" s="3">
        <f t="shared" si="148"/>
        <v>2100</v>
      </c>
      <c r="AI141" s="9">
        <f t="shared" si="193"/>
        <v>1.2999999999999999E-2</v>
      </c>
      <c r="AJ141" s="3">
        <f t="shared" si="149"/>
        <v>2113.65</v>
      </c>
      <c r="AK141" s="3">
        <f t="shared" si="194"/>
        <v>13.650000000000091</v>
      </c>
      <c r="AL141" s="3">
        <f t="shared" si="165"/>
        <v>2100</v>
      </c>
      <c r="AM141" s="9">
        <f t="shared" si="197"/>
        <v>5.7500000000000002E-2</v>
      </c>
      <c r="AN141" s="3">
        <f t="shared" si="150"/>
        <v>2160.375</v>
      </c>
      <c r="AO141" s="3">
        <f t="shared" si="198"/>
        <v>14.7</v>
      </c>
      <c r="AP141" s="3">
        <f t="shared" si="172"/>
        <v>0</v>
      </c>
      <c r="AQ141" s="3">
        <f t="shared" si="151"/>
        <v>0</v>
      </c>
      <c r="AR141" s="3">
        <f t="shared" si="152"/>
        <v>43.200000000007776</v>
      </c>
      <c r="AS141" s="1">
        <f t="shared" si="190"/>
        <v>0</v>
      </c>
      <c r="AT141" s="3">
        <f t="shared" si="173"/>
        <v>43.200000000007776</v>
      </c>
      <c r="AU141" s="1">
        <f t="shared" si="147"/>
        <v>0</v>
      </c>
      <c r="AV141" s="3">
        <f t="shared" si="153"/>
        <v>43.200000000007776</v>
      </c>
      <c r="AW141" s="3">
        <f t="shared" si="154"/>
        <v>15736.350000000008</v>
      </c>
      <c r="AX141" s="3">
        <f>MIN(IF(MOD(S141,12)=0,INDEX(IKE_oplata_wskaznik,MATCH(ROUNDUP(S141/12,0),IKE_oplata_rok,0)),0)*AW141,200)</f>
        <v>0</v>
      </c>
      <c r="AY141" s="3">
        <f t="shared" si="130"/>
        <v>140.85364000000004</v>
      </c>
      <c r="AZ141" s="3">
        <f t="shared" si="174"/>
        <v>15595.496360000008</v>
      </c>
      <c r="BA141" s="3">
        <f t="shared" si="131"/>
        <v>106.05000000000008</v>
      </c>
      <c r="BB141" s="3">
        <f t="shared" si="175"/>
        <v>1069.7570000000017</v>
      </c>
      <c r="BC141" s="3">
        <f t="shared" si="176"/>
        <v>14419.689360000008</v>
      </c>
      <c r="BE141" s="6">
        <f t="shared" si="186"/>
        <v>171</v>
      </c>
      <c r="BF141" s="3">
        <f t="shared" si="187"/>
        <v>17082.900000000001</v>
      </c>
      <c r="BG141" s="3">
        <f t="shared" si="188"/>
        <v>17100</v>
      </c>
      <c r="BH141" s="3">
        <f t="shared" si="189"/>
        <v>17100</v>
      </c>
      <c r="BI141" s="9">
        <f t="shared" si="177"/>
        <v>1.7000000000000001E-2</v>
      </c>
      <c r="BJ141" s="3">
        <f t="shared" si="178"/>
        <v>17245.349999999999</v>
      </c>
      <c r="BK141" s="3" t="str">
        <f t="shared" si="179"/>
        <v>nie</v>
      </c>
      <c r="BL141" s="3">
        <f t="shared" si="136"/>
        <v>0</v>
      </c>
      <c r="BM141" s="3">
        <f t="shared" si="137"/>
        <v>99.101013057381351</v>
      </c>
      <c r="BN141" s="3">
        <f t="shared" si="138"/>
        <v>17344.45101305738</v>
      </c>
      <c r="BO141" s="3">
        <f>MIN(IF(MOD(S141,12)=0,INDEX(IKE_oplata_wskaznik,MATCH(ROUNDUP(S141/12,0),IKE_oplata_rok,0)),0)*BN141,200)</f>
        <v>0</v>
      </c>
      <c r="BP141" s="3">
        <f t="shared" si="139"/>
        <v>148.92176561897645</v>
      </c>
      <c r="BQ141" s="3">
        <f t="shared" si="140"/>
        <v>17195.529247438404</v>
      </c>
      <c r="BR141" s="3">
        <f t="shared" si="180"/>
        <v>145.34999999999854</v>
      </c>
      <c r="BS141" s="3">
        <f t="shared" si="181"/>
        <v>1349</v>
      </c>
      <c r="BT141" s="3">
        <f t="shared" si="141"/>
        <v>15701.179247438406</v>
      </c>
    </row>
    <row r="142" spans="2:72">
      <c r="B142" s="171">
        <f>ROUNDUP(C143/12,0)</f>
        <v>10</v>
      </c>
      <c r="C142" s="4">
        <f t="shared" si="195"/>
        <v>108</v>
      </c>
      <c r="D142" s="12">
        <f t="shared" si="157"/>
        <v>14409.038260000007</v>
      </c>
      <c r="E142" s="12">
        <f t="shared" si="158"/>
        <v>13466.959760000005</v>
      </c>
      <c r="F142" s="12">
        <f t="shared" si="159"/>
        <v>16077.695153372742</v>
      </c>
      <c r="G142" s="12">
        <f t="shared" si="160"/>
        <v>14735.902518956796</v>
      </c>
      <c r="H142" s="12">
        <f t="shared" si="196"/>
        <v>11154.910135800787</v>
      </c>
      <c r="I142" s="12">
        <f t="shared" si="161"/>
        <v>15513.282159785162</v>
      </c>
      <c r="S142" s="1">
        <f t="shared" si="182"/>
        <v>127</v>
      </c>
      <c r="T142" s="9">
        <f t="shared" si="191"/>
        <v>0.05</v>
      </c>
      <c r="U142" s="3">
        <f t="shared" si="166"/>
        <v>16764.04053391784</v>
      </c>
      <c r="V142" s="6">
        <f t="shared" si="183"/>
        <v>111</v>
      </c>
      <c r="W142" s="3">
        <f t="shared" si="184"/>
        <v>11088.900000000001</v>
      </c>
      <c r="X142" s="3">
        <f t="shared" si="185"/>
        <v>11100</v>
      </c>
      <c r="Y142" s="3">
        <f t="shared" si="167"/>
        <v>11100</v>
      </c>
      <c r="Z142" s="9">
        <f t="shared" si="168"/>
        <v>5.7500000000000002E-2</v>
      </c>
      <c r="AA142" s="3">
        <f t="shared" si="169"/>
        <v>11472.312499999998</v>
      </c>
      <c r="AB142" s="3" t="str">
        <f t="shared" si="170"/>
        <v>nie</v>
      </c>
      <c r="AC142" s="3">
        <f t="shared" si="171"/>
        <v>77.699999999999989</v>
      </c>
      <c r="AD142" s="1">
        <f t="shared" si="192"/>
        <v>21</v>
      </c>
      <c r="AE142" s="1">
        <f t="shared" si="162"/>
        <v>6</v>
      </c>
      <c r="AF142" s="1">
        <f t="shared" si="162"/>
        <v>4</v>
      </c>
      <c r="AG142" s="1">
        <f t="shared" si="162"/>
        <v>11</v>
      </c>
      <c r="AH142" s="3">
        <f t="shared" si="148"/>
        <v>2100</v>
      </c>
      <c r="AI142" s="9">
        <f t="shared" si="193"/>
        <v>1.2999999999999999E-2</v>
      </c>
      <c r="AJ142" s="3">
        <f t="shared" si="149"/>
        <v>2115.9249999999997</v>
      </c>
      <c r="AK142" s="3">
        <f t="shared" si="194"/>
        <v>14.7</v>
      </c>
      <c r="AL142" s="3">
        <f t="shared" si="165"/>
        <v>2100</v>
      </c>
      <c r="AM142" s="9">
        <f t="shared" si="197"/>
        <v>5.7500000000000002E-2</v>
      </c>
      <c r="AN142" s="3">
        <f t="shared" si="150"/>
        <v>2170.4375</v>
      </c>
      <c r="AO142" s="3">
        <f t="shared" si="198"/>
        <v>14.7</v>
      </c>
      <c r="AP142" s="3">
        <f t="shared" si="172"/>
        <v>0</v>
      </c>
      <c r="AQ142" s="3">
        <f t="shared" si="151"/>
        <v>0</v>
      </c>
      <c r="AR142" s="3">
        <f t="shared" si="152"/>
        <v>43.200000000007776</v>
      </c>
      <c r="AS142" s="1">
        <f t="shared" si="190"/>
        <v>0</v>
      </c>
      <c r="AT142" s="3">
        <f t="shared" si="173"/>
        <v>43.200000000007776</v>
      </c>
      <c r="AU142" s="1">
        <f t="shared" si="147"/>
        <v>0</v>
      </c>
      <c r="AV142" s="3">
        <f t="shared" si="153"/>
        <v>43.200000000007776</v>
      </c>
      <c r="AW142" s="3">
        <f t="shared" si="154"/>
        <v>15801.875000000005</v>
      </c>
      <c r="AX142" s="3">
        <f>MIN(IF(MOD(S142,12)=0,INDEX(IKE_oplata_wskaznik,MATCH(ROUNDUP(S142/12,0),IKE_oplata_rok,0)),0)*AW142,200)</f>
        <v>0</v>
      </c>
      <c r="AY142" s="3">
        <f t="shared" si="130"/>
        <v>140.85364000000004</v>
      </c>
      <c r="AZ142" s="3">
        <f t="shared" si="174"/>
        <v>15661.021360000006</v>
      </c>
      <c r="BA142" s="3">
        <f t="shared" si="131"/>
        <v>107.1</v>
      </c>
      <c r="BB142" s="3">
        <f t="shared" si="175"/>
        <v>1082.007250000001</v>
      </c>
      <c r="BC142" s="3">
        <f t="shared" si="176"/>
        <v>14471.914110000005</v>
      </c>
      <c r="BE142" s="6">
        <f t="shared" si="186"/>
        <v>171</v>
      </c>
      <c r="BF142" s="3">
        <f t="shared" si="187"/>
        <v>17082.900000000001</v>
      </c>
      <c r="BG142" s="3">
        <f t="shared" si="188"/>
        <v>17100</v>
      </c>
      <c r="BH142" s="3">
        <f t="shared" si="189"/>
        <v>17100</v>
      </c>
      <c r="BI142" s="9">
        <f t="shared" si="177"/>
        <v>1.7000000000000001E-2</v>
      </c>
      <c r="BJ142" s="3">
        <f t="shared" si="178"/>
        <v>17269.574999999997</v>
      </c>
      <c r="BK142" s="3" t="str">
        <f t="shared" si="179"/>
        <v>nie</v>
      </c>
      <c r="BL142" s="3">
        <f t="shared" si="136"/>
        <v>0</v>
      </c>
      <c r="BM142" s="3">
        <f t="shared" si="137"/>
        <v>99.101013057381351</v>
      </c>
      <c r="BN142" s="3">
        <f t="shared" si="138"/>
        <v>17368.676013057378</v>
      </c>
      <c r="BO142" s="3">
        <f>MIN(IF(MOD(S142,12)=0,INDEX(IKE_oplata_wskaznik,MATCH(ROUNDUP(S142/12,0),IKE_oplata_rok,0)),0)*BN142,200)</f>
        <v>0</v>
      </c>
      <c r="BP142" s="3">
        <f t="shared" si="139"/>
        <v>148.92176561897645</v>
      </c>
      <c r="BQ142" s="3">
        <f t="shared" si="140"/>
        <v>17219.754247438403</v>
      </c>
      <c r="BR142" s="3">
        <f t="shared" si="180"/>
        <v>169.57499999999709</v>
      </c>
      <c r="BS142" s="3">
        <f t="shared" si="181"/>
        <v>1349</v>
      </c>
      <c r="BT142" s="3">
        <f t="shared" si="141"/>
        <v>15701.179247438406</v>
      </c>
    </row>
    <row r="143" spans="2:72">
      <c r="B143" s="172"/>
      <c r="C143" s="1">
        <f t="shared" si="195"/>
        <v>109</v>
      </c>
      <c r="D143" s="3">
        <f t="shared" si="157"/>
        <v>14476.592426666675</v>
      </c>
      <c r="E143" s="3">
        <f t="shared" si="158"/>
        <v>13522.853135000007</v>
      </c>
      <c r="F143" s="3">
        <f t="shared" si="159"/>
        <v>16158.742327962635</v>
      </c>
      <c r="G143" s="3">
        <f t="shared" si="160"/>
        <v>14801.550730374609</v>
      </c>
      <c r="H143" s="3">
        <f t="shared" si="196"/>
        <v>11166.204482313286</v>
      </c>
      <c r="I143" s="3">
        <f t="shared" si="161"/>
        <v>15577.920835450934</v>
      </c>
      <c r="S143" s="1">
        <f t="shared" si="182"/>
        <v>128</v>
      </c>
      <c r="T143" s="9">
        <f t="shared" si="191"/>
        <v>0.05</v>
      </c>
      <c r="U143" s="3">
        <f t="shared" si="166"/>
        <v>16831.911143366902</v>
      </c>
      <c r="V143" s="6">
        <f t="shared" si="183"/>
        <v>111</v>
      </c>
      <c r="W143" s="3">
        <f t="shared" si="184"/>
        <v>11088.900000000001</v>
      </c>
      <c r="X143" s="3">
        <f t="shared" si="185"/>
        <v>11100</v>
      </c>
      <c r="Y143" s="3">
        <f t="shared" si="167"/>
        <v>11100</v>
      </c>
      <c r="Z143" s="9">
        <f t="shared" si="168"/>
        <v>5.7500000000000002E-2</v>
      </c>
      <c r="AA143" s="3">
        <f t="shared" si="169"/>
        <v>11525.5</v>
      </c>
      <c r="AB143" s="3" t="str">
        <f t="shared" si="170"/>
        <v>nie</v>
      </c>
      <c r="AC143" s="3">
        <f t="shared" si="171"/>
        <v>77.699999999999989</v>
      </c>
      <c r="AD143" s="1">
        <f t="shared" si="192"/>
        <v>21</v>
      </c>
      <c r="AE143" s="1">
        <f t="shared" si="162"/>
        <v>6</v>
      </c>
      <c r="AF143" s="1">
        <f t="shared" si="162"/>
        <v>4</v>
      </c>
      <c r="AG143" s="1">
        <f t="shared" si="162"/>
        <v>11</v>
      </c>
      <c r="AH143" s="3">
        <f t="shared" si="148"/>
        <v>2100</v>
      </c>
      <c r="AI143" s="9">
        <f t="shared" si="193"/>
        <v>1.2999999999999999E-2</v>
      </c>
      <c r="AJ143" s="3">
        <f t="shared" si="149"/>
        <v>2118.1999999999998</v>
      </c>
      <c r="AK143" s="3">
        <f t="shared" si="194"/>
        <v>14.7</v>
      </c>
      <c r="AL143" s="3">
        <f t="shared" si="165"/>
        <v>2100</v>
      </c>
      <c r="AM143" s="9">
        <f t="shared" si="197"/>
        <v>5.7500000000000002E-2</v>
      </c>
      <c r="AN143" s="3">
        <f t="shared" si="150"/>
        <v>2180.5</v>
      </c>
      <c r="AO143" s="3">
        <f t="shared" si="198"/>
        <v>14.7</v>
      </c>
      <c r="AP143" s="3">
        <f t="shared" si="172"/>
        <v>0</v>
      </c>
      <c r="AQ143" s="3">
        <f t="shared" si="151"/>
        <v>0</v>
      </c>
      <c r="AR143" s="3">
        <f t="shared" si="152"/>
        <v>43.200000000007776</v>
      </c>
      <c r="AS143" s="1">
        <f t="shared" si="190"/>
        <v>0</v>
      </c>
      <c r="AT143" s="3">
        <f t="shared" si="173"/>
        <v>43.200000000007776</v>
      </c>
      <c r="AU143" s="1">
        <f t="shared" si="147"/>
        <v>0</v>
      </c>
      <c r="AV143" s="3">
        <f t="shared" si="153"/>
        <v>43.200000000007776</v>
      </c>
      <c r="AW143" s="3">
        <f t="shared" si="154"/>
        <v>15867.400000000009</v>
      </c>
      <c r="AX143" s="3">
        <f>MIN(IF(MOD(S143,12)=0,INDEX(IKE_oplata_wskaznik,MATCH(ROUNDUP(S143/12,0),IKE_oplata_rok,0)),0)*AW143,200)</f>
        <v>0</v>
      </c>
      <c r="AY143" s="3">
        <f t="shared" si="130"/>
        <v>140.85364000000004</v>
      </c>
      <c r="AZ143" s="3">
        <f t="shared" si="174"/>
        <v>15726.546360000009</v>
      </c>
      <c r="BA143" s="3">
        <f t="shared" si="131"/>
        <v>107.1</v>
      </c>
      <c r="BB143" s="3">
        <f t="shared" si="175"/>
        <v>1094.4570000000017</v>
      </c>
      <c r="BC143" s="3">
        <f t="shared" si="176"/>
        <v>14524.989360000007</v>
      </c>
      <c r="BE143" s="6">
        <f t="shared" si="186"/>
        <v>171</v>
      </c>
      <c r="BF143" s="3">
        <f t="shared" si="187"/>
        <v>17082.900000000001</v>
      </c>
      <c r="BG143" s="3">
        <f t="shared" si="188"/>
        <v>17100</v>
      </c>
      <c r="BH143" s="3">
        <f t="shared" si="189"/>
        <v>17100</v>
      </c>
      <c r="BI143" s="9">
        <f t="shared" si="177"/>
        <v>1.7000000000000001E-2</v>
      </c>
      <c r="BJ143" s="3">
        <f t="shared" si="178"/>
        <v>17293.800000000003</v>
      </c>
      <c r="BK143" s="3" t="str">
        <f t="shared" si="179"/>
        <v>nie</v>
      </c>
      <c r="BL143" s="3">
        <f t="shared" si="136"/>
        <v>0</v>
      </c>
      <c r="BM143" s="3">
        <f t="shared" si="137"/>
        <v>99.101013057381351</v>
      </c>
      <c r="BN143" s="3">
        <f t="shared" si="138"/>
        <v>17392.901013057384</v>
      </c>
      <c r="BO143" s="3">
        <f>MIN(IF(MOD(S143,12)=0,INDEX(IKE_oplata_wskaznik,MATCH(ROUNDUP(S143/12,0),IKE_oplata_rok,0)),0)*BN143,200)</f>
        <v>0</v>
      </c>
      <c r="BP143" s="3">
        <f t="shared" si="139"/>
        <v>148.92176561897645</v>
      </c>
      <c r="BQ143" s="3">
        <f t="shared" si="140"/>
        <v>17243.979247438408</v>
      </c>
      <c r="BR143" s="3">
        <f t="shared" si="180"/>
        <v>193.80000000000291</v>
      </c>
      <c r="BS143" s="3">
        <f t="shared" si="181"/>
        <v>1349</v>
      </c>
      <c r="BT143" s="3">
        <f t="shared" si="141"/>
        <v>15701.179247438406</v>
      </c>
    </row>
    <row r="144" spans="2:72">
      <c r="B144" s="172"/>
      <c r="C144" s="1">
        <f t="shared" si="195"/>
        <v>110</v>
      </c>
      <c r="D144" s="3">
        <f t="shared" si="157"/>
        <v>14543.846593333337</v>
      </c>
      <c r="E144" s="3">
        <f t="shared" si="158"/>
        <v>13576.802510000003</v>
      </c>
      <c r="F144" s="3">
        <f t="shared" si="159"/>
        <v>16239.789502552529</v>
      </c>
      <c r="G144" s="3">
        <f t="shared" si="160"/>
        <v>14867.198941792423</v>
      </c>
      <c r="H144" s="3">
        <f t="shared" si="196"/>
        <v>11177.510264351629</v>
      </c>
      <c r="I144" s="3">
        <f t="shared" si="161"/>
        <v>15642.559511116704</v>
      </c>
      <c r="S144" s="1">
        <f t="shared" si="182"/>
        <v>129</v>
      </c>
      <c r="T144" s="9">
        <f t="shared" si="191"/>
        <v>0.05</v>
      </c>
      <c r="U144" s="3">
        <f t="shared" ref="U144:U159" si="199">zakup_domyslny_wartosc*IFERROR((INDEX(scenariusz_I_inflacja_skumulowana,MATCH(ROUNDDOWN(S144/12,0),scenariusz_I_rok,0))+1),1)
*(1+MOD(S144,12)*INDEX(scenariusz_I_inflacja,MATCH(ROUNDUP(S144/12,0),scenariusz_I_rok,0))/12)</f>
        <v>16899.781752815961</v>
      </c>
      <c r="V144" s="6">
        <f t="shared" si="183"/>
        <v>111</v>
      </c>
      <c r="W144" s="3">
        <f t="shared" si="184"/>
        <v>11088.900000000001</v>
      </c>
      <c r="X144" s="3">
        <f t="shared" si="185"/>
        <v>11100</v>
      </c>
      <c r="Y144" s="3">
        <f t="shared" ref="Y144:Y159" si="200">X144</f>
        <v>11100</v>
      </c>
      <c r="Z144" s="9">
        <f t="shared" ref="Z144:Z159" si="201">IF(AND(MOD($S144,zapadalnosc_COI)&lt;=12,MOD($S144,zapadalnosc_COI)&lt;&gt;0),proc_I_okres_COI,(marza_COI+$T144))</f>
        <v>5.7500000000000002E-2</v>
      </c>
      <c r="AA144" s="3">
        <f t="shared" ref="AA144:AA159" si="202">Y144*(1+Z144*IF(MOD($S144,12)&lt;&gt;0,MOD($S144,12),12)/12)</f>
        <v>11578.6875</v>
      </c>
      <c r="AB144" s="3" t="str">
        <f t="shared" ref="AB144:AB159" si="203">IF(MOD($S144,zapadalnosc_COI)=0,"tak","nie")</f>
        <v>nie</v>
      </c>
      <c r="AC144" s="3">
        <f t="shared" ref="AC144:AC159" si="204">IF(MOD($S144,zapadalnosc_COI)=0,0,
IF(AND(MOD($S144,zapadalnosc_COI)&lt;zapadalnosc_COI,MOD($S144,zapadalnosc_COI)&lt;=12),
MIN(AA144-X144,V144*koszt_wczesniejszy_wykup_COI),V144*koszt_wczesniejszy_wykup_COI))</f>
        <v>77.699999999999989</v>
      </c>
      <c r="AD144" s="1">
        <f t="shared" si="192"/>
        <v>21</v>
      </c>
      <c r="AE144" s="1">
        <f t="shared" si="162"/>
        <v>6</v>
      </c>
      <c r="AF144" s="1">
        <f t="shared" si="162"/>
        <v>4</v>
      </c>
      <c r="AG144" s="1">
        <f t="shared" si="162"/>
        <v>11</v>
      </c>
      <c r="AH144" s="3">
        <f t="shared" si="148"/>
        <v>2100</v>
      </c>
      <c r="AI144" s="9">
        <f t="shared" si="193"/>
        <v>1.2999999999999999E-2</v>
      </c>
      <c r="AJ144" s="3">
        <f t="shared" si="149"/>
        <v>2120.4749999999999</v>
      </c>
      <c r="AK144" s="3">
        <f t="shared" si="194"/>
        <v>14.7</v>
      </c>
      <c r="AL144" s="3">
        <f t="shared" si="165"/>
        <v>2100</v>
      </c>
      <c r="AM144" s="9">
        <f t="shared" si="197"/>
        <v>5.7500000000000002E-2</v>
      </c>
      <c r="AN144" s="3">
        <f t="shared" si="150"/>
        <v>2190.5625</v>
      </c>
      <c r="AO144" s="3">
        <f t="shared" si="198"/>
        <v>14.7</v>
      </c>
      <c r="AP144" s="3">
        <f t="shared" ref="AP144:AP158" si="205">IF(MOD(S144,wyplata_odsetek_COI)=0, (AA144-X144),0)
-IF(AND(AB144="tak",W145&lt;&gt;""),W145-X144,0)</f>
        <v>0</v>
      </c>
      <c r="AQ144" s="3">
        <f t="shared" si="151"/>
        <v>0</v>
      </c>
      <c r="AR144" s="3">
        <f t="shared" si="152"/>
        <v>43.200000000007776</v>
      </c>
      <c r="AS144" s="1">
        <f t="shared" si="190"/>
        <v>0</v>
      </c>
      <c r="AT144" s="3">
        <f t="shared" ref="AT144:AT159" si="206">AR144-AS144*zamiana_COI</f>
        <v>43.200000000007776</v>
      </c>
      <c r="AU144" s="1">
        <f t="shared" si="147"/>
        <v>0</v>
      </c>
      <c r="AV144" s="3">
        <f t="shared" si="153"/>
        <v>43.200000000007776</v>
      </c>
      <c r="AW144" s="3">
        <f t="shared" si="154"/>
        <v>15932.925000000008</v>
      </c>
      <c r="AX144" s="3">
        <f>MIN(IF(MOD(S144,12)=0,INDEX(IKE_oplata_wskaznik,MATCH(ROUNDUP(S144/12,0),IKE_oplata_rok,0)),0)*AW144,200)</f>
        <v>0</v>
      </c>
      <c r="AY144" s="3">
        <f t="shared" si="130"/>
        <v>140.85364000000004</v>
      </c>
      <c r="AZ144" s="3">
        <f t="shared" ref="AZ144:AZ159" si="207">AW144-AY144</f>
        <v>15792.071360000009</v>
      </c>
      <c r="BA144" s="3">
        <f t="shared" si="131"/>
        <v>107.1</v>
      </c>
      <c r="BB144" s="3">
        <f t="shared" ref="BB144:BB159" si="208">(AW144-BA144-zakup_domyslny_wartosc)*podatek_Belki</f>
        <v>1106.9067500000015</v>
      </c>
      <c r="BC144" s="3">
        <f t="shared" ref="BC144:BC159" si="209">AW144-AY144-BA144-BB144</f>
        <v>14578.064610000007</v>
      </c>
      <c r="BE144" s="6">
        <f t="shared" si="186"/>
        <v>171</v>
      </c>
      <c r="BF144" s="3">
        <f t="shared" si="187"/>
        <v>17082.900000000001</v>
      </c>
      <c r="BG144" s="3">
        <f t="shared" si="188"/>
        <v>17100</v>
      </c>
      <c r="BH144" s="3">
        <f t="shared" si="189"/>
        <v>17100</v>
      </c>
      <c r="BI144" s="9">
        <f t="shared" ref="BI144:BI159" si="210">IF(AND(MOD($S144,zapadalnosc_EDO)&lt;=12,MOD($S144,zapadalnosc_EDO)&lt;&gt;0),proc_I_okres_EDO,(marza_EDO+$T144))</f>
        <v>1.7000000000000001E-2</v>
      </c>
      <c r="BJ144" s="3">
        <f t="shared" ref="BJ144:BJ159" si="211">BH144*(1+BI144*IF(MOD($S144,12)&lt;&gt;0,MOD($S144,12),12)/12)</f>
        <v>17318.025000000001</v>
      </c>
      <c r="BK144" s="3" t="str">
        <f t="shared" ref="BK144:BK159" si="212">IF(MOD($S144,zapadalnosc_EDO)=0,"tak","nie")</f>
        <v>nie</v>
      </c>
      <c r="BL144" s="3">
        <f t="shared" si="136"/>
        <v>0</v>
      </c>
      <c r="BM144" s="3">
        <f t="shared" si="137"/>
        <v>99.101013057381351</v>
      </c>
      <c r="BN144" s="3">
        <f t="shared" si="138"/>
        <v>17417.126013057383</v>
      </c>
      <c r="BO144" s="3">
        <f>MIN(IF(MOD(S144,12)=0,INDEX(IKE_oplata_wskaznik,MATCH(ROUNDUP(S144/12,0),IKE_oplata_rok,0)),0)*BN144,200)</f>
        <v>0</v>
      </c>
      <c r="BP144" s="3">
        <f t="shared" si="139"/>
        <v>148.92176561897645</v>
      </c>
      <c r="BQ144" s="3">
        <f t="shared" si="140"/>
        <v>17268.204247438407</v>
      </c>
      <c r="BR144" s="3">
        <f t="shared" ref="BR144:BR159" si="213">IF(AND(MOD($S144,zapadalnosc_EDO)&lt;zapadalnosc_EDO,MOD($S144,zapadalnosc_EDO)&lt;&gt;0),MIN(BJ144-BG144,BE144*koszt_wczesniejszy_wykup_EDO),0)</f>
        <v>218.02500000000146</v>
      </c>
      <c r="BS144" s="3">
        <f t="shared" ref="BS144:BS159" si="214">(BJ144-BR144-zakup_domyslny_wartosc)*podatek_Belki</f>
        <v>1349</v>
      </c>
      <c r="BT144" s="3">
        <f t="shared" si="141"/>
        <v>15701.179247438406</v>
      </c>
    </row>
    <row r="145" spans="2:72">
      <c r="B145" s="172"/>
      <c r="C145" s="1">
        <f t="shared" si="195"/>
        <v>111</v>
      </c>
      <c r="D145" s="3">
        <f t="shared" si="157"/>
        <v>14611.100760000007</v>
      </c>
      <c r="E145" s="3">
        <f t="shared" si="158"/>
        <v>13630.751885000005</v>
      </c>
      <c r="F145" s="3">
        <f t="shared" si="159"/>
        <v>16320.836677142421</v>
      </c>
      <c r="G145" s="3">
        <f t="shared" si="160"/>
        <v>14932.847153210236</v>
      </c>
      <c r="H145" s="3">
        <f t="shared" si="196"/>
        <v>11188.827493494286</v>
      </c>
      <c r="I145" s="3">
        <f t="shared" si="161"/>
        <v>15707.198186782476</v>
      </c>
      <c r="S145" s="1">
        <f t="shared" ref="S145:S159" si="215">S144+1</f>
        <v>130</v>
      </c>
      <c r="T145" s="9">
        <f t="shared" si="191"/>
        <v>0.05</v>
      </c>
      <c r="U145" s="3">
        <f t="shared" si="199"/>
        <v>16967.65236226502</v>
      </c>
      <c r="V145" s="6">
        <f t="shared" ref="V145:V159" si="216">IF(AB144="tak",
ROUNDDOWN(AA144/zamiana_COI,0),
V144)</f>
        <v>111</v>
      </c>
      <c r="W145" s="3">
        <f t="shared" ref="W145:W159" si="217">IF(AB144="tak",
V145*zamiana_COI,
W144)</f>
        <v>11088.900000000001</v>
      </c>
      <c r="X145" s="3">
        <f t="shared" ref="X145:X159" si="218">IF(AB144="tak",
V145*100,
X144)</f>
        <v>11100</v>
      </c>
      <c r="Y145" s="3">
        <f t="shared" si="200"/>
        <v>11100</v>
      </c>
      <c r="Z145" s="9">
        <f t="shared" si="201"/>
        <v>5.7500000000000002E-2</v>
      </c>
      <c r="AA145" s="3">
        <f t="shared" si="202"/>
        <v>11631.875</v>
      </c>
      <c r="AB145" s="3" t="str">
        <f t="shared" si="203"/>
        <v>nie</v>
      </c>
      <c r="AC145" s="3">
        <f t="shared" si="204"/>
        <v>77.699999999999989</v>
      </c>
      <c r="AD145" s="1">
        <f t="shared" si="192"/>
        <v>21</v>
      </c>
      <c r="AE145" s="1">
        <f t="shared" si="162"/>
        <v>6</v>
      </c>
      <c r="AF145" s="1">
        <f t="shared" si="162"/>
        <v>4</v>
      </c>
      <c r="AG145" s="1">
        <f t="shared" si="162"/>
        <v>11</v>
      </c>
      <c r="AH145" s="3">
        <f t="shared" si="148"/>
        <v>2100</v>
      </c>
      <c r="AI145" s="9">
        <f t="shared" si="193"/>
        <v>1.2999999999999999E-2</v>
      </c>
      <c r="AJ145" s="3">
        <f t="shared" si="149"/>
        <v>2122.75</v>
      </c>
      <c r="AK145" s="3">
        <f t="shared" si="194"/>
        <v>14.7</v>
      </c>
      <c r="AL145" s="3">
        <f t="shared" si="165"/>
        <v>2100</v>
      </c>
      <c r="AM145" s="9">
        <f t="shared" si="197"/>
        <v>5.7500000000000002E-2</v>
      </c>
      <c r="AN145" s="3">
        <f t="shared" si="150"/>
        <v>2200.625</v>
      </c>
      <c r="AO145" s="3">
        <f t="shared" si="198"/>
        <v>14.7</v>
      </c>
      <c r="AP145" s="3">
        <f t="shared" si="205"/>
        <v>0</v>
      </c>
      <c r="AQ145" s="3">
        <f t="shared" si="151"/>
        <v>0</v>
      </c>
      <c r="AR145" s="3">
        <f t="shared" si="152"/>
        <v>43.200000000007776</v>
      </c>
      <c r="AS145" s="1">
        <f t="shared" si="190"/>
        <v>0</v>
      </c>
      <c r="AT145" s="3">
        <f t="shared" si="206"/>
        <v>43.200000000007776</v>
      </c>
      <c r="AU145" s="1">
        <f t="shared" si="147"/>
        <v>0</v>
      </c>
      <c r="AV145" s="3">
        <f t="shared" si="153"/>
        <v>43.200000000007776</v>
      </c>
      <c r="AW145" s="3">
        <f t="shared" si="154"/>
        <v>15998.450000000008</v>
      </c>
      <c r="AX145" s="3">
        <f>MIN(IF(MOD(S145,12)=0,INDEX(IKE_oplata_wskaznik,MATCH(ROUNDUP(S145/12,0),IKE_oplata_rok,0)),0)*AW145,200)</f>
        <v>0</v>
      </c>
      <c r="AY145" s="3">
        <f t="shared" ref="AY145:AY159" si="219">AX145+AY144</f>
        <v>140.85364000000004</v>
      </c>
      <c r="AZ145" s="3">
        <f t="shared" si="207"/>
        <v>15857.596360000009</v>
      </c>
      <c r="BA145" s="3">
        <f t="shared" ref="BA145:BA159" si="220">AC145+AK145+AO145</f>
        <v>107.1</v>
      </c>
      <c r="BB145" s="3">
        <f t="shared" si="208"/>
        <v>1119.3565000000015</v>
      </c>
      <c r="BC145" s="3">
        <f t="shared" si="209"/>
        <v>14631.139860000007</v>
      </c>
      <c r="BE145" s="6">
        <f t="shared" ref="BE145:BE159" si="221">IF(BK144="tak",
ROUNDDOWN(BJ144/zamiana_EDO,0),
BE144)</f>
        <v>171</v>
      </c>
      <c r="BF145" s="3">
        <f t="shared" ref="BF145:BF159" si="222">IF(BK144="tak",
BE145*zamiana_EDO,
BF144)</f>
        <v>17082.900000000001</v>
      </c>
      <c r="BG145" s="3">
        <f t="shared" ref="BG145:BG159" si="223">IF(BK144="tak",
BE145*100,
BG144)</f>
        <v>17100</v>
      </c>
      <c r="BH145" s="3">
        <f t="shared" ref="BH145:BH159" si="224">IF(BK144="tak",
 BG145,
IF(MOD($S145,kapitalizacja_odsetek_mc_EDO)&lt;&gt;1,BH144,BJ144))</f>
        <v>17100</v>
      </c>
      <c r="BI145" s="9">
        <f t="shared" si="210"/>
        <v>1.7000000000000001E-2</v>
      </c>
      <c r="BJ145" s="3">
        <f t="shared" si="211"/>
        <v>17342.25</v>
      </c>
      <c r="BK145" s="3" t="str">
        <f t="shared" si="212"/>
        <v>nie</v>
      </c>
      <c r="BL145" s="3">
        <f t="shared" ref="BL145:BL159" si="225">IF(AND(BK145="tak",BF146&lt;&gt;""),
 BJ145-BF146,
0)</f>
        <v>0</v>
      </c>
      <c r="BM145" s="3">
        <f t="shared" ref="BM145:BM159" si="226">BM144+BL145</f>
        <v>99.101013057381351</v>
      </c>
      <c r="BN145" s="3">
        <f t="shared" ref="BN145:BN159" si="227">BM144+BJ145</f>
        <v>17441.351013057381</v>
      </c>
      <c r="BO145" s="3">
        <f>MIN(IF(MOD(S145,12)=0,INDEX(IKE_oplata_wskaznik,MATCH(ROUNDUP(S145/12,0),IKE_oplata_rok,0)),0)*BN145,200)</f>
        <v>0</v>
      </c>
      <c r="BP145" s="3">
        <f t="shared" ref="BP145:BP159" si="228">BO145+BP144</f>
        <v>148.92176561897645</v>
      </c>
      <c r="BQ145" s="3">
        <f t="shared" ref="BQ145:BQ159" si="229">BN145-BP145</f>
        <v>17292.429247438406</v>
      </c>
      <c r="BR145" s="3">
        <f t="shared" si="213"/>
        <v>242.25</v>
      </c>
      <c r="BS145" s="3">
        <f t="shared" si="214"/>
        <v>1349</v>
      </c>
      <c r="BT145" s="3">
        <f t="shared" ref="BT145:BT159" si="230">BN145-BP145-BR145-BS145</f>
        <v>15701.179247438406</v>
      </c>
    </row>
    <row r="146" spans="2:72">
      <c r="B146" s="172"/>
      <c r="C146" s="1">
        <f t="shared" si="195"/>
        <v>112</v>
      </c>
      <c r="D146" s="3">
        <f t="shared" si="157"/>
        <v>14678.354926666676</v>
      </c>
      <c r="E146" s="3">
        <f t="shared" si="158"/>
        <v>13684.701260000007</v>
      </c>
      <c r="F146" s="3">
        <f t="shared" si="159"/>
        <v>16401.883851732317</v>
      </c>
      <c r="G146" s="3">
        <f t="shared" si="160"/>
        <v>14998.495364628052</v>
      </c>
      <c r="H146" s="3">
        <f t="shared" si="196"/>
        <v>11200.156181331449</v>
      </c>
      <c r="I146" s="3">
        <f t="shared" si="161"/>
        <v>15771.836862448246</v>
      </c>
      <c r="S146" s="1">
        <f t="shared" si="215"/>
        <v>131</v>
      </c>
      <c r="T146" s="9">
        <f t="shared" si="191"/>
        <v>0.05</v>
      </c>
      <c r="U146" s="3">
        <f t="shared" si="199"/>
        <v>17035.522971714083</v>
      </c>
      <c r="V146" s="6">
        <f t="shared" si="216"/>
        <v>111</v>
      </c>
      <c r="W146" s="3">
        <f t="shared" si="217"/>
        <v>11088.900000000001</v>
      </c>
      <c r="X146" s="3">
        <f t="shared" si="218"/>
        <v>11100</v>
      </c>
      <c r="Y146" s="3">
        <f t="shared" si="200"/>
        <v>11100</v>
      </c>
      <c r="Z146" s="9">
        <f t="shared" si="201"/>
        <v>5.7500000000000002E-2</v>
      </c>
      <c r="AA146" s="3">
        <f t="shared" si="202"/>
        <v>11685.0625</v>
      </c>
      <c r="AB146" s="3" t="str">
        <f t="shared" si="203"/>
        <v>nie</v>
      </c>
      <c r="AC146" s="3">
        <f t="shared" si="204"/>
        <v>77.699999999999989</v>
      </c>
      <c r="AD146" s="1">
        <f t="shared" si="192"/>
        <v>21</v>
      </c>
      <c r="AE146" s="1">
        <f t="shared" si="162"/>
        <v>6</v>
      </c>
      <c r="AF146" s="1">
        <f t="shared" si="162"/>
        <v>4</v>
      </c>
      <c r="AG146" s="1">
        <f t="shared" si="162"/>
        <v>11</v>
      </c>
      <c r="AH146" s="3">
        <f t="shared" si="148"/>
        <v>2100</v>
      </c>
      <c r="AI146" s="9">
        <f t="shared" si="193"/>
        <v>1.2999999999999999E-2</v>
      </c>
      <c r="AJ146" s="3">
        <f t="shared" si="149"/>
        <v>2125.0249999999996</v>
      </c>
      <c r="AK146" s="3">
        <f t="shared" si="194"/>
        <v>14.7</v>
      </c>
      <c r="AL146" s="3">
        <f t="shared" si="165"/>
        <v>2100</v>
      </c>
      <c r="AM146" s="9">
        <f t="shared" si="197"/>
        <v>5.7500000000000002E-2</v>
      </c>
      <c r="AN146" s="3">
        <f t="shared" si="150"/>
        <v>2210.6875</v>
      </c>
      <c r="AO146" s="3">
        <f t="shared" si="198"/>
        <v>14.7</v>
      </c>
      <c r="AP146" s="3">
        <f t="shared" si="205"/>
        <v>0</v>
      </c>
      <c r="AQ146" s="3">
        <f t="shared" si="151"/>
        <v>0</v>
      </c>
      <c r="AR146" s="3">
        <f t="shared" si="152"/>
        <v>43.200000000007776</v>
      </c>
      <c r="AS146" s="1">
        <f t="shared" si="190"/>
        <v>0</v>
      </c>
      <c r="AT146" s="3">
        <f t="shared" si="206"/>
        <v>43.200000000007776</v>
      </c>
      <c r="AU146" s="1">
        <f t="shared" si="147"/>
        <v>0</v>
      </c>
      <c r="AV146" s="3">
        <f t="shared" si="153"/>
        <v>43.200000000007776</v>
      </c>
      <c r="AW146" s="3">
        <f t="shared" si="154"/>
        <v>16063.975000000008</v>
      </c>
      <c r="AX146" s="3">
        <f>MIN(IF(MOD(S146,12)=0,INDEX(IKE_oplata_wskaznik,MATCH(ROUNDUP(S146/12,0),IKE_oplata_rok,0)),0)*AW146,200)</f>
        <v>0</v>
      </c>
      <c r="AY146" s="3">
        <f t="shared" si="219"/>
        <v>140.85364000000004</v>
      </c>
      <c r="AZ146" s="3">
        <f t="shared" si="207"/>
        <v>15923.121360000008</v>
      </c>
      <c r="BA146" s="3">
        <f t="shared" si="220"/>
        <v>107.1</v>
      </c>
      <c r="BB146" s="3">
        <f t="shared" si="208"/>
        <v>1131.8062500000015</v>
      </c>
      <c r="BC146" s="3">
        <f t="shared" si="209"/>
        <v>14684.215110000006</v>
      </c>
      <c r="BE146" s="6">
        <f t="shared" si="221"/>
        <v>171</v>
      </c>
      <c r="BF146" s="3">
        <f t="shared" si="222"/>
        <v>17082.900000000001</v>
      </c>
      <c r="BG146" s="3">
        <f t="shared" si="223"/>
        <v>17100</v>
      </c>
      <c r="BH146" s="3">
        <f t="shared" si="224"/>
        <v>17100</v>
      </c>
      <c r="BI146" s="9">
        <f t="shared" si="210"/>
        <v>1.7000000000000001E-2</v>
      </c>
      <c r="BJ146" s="3">
        <f t="shared" si="211"/>
        <v>17366.474999999999</v>
      </c>
      <c r="BK146" s="3" t="str">
        <f t="shared" si="212"/>
        <v>nie</v>
      </c>
      <c r="BL146" s="3">
        <f t="shared" si="225"/>
        <v>0</v>
      </c>
      <c r="BM146" s="3">
        <f t="shared" si="226"/>
        <v>99.101013057381351</v>
      </c>
      <c r="BN146" s="3">
        <f t="shared" si="227"/>
        <v>17465.57601305738</v>
      </c>
      <c r="BO146" s="3">
        <f>MIN(IF(MOD(S146,12)=0,INDEX(IKE_oplata_wskaznik,MATCH(ROUNDUP(S146/12,0),IKE_oplata_rok,0)),0)*BN146,200)</f>
        <v>0</v>
      </c>
      <c r="BP146" s="3">
        <f t="shared" si="228"/>
        <v>148.92176561897645</v>
      </c>
      <c r="BQ146" s="3">
        <f t="shared" si="229"/>
        <v>17316.654247438404</v>
      </c>
      <c r="BR146" s="3">
        <f t="shared" si="213"/>
        <v>266.47499999999854</v>
      </c>
      <c r="BS146" s="3">
        <f t="shared" si="214"/>
        <v>1349</v>
      </c>
      <c r="BT146" s="3">
        <f t="shared" si="230"/>
        <v>15701.179247438406</v>
      </c>
    </row>
    <row r="147" spans="2:72">
      <c r="B147" s="172"/>
      <c r="C147" s="1">
        <f t="shared" si="195"/>
        <v>113</v>
      </c>
      <c r="D147" s="3">
        <f t="shared" si="157"/>
        <v>14745.609093333338</v>
      </c>
      <c r="E147" s="3">
        <f t="shared" si="158"/>
        <v>13738.650635000004</v>
      </c>
      <c r="F147" s="3">
        <f t="shared" si="159"/>
        <v>16482.931026322211</v>
      </c>
      <c r="G147" s="3">
        <f t="shared" si="160"/>
        <v>15064.143576045866</v>
      </c>
      <c r="H147" s="3">
        <f t="shared" si="196"/>
        <v>11211.496339465048</v>
      </c>
      <c r="I147" s="3">
        <f t="shared" si="161"/>
        <v>15836.475538114018</v>
      </c>
      <c r="S147" s="1">
        <f t="shared" si="215"/>
        <v>132</v>
      </c>
      <c r="T147" s="9">
        <f t="shared" si="191"/>
        <v>0.05</v>
      </c>
      <c r="U147" s="3">
        <f t="shared" si="199"/>
        <v>17103.393581163142</v>
      </c>
      <c r="V147" s="6">
        <f t="shared" si="216"/>
        <v>111</v>
      </c>
      <c r="W147" s="3">
        <f t="shared" si="217"/>
        <v>11088.900000000001</v>
      </c>
      <c r="X147" s="3">
        <f t="shared" si="218"/>
        <v>11100</v>
      </c>
      <c r="Y147" s="3">
        <f t="shared" si="200"/>
        <v>11100</v>
      </c>
      <c r="Z147" s="9">
        <f t="shared" si="201"/>
        <v>5.7500000000000002E-2</v>
      </c>
      <c r="AA147" s="3">
        <f t="shared" si="202"/>
        <v>11738.250000000002</v>
      </c>
      <c r="AB147" s="3" t="str">
        <f t="shared" si="203"/>
        <v>nie</v>
      </c>
      <c r="AC147" s="3">
        <f t="shared" si="204"/>
        <v>77.699999999999989</v>
      </c>
      <c r="AD147" s="1">
        <f t="shared" si="192"/>
        <v>21</v>
      </c>
      <c r="AE147" s="1">
        <f t="shared" si="162"/>
        <v>6</v>
      </c>
      <c r="AF147" s="1">
        <f t="shared" si="162"/>
        <v>4</v>
      </c>
      <c r="AG147" s="1">
        <f t="shared" si="162"/>
        <v>11</v>
      </c>
      <c r="AH147" s="3">
        <f t="shared" si="148"/>
        <v>2100</v>
      </c>
      <c r="AI147" s="9">
        <f t="shared" si="193"/>
        <v>1.2999999999999999E-2</v>
      </c>
      <c r="AJ147" s="3">
        <f t="shared" si="149"/>
        <v>2127.2999999999997</v>
      </c>
      <c r="AK147" s="3">
        <f t="shared" si="194"/>
        <v>14.7</v>
      </c>
      <c r="AL147" s="3">
        <f t="shared" si="165"/>
        <v>2100</v>
      </c>
      <c r="AM147" s="9">
        <f t="shared" si="197"/>
        <v>5.7500000000000002E-2</v>
      </c>
      <c r="AN147" s="3">
        <f t="shared" si="150"/>
        <v>2220.75</v>
      </c>
      <c r="AO147" s="3">
        <f t="shared" si="198"/>
        <v>14.7</v>
      </c>
      <c r="AP147" s="3">
        <f t="shared" si="205"/>
        <v>638.25000000000182</v>
      </c>
      <c r="AQ147" s="3">
        <f t="shared" si="151"/>
        <v>1248.0499999999997</v>
      </c>
      <c r="AR147" s="3">
        <f t="shared" si="152"/>
        <v>1929.5000000000093</v>
      </c>
      <c r="AS147" s="1">
        <f t="shared" si="190"/>
        <v>11</v>
      </c>
      <c r="AT147" s="3">
        <f t="shared" si="206"/>
        <v>830.60000000000923</v>
      </c>
      <c r="AU147" s="1">
        <f t="shared" si="147"/>
        <v>8</v>
      </c>
      <c r="AV147" s="3">
        <f t="shared" si="153"/>
        <v>30.600000000009231</v>
      </c>
      <c r="AW147" s="3">
        <f t="shared" si="154"/>
        <v>16129.500000000009</v>
      </c>
      <c r="AX147" s="3">
        <f>MIN(IF(MOD(S147,12)=0,INDEX(IKE_oplata_wskaznik,MATCH(ROUNDUP(S147/12,0),IKE_oplata_rok,0)),0)*AW147,200)</f>
        <v>16.129500000000011</v>
      </c>
      <c r="AY147" s="3">
        <f t="shared" si="219"/>
        <v>156.98314000000005</v>
      </c>
      <c r="AZ147" s="3">
        <f t="shared" si="207"/>
        <v>15972.516860000009</v>
      </c>
      <c r="BA147" s="3">
        <f t="shared" si="220"/>
        <v>107.1</v>
      </c>
      <c r="BB147" s="3">
        <f t="shared" si="208"/>
        <v>1144.2560000000017</v>
      </c>
      <c r="BC147" s="3">
        <f t="shared" si="209"/>
        <v>14721.160860000007</v>
      </c>
      <c r="BE147" s="6">
        <f t="shared" si="221"/>
        <v>171</v>
      </c>
      <c r="BF147" s="3">
        <f t="shared" si="222"/>
        <v>17082.900000000001</v>
      </c>
      <c r="BG147" s="3">
        <f t="shared" si="223"/>
        <v>17100</v>
      </c>
      <c r="BH147" s="3">
        <f t="shared" si="224"/>
        <v>17100</v>
      </c>
      <c r="BI147" s="9">
        <f t="shared" si="210"/>
        <v>1.7000000000000001E-2</v>
      </c>
      <c r="BJ147" s="3">
        <f t="shared" si="211"/>
        <v>17390.699999999997</v>
      </c>
      <c r="BK147" s="3" t="str">
        <f t="shared" si="212"/>
        <v>nie</v>
      </c>
      <c r="BL147" s="3">
        <f t="shared" si="225"/>
        <v>0</v>
      </c>
      <c r="BM147" s="3">
        <f t="shared" si="226"/>
        <v>99.101013057381351</v>
      </c>
      <c r="BN147" s="3">
        <f t="shared" si="227"/>
        <v>17489.801013057378</v>
      </c>
      <c r="BO147" s="3">
        <f>MIN(IF(MOD(S147,12)=0,INDEX(IKE_oplata_wskaznik,MATCH(ROUNDUP(S147/12,0),IKE_oplata_rok,0)),0)*BN147,200)</f>
        <v>17.489801013057377</v>
      </c>
      <c r="BP147" s="3">
        <f t="shared" si="228"/>
        <v>166.41156663203384</v>
      </c>
      <c r="BQ147" s="3">
        <f t="shared" si="229"/>
        <v>17323.389446425346</v>
      </c>
      <c r="BR147" s="3">
        <f t="shared" si="213"/>
        <v>290.69999999999709</v>
      </c>
      <c r="BS147" s="3">
        <f t="shared" si="214"/>
        <v>1349</v>
      </c>
      <c r="BT147" s="3">
        <f t="shared" si="230"/>
        <v>15683.689446425349</v>
      </c>
    </row>
    <row r="148" spans="2:72">
      <c r="B148" s="172"/>
      <c r="C148" s="1">
        <f t="shared" si="195"/>
        <v>114</v>
      </c>
      <c r="D148" s="3">
        <f t="shared" si="157"/>
        <v>14812.863260000006</v>
      </c>
      <c r="E148" s="3">
        <f t="shared" si="158"/>
        <v>13792.600010000004</v>
      </c>
      <c r="F148" s="3">
        <f t="shared" si="159"/>
        <v>16563.978200912105</v>
      </c>
      <c r="G148" s="3">
        <f t="shared" si="160"/>
        <v>15129.791787463681</v>
      </c>
      <c r="H148" s="3">
        <f t="shared" si="196"/>
        <v>11222.847979508757</v>
      </c>
      <c r="I148" s="3">
        <f t="shared" si="161"/>
        <v>15901.114213779789</v>
      </c>
      <c r="S148" s="1">
        <f t="shared" si="215"/>
        <v>133</v>
      </c>
      <c r="T148" s="9">
        <f t="shared" si="191"/>
        <v>0.05</v>
      </c>
      <c r="U148" s="3">
        <f t="shared" si="199"/>
        <v>17174.657721084655</v>
      </c>
      <c r="V148" s="6">
        <f t="shared" si="216"/>
        <v>111</v>
      </c>
      <c r="W148" s="3">
        <f t="shared" si="217"/>
        <v>11088.900000000001</v>
      </c>
      <c r="X148" s="3">
        <f t="shared" si="218"/>
        <v>11100</v>
      </c>
      <c r="Y148" s="3">
        <f t="shared" si="200"/>
        <v>11100</v>
      </c>
      <c r="Z148" s="9">
        <f t="shared" si="201"/>
        <v>5.7500000000000002E-2</v>
      </c>
      <c r="AA148" s="3">
        <f t="shared" si="202"/>
        <v>11153.187500000002</v>
      </c>
      <c r="AB148" s="3" t="str">
        <f t="shared" si="203"/>
        <v>nie</v>
      </c>
      <c r="AC148" s="3">
        <f t="shared" si="204"/>
        <v>77.699999999999989</v>
      </c>
      <c r="AD148" s="1">
        <f t="shared" si="192"/>
        <v>19</v>
      </c>
      <c r="AE148" s="1">
        <f t="shared" si="162"/>
        <v>21</v>
      </c>
      <c r="AF148" s="1">
        <f t="shared" si="162"/>
        <v>6</v>
      </c>
      <c r="AG148" s="1">
        <f t="shared" si="162"/>
        <v>4</v>
      </c>
      <c r="AH148" s="3">
        <f t="shared" si="148"/>
        <v>1900</v>
      </c>
      <c r="AI148" s="9">
        <f t="shared" si="193"/>
        <v>1.2999999999999999E-2</v>
      </c>
      <c r="AJ148" s="3">
        <f t="shared" si="149"/>
        <v>1902.0583333333334</v>
      </c>
      <c r="AK148" s="3">
        <f t="shared" si="194"/>
        <v>2.058333333333394</v>
      </c>
      <c r="AL148" s="3">
        <f t="shared" si="165"/>
        <v>3100</v>
      </c>
      <c r="AM148" s="9">
        <f t="shared" si="197"/>
        <v>5.7500000000000002E-2</v>
      </c>
      <c r="AN148" s="3">
        <f t="shared" si="150"/>
        <v>3114.854166666667</v>
      </c>
      <c r="AO148" s="3">
        <f t="shared" si="198"/>
        <v>21.7</v>
      </c>
      <c r="AP148" s="3">
        <f t="shared" si="205"/>
        <v>0</v>
      </c>
      <c r="AQ148" s="3">
        <f t="shared" si="151"/>
        <v>0</v>
      </c>
      <c r="AR148" s="3">
        <f t="shared" si="152"/>
        <v>30.600000000009231</v>
      </c>
      <c r="AS148" s="1">
        <f t="shared" si="190"/>
        <v>0</v>
      </c>
      <c r="AT148" s="3">
        <f t="shared" si="206"/>
        <v>30.600000000009231</v>
      </c>
      <c r="AU148" s="1">
        <f t="shared" si="147"/>
        <v>0</v>
      </c>
      <c r="AV148" s="3">
        <f t="shared" si="153"/>
        <v>30.600000000009231</v>
      </c>
      <c r="AW148" s="3">
        <f t="shared" si="154"/>
        <v>16200.700000000012</v>
      </c>
      <c r="AX148" s="3">
        <f>MIN(IF(MOD(S148,12)=0,INDEX(IKE_oplata_wskaznik,MATCH(ROUNDUP(S148/12,0),IKE_oplata_rok,0)),0)*AW148,200)</f>
        <v>0</v>
      </c>
      <c r="AY148" s="3">
        <f t="shared" si="219"/>
        <v>156.98314000000005</v>
      </c>
      <c r="AZ148" s="3">
        <f t="shared" si="207"/>
        <v>16043.716860000011</v>
      </c>
      <c r="BA148" s="3">
        <f t="shared" si="220"/>
        <v>101.45833333333339</v>
      </c>
      <c r="BB148" s="3">
        <f t="shared" si="208"/>
        <v>1158.8559166666687</v>
      </c>
      <c r="BC148" s="3">
        <f t="shared" si="209"/>
        <v>14783.402610000008</v>
      </c>
      <c r="BE148" s="6">
        <f t="shared" si="221"/>
        <v>171</v>
      </c>
      <c r="BF148" s="3">
        <f t="shared" si="222"/>
        <v>17082.900000000001</v>
      </c>
      <c r="BG148" s="3">
        <f t="shared" si="223"/>
        <v>17100</v>
      </c>
      <c r="BH148" s="3">
        <f t="shared" si="224"/>
        <v>17390.699999999997</v>
      </c>
      <c r="BI148" s="9">
        <f t="shared" si="210"/>
        <v>6.0000000000000005E-2</v>
      </c>
      <c r="BJ148" s="3">
        <f t="shared" si="211"/>
        <v>17477.653499999997</v>
      </c>
      <c r="BK148" s="3" t="str">
        <f t="shared" si="212"/>
        <v>nie</v>
      </c>
      <c r="BL148" s="3">
        <f t="shared" si="225"/>
        <v>0</v>
      </c>
      <c r="BM148" s="3">
        <f t="shared" si="226"/>
        <v>99.101013057381351</v>
      </c>
      <c r="BN148" s="3">
        <f t="shared" si="227"/>
        <v>17576.754513057378</v>
      </c>
      <c r="BO148" s="3">
        <f>MIN(IF(MOD(S148,12)=0,INDEX(IKE_oplata_wskaznik,MATCH(ROUNDUP(S148/12,0),IKE_oplata_rok,0)),0)*BN148,200)</f>
        <v>0</v>
      </c>
      <c r="BP148" s="3">
        <f t="shared" si="228"/>
        <v>166.41156663203384</v>
      </c>
      <c r="BQ148" s="3">
        <f t="shared" si="229"/>
        <v>17410.342946425346</v>
      </c>
      <c r="BR148" s="3">
        <f t="shared" si="213"/>
        <v>342</v>
      </c>
      <c r="BS148" s="3">
        <f t="shared" si="214"/>
        <v>1355.7741649999994</v>
      </c>
      <c r="BT148" s="3">
        <f t="shared" si="230"/>
        <v>15712.568781425347</v>
      </c>
    </row>
    <row r="149" spans="2:72">
      <c r="B149" s="172"/>
      <c r="C149" s="1">
        <f t="shared" si="195"/>
        <v>115</v>
      </c>
      <c r="D149" s="3">
        <f t="shared" si="157"/>
        <v>14880.117426666669</v>
      </c>
      <c r="E149" s="3">
        <f t="shared" si="158"/>
        <v>13846.832885000002</v>
      </c>
      <c r="F149" s="3">
        <f t="shared" si="159"/>
        <v>16645.025375501995</v>
      </c>
      <c r="G149" s="3">
        <f t="shared" si="160"/>
        <v>15195.439998881491</v>
      </c>
      <c r="H149" s="3">
        <f t="shared" si="196"/>
        <v>11234.211113088011</v>
      </c>
      <c r="I149" s="3">
        <f t="shared" si="161"/>
        <v>15965.752889445561</v>
      </c>
      <c r="S149" s="1">
        <f t="shared" si="215"/>
        <v>134</v>
      </c>
      <c r="T149" s="9">
        <f t="shared" si="191"/>
        <v>0.05</v>
      </c>
      <c r="U149" s="3">
        <f t="shared" si="199"/>
        <v>17245.921861006169</v>
      </c>
      <c r="V149" s="6">
        <f t="shared" si="216"/>
        <v>111</v>
      </c>
      <c r="W149" s="3">
        <f t="shared" si="217"/>
        <v>11088.900000000001</v>
      </c>
      <c r="X149" s="3">
        <f t="shared" si="218"/>
        <v>11100</v>
      </c>
      <c r="Y149" s="3">
        <f t="shared" si="200"/>
        <v>11100</v>
      </c>
      <c r="Z149" s="9">
        <f t="shared" si="201"/>
        <v>5.7500000000000002E-2</v>
      </c>
      <c r="AA149" s="3">
        <f t="shared" si="202"/>
        <v>11206.375</v>
      </c>
      <c r="AB149" s="3" t="str">
        <f t="shared" si="203"/>
        <v>nie</v>
      </c>
      <c r="AC149" s="3">
        <f t="shared" si="204"/>
        <v>77.699999999999989</v>
      </c>
      <c r="AD149" s="1">
        <f t="shared" si="192"/>
        <v>19</v>
      </c>
      <c r="AE149" s="1">
        <f t="shared" si="162"/>
        <v>21</v>
      </c>
      <c r="AF149" s="1">
        <f t="shared" si="162"/>
        <v>6</v>
      </c>
      <c r="AG149" s="1">
        <f t="shared" si="162"/>
        <v>4</v>
      </c>
      <c r="AH149" s="3">
        <f t="shared" si="148"/>
        <v>1900</v>
      </c>
      <c r="AI149" s="9">
        <f t="shared" si="193"/>
        <v>1.2999999999999999E-2</v>
      </c>
      <c r="AJ149" s="3">
        <f t="shared" si="149"/>
        <v>1904.1166666666666</v>
      </c>
      <c r="AK149" s="3">
        <f t="shared" si="194"/>
        <v>4.1166666666665606</v>
      </c>
      <c r="AL149" s="3">
        <f t="shared" si="165"/>
        <v>3100</v>
      </c>
      <c r="AM149" s="9">
        <f t="shared" si="197"/>
        <v>5.7500000000000002E-2</v>
      </c>
      <c r="AN149" s="3">
        <f t="shared" si="150"/>
        <v>3129.708333333333</v>
      </c>
      <c r="AO149" s="3">
        <f t="shared" si="198"/>
        <v>21.7</v>
      </c>
      <c r="AP149" s="3">
        <f t="shared" si="205"/>
        <v>0</v>
      </c>
      <c r="AQ149" s="3">
        <f t="shared" si="151"/>
        <v>0</v>
      </c>
      <c r="AR149" s="3">
        <f t="shared" si="152"/>
        <v>30.600000000009231</v>
      </c>
      <c r="AS149" s="1">
        <f t="shared" si="190"/>
        <v>0</v>
      </c>
      <c r="AT149" s="3">
        <f t="shared" si="206"/>
        <v>30.600000000009231</v>
      </c>
      <c r="AU149" s="1">
        <f t="shared" si="147"/>
        <v>0</v>
      </c>
      <c r="AV149" s="3">
        <f t="shared" si="153"/>
        <v>30.600000000009231</v>
      </c>
      <c r="AW149" s="3">
        <f t="shared" si="154"/>
        <v>16270.80000000001</v>
      </c>
      <c r="AX149" s="3">
        <f>MIN(IF(MOD(S149,12)=0,INDEX(IKE_oplata_wskaznik,MATCH(ROUNDUP(S149/12,0),IKE_oplata_rok,0)),0)*AW149,200)</f>
        <v>0</v>
      </c>
      <c r="AY149" s="3">
        <f t="shared" si="219"/>
        <v>156.98314000000005</v>
      </c>
      <c r="AZ149" s="3">
        <f t="shared" si="207"/>
        <v>16113.81686000001</v>
      </c>
      <c r="BA149" s="3">
        <f t="shared" si="220"/>
        <v>103.51666666666655</v>
      </c>
      <c r="BB149" s="3">
        <f t="shared" si="208"/>
        <v>1171.7838333333352</v>
      </c>
      <c r="BC149" s="3">
        <f t="shared" si="209"/>
        <v>14838.516360000009</v>
      </c>
      <c r="BE149" s="6">
        <f t="shared" si="221"/>
        <v>171</v>
      </c>
      <c r="BF149" s="3">
        <f t="shared" si="222"/>
        <v>17082.900000000001</v>
      </c>
      <c r="BG149" s="3">
        <f t="shared" si="223"/>
        <v>17100</v>
      </c>
      <c r="BH149" s="3">
        <f t="shared" si="224"/>
        <v>17390.699999999997</v>
      </c>
      <c r="BI149" s="9">
        <f t="shared" si="210"/>
        <v>6.0000000000000005E-2</v>
      </c>
      <c r="BJ149" s="3">
        <f t="shared" si="211"/>
        <v>17564.606999999996</v>
      </c>
      <c r="BK149" s="3" t="str">
        <f t="shared" si="212"/>
        <v>nie</v>
      </c>
      <c r="BL149" s="3">
        <f t="shared" si="225"/>
        <v>0</v>
      </c>
      <c r="BM149" s="3">
        <f t="shared" si="226"/>
        <v>99.101013057381351</v>
      </c>
      <c r="BN149" s="3">
        <f t="shared" si="227"/>
        <v>17663.708013057378</v>
      </c>
      <c r="BO149" s="3">
        <f>MIN(IF(MOD(S149,12)=0,INDEX(IKE_oplata_wskaznik,MATCH(ROUNDUP(S149/12,0),IKE_oplata_rok,0)),0)*BN149,200)</f>
        <v>0</v>
      </c>
      <c r="BP149" s="3">
        <f t="shared" si="228"/>
        <v>166.41156663203384</v>
      </c>
      <c r="BQ149" s="3">
        <f t="shared" si="229"/>
        <v>17497.296446425345</v>
      </c>
      <c r="BR149" s="3">
        <f t="shared" si="213"/>
        <v>342</v>
      </c>
      <c r="BS149" s="3">
        <f t="shared" si="214"/>
        <v>1372.2953299999992</v>
      </c>
      <c r="BT149" s="3">
        <f t="shared" si="230"/>
        <v>15783.001116425346</v>
      </c>
    </row>
    <row r="150" spans="2:72">
      <c r="B150" s="172"/>
      <c r="C150" s="1">
        <f t="shared" si="195"/>
        <v>116</v>
      </c>
      <c r="D150" s="3">
        <f t="shared" si="157"/>
        <v>14947.371593333341</v>
      </c>
      <c r="E150" s="3">
        <f t="shared" si="158"/>
        <v>13901.308760000005</v>
      </c>
      <c r="F150" s="3">
        <f t="shared" si="159"/>
        <v>16726.072550091892</v>
      </c>
      <c r="G150" s="3">
        <f t="shared" si="160"/>
        <v>15261.088210299309</v>
      </c>
      <c r="H150" s="3">
        <f t="shared" si="196"/>
        <v>11245.585751840013</v>
      </c>
      <c r="I150" s="3">
        <f t="shared" si="161"/>
        <v>16030.391565111335</v>
      </c>
      <c r="S150" s="1">
        <f t="shared" si="215"/>
        <v>135</v>
      </c>
      <c r="T150" s="9">
        <f t="shared" si="191"/>
        <v>0.05</v>
      </c>
      <c r="U150" s="3">
        <f t="shared" si="199"/>
        <v>17317.186000927679</v>
      </c>
      <c r="V150" s="6">
        <f t="shared" si="216"/>
        <v>111</v>
      </c>
      <c r="W150" s="3">
        <f t="shared" si="217"/>
        <v>11088.900000000001</v>
      </c>
      <c r="X150" s="3">
        <f t="shared" si="218"/>
        <v>11100</v>
      </c>
      <c r="Y150" s="3">
        <f t="shared" si="200"/>
        <v>11100</v>
      </c>
      <c r="Z150" s="9">
        <f t="shared" si="201"/>
        <v>5.7500000000000002E-2</v>
      </c>
      <c r="AA150" s="3">
        <f t="shared" si="202"/>
        <v>11259.5625</v>
      </c>
      <c r="AB150" s="3" t="str">
        <f t="shared" si="203"/>
        <v>nie</v>
      </c>
      <c r="AC150" s="3">
        <f t="shared" si="204"/>
        <v>77.699999999999989</v>
      </c>
      <c r="AD150" s="1">
        <f t="shared" si="192"/>
        <v>19</v>
      </c>
      <c r="AE150" s="1">
        <f t="shared" si="162"/>
        <v>21</v>
      </c>
      <c r="AF150" s="1">
        <f t="shared" si="162"/>
        <v>6</v>
      </c>
      <c r="AG150" s="1">
        <f t="shared" si="162"/>
        <v>4</v>
      </c>
      <c r="AH150" s="3">
        <f t="shared" si="148"/>
        <v>1900</v>
      </c>
      <c r="AI150" s="9">
        <f t="shared" si="193"/>
        <v>1.2999999999999999E-2</v>
      </c>
      <c r="AJ150" s="3">
        <f t="shared" si="149"/>
        <v>1906.175</v>
      </c>
      <c r="AK150" s="3">
        <f t="shared" si="194"/>
        <v>6.1749999999999545</v>
      </c>
      <c r="AL150" s="3">
        <f t="shared" si="165"/>
        <v>3100</v>
      </c>
      <c r="AM150" s="9">
        <f t="shared" si="197"/>
        <v>5.7500000000000002E-2</v>
      </c>
      <c r="AN150" s="3">
        <f t="shared" si="150"/>
        <v>3144.5625</v>
      </c>
      <c r="AO150" s="3">
        <f t="shared" si="198"/>
        <v>21.7</v>
      </c>
      <c r="AP150" s="3">
        <f t="shared" si="205"/>
        <v>0</v>
      </c>
      <c r="AQ150" s="3">
        <f t="shared" si="151"/>
        <v>0</v>
      </c>
      <c r="AR150" s="3">
        <f t="shared" si="152"/>
        <v>30.600000000009231</v>
      </c>
      <c r="AS150" s="1">
        <f t="shared" si="190"/>
        <v>0</v>
      </c>
      <c r="AT150" s="3">
        <f t="shared" si="206"/>
        <v>30.600000000009231</v>
      </c>
      <c r="AU150" s="1">
        <f t="shared" si="147"/>
        <v>0</v>
      </c>
      <c r="AV150" s="3">
        <f t="shared" si="153"/>
        <v>30.600000000009231</v>
      </c>
      <c r="AW150" s="3">
        <f t="shared" si="154"/>
        <v>16340.900000000009</v>
      </c>
      <c r="AX150" s="3">
        <f>MIN(IF(MOD(S150,12)=0,INDEX(IKE_oplata_wskaznik,MATCH(ROUNDUP(S150/12,0),IKE_oplata_rok,0)),0)*AW150,200)</f>
        <v>0</v>
      </c>
      <c r="AY150" s="3">
        <f t="shared" si="219"/>
        <v>156.98314000000005</v>
      </c>
      <c r="AZ150" s="3">
        <f t="shared" si="207"/>
        <v>16183.916860000008</v>
      </c>
      <c r="BA150" s="3">
        <f t="shared" si="220"/>
        <v>105.57499999999995</v>
      </c>
      <c r="BB150" s="3">
        <f t="shared" si="208"/>
        <v>1184.7117500000015</v>
      </c>
      <c r="BC150" s="3">
        <f t="shared" si="209"/>
        <v>14893.630110000006</v>
      </c>
      <c r="BE150" s="6">
        <f t="shared" si="221"/>
        <v>171</v>
      </c>
      <c r="BF150" s="3">
        <f t="shared" si="222"/>
        <v>17082.900000000001</v>
      </c>
      <c r="BG150" s="3">
        <f t="shared" si="223"/>
        <v>17100</v>
      </c>
      <c r="BH150" s="3">
        <f t="shared" si="224"/>
        <v>17390.699999999997</v>
      </c>
      <c r="BI150" s="9">
        <f t="shared" si="210"/>
        <v>6.0000000000000005E-2</v>
      </c>
      <c r="BJ150" s="3">
        <f t="shared" si="211"/>
        <v>17651.560499999996</v>
      </c>
      <c r="BK150" s="3" t="str">
        <f t="shared" si="212"/>
        <v>nie</v>
      </c>
      <c r="BL150" s="3">
        <f t="shared" si="225"/>
        <v>0</v>
      </c>
      <c r="BM150" s="3">
        <f t="shared" si="226"/>
        <v>99.101013057381351</v>
      </c>
      <c r="BN150" s="3">
        <f t="shared" si="227"/>
        <v>17750.661513057377</v>
      </c>
      <c r="BO150" s="3">
        <f>MIN(IF(MOD(S150,12)=0,INDEX(IKE_oplata_wskaznik,MATCH(ROUNDUP(S150/12,0),IKE_oplata_rok,0)),0)*BN150,200)</f>
        <v>0</v>
      </c>
      <c r="BP150" s="3">
        <f t="shared" si="228"/>
        <v>166.41156663203384</v>
      </c>
      <c r="BQ150" s="3">
        <f t="shared" si="229"/>
        <v>17584.249946425345</v>
      </c>
      <c r="BR150" s="3">
        <f t="shared" si="213"/>
        <v>342</v>
      </c>
      <c r="BS150" s="3">
        <f t="shared" si="214"/>
        <v>1388.8164949999993</v>
      </c>
      <c r="BT150" s="3">
        <f t="shared" si="230"/>
        <v>15853.433451425346</v>
      </c>
    </row>
    <row r="151" spans="2:72">
      <c r="B151" s="172"/>
      <c r="C151" s="1">
        <f t="shared" si="195"/>
        <v>117</v>
      </c>
      <c r="D151" s="3">
        <f t="shared" si="157"/>
        <v>15014.625760000006</v>
      </c>
      <c r="E151" s="3">
        <f t="shared" si="158"/>
        <v>13955.784635000005</v>
      </c>
      <c r="F151" s="3">
        <f t="shared" si="159"/>
        <v>16807.119724681783</v>
      </c>
      <c r="G151" s="3">
        <f t="shared" si="160"/>
        <v>15326.73642171712</v>
      </c>
      <c r="H151" s="3">
        <f t="shared" si="196"/>
        <v>11256.971907413752</v>
      </c>
      <c r="I151" s="3">
        <f t="shared" si="161"/>
        <v>16095.030240777107</v>
      </c>
      <c r="S151" s="1">
        <f t="shared" si="215"/>
        <v>136</v>
      </c>
      <c r="T151" s="9">
        <f t="shared" si="191"/>
        <v>0.05</v>
      </c>
      <c r="U151" s="3">
        <f t="shared" si="199"/>
        <v>17388.450140849192</v>
      </c>
      <c r="V151" s="6">
        <f t="shared" si="216"/>
        <v>111</v>
      </c>
      <c r="W151" s="3">
        <f t="shared" si="217"/>
        <v>11088.900000000001</v>
      </c>
      <c r="X151" s="3">
        <f t="shared" si="218"/>
        <v>11100</v>
      </c>
      <c r="Y151" s="3">
        <f t="shared" si="200"/>
        <v>11100</v>
      </c>
      <c r="Z151" s="9">
        <f t="shared" si="201"/>
        <v>5.7500000000000002E-2</v>
      </c>
      <c r="AA151" s="3">
        <f t="shared" si="202"/>
        <v>11312.750000000002</v>
      </c>
      <c r="AB151" s="3" t="str">
        <f t="shared" si="203"/>
        <v>nie</v>
      </c>
      <c r="AC151" s="3">
        <f t="shared" si="204"/>
        <v>77.699999999999989</v>
      </c>
      <c r="AD151" s="1">
        <f t="shared" si="192"/>
        <v>19</v>
      </c>
      <c r="AE151" s="1">
        <f t="shared" si="162"/>
        <v>21</v>
      </c>
      <c r="AF151" s="1">
        <f t="shared" si="162"/>
        <v>6</v>
      </c>
      <c r="AG151" s="1">
        <f t="shared" si="162"/>
        <v>4</v>
      </c>
      <c r="AH151" s="3">
        <f t="shared" si="148"/>
        <v>1900</v>
      </c>
      <c r="AI151" s="9">
        <f t="shared" si="193"/>
        <v>1.2999999999999999E-2</v>
      </c>
      <c r="AJ151" s="3">
        <f t="shared" si="149"/>
        <v>1908.2333333333333</v>
      </c>
      <c r="AK151" s="3">
        <f t="shared" si="194"/>
        <v>8.2333333333333485</v>
      </c>
      <c r="AL151" s="3">
        <f t="shared" si="165"/>
        <v>3100</v>
      </c>
      <c r="AM151" s="9">
        <f t="shared" si="197"/>
        <v>5.7500000000000002E-2</v>
      </c>
      <c r="AN151" s="3">
        <f t="shared" si="150"/>
        <v>3159.416666666667</v>
      </c>
      <c r="AO151" s="3">
        <f t="shared" si="198"/>
        <v>21.7</v>
      </c>
      <c r="AP151" s="3">
        <f t="shared" si="205"/>
        <v>0</v>
      </c>
      <c r="AQ151" s="3">
        <f t="shared" si="151"/>
        <v>0</v>
      </c>
      <c r="AR151" s="3">
        <f t="shared" si="152"/>
        <v>30.600000000009231</v>
      </c>
      <c r="AS151" s="1">
        <f t="shared" si="190"/>
        <v>0</v>
      </c>
      <c r="AT151" s="3">
        <f t="shared" si="206"/>
        <v>30.600000000009231</v>
      </c>
      <c r="AU151" s="1">
        <f t="shared" si="147"/>
        <v>0</v>
      </c>
      <c r="AV151" s="3">
        <f t="shared" si="153"/>
        <v>30.600000000009231</v>
      </c>
      <c r="AW151" s="3">
        <f t="shared" si="154"/>
        <v>16411.000000000011</v>
      </c>
      <c r="AX151" s="3">
        <f>MIN(IF(MOD(S151,12)=0,INDEX(IKE_oplata_wskaznik,MATCH(ROUNDUP(S151/12,0),IKE_oplata_rok,0)),0)*AW151,200)</f>
        <v>0</v>
      </c>
      <c r="AY151" s="3">
        <f t="shared" si="219"/>
        <v>156.98314000000005</v>
      </c>
      <c r="AZ151" s="3">
        <f t="shared" si="207"/>
        <v>16254.016860000011</v>
      </c>
      <c r="BA151" s="3">
        <f t="shared" si="220"/>
        <v>107.63333333333334</v>
      </c>
      <c r="BB151" s="3">
        <f t="shared" si="208"/>
        <v>1197.6396666666687</v>
      </c>
      <c r="BC151" s="3">
        <f t="shared" si="209"/>
        <v>14948.74386000001</v>
      </c>
      <c r="BE151" s="6">
        <f t="shared" si="221"/>
        <v>171</v>
      </c>
      <c r="BF151" s="3">
        <f t="shared" si="222"/>
        <v>17082.900000000001</v>
      </c>
      <c r="BG151" s="3">
        <f t="shared" si="223"/>
        <v>17100</v>
      </c>
      <c r="BH151" s="3">
        <f t="shared" si="224"/>
        <v>17390.699999999997</v>
      </c>
      <c r="BI151" s="9">
        <f t="shared" si="210"/>
        <v>6.0000000000000005E-2</v>
      </c>
      <c r="BJ151" s="3">
        <f t="shared" si="211"/>
        <v>17738.513999999996</v>
      </c>
      <c r="BK151" s="3" t="str">
        <f t="shared" si="212"/>
        <v>nie</v>
      </c>
      <c r="BL151" s="3">
        <f t="shared" si="225"/>
        <v>0</v>
      </c>
      <c r="BM151" s="3">
        <f t="shared" si="226"/>
        <v>99.101013057381351</v>
      </c>
      <c r="BN151" s="3">
        <f t="shared" si="227"/>
        <v>17837.615013057377</v>
      </c>
      <c r="BO151" s="3">
        <f>MIN(IF(MOD(S151,12)=0,INDEX(IKE_oplata_wskaznik,MATCH(ROUNDUP(S151/12,0),IKE_oplata_rok,0)),0)*BN151,200)</f>
        <v>0</v>
      </c>
      <c r="BP151" s="3">
        <f t="shared" si="228"/>
        <v>166.41156663203384</v>
      </c>
      <c r="BQ151" s="3">
        <f t="shared" si="229"/>
        <v>17671.203446425345</v>
      </c>
      <c r="BR151" s="3">
        <f t="shared" si="213"/>
        <v>342</v>
      </c>
      <c r="BS151" s="3">
        <f t="shared" si="214"/>
        <v>1405.3376599999992</v>
      </c>
      <c r="BT151" s="3">
        <f t="shared" si="230"/>
        <v>15923.865786425346</v>
      </c>
    </row>
    <row r="152" spans="2:72">
      <c r="B152" s="172"/>
      <c r="C152" s="1">
        <f t="shared" si="195"/>
        <v>118</v>
      </c>
      <c r="D152" s="3">
        <f t="shared" si="157"/>
        <v>15081.879926666672</v>
      </c>
      <c r="E152" s="3">
        <f t="shared" si="158"/>
        <v>14010.260510000004</v>
      </c>
      <c r="F152" s="3">
        <f t="shared" si="159"/>
        <v>16888.166899271677</v>
      </c>
      <c r="G152" s="3">
        <f t="shared" si="160"/>
        <v>15392.384633134934</v>
      </c>
      <c r="H152" s="3">
        <f t="shared" si="196"/>
        <v>11268.369591470009</v>
      </c>
      <c r="I152" s="3">
        <f t="shared" si="161"/>
        <v>16159.668916442877</v>
      </c>
      <c r="S152" s="1">
        <f t="shared" si="215"/>
        <v>137</v>
      </c>
      <c r="T152" s="9">
        <f t="shared" si="191"/>
        <v>0.05</v>
      </c>
      <c r="U152" s="3">
        <f t="shared" si="199"/>
        <v>17459.714280770706</v>
      </c>
      <c r="V152" s="6">
        <f t="shared" si="216"/>
        <v>111</v>
      </c>
      <c r="W152" s="3">
        <f t="shared" si="217"/>
        <v>11088.900000000001</v>
      </c>
      <c r="X152" s="3">
        <f t="shared" si="218"/>
        <v>11100</v>
      </c>
      <c r="Y152" s="3">
        <f t="shared" si="200"/>
        <v>11100</v>
      </c>
      <c r="Z152" s="9">
        <f t="shared" si="201"/>
        <v>5.7500000000000002E-2</v>
      </c>
      <c r="AA152" s="3">
        <f t="shared" si="202"/>
        <v>11365.9375</v>
      </c>
      <c r="AB152" s="3" t="str">
        <f t="shared" si="203"/>
        <v>nie</v>
      </c>
      <c r="AC152" s="3">
        <f t="shared" si="204"/>
        <v>77.699999999999989</v>
      </c>
      <c r="AD152" s="1">
        <f t="shared" si="192"/>
        <v>19</v>
      </c>
      <c r="AE152" s="1">
        <f t="shared" si="162"/>
        <v>21</v>
      </c>
      <c r="AF152" s="1">
        <f t="shared" si="162"/>
        <v>6</v>
      </c>
      <c r="AG152" s="1">
        <f t="shared" si="162"/>
        <v>4</v>
      </c>
      <c r="AH152" s="3">
        <f t="shared" si="148"/>
        <v>1900</v>
      </c>
      <c r="AI152" s="9">
        <f t="shared" si="193"/>
        <v>1.2999999999999999E-2</v>
      </c>
      <c r="AJ152" s="3">
        <f t="shared" si="149"/>
        <v>1910.2916666666665</v>
      </c>
      <c r="AK152" s="3">
        <f t="shared" si="194"/>
        <v>10.291666666666515</v>
      </c>
      <c r="AL152" s="3">
        <f t="shared" si="165"/>
        <v>3100</v>
      </c>
      <c r="AM152" s="9">
        <f t="shared" si="197"/>
        <v>5.7500000000000002E-2</v>
      </c>
      <c r="AN152" s="3">
        <f t="shared" si="150"/>
        <v>3174.270833333333</v>
      </c>
      <c r="AO152" s="3">
        <f t="shared" si="198"/>
        <v>21.7</v>
      </c>
      <c r="AP152" s="3">
        <f t="shared" si="205"/>
        <v>0</v>
      </c>
      <c r="AQ152" s="3">
        <f t="shared" si="151"/>
        <v>0</v>
      </c>
      <c r="AR152" s="3">
        <f t="shared" si="152"/>
        <v>30.600000000009231</v>
      </c>
      <c r="AS152" s="1">
        <f t="shared" si="190"/>
        <v>0</v>
      </c>
      <c r="AT152" s="3">
        <f t="shared" si="206"/>
        <v>30.600000000009231</v>
      </c>
      <c r="AU152" s="1">
        <f t="shared" si="147"/>
        <v>0</v>
      </c>
      <c r="AV152" s="3">
        <f t="shared" si="153"/>
        <v>30.600000000009231</v>
      </c>
      <c r="AW152" s="3">
        <f t="shared" si="154"/>
        <v>16481.100000000009</v>
      </c>
      <c r="AX152" s="3">
        <f>MIN(IF(MOD(S152,12)=0,INDEX(IKE_oplata_wskaznik,MATCH(ROUNDUP(S152/12,0),IKE_oplata_rok,0)),0)*AW152,200)</f>
        <v>0</v>
      </c>
      <c r="AY152" s="3">
        <f t="shared" si="219"/>
        <v>156.98314000000005</v>
      </c>
      <c r="AZ152" s="3">
        <f t="shared" si="207"/>
        <v>16324.116860000009</v>
      </c>
      <c r="BA152" s="3">
        <f t="shared" si="220"/>
        <v>109.69166666666651</v>
      </c>
      <c r="BB152" s="3">
        <f t="shared" si="208"/>
        <v>1210.5675833333353</v>
      </c>
      <c r="BC152" s="3">
        <f t="shared" si="209"/>
        <v>15003.857610000008</v>
      </c>
      <c r="BE152" s="6">
        <f t="shared" si="221"/>
        <v>171</v>
      </c>
      <c r="BF152" s="3">
        <f t="shared" si="222"/>
        <v>17082.900000000001</v>
      </c>
      <c r="BG152" s="3">
        <f t="shared" si="223"/>
        <v>17100</v>
      </c>
      <c r="BH152" s="3">
        <f t="shared" si="224"/>
        <v>17390.699999999997</v>
      </c>
      <c r="BI152" s="9">
        <f t="shared" si="210"/>
        <v>6.0000000000000005E-2</v>
      </c>
      <c r="BJ152" s="3">
        <f t="shared" si="211"/>
        <v>17825.467499999995</v>
      </c>
      <c r="BK152" s="3" t="str">
        <f t="shared" si="212"/>
        <v>nie</v>
      </c>
      <c r="BL152" s="3">
        <f t="shared" si="225"/>
        <v>0</v>
      </c>
      <c r="BM152" s="3">
        <f t="shared" si="226"/>
        <v>99.101013057381351</v>
      </c>
      <c r="BN152" s="3">
        <f t="shared" si="227"/>
        <v>17924.568513057377</v>
      </c>
      <c r="BO152" s="3">
        <f>MIN(IF(MOD(S152,12)=0,INDEX(IKE_oplata_wskaznik,MATCH(ROUNDUP(S152/12,0),IKE_oplata_rok,0)),0)*BN152,200)</f>
        <v>0</v>
      </c>
      <c r="BP152" s="3">
        <f t="shared" si="228"/>
        <v>166.41156663203384</v>
      </c>
      <c r="BQ152" s="3">
        <f t="shared" si="229"/>
        <v>17758.156946425344</v>
      </c>
      <c r="BR152" s="3">
        <f t="shared" si="213"/>
        <v>342</v>
      </c>
      <c r="BS152" s="3">
        <f t="shared" si="214"/>
        <v>1421.8588249999991</v>
      </c>
      <c r="BT152" s="3">
        <f t="shared" si="230"/>
        <v>15994.298121425345</v>
      </c>
    </row>
    <row r="153" spans="2:72">
      <c r="B153" s="173"/>
      <c r="C153" s="1">
        <f t="shared" si="195"/>
        <v>119</v>
      </c>
      <c r="D153" s="3">
        <f t="shared" si="157"/>
        <v>15149.134093333339</v>
      </c>
      <c r="E153" s="3">
        <f t="shared" si="158"/>
        <v>14064.736385000006</v>
      </c>
      <c r="F153" s="3">
        <f t="shared" si="159"/>
        <v>16969.214073861571</v>
      </c>
      <c r="G153" s="3">
        <f t="shared" si="160"/>
        <v>15458.032844552748</v>
      </c>
      <c r="H153" s="3">
        <f t="shared" si="196"/>
        <v>11279.778815681373</v>
      </c>
      <c r="I153" s="3">
        <f t="shared" si="161"/>
        <v>16224.307592108649</v>
      </c>
      <c r="S153" s="1">
        <f t="shared" si="215"/>
        <v>138</v>
      </c>
      <c r="T153" s="9">
        <f t="shared" si="191"/>
        <v>0.05</v>
      </c>
      <c r="U153" s="3">
        <f t="shared" si="199"/>
        <v>17530.97842069222</v>
      </c>
      <c r="V153" s="6">
        <f t="shared" si="216"/>
        <v>111</v>
      </c>
      <c r="W153" s="3">
        <f t="shared" si="217"/>
        <v>11088.900000000001</v>
      </c>
      <c r="X153" s="3">
        <f t="shared" si="218"/>
        <v>11100</v>
      </c>
      <c r="Y153" s="3">
        <f t="shared" si="200"/>
        <v>11100</v>
      </c>
      <c r="Z153" s="9">
        <f t="shared" si="201"/>
        <v>5.7500000000000002E-2</v>
      </c>
      <c r="AA153" s="3">
        <f t="shared" si="202"/>
        <v>11419.125</v>
      </c>
      <c r="AB153" s="3" t="str">
        <f t="shared" si="203"/>
        <v>nie</v>
      </c>
      <c r="AC153" s="3">
        <f t="shared" si="204"/>
        <v>77.699999999999989</v>
      </c>
      <c r="AD153" s="1">
        <f t="shared" si="192"/>
        <v>19</v>
      </c>
      <c r="AE153" s="1">
        <f t="shared" si="162"/>
        <v>21</v>
      </c>
      <c r="AF153" s="1">
        <f t="shared" si="162"/>
        <v>6</v>
      </c>
      <c r="AG153" s="1">
        <f t="shared" si="162"/>
        <v>4</v>
      </c>
      <c r="AH153" s="3">
        <f t="shared" si="148"/>
        <v>1900</v>
      </c>
      <c r="AI153" s="9">
        <f t="shared" si="193"/>
        <v>1.2999999999999999E-2</v>
      </c>
      <c r="AJ153" s="3">
        <f t="shared" si="149"/>
        <v>1912.35</v>
      </c>
      <c r="AK153" s="3">
        <f t="shared" si="194"/>
        <v>12.349999999999909</v>
      </c>
      <c r="AL153" s="3">
        <f t="shared" si="165"/>
        <v>3100</v>
      </c>
      <c r="AM153" s="9">
        <f t="shared" si="197"/>
        <v>5.7500000000000002E-2</v>
      </c>
      <c r="AN153" s="3">
        <f t="shared" si="150"/>
        <v>3189.125</v>
      </c>
      <c r="AO153" s="3">
        <f t="shared" si="198"/>
        <v>21.7</v>
      </c>
      <c r="AP153" s="3">
        <f t="shared" si="205"/>
        <v>0</v>
      </c>
      <c r="AQ153" s="3">
        <f t="shared" si="151"/>
        <v>0</v>
      </c>
      <c r="AR153" s="3">
        <f t="shared" si="152"/>
        <v>30.600000000009231</v>
      </c>
      <c r="AS153" s="1">
        <f t="shared" si="190"/>
        <v>0</v>
      </c>
      <c r="AT153" s="3">
        <f t="shared" si="206"/>
        <v>30.600000000009231</v>
      </c>
      <c r="AU153" s="1">
        <f t="shared" si="147"/>
        <v>0</v>
      </c>
      <c r="AV153" s="3">
        <f t="shared" si="153"/>
        <v>30.600000000009231</v>
      </c>
      <c r="AW153" s="3">
        <f t="shared" si="154"/>
        <v>16551.200000000008</v>
      </c>
      <c r="AX153" s="3">
        <f>MIN(IF(MOD(S153,12)=0,INDEX(IKE_oplata_wskaznik,MATCH(ROUNDUP(S153/12,0),IKE_oplata_rok,0)),0)*AW153,200)</f>
        <v>0</v>
      </c>
      <c r="AY153" s="3">
        <f t="shared" si="219"/>
        <v>156.98314000000005</v>
      </c>
      <c r="AZ153" s="3">
        <f t="shared" si="207"/>
        <v>16394.216860000008</v>
      </c>
      <c r="BA153" s="3">
        <f t="shared" si="220"/>
        <v>111.7499999999999</v>
      </c>
      <c r="BB153" s="3">
        <f t="shared" si="208"/>
        <v>1223.4955000000016</v>
      </c>
      <c r="BC153" s="3">
        <f t="shared" si="209"/>
        <v>15058.971360000007</v>
      </c>
      <c r="BE153" s="6">
        <f t="shared" si="221"/>
        <v>171</v>
      </c>
      <c r="BF153" s="3">
        <f t="shared" si="222"/>
        <v>17082.900000000001</v>
      </c>
      <c r="BG153" s="3">
        <f t="shared" si="223"/>
        <v>17100</v>
      </c>
      <c r="BH153" s="3">
        <f t="shared" si="224"/>
        <v>17390.699999999997</v>
      </c>
      <c r="BI153" s="9">
        <f t="shared" si="210"/>
        <v>6.0000000000000005E-2</v>
      </c>
      <c r="BJ153" s="3">
        <f t="shared" si="211"/>
        <v>17912.420999999998</v>
      </c>
      <c r="BK153" s="3" t="str">
        <f t="shared" si="212"/>
        <v>nie</v>
      </c>
      <c r="BL153" s="3">
        <f t="shared" si="225"/>
        <v>0</v>
      </c>
      <c r="BM153" s="3">
        <f t="shared" si="226"/>
        <v>99.101013057381351</v>
      </c>
      <c r="BN153" s="3">
        <f t="shared" si="227"/>
        <v>18011.52201305738</v>
      </c>
      <c r="BO153" s="3">
        <f>MIN(IF(MOD(S153,12)=0,INDEX(IKE_oplata_wskaznik,MATCH(ROUNDUP(S153/12,0),IKE_oplata_rok,0)),0)*BN153,200)</f>
        <v>0</v>
      </c>
      <c r="BP153" s="3">
        <f t="shared" si="228"/>
        <v>166.41156663203384</v>
      </c>
      <c r="BQ153" s="3">
        <f t="shared" si="229"/>
        <v>17845.110446425348</v>
      </c>
      <c r="BR153" s="3">
        <f t="shared" si="213"/>
        <v>342</v>
      </c>
      <c r="BS153" s="3">
        <f t="shared" si="214"/>
        <v>1438.3799899999997</v>
      </c>
      <c r="BT153" s="3">
        <f t="shared" si="230"/>
        <v>16064.730456425348</v>
      </c>
    </row>
    <row r="154" spans="2:72">
      <c r="B154" s="171">
        <f>ROUNDUP(C155/12,0)</f>
        <v>11</v>
      </c>
      <c r="C154" s="4">
        <f t="shared" si="195"/>
        <v>120</v>
      </c>
      <c r="D154" s="12">
        <f t="shared" si="157"/>
        <v>15201.046360000008</v>
      </c>
      <c r="E154" s="12">
        <f t="shared" si="158"/>
        <v>14103.870360000006</v>
      </c>
      <c r="F154" s="12">
        <f t="shared" si="159"/>
        <v>17033.079247438407</v>
      </c>
      <c r="G154" s="12">
        <f t="shared" si="160"/>
        <v>15668.499054957505</v>
      </c>
      <c r="H154" s="12">
        <f t="shared" si="196"/>
        <v>11291.199591732251</v>
      </c>
      <c r="I154" s="12">
        <f t="shared" si="161"/>
        <v>16288.94626777442</v>
      </c>
      <c r="S154" s="1">
        <f t="shared" si="215"/>
        <v>139</v>
      </c>
      <c r="T154" s="9">
        <f t="shared" si="191"/>
        <v>0.05</v>
      </c>
      <c r="U154" s="3">
        <f t="shared" si="199"/>
        <v>17602.242560613733</v>
      </c>
      <c r="V154" s="6">
        <f t="shared" si="216"/>
        <v>111</v>
      </c>
      <c r="W154" s="3">
        <f t="shared" si="217"/>
        <v>11088.900000000001</v>
      </c>
      <c r="X154" s="3">
        <f t="shared" si="218"/>
        <v>11100</v>
      </c>
      <c r="Y154" s="3">
        <f t="shared" si="200"/>
        <v>11100</v>
      </c>
      <c r="Z154" s="9">
        <f t="shared" si="201"/>
        <v>5.7500000000000002E-2</v>
      </c>
      <c r="AA154" s="3">
        <f t="shared" si="202"/>
        <v>11472.312499999998</v>
      </c>
      <c r="AB154" s="3" t="str">
        <f t="shared" si="203"/>
        <v>nie</v>
      </c>
      <c r="AC154" s="3">
        <f t="shared" si="204"/>
        <v>77.699999999999989</v>
      </c>
      <c r="AD154" s="1">
        <f t="shared" si="192"/>
        <v>19</v>
      </c>
      <c r="AE154" s="1">
        <f t="shared" si="162"/>
        <v>21</v>
      </c>
      <c r="AF154" s="1">
        <f t="shared" si="162"/>
        <v>6</v>
      </c>
      <c r="AG154" s="1">
        <f t="shared" si="162"/>
        <v>4</v>
      </c>
      <c r="AH154" s="3">
        <f t="shared" si="148"/>
        <v>1900</v>
      </c>
      <c r="AI154" s="9">
        <f t="shared" si="193"/>
        <v>1.2999999999999999E-2</v>
      </c>
      <c r="AJ154" s="3">
        <f t="shared" si="149"/>
        <v>1914.4083333333333</v>
      </c>
      <c r="AK154" s="3">
        <f t="shared" si="194"/>
        <v>13.299999999999999</v>
      </c>
      <c r="AL154" s="3">
        <f t="shared" si="165"/>
        <v>3100</v>
      </c>
      <c r="AM154" s="9">
        <f t="shared" si="197"/>
        <v>5.7500000000000002E-2</v>
      </c>
      <c r="AN154" s="3">
        <f t="shared" si="150"/>
        <v>3203.9791666666665</v>
      </c>
      <c r="AO154" s="3">
        <f t="shared" si="198"/>
        <v>21.7</v>
      </c>
      <c r="AP154" s="3">
        <f t="shared" si="205"/>
        <v>0</v>
      </c>
      <c r="AQ154" s="3">
        <f t="shared" si="151"/>
        <v>0</v>
      </c>
      <c r="AR154" s="3">
        <f t="shared" si="152"/>
        <v>30.600000000009231</v>
      </c>
      <c r="AS154" s="1">
        <f t="shared" si="190"/>
        <v>0</v>
      </c>
      <c r="AT154" s="3">
        <f t="shared" si="206"/>
        <v>30.600000000009231</v>
      </c>
      <c r="AU154" s="1">
        <f t="shared" si="147"/>
        <v>0</v>
      </c>
      <c r="AV154" s="3">
        <f t="shared" si="153"/>
        <v>30.600000000009231</v>
      </c>
      <c r="AW154" s="3">
        <f t="shared" si="154"/>
        <v>16621.300000000007</v>
      </c>
      <c r="AX154" s="3">
        <f>MIN(IF(MOD(S154,12)=0,INDEX(IKE_oplata_wskaznik,MATCH(ROUNDUP(S154/12,0),IKE_oplata_rok,0)),0)*AW154,200)</f>
        <v>0</v>
      </c>
      <c r="AY154" s="3">
        <f t="shared" si="219"/>
        <v>156.98314000000005</v>
      </c>
      <c r="AZ154" s="3">
        <f t="shared" si="207"/>
        <v>16464.316860000006</v>
      </c>
      <c r="BA154" s="3">
        <f t="shared" si="220"/>
        <v>112.69999999999999</v>
      </c>
      <c r="BB154" s="3">
        <f t="shared" si="208"/>
        <v>1236.6340000000012</v>
      </c>
      <c r="BC154" s="3">
        <f t="shared" si="209"/>
        <v>15114.982860000004</v>
      </c>
      <c r="BE154" s="6">
        <f t="shared" si="221"/>
        <v>171</v>
      </c>
      <c r="BF154" s="3">
        <f t="shared" si="222"/>
        <v>17082.900000000001</v>
      </c>
      <c r="BG154" s="3">
        <f t="shared" si="223"/>
        <v>17100</v>
      </c>
      <c r="BH154" s="3">
        <f t="shared" si="224"/>
        <v>17390.699999999997</v>
      </c>
      <c r="BI154" s="9">
        <f t="shared" si="210"/>
        <v>6.0000000000000005E-2</v>
      </c>
      <c r="BJ154" s="3">
        <f t="shared" si="211"/>
        <v>17999.374499999994</v>
      </c>
      <c r="BK154" s="3" t="str">
        <f t="shared" si="212"/>
        <v>nie</v>
      </c>
      <c r="BL154" s="3">
        <f t="shared" si="225"/>
        <v>0</v>
      </c>
      <c r="BM154" s="3">
        <f t="shared" si="226"/>
        <v>99.101013057381351</v>
      </c>
      <c r="BN154" s="3">
        <f t="shared" si="227"/>
        <v>18098.475513057376</v>
      </c>
      <c r="BO154" s="3">
        <f>MIN(IF(MOD(S154,12)=0,INDEX(IKE_oplata_wskaznik,MATCH(ROUNDUP(S154/12,0),IKE_oplata_rok,0)),0)*BN154,200)</f>
        <v>0</v>
      </c>
      <c r="BP154" s="3">
        <f t="shared" si="228"/>
        <v>166.41156663203384</v>
      </c>
      <c r="BQ154" s="3">
        <f t="shared" si="229"/>
        <v>17932.063946425344</v>
      </c>
      <c r="BR154" s="3">
        <f t="shared" si="213"/>
        <v>342</v>
      </c>
      <c r="BS154" s="3">
        <f t="shared" si="214"/>
        <v>1454.9011549999989</v>
      </c>
      <c r="BT154" s="3">
        <f t="shared" si="230"/>
        <v>16135.162791425344</v>
      </c>
    </row>
    <row r="155" spans="2:72">
      <c r="B155" s="172"/>
      <c r="C155" s="1">
        <f t="shared" si="195"/>
        <v>121</v>
      </c>
      <c r="D155" s="3">
        <f t="shared" si="157"/>
        <v>15267.87136000001</v>
      </c>
      <c r="E155" s="3">
        <f t="shared" si="158"/>
        <v>14163.526860000009</v>
      </c>
      <c r="F155" s="3">
        <f t="shared" si="159"/>
        <v>17074.404247438404</v>
      </c>
      <c r="G155" s="3">
        <f t="shared" si="160"/>
        <v>15701.179247438406</v>
      </c>
      <c r="H155" s="3">
        <f t="shared" si="196"/>
        <v>11302.631931318881</v>
      </c>
      <c r="I155" s="3">
        <f t="shared" si="161"/>
        <v>16356.816877223479</v>
      </c>
      <c r="S155" s="1">
        <f t="shared" si="215"/>
        <v>140</v>
      </c>
      <c r="T155" s="9">
        <f t="shared" si="191"/>
        <v>0.05</v>
      </c>
      <c r="U155" s="3">
        <f t="shared" si="199"/>
        <v>17673.506700535247</v>
      </c>
      <c r="V155" s="6">
        <f t="shared" si="216"/>
        <v>111</v>
      </c>
      <c r="W155" s="3">
        <f t="shared" si="217"/>
        <v>11088.900000000001</v>
      </c>
      <c r="X155" s="3">
        <f t="shared" si="218"/>
        <v>11100</v>
      </c>
      <c r="Y155" s="3">
        <f t="shared" si="200"/>
        <v>11100</v>
      </c>
      <c r="Z155" s="9">
        <f t="shared" si="201"/>
        <v>5.7500000000000002E-2</v>
      </c>
      <c r="AA155" s="3">
        <f t="shared" si="202"/>
        <v>11525.5</v>
      </c>
      <c r="AB155" s="3" t="str">
        <f t="shared" si="203"/>
        <v>nie</v>
      </c>
      <c r="AC155" s="3">
        <f t="shared" si="204"/>
        <v>77.699999999999989</v>
      </c>
      <c r="AD155" s="1">
        <f t="shared" si="192"/>
        <v>19</v>
      </c>
      <c r="AE155" s="1">
        <f t="shared" si="162"/>
        <v>21</v>
      </c>
      <c r="AF155" s="1">
        <f t="shared" si="162"/>
        <v>6</v>
      </c>
      <c r="AG155" s="1">
        <f t="shared" si="162"/>
        <v>4</v>
      </c>
      <c r="AH155" s="3">
        <f t="shared" si="148"/>
        <v>1900</v>
      </c>
      <c r="AI155" s="9">
        <f t="shared" si="193"/>
        <v>1.2999999999999999E-2</v>
      </c>
      <c r="AJ155" s="3">
        <f t="shared" si="149"/>
        <v>1916.4666666666665</v>
      </c>
      <c r="AK155" s="3">
        <f t="shared" si="194"/>
        <v>13.299999999999999</v>
      </c>
      <c r="AL155" s="3">
        <f t="shared" si="165"/>
        <v>3100</v>
      </c>
      <c r="AM155" s="9">
        <f t="shared" si="197"/>
        <v>5.7500000000000002E-2</v>
      </c>
      <c r="AN155" s="3">
        <f t="shared" si="150"/>
        <v>3218.8333333333335</v>
      </c>
      <c r="AO155" s="3">
        <f t="shared" si="198"/>
        <v>21.7</v>
      </c>
      <c r="AP155" s="3">
        <f t="shared" si="205"/>
        <v>0</v>
      </c>
      <c r="AQ155" s="3">
        <f t="shared" si="151"/>
        <v>0</v>
      </c>
      <c r="AR155" s="3">
        <f t="shared" si="152"/>
        <v>30.600000000009231</v>
      </c>
      <c r="AS155" s="1">
        <f t="shared" ref="AS155:AS159" si="231">IF(AP155&lt;&gt;0,MIN(IF(AG155&lt;&gt;"",AG155,0),ROUNDDOWN(AR155/zamiana_COI,0)),0)</f>
        <v>0</v>
      </c>
      <c r="AT155" s="3">
        <f t="shared" si="206"/>
        <v>30.600000000009231</v>
      </c>
      <c r="AU155" s="1">
        <f t="shared" si="147"/>
        <v>0</v>
      </c>
      <c r="AV155" s="3">
        <f t="shared" si="153"/>
        <v>30.600000000009231</v>
      </c>
      <c r="AW155" s="3">
        <f t="shared" si="154"/>
        <v>16691.400000000009</v>
      </c>
      <c r="AX155" s="3">
        <f>MIN(IF(MOD(S155,12)=0,INDEX(IKE_oplata_wskaznik,MATCH(ROUNDUP(S155/12,0),IKE_oplata_rok,0)),0)*AW155,200)</f>
        <v>0</v>
      </c>
      <c r="AY155" s="3">
        <f t="shared" si="219"/>
        <v>156.98314000000005</v>
      </c>
      <c r="AZ155" s="3">
        <f t="shared" si="207"/>
        <v>16534.416860000008</v>
      </c>
      <c r="BA155" s="3">
        <f t="shared" si="220"/>
        <v>112.69999999999999</v>
      </c>
      <c r="BB155" s="3">
        <f t="shared" si="208"/>
        <v>1249.9530000000016</v>
      </c>
      <c r="BC155" s="3">
        <f t="shared" si="209"/>
        <v>15171.763860000006</v>
      </c>
      <c r="BE155" s="6">
        <f t="shared" si="221"/>
        <v>171</v>
      </c>
      <c r="BF155" s="3">
        <f t="shared" si="222"/>
        <v>17082.900000000001</v>
      </c>
      <c r="BG155" s="3">
        <f t="shared" si="223"/>
        <v>17100</v>
      </c>
      <c r="BH155" s="3">
        <f t="shared" si="224"/>
        <v>17390.699999999997</v>
      </c>
      <c r="BI155" s="9">
        <f t="shared" si="210"/>
        <v>6.0000000000000005E-2</v>
      </c>
      <c r="BJ155" s="3">
        <f t="shared" si="211"/>
        <v>18086.327999999998</v>
      </c>
      <c r="BK155" s="3" t="str">
        <f t="shared" si="212"/>
        <v>nie</v>
      </c>
      <c r="BL155" s="3">
        <f t="shared" si="225"/>
        <v>0</v>
      </c>
      <c r="BM155" s="3">
        <f t="shared" si="226"/>
        <v>99.101013057381351</v>
      </c>
      <c r="BN155" s="3">
        <f t="shared" si="227"/>
        <v>18185.429013057379</v>
      </c>
      <c r="BO155" s="3">
        <f>MIN(IF(MOD(S155,12)=0,INDEX(IKE_oplata_wskaznik,MATCH(ROUNDUP(S155/12,0),IKE_oplata_rok,0)),0)*BN155,200)</f>
        <v>0</v>
      </c>
      <c r="BP155" s="3">
        <f t="shared" si="228"/>
        <v>166.41156663203384</v>
      </c>
      <c r="BQ155" s="3">
        <f t="shared" si="229"/>
        <v>18019.017446425347</v>
      </c>
      <c r="BR155" s="3">
        <f t="shared" si="213"/>
        <v>342</v>
      </c>
      <c r="BS155" s="3">
        <f t="shared" si="214"/>
        <v>1471.4223199999997</v>
      </c>
      <c r="BT155" s="3">
        <f t="shared" si="230"/>
        <v>16205.595126425347</v>
      </c>
    </row>
    <row r="156" spans="2:72">
      <c r="B156" s="172"/>
      <c r="C156" s="1">
        <f t="shared" si="195"/>
        <v>122</v>
      </c>
      <c r="D156" s="3">
        <f t="shared" si="157"/>
        <v>15333.396360000008</v>
      </c>
      <c r="E156" s="3">
        <f t="shared" si="158"/>
        <v>14214.759360000005</v>
      </c>
      <c r="F156" s="3">
        <f t="shared" si="159"/>
        <v>17098.629247438403</v>
      </c>
      <c r="G156" s="3">
        <f t="shared" si="160"/>
        <v>15701.179247438406</v>
      </c>
      <c r="H156" s="3">
        <f t="shared" si="196"/>
        <v>11314.075846149342</v>
      </c>
      <c r="I156" s="3">
        <f t="shared" si="161"/>
        <v>16424.687486672537</v>
      </c>
      <c r="S156" s="1">
        <f t="shared" si="215"/>
        <v>141</v>
      </c>
      <c r="T156" s="9">
        <f t="shared" ref="T156:T159" si="232">MAX(INDEX(scenariusz_I_inflacja,MATCH(ROUNDUP(S156/12,0)-1,scenariusz_I_rok,0)),0)</f>
        <v>0.05</v>
      </c>
      <c r="U156" s="3">
        <f t="shared" si="199"/>
        <v>17744.77084045676</v>
      </c>
      <c r="V156" s="6">
        <f t="shared" si="216"/>
        <v>111</v>
      </c>
      <c r="W156" s="3">
        <f t="shared" si="217"/>
        <v>11088.900000000001</v>
      </c>
      <c r="X156" s="3">
        <f t="shared" si="218"/>
        <v>11100</v>
      </c>
      <c r="Y156" s="3">
        <f t="shared" si="200"/>
        <v>11100</v>
      </c>
      <c r="Z156" s="9">
        <f t="shared" si="201"/>
        <v>5.7500000000000002E-2</v>
      </c>
      <c r="AA156" s="3">
        <f t="shared" si="202"/>
        <v>11578.6875</v>
      </c>
      <c r="AB156" s="3" t="str">
        <f t="shared" si="203"/>
        <v>nie</v>
      </c>
      <c r="AC156" s="3">
        <f t="shared" si="204"/>
        <v>77.699999999999989</v>
      </c>
      <c r="AD156" s="1">
        <f t="shared" si="192"/>
        <v>19</v>
      </c>
      <c r="AE156" s="1">
        <f t="shared" si="162"/>
        <v>21</v>
      </c>
      <c r="AF156" s="1">
        <f t="shared" si="162"/>
        <v>6</v>
      </c>
      <c r="AG156" s="1">
        <f t="shared" si="162"/>
        <v>4</v>
      </c>
      <c r="AH156" s="3">
        <f t="shared" si="148"/>
        <v>1900</v>
      </c>
      <c r="AI156" s="9">
        <f t="shared" si="193"/>
        <v>1.2999999999999999E-2</v>
      </c>
      <c r="AJ156" s="3">
        <f t="shared" si="149"/>
        <v>1918.5249999999999</v>
      </c>
      <c r="AK156" s="3">
        <f t="shared" ref="AK156:AK159" si="233">MIN(AD156*koszt_wczesniejszy_wykup_COI,AJ156-AH156)</f>
        <v>13.299999999999999</v>
      </c>
      <c r="AL156" s="3">
        <f t="shared" si="165"/>
        <v>3100</v>
      </c>
      <c r="AM156" s="9">
        <f t="shared" si="197"/>
        <v>5.7500000000000002E-2</v>
      </c>
      <c r="AN156" s="3">
        <f t="shared" si="150"/>
        <v>3233.6875000000005</v>
      </c>
      <c r="AO156" s="3">
        <f t="shared" si="198"/>
        <v>21.7</v>
      </c>
      <c r="AP156" s="3">
        <f t="shared" si="205"/>
        <v>0</v>
      </c>
      <c r="AQ156" s="3">
        <f t="shared" si="151"/>
        <v>0</v>
      </c>
      <c r="AR156" s="3">
        <f t="shared" si="152"/>
        <v>30.600000000009231</v>
      </c>
      <c r="AS156" s="1">
        <f t="shared" si="231"/>
        <v>0</v>
      </c>
      <c r="AT156" s="3">
        <f t="shared" si="206"/>
        <v>30.600000000009231</v>
      </c>
      <c r="AU156" s="1">
        <f t="shared" ref="AU156:AU159" si="234">ROUNDDOWN(AT156/100,0)</f>
        <v>0</v>
      </c>
      <c r="AV156" s="3">
        <f t="shared" si="153"/>
        <v>30.600000000009231</v>
      </c>
      <c r="AW156" s="3">
        <f t="shared" si="154"/>
        <v>16761.500000000011</v>
      </c>
      <c r="AX156" s="3">
        <f>MIN(IF(MOD(S156,12)=0,INDEX(IKE_oplata_wskaznik,MATCH(ROUNDUP(S156/12,0),IKE_oplata_rok,0)),0)*AW156,200)</f>
        <v>0</v>
      </c>
      <c r="AY156" s="3">
        <f t="shared" si="219"/>
        <v>156.98314000000005</v>
      </c>
      <c r="AZ156" s="3">
        <f t="shared" si="207"/>
        <v>16604.516860000011</v>
      </c>
      <c r="BA156" s="3">
        <f t="shared" si="220"/>
        <v>112.69999999999999</v>
      </c>
      <c r="BB156" s="3">
        <f t="shared" si="208"/>
        <v>1263.272000000002</v>
      </c>
      <c r="BC156" s="3">
        <f t="shared" si="209"/>
        <v>15228.544860000007</v>
      </c>
      <c r="BE156" s="6">
        <f t="shared" si="221"/>
        <v>171</v>
      </c>
      <c r="BF156" s="3">
        <f t="shared" si="222"/>
        <v>17082.900000000001</v>
      </c>
      <c r="BG156" s="3">
        <f t="shared" si="223"/>
        <v>17100</v>
      </c>
      <c r="BH156" s="3">
        <f t="shared" si="224"/>
        <v>17390.699999999997</v>
      </c>
      <c r="BI156" s="9">
        <f t="shared" si="210"/>
        <v>6.0000000000000005E-2</v>
      </c>
      <c r="BJ156" s="3">
        <f t="shared" si="211"/>
        <v>18173.281499999997</v>
      </c>
      <c r="BK156" s="3" t="str">
        <f t="shared" si="212"/>
        <v>nie</v>
      </c>
      <c r="BL156" s="3">
        <f t="shared" si="225"/>
        <v>0</v>
      </c>
      <c r="BM156" s="3">
        <f t="shared" si="226"/>
        <v>99.101013057381351</v>
      </c>
      <c r="BN156" s="3">
        <f t="shared" si="227"/>
        <v>18272.382513057379</v>
      </c>
      <c r="BO156" s="3">
        <f>MIN(IF(MOD(S156,12)=0,INDEX(IKE_oplata_wskaznik,MATCH(ROUNDUP(S156/12,0),IKE_oplata_rok,0)),0)*BN156,200)</f>
        <v>0</v>
      </c>
      <c r="BP156" s="3">
        <f t="shared" si="228"/>
        <v>166.41156663203384</v>
      </c>
      <c r="BQ156" s="3">
        <f t="shared" si="229"/>
        <v>18105.970946425346</v>
      </c>
      <c r="BR156" s="3">
        <f t="shared" si="213"/>
        <v>342</v>
      </c>
      <c r="BS156" s="3">
        <f t="shared" si="214"/>
        <v>1487.9434849999996</v>
      </c>
      <c r="BT156" s="3">
        <f t="shared" si="230"/>
        <v>16276.027461425347</v>
      </c>
    </row>
    <row r="157" spans="2:72">
      <c r="B157" s="172"/>
      <c r="C157" s="1">
        <f t="shared" si="195"/>
        <v>123</v>
      </c>
      <c r="D157" s="3">
        <f t="shared" si="157"/>
        <v>15398.921360000009</v>
      </c>
      <c r="E157" s="3">
        <f t="shared" si="158"/>
        <v>14265.991860000007</v>
      </c>
      <c r="F157" s="3">
        <f t="shared" si="159"/>
        <v>17122.854247438408</v>
      </c>
      <c r="G157" s="3">
        <f t="shared" si="160"/>
        <v>15701.179247438406</v>
      </c>
      <c r="H157" s="3">
        <f t="shared" si="196"/>
        <v>11325.53134794357</v>
      </c>
      <c r="I157" s="3">
        <f t="shared" si="161"/>
        <v>16492.5580961216</v>
      </c>
      <c r="S157" s="1">
        <f t="shared" si="215"/>
        <v>142</v>
      </c>
      <c r="T157" s="9">
        <f t="shared" si="232"/>
        <v>0.05</v>
      </c>
      <c r="U157" s="3">
        <f t="shared" si="199"/>
        <v>17816.034980378274</v>
      </c>
      <c r="V157" s="6">
        <f t="shared" si="216"/>
        <v>111</v>
      </c>
      <c r="W157" s="3">
        <f t="shared" si="217"/>
        <v>11088.900000000001</v>
      </c>
      <c r="X157" s="3">
        <f t="shared" si="218"/>
        <v>11100</v>
      </c>
      <c r="Y157" s="3">
        <f t="shared" si="200"/>
        <v>11100</v>
      </c>
      <c r="Z157" s="9">
        <f t="shared" si="201"/>
        <v>5.7500000000000002E-2</v>
      </c>
      <c r="AA157" s="3">
        <f t="shared" si="202"/>
        <v>11631.875</v>
      </c>
      <c r="AB157" s="3" t="str">
        <f t="shared" si="203"/>
        <v>nie</v>
      </c>
      <c r="AC157" s="3">
        <f t="shared" si="204"/>
        <v>77.699999999999989</v>
      </c>
      <c r="AD157" s="1">
        <f t="shared" si="192"/>
        <v>19</v>
      </c>
      <c r="AE157" s="1">
        <f t="shared" si="162"/>
        <v>21</v>
      </c>
      <c r="AF157" s="1">
        <f t="shared" si="162"/>
        <v>6</v>
      </c>
      <c r="AG157" s="1">
        <f t="shared" si="162"/>
        <v>4</v>
      </c>
      <c r="AH157" s="3">
        <f t="shared" ref="AH157:AH159" si="235">AD157*100</f>
        <v>1900</v>
      </c>
      <c r="AI157" s="9">
        <f t="shared" si="193"/>
        <v>1.2999999999999999E-2</v>
      </c>
      <c r="AJ157" s="3">
        <f t="shared" ref="AJ157:AJ159" si="236">AH157*(1+AI157*IF(MOD($S157,12)&lt;&gt;0,MOD($S157,12),12)/12)</f>
        <v>1920.5833333333333</v>
      </c>
      <c r="AK157" s="3">
        <f t="shared" si="233"/>
        <v>13.299999999999999</v>
      </c>
      <c r="AL157" s="3">
        <f t="shared" si="165"/>
        <v>3100</v>
      </c>
      <c r="AM157" s="9">
        <f t="shared" si="197"/>
        <v>5.7500000000000002E-2</v>
      </c>
      <c r="AN157" s="3">
        <f t="shared" ref="AN157:AN159" si="237">AL157*(1+AM157*IF(MOD($S157,12)&lt;&gt;0,MOD($S157,12),12)/12)</f>
        <v>3248.5416666666665</v>
      </c>
      <c r="AO157" s="3">
        <f t="shared" si="198"/>
        <v>21.7</v>
      </c>
      <c r="AP157" s="3">
        <f t="shared" si="205"/>
        <v>0</v>
      </c>
      <c r="AQ157" s="3">
        <f t="shared" ref="AQ157:AQ158" si="238">IF(MOD(S157,12)=0,AJ157-AH157+AN157-AL157+AG157*100,0)</f>
        <v>0</v>
      </c>
      <c r="AR157" s="3">
        <f t="shared" ref="AR157:AR158" si="239">AV156+AP157+AQ157</f>
        <v>30.600000000009231</v>
      </c>
      <c r="AS157" s="1">
        <f t="shared" si="231"/>
        <v>0</v>
      </c>
      <c r="AT157" s="3">
        <f t="shared" si="206"/>
        <v>30.600000000009231</v>
      </c>
      <c r="AU157" s="1">
        <f t="shared" si="234"/>
        <v>0</v>
      </c>
      <c r="AV157" s="3">
        <f t="shared" ref="AV157:AV159" si="240">AT157-AU157*100</f>
        <v>30.600000000009231</v>
      </c>
      <c r="AW157" s="3">
        <f t="shared" ref="AW157:AW159" si="241">AA157+AJ157+AN157+AV156</f>
        <v>16831.600000000009</v>
      </c>
      <c r="AX157" s="3">
        <f>MIN(IF(MOD(S157,12)=0,INDEX(IKE_oplata_wskaznik,MATCH(ROUNDUP(S157/12,0),IKE_oplata_rok,0)),0)*AW157,200)</f>
        <v>0</v>
      </c>
      <c r="AY157" s="3">
        <f t="shared" si="219"/>
        <v>156.98314000000005</v>
      </c>
      <c r="AZ157" s="3">
        <f t="shared" si="207"/>
        <v>16674.616860000009</v>
      </c>
      <c r="BA157" s="3">
        <f t="shared" si="220"/>
        <v>112.69999999999999</v>
      </c>
      <c r="BB157" s="3">
        <f t="shared" si="208"/>
        <v>1276.5910000000017</v>
      </c>
      <c r="BC157" s="3">
        <f t="shared" si="209"/>
        <v>15285.325860000006</v>
      </c>
      <c r="BE157" s="6">
        <f t="shared" si="221"/>
        <v>171</v>
      </c>
      <c r="BF157" s="3">
        <f t="shared" si="222"/>
        <v>17082.900000000001</v>
      </c>
      <c r="BG157" s="3">
        <f t="shared" si="223"/>
        <v>17100</v>
      </c>
      <c r="BH157" s="3">
        <f t="shared" si="224"/>
        <v>17390.699999999997</v>
      </c>
      <c r="BI157" s="9">
        <f t="shared" si="210"/>
        <v>6.0000000000000005E-2</v>
      </c>
      <c r="BJ157" s="3">
        <f t="shared" si="211"/>
        <v>18260.234999999997</v>
      </c>
      <c r="BK157" s="3" t="str">
        <f t="shared" si="212"/>
        <v>nie</v>
      </c>
      <c r="BL157" s="3">
        <f t="shared" si="225"/>
        <v>0</v>
      </c>
      <c r="BM157" s="3">
        <f t="shared" si="226"/>
        <v>99.101013057381351</v>
      </c>
      <c r="BN157" s="3">
        <f t="shared" si="227"/>
        <v>18359.336013057378</v>
      </c>
      <c r="BO157" s="3">
        <f>MIN(IF(MOD(S157,12)=0,INDEX(IKE_oplata_wskaznik,MATCH(ROUNDUP(S157/12,0),IKE_oplata_rok,0)),0)*BN157,200)</f>
        <v>0</v>
      </c>
      <c r="BP157" s="3">
        <f t="shared" si="228"/>
        <v>166.41156663203384</v>
      </c>
      <c r="BQ157" s="3">
        <f t="shared" si="229"/>
        <v>18192.924446425346</v>
      </c>
      <c r="BR157" s="3">
        <f t="shared" si="213"/>
        <v>342</v>
      </c>
      <c r="BS157" s="3">
        <f t="shared" si="214"/>
        <v>1504.4646499999994</v>
      </c>
      <c r="BT157" s="3">
        <f t="shared" si="230"/>
        <v>16346.459796425346</v>
      </c>
    </row>
    <row r="158" spans="2:72">
      <c r="B158" s="172"/>
      <c r="C158" s="1">
        <f t="shared" si="195"/>
        <v>124</v>
      </c>
      <c r="D158" s="3">
        <f t="shared" si="157"/>
        <v>15464.446360000011</v>
      </c>
      <c r="E158" s="3">
        <f t="shared" si="158"/>
        <v>14317.224360000009</v>
      </c>
      <c r="F158" s="3">
        <f t="shared" si="159"/>
        <v>17147.079247438407</v>
      </c>
      <c r="G158" s="3">
        <f t="shared" si="160"/>
        <v>15701.179247438406</v>
      </c>
      <c r="H158" s="3">
        <f t="shared" si="196"/>
        <v>11336.998448433364</v>
      </c>
      <c r="I158" s="3">
        <f t="shared" si="161"/>
        <v>16560.428705570659</v>
      </c>
      <c r="S158" s="1">
        <f t="shared" si="215"/>
        <v>143</v>
      </c>
      <c r="T158" s="9">
        <f t="shared" si="232"/>
        <v>0.05</v>
      </c>
      <c r="U158" s="3">
        <f t="shared" si="199"/>
        <v>17887.299120299787</v>
      </c>
      <c r="V158" s="6">
        <f t="shared" si="216"/>
        <v>111</v>
      </c>
      <c r="W158" s="3">
        <f t="shared" si="217"/>
        <v>11088.900000000001</v>
      </c>
      <c r="X158" s="3">
        <f t="shared" si="218"/>
        <v>11100</v>
      </c>
      <c r="Y158" s="3">
        <f t="shared" si="200"/>
        <v>11100</v>
      </c>
      <c r="Z158" s="9">
        <f t="shared" si="201"/>
        <v>5.7500000000000002E-2</v>
      </c>
      <c r="AA158" s="3">
        <f t="shared" si="202"/>
        <v>11685.0625</v>
      </c>
      <c r="AB158" s="3" t="str">
        <f t="shared" si="203"/>
        <v>nie</v>
      </c>
      <c r="AC158" s="3">
        <f t="shared" si="204"/>
        <v>77.699999999999989</v>
      </c>
      <c r="AD158" s="1">
        <f t="shared" si="192"/>
        <v>19</v>
      </c>
      <c r="AE158" s="1">
        <f t="shared" si="162"/>
        <v>21</v>
      </c>
      <c r="AF158" s="1">
        <f t="shared" si="162"/>
        <v>6</v>
      </c>
      <c r="AG158" s="1">
        <f t="shared" si="162"/>
        <v>4</v>
      </c>
      <c r="AH158" s="3">
        <f t="shared" si="235"/>
        <v>1900</v>
      </c>
      <c r="AI158" s="9">
        <f t="shared" si="193"/>
        <v>1.2999999999999999E-2</v>
      </c>
      <c r="AJ158" s="3">
        <f t="shared" si="236"/>
        <v>1922.6416666666664</v>
      </c>
      <c r="AK158" s="3">
        <f t="shared" si="233"/>
        <v>13.299999999999999</v>
      </c>
      <c r="AL158" s="3">
        <f t="shared" si="165"/>
        <v>3100</v>
      </c>
      <c r="AM158" s="9">
        <f t="shared" si="197"/>
        <v>5.7500000000000002E-2</v>
      </c>
      <c r="AN158" s="3">
        <f t="shared" si="237"/>
        <v>3263.3958333333335</v>
      </c>
      <c r="AO158" s="3">
        <f t="shared" si="198"/>
        <v>21.7</v>
      </c>
      <c r="AP158" s="3">
        <f t="shared" si="205"/>
        <v>0</v>
      </c>
      <c r="AQ158" s="3">
        <f t="shared" si="238"/>
        <v>0</v>
      </c>
      <c r="AR158" s="3">
        <f t="shared" si="239"/>
        <v>30.600000000009231</v>
      </c>
      <c r="AS158" s="1">
        <f t="shared" si="231"/>
        <v>0</v>
      </c>
      <c r="AT158" s="3">
        <f t="shared" si="206"/>
        <v>30.600000000009231</v>
      </c>
      <c r="AU158" s="1">
        <f t="shared" si="234"/>
        <v>0</v>
      </c>
      <c r="AV158" s="3">
        <f t="shared" si="240"/>
        <v>30.600000000009231</v>
      </c>
      <c r="AW158" s="3">
        <f t="shared" si="241"/>
        <v>16901.700000000008</v>
      </c>
      <c r="AX158" s="3">
        <f>MIN(IF(MOD(S158,12)=0,INDEX(IKE_oplata_wskaznik,MATCH(ROUNDUP(S158/12,0),IKE_oplata_rok,0)),0)*AW158,200)</f>
        <v>0</v>
      </c>
      <c r="AY158" s="3">
        <f t="shared" si="219"/>
        <v>156.98314000000005</v>
      </c>
      <c r="AZ158" s="3">
        <f t="shared" si="207"/>
        <v>16744.716860000008</v>
      </c>
      <c r="BA158" s="3">
        <f t="shared" si="220"/>
        <v>112.69999999999999</v>
      </c>
      <c r="BB158" s="3">
        <f t="shared" si="208"/>
        <v>1289.9100000000014</v>
      </c>
      <c r="BC158" s="3">
        <f t="shared" si="209"/>
        <v>15342.106860000005</v>
      </c>
      <c r="BE158" s="6">
        <f t="shared" si="221"/>
        <v>171</v>
      </c>
      <c r="BF158" s="3">
        <f t="shared" si="222"/>
        <v>17082.900000000001</v>
      </c>
      <c r="BG158" s="3">
        <f t="shared" si="223"/>
        <v>17100</v>
      </c>
      <c r="BH158" s="3">
        <f t="shared" si="224"/>
        <v>17390.699999999997</v>
      </c>
      <c r="BI158" s="9">
        <f t="shared" si="210"/>
        <v>6.0000000000000005E-2</v>
      </c>
      <c r="BJ158" s="3">
        <f t="shared" si="211"/>
        <v>18347.188499999997</v>
      </c>
      <c r="BK158" s="3" t="str">
        <f t="shared" si="212"/>
        <v>nie</v>
      </c>
      <c r="BL158" s="3">
        <f t="shared" si="225"/>
        <v>0</v>
      </c>
      <c r="BM158" s="3">
        <f t="shared" si="226"/>
        <v>99.101013057381351</v>
      </c>
      <c r="BN158" s="3">
        <f t="shared" si="227"/>
        <v>18446.289513057378</v>
      </c>
      <c r="BO158" s="3">
        <f>MIN(IF(MOD(S158,12)=0,INDEX(IKE_oplata_wskaznik,MATCH(ROUNDUP(S158/12,0),IKE_oplata_rok,0)),0)*BN158,200)</f>
        <v>0</v>
      </c>
      <c r="BP158" s="3">
        <f t="shared" si="228"/>
        <v>166.41156663203384</v>
      </c>
      <c r="BQ158" s="3">
        <f t="shared" si="229"/>
        <v>18279.877946425346</v>
      </c>
      <c r="BR158" s="3">
        <f t="shared" si="213"/>
        <v>342</v>
      </c>
      <c r="BS158" s="3">
        <f t="shared" si="214"/>
        <v>1520.9858149999993</v>
      </c>
      <c r="BT158" s="3">
        <f t="shared" si="230"/>
        <v>16416.892131425346</v>
      </c>
    </row>
    <row r="159" spans="2:72">
      <c r="B159" s="172"/>
      <c r="C159" s="1">
        <f t="shared" si="195"/>
        <v>125</v>
      </c>
      <c r="D159" s="3">
        <f t="shared" si="157"/>
        <v>15529.971360000009</v>
      </c>
      <c r="E159" s="3">
        <f t="shared" si="158"/>
        <v>14368.456860000008</v>
      </c>
      <c r="F159" s="3">
        <f t="shared" si="159"/>
        <v>17171.304247438406</v>
      </c>
      <c r="G159" s="3">
        <f t="shared" si="160"/>
        <v>15701.179247438406</v>
      </c>
      <c r="H159" s="3">
        <f t="shared" si="196"/>
        <v>11348.477159362403</v>
      </c>
      <c r="I159" s="3">
        <f t="shared" si="161"/>
        <v>16628.299315019718</v>
      </c>
      <c r="S159" s="1">
        <f t="shared" si="215"/>
        <v>144</v>
      </c>
      <c r="T159" s="9">
        <f t="shared" si="232"/>
        <v>0.05</v>
      </c>
      <c r="U159" s="3">
        <f t="shared" si="199"/>
        <v>17958.563260221301</v>
      </c>
      <c r="V159" s="6">
        <f t="shared" si="216"/>
        <v>111</v>
      </c>
      <c r="W159" s="3">
        <f t="shared" si="217"/>
        <v>11088.900000000001</v>
      </c>
      <c r="X159" s="3">
        <f t="shared" si="218"/>
        <v>11100</v>
      </c>
      <c r="Y159" s="3">
        <f t="shared" si="200"/>
        <v>11100</v>
      </c>
      <c r="Z159" s="9">
        <f t="shared" si="201"/>
        <v>5.7500000000000002E-2</v>
      </c>
      <c r="AA159" s="3">
        <f t="shared" si="202"/>
        <v>11738.250000000002</v>
      </c>
      <c r="AB159" s="3" t="str">
        <f t="shared" si="203"/>
        <v>tak</v>
      </c>
      <c r="AC159" s="3">
        <f t="shared" si="204"/>
        <v>0</v>
      </c>
      <c r="AD159" s="1">
        <f t="shared" si="192"/>
        <v>19</v>
      </c>
      <c r="AE159" s="1">
        <f t="shared" si="162"/>
        <v>21</v>
      </c>
      <c r="AF159" s="1">
        <f t="shared" si="162"/>
        <v>6</v>
      </c>
      <c r="AG159" s="1">
        <f t="shared" si="162"/>
        <v>4</v>
      </c>
      <c r="AH159" s="3">
        <f t="shared" si="235"/>
        <v>1900</v>
      </c>
      <c r="AI159" s="9">
        <f t="shared" si="193"/>
        <v>1.2999999999999999E-2</v>
      </c>
      <c r="AJ159" s="3">
        <f t="shared" si="236"/>
        <v>1924.6999999999998</v>
      </c>
      <c r="AK159" s="3">
        <f t="shared" si="233"/>
        <v>13.299999999999999</v>
      </c>
      <c r="AL159" s="3">
        <f t="shared" si="165"/>
        <v>3100</v>
      </c>
      <c r="AM159" s="9">
        <f t="shared" si="197"/>
        <v>5.7500000000000002E-2</v>
      </c>
      <c r="AN159" s="3">
        <f t="shared" si="237"/>
        <v>3278.2500000000005</v>
      </c>
      <c r="AO159" s="3">
        <f t="shared" si="198"/>
        <v>21.7</v>
      </c>
      <c r="AP159" s="7"/>
      <c r="AQ159" s="7"/>
      <c r="AR159" s="7"/>
      <c r="AS159" s="1">
        <f t="shared" si="231"/>
        <v>0</v>
      </c>
      <c r="AT159" s="3">
        <f t="shared" si="206"/>
        <v>0</v>
      </c>
      <c r="AU159" s="1">
        <f t="shared" si="234"/>
        <v>0</v>
      </c>
      <c r="AV159" s="3">
        <f t="shared" si="240"/>
        <v>0</v>
      </c>
      <c r="AW159" s="3">
        <f t="shared" si="241"/>
        <v>16971.80000000001</v>
      </c>
      <c r="AX159" s="3">
        <f>MIN(IF(MOD(S159,12)=0,INDEX(IKE_oplata_wskaznik,MATCH(ROUNDUP(S159/12,0),IKE_oplata_rok,0)),0)*AW159,200)</f>
        <v>16.971800000000009</v>
      </c>
      <c r="AY159" s="3">
        <f t="shared" si="219"/>
        <v>173.95494000000005</v>
      </c>
      <c r="AZ159" s="3">
        <f t="shared" si="207"/>
        <v>16797.845060000011</v>
      </c>
      <c r="BA159" s="3">
        <f t="shared" si="220"/>
        <v>35</v>
      </c>
      <c r="BB159" s="3">
        <f t="shared" si="208"/>
        <v>1317.992000000002</v>
      </c>
      <c r="BC159" s="3">
        <f t="shared" si="209"/>
        <v>15444.853060000009</v>
      </c>
      <c r="BE159" s="6">
        <f t="shared" si="221"/>
        <v>171</v>
      </c>
      <c r="BF159" s="3">
        <f t="shared" si="222"/>
        <v>17082.900000000001</v>
      </c>
      <c r="BG159" s="3">
        <f t="shared" si="223"/>
        <v>17100</v>
      </c>
      <c r="BH159" s="3">
        <f t="shared" si="224"/>
        <v>17390.699999999997</v>
      </c>
      <c r="BI159" s="9">
        <f t="shared" si="210"/>
        <v>6.0000000000000005E-2</v>
      </c>
      <c r="BJ159" s="3">
        <f t="shared" si="211"/>
        <v>18434.141999999996</v>
      </c>
      <c r="BK159" s="3" t="str">
        <f t="shared" si="212"/>
        <v>nie</v>
      </c>
      <c r="BL159" s="3">
        <f t="shared" si="225"/>
        <v>0</v>
      </c>
      <c r="BM159" s="3">
        <f t="shared" si="226"/>
        <v>99.101013057381351</v>
      </c>
      <c r="BN159" s="3">
        <f t="shared" si="227"/>
        <v>18533.243013057378</v>
      </c>
      <c r="BO159" s="3">
        <f>MIN(IF(MOD(S159,12)=0,INDEX(IKE_oplata_wskaznik,MATCH(ROUNDUP(S159/12,0),IKE_oplata_rok,0)),0)*BN159,200)</f>
        <v>18.533243013057376</v>
      </c>
      <c r="BP159" s="3">
        <f t="shared" si="228"/>
        <v>184.94480964509123</v>
      </c>
      <c r="BQ159" s="3">
        <f t="shared" si="229"/>
        <v>18348.298203412287</v>
      </c>
      <c r="BR159" s="3">
        <f t="shared" si="213"/>
        <v>342</v>
      </c>
      <c r="BS159" s="3">
        <f t="shared" si="214"/>
        <v>1537.5069799999992</v>
      </c>
      <c r="BT159" s="3">
        <f t="shared" si="230"/>
        <v>16468.791223412289</v>
      </c>
    </row>
    <row r="160" spans="2:72">
      <c r="B160" s="172"/>
      <c r="C160" s="1">
        <f t="shared" si="195"/>
        <v>126</v>
      </c>
      <c r="D160" s="3">
        <f t="shared" si="157"/>
        <v>15595.496360000008</v>
      </c>
      <c r="E160" s="3">
        <f t="shared" si="158"/>
        <v>14419.689360000008</v>
      </c>
      <c r="F160" s="3">
        <f t="shared" si="159"/>
        <v>17195.529247438404</v>
      </c>
      <c r="G160" s="3">
        <f t="shared" si="160"/>
        <v>15701.179247438406</v>
      </c>
      <c r="H160" s="3">
        <f t="shared" si="196"/>
        <v>11359.967492486257</v>
      </c>
      <c r="I160" s="3">
        <f t="shared" si="161"/>
        <v>16696.169924468777</v>
      </c>
    </row>
    <row r="161" spans="2:9">
      <c r="B161" s="172"/>
      <c r="C161" s="1">
        <f t="shared" si="195"/>
        <v>127</v>
      </c>
      <c r="D161" s="3">
        <f t="shared" si="157"/>
        <v>15661.021360000006</v>
      </c>
      <c r="E161" s="3">
        <f t="shared" si="158"/>
        <v>14471.914110000005</v>
      </c>
      <c r="F161" s="3">
        <f t="shared" si="159"/>
        <v>17219.754247438403</v>
      </c>
      <c r="G161" s="3">
        <f t="shared" si="160"/>
        <v>15701.179247438406</v>
      </c>
      <c r="H161" s="3">
        <f t="shared" si="196"/>
        <v>11371.469459572401</v>
      </c>
      <c r="I161" s="3">
        <f t="shared" si="161"/>
        <v>16764.04053391784</v>
      </c>
    </row>
    <row r="162" spans="2:9">
      <c r="B162" s="172"/>
      <c r="C162" s="1">
        <f t="shared" si="195"/>
        <v>128</v>
      </c>
      <c r="D162" s="3">
        <f t="shared" si="157"/>
        <v>15726.546360000009</v>
      </c>
      <c r="E162" s="3">
        <f t="shared" si="158"/>
        <v>14524.989360000007</v>
      </c>
      <c r="F162" s="3">
        <f t="shared" si="159"/>
        <v>17243.979247438408</v>
      </c>
      <c r="G162" s="3">
        <f t="shared" si="160"/>
        <v>15701.179247438406</v>
      </c>
      <c r="H162" s="3">
        <f t="shared" si="196"/>
        <v>11382.983072400219</v>
      </c>
      <c r="I162" s="3">
        <f t="shared" si="161"/>
        <v>16831.911143366902</v>
      </c>
    </row>
    <row r="163" spans="2:9">
      <c r="B163" s="172"/>
      <c r="C163" s="1">
        <f t="shared" ref="C163:C178" si="242">S144</f>
        <v>129</v>
      </c>
      <c r="D163" s="3">
        <f t="shared" si="157"/>
        <v>15792.071360000009</v>
      </c>
      <c r="E163" s="3">
        <f t="shared" si="158"/>
        <v>14578.064610000007</v>
      </c>
      <c r="F163" s="3">
        <f t="shared" si="159"/>
        <v>17268.204247438407</v>
      </c>
      <c r="G163" s="3">
        <f t="shared" si="160"/>
        <v>15701.179247438406</v>
      </c>
      <c r="H163" s="3">
        <f t="shared" ref="H163:H178" si="243">FV(INDEX(scenariusz_I_konto,MATCH(ROUNDUP(C163/12,0),scenariusz_I_rok,0))/12*(1-podatek_Belki),1,0,-H162,1)</f>
        <v>11394.508342761024</v>
      </c>
      <c r="I163" s="3">
        <f t="shared" si="161"/>
        <v>16899.781752815961</v>
      </c>
    </row>
    <row r="164" spans="2:9">
      <c r="B164" s="172"/>
      <c r="C164" s="1">
        <f t="shared" si="242"/>
        <v>130</v>
      </c>
      <c r="D164" s="3">
        <f t="shared" ref="D164:D178" si="244">AZ145</f>
        <v>15857.596360000009</v>
      </c>
      <c r="E164" s="3">
        <f t="shared" ref="E164:E178" si="245">BC145</f>
        <v>14631.139860000007</v>
      </c>
      <c r="F164" s="3">
        <f t="shared" ref="F164:F178" si="246">BQ145</f>
        <v>17292.429247438406</v>
      </c>
      <c r="G164" s="3">
        <f t="shared" ref="G164:G178" si="247">BT145</f>
        <v>15701.179247438406</v>
      </c>
      <c r="H164" s="3">
        <f t="shared" si="243"/>
        <v>11406.045282458072</v>
      </c>
      <c r="I164" s="3">
        <f t="shared" ref="I164:I178" si="248">U145</f>
        <v>16967.65236226502</v>
      </c>
    </row>
    <row r="165" spans="2:9">
      <c r="B165" s="173"/>
      <c r="C165" s="1">
        <f t="shared" si="242"/>
        <v>131</v>
      </c>
      <c r="D165" s="3">
        <f t="shared" si="244"/>
        <v>15923.121360000008</v>
      </c>
      <c r="E165" s="3">
        <f t="shared" si="245"/>
        <v>14684.215110000006</v>
      </c>
      <c r="F165" s="3">
        <f t="shared" si="246"/>
        <v>17316.654247438404</v>
      </c>
      <c r="G165" s="3">
        <f t="shared" si="247"/>
        <v>15701.179247438406</v>
      </c>
      <c r="H165" s="3">
        <f t="shared" si="243"/>
        <v>11417.593903306561</v>
      </c>
      <c r="I165" s="3">
        <f t="shared" si="248"/>
        <v>17035.522971714083</v>
      </c>
    </row>
    <row r="166" spans="2:9">
      <c r="B166" s="171">
        <f>ROUNDUP(C167/12,0)</f>
        <v>12</v>
      </c>
      <c r="C166" s="4">
        <f t="shared" si="242"/>
        <v>132</v>
      </c>
      <c r="D166" s="12">
        <f t="shared" si="244"/>
        <v>15972.516860000009</v>
      </c>
      <c r="E166" s="12">
        <f t="shared" si="245"/>
        <v>14721.160860000007</v>
      </c>
      <c r="F166" s="12">
        <f t="shared" si="246"/>
        <v>17323.389446425346</v>
      </c>
      <c r="G166" s="12">
        <f t="shared" si="247"/>
        <v>15683.689446425349</v>
      </c>
      <c r="H166" s="12">
        <f t="shared" si="243"/>
        <v>11429.154217133659</v>
      </c>
      <c r="I166" s="12">
        <f t="shared" si="248"/>
        <v>17103.393581163142</v>
      </c>
    </row>
    <row r="167" spans="2:9">
      <c r="B167" s="172"/>
      <c r="C167" s="1">
        <f t="shared" si="242"/>
        <v>133</v>
      </c>
      <c r="D167" s="3">
        <f t="shared" si="244"/>
        <v>16043.716860000011</v>
      </c>
      <c r="E167" s="3">
        <f t="shared" si="245"/>
        <v>14783.402610000008</v>
      </c>
      <c r="F167" s="3">
        <f t="shared" si="246"/>
        <v>17410.342946425346</v>
      </c>
      <c r="G167" s="3">
        <f t="shared" si="247"/>
        <v>15712.568781425347</v>
      </c>
      <c r="H167" s="3">
        <f t="shared" si="243"/>
        <v>11440.726235778508</v>
      </c>
      <c r="I167" s="3">
        <f t="shared" si="248"/>
        <v>17174.657721084655</v>
      </c>
    </row>
    <row r="168" spans="2:9">
      <c r="B168" s="172"/>
      <c r="C168" s="1">
        <f t="shared" si="242"/>
        <v>134</v>
      </c>
      <c r="D168" s="3">
        <f t="shared" si="244"/>
        <v>16113.81686000001</v>
      </c>
      <c r="E168" s="3">
        <f t="shared" si="245"/>
        <v>14838.516360000009</v>
      </c>
      <c r="F168" s="3">
        <f t="shared" si="246"/>
        <v>17497.296446425345</v>
      </c>
      <c r="G168" s="3">
        <f t="shared" si="247"/>
        <v>15783.001116425346</v>
      </c>
      <c r="H168" s="3">
        <f t="shared" si="243"/>
        <v>11452.309971092234</v>
      </c>
      <c r="I168" s="3">
        <f t="shared" si="248"/>
        <v>17245.921861006169</v>
      </c>
    </row>
    <row r="169" spans="2:9">
      <c r="B169" s="172"/>
      <c r="C169" s="1">
        <f t="shared" si="242"/>
        <v>135</v>
      </c>
      <c r="D169" s="3">
        <f t="shared" si="244"/>
        <v>16183.916860000008</v>
      </c>
      <c r="E169" s="3">
        <f t="shared" si="245"/>
        <v>14893.630110000006</v>
      </c>
      <c r="F169" s="3">
        <f t="shared" si="246"/>
        <v>17584.249946425345</v>
      </c>
      <c r="G169" s="3">
        <f t="shared" si="247"/>
        <v>15853.433451425346</v>
      </c>
      <c r="H169" s="3">
        <f t="shared" si="243"/>
        <v>11463.905434937966</v>
      </c>
      <c r="I169" s="3">
        <f t="shared" si="248"/>
        <v>17317.186000927679</v>
      </c>
    </row>
    <row r="170" spans="2:9">
      <c r="B170" s="172"/>
      <c r="C170" s="1">
        <f t="shared" si="242"/>
        <v>136</v>
      </c>
      <c r="D170" s="3">
        <f t="shared" si="244"/>
        <v>16254.016860000011</v>
      </c>
      <c r="E170" s="3">
        <f t="shared" si="245"/>
        <v>14948.74386000001</v>
      </c>
      <c r="F170" s="3">
        <f t="shared" si="246"/>
        <v>17671.203446425345</v>
      </c>
      <c r="G170" s="3">
        <f t="shared" si="247"/>
        <v>15923.865786425346</v>
      </c>
      <c r="H170" s="3">
        <f t="shared" si="243"/>
        <v>11475.512639190842</v>
      </c>
      <c r="I170" s="3">
        <f t="shared" si="248"/>
        <v>17388.450140849192</v>
      </c>
    </row>
    <row r="171" spans="2:9">
      <c r="B171" s="172"/>
      <c r="C171" s="1">
        <f t="shared" si="242"/>
        <v>137</v>
      </c>
      <c r="D171" s="3">
        <f t="shared" si="244"/>
        <v>16324.116860000009</v>
      </c>
      <c r="E171" s="3">
        <f t="shared" si="245"/>
        <v>15003.857610000008</v>
      </c>
      <c r="F171" s="3">
        <f t="shared" si="246"/>
        <v>17758.156946425344</v>
      </c>
      <c r="G171" s="3">
        <f t="shared" si="247"/>
        <v>15994.298121425345</v>
      </c>
      <c r="H171" s="3">
        <f t="shared" si="243"/>
        <v>11487.131595738023</v>
      </c>
      <c r="I171" s="3">
        <f t="shared" si="248"/>
        <v>17459.714280770706</v>
      </c>
    </row>
    <row r="172" spans="2:9">
      <c r="B172" s="172"/>
      <c r="C172" s="1">
        <f t="shared" si="242"/>
        <v>138</v>
      </c>
      <c r="D172" s="3">
        <f t="shared" si="244"/>
        <v>16394.216860000008</v>
      </c>
      <c r="E172" s="3">
        <f t="shared" si="245"/>
        <v>15058.971360000007</v>
      </c>
      <c r="F172" s="3">
        <f t="shared" si="246"/>
        <v>17845.110446425348</v>
      </c>
      <c r="G172" s="3">
        <f t="shared" si="247"/>
        <v>16064.730456425348</v>
      </c>
      <c r="H172" s="3">
        <f t="shared" si="243"/>
        <v>11498.762316478709</v>
      </c>
      <c r="I172" s="3">
        <f t="shared" si="248"/>
        <v>17530.97842069222</v>
      </c>
    </row>
    <row r="173" spans="2:9">
      <c r="B173" s="172"/>
      <c r="C173" s="1">
        <f t="shared" si="242"/>
        <v>139</v>
      </c>
      <c r="D173" s="3">
        <f t="shared" si="244"/>
        <v>16464.316860000006</v>
      </c>
      <c r="E173" s="3">
        <f t="shared" si="245"/>
        <v>15114.982860000004</v>
      </c>
      <c r="F173" s="3">
        <f t="shared" si="246"/>
        <v>17932.063946425344</v>
      </c>
      <c r="G173" s="3">
        <f t="shared" si="247"/>
        <v>16135.162791425344</v>
      </c>
      <c r="H173" s="3">
        <f t="shared" si="243"/>
        <v>11510.404813324145</v>
      </c>
      <c r="I173" s="3">
        <f t="shared" si="248"/>
        <v>17602.242560613733</v>
      </c>
    </row>
    <row r="174" spans="2:9">
      <c r="B174" s="172"/>
      <c r="C174" s="1">
        <f t="shared" si="242"/>
        <v>140</v>
      </c>
      <c r="D174" s="3">
        <f t="shared" si="244"/>
        <v>16534.416860000008</v>
      </c>
      <c r="E174" s="3">
        <f t="shared" si="245"/>
        <v>15171.763860000006</v>
      </c>
      <c r="F174" s="3">
        <f t="shared" si="246"/>
        <v>18019.017446425347</v>
      </c>
      <c r="G174" s="3">
        <f t="shared" si="247"/>
        <v>16205.595126425347</v>
      </c>
      <c r="H174" s="3">
        <f t="shared" si="243"/>
        <v>11522.059098197637</v>
      </c>
      <c r="I174" s="3">
        <f t="shared" si="248"/>
        <v>17673.506700535247</v>
      </c>
    </row>
    <row r="175" spans="2:9">
      <c r="B175" s="172"/>
      <c r="C175" s="1">
        <f t="shared" si="242"/>
        <v>141</v>
      </c>
      <c r="D175" s="3">
        <f t="shared" si="244"/>
        <v>16604.516860000011</v>
      </c>
      <c r="E175" s="3">
        <f t="shared" si="245"/>
        <v>15228.544860000007</v>
      </c>
      <c r="F175" s="3">
        <f t="shared" si="246"/>
        <v>18105.970946425346</v>
      </c>
      <c r="G175" s="3">
        <f t="shared" si="247"/>
        <v>16276.027461425347</v>
      </c>
      <c r="H175" s="3">
        <f t="shared" si="243"/>
        <v>11533.725183034563</v>
      </c>
      <c r="I175" s="3">
        <f t="shared" si="248"/>
        <v>17744.77084045676</v>
      </c>
    </row>
    <row r="176" spans="2:9">
      <c r="B176" s="172"/>
      <c r="C176" s="1">
        <f t="shared" si="242"/>
        <v>142</v>
      </c>
      <c r="D176" s="3">
        <f t="shared" si="244"/>
        <v>16674.616860000009</v>
      </c>
      <c r="E176" s="3">
        <f t="shared" si="245"/>
        <v>15285.325860000006</v>
      </c>
      <c r="F176" s="3">
        <f t="shared" si="246"/>
        <v>18192.924446425346</v>
      </c>
      <c r="G176" s="3">
        <f t="shared" si="247"/>
        <v>16346.459796425346</v>
      </c>
      <c r="H176" s="3">
        <f t="shared" si="243"/>
        <v>11545.403079782387</v>
      </c>
      <c r="I176" s="3">
        <f t="shared" si="248"/>
        <v>17816.034980378274</v>
      </c>
    </row>
    <row r="177" spans="2:9" s="106" customFormat="1">
      <c r="B177" s="173"/>
      <c r="C177" s="1">
        <f t="shared" si="242"/>
        <v>143</v>
      </c>
      <c r="D177" s="3">
        <f t="shared" si="244"/>
        <v>16744.716860000008</v>
      </c>
      <c r="E177" s="3">
        <f t="shared" si="245"/>
        <v>15342.106860000005</v>
      </c>
      <c r="F177" s="3">
        <f t="shared" si="246"/>
        <v>18279.877946425346</v>
      </c>
      <c r="G177" s="3">
        <f t="shared" si="247"/>
        <v>16416.892131425346</v>
      </c>
      <c r="H177" s="3">
        <f t="shared" si="243"/>
        <v>11557.092800400667</v>
      </c>
      <c r="I177" s="3">
        <f t="shared" si="248"/>
        <v>17887.299120299787</v>
      </c>
    </row>
    <row r="178" spans="2:9" s="106" customFormat="1">
      <c r="C178" s="4">
        <f t="shared" si="242"/>
        <v>144</v>
      </c>
      <c r="D178" s="12">
        <f t="shared" si="244"/>
        <v>16797.845060000011</v>
      </c>
      <c r="E178" s="12">
        <f t="shared" si="245"/>
        <v>15444.853060000009</v>
      </c>
      <c r="F178" s="12">
        <f t="shared" si="246"/>
        <v>18348.298203412287</v>
      </c>
      <c r="G178" s="12">
        <f t="shared" si="247"/>
        <v>16468.791223412289</v>
      </c>
      <c r="H178" s="12">
        <f t="shared" si="243"/>
        <v>11568.794356861074</v>
      </c>
      <c r="I178" s="12">
        <f t="shared" si="248"/>
        <v>17958.563260221301</v>
      </c>
    </row>
    <row r="179" spans="2:9" s="106" customFormat="1"/>
    <row r="180" spans="2:9" s="106" customFormat="1"/>
    <row r="181" spans="2:9" s="106" customFormat="1"/>
    <row r="182" spans="2:9" s="106" customFormat="1"/>
    <row r="183" spans="2:9" s="106" customFormat="1"/>
    <row r="184" spans="2:9" s="106" customFormat="1"/>
    <row r="185" spans="2:9" s="106" customFormat="1"/>
    <row r="186" spans="2:9">
      <c r="C186" s="106"/>
      <c r="D186" s="106"/>
      <c r="E186" s="106"/>
      <c r="F186" s="106"/>
      <c r="G186" s="106"/>
      <c r="H186" s="106"/>
      <c r="I186" s="106"/>
    </row>
    <row r="187" spans="2:9">
      <c r="C187" s="106"/>
      <c r="D187" s="106"/>
      <c r="E187" s="106"/>
      <c r="F187" s="106"/>
      <c r="G187" s="106"/>
      <c r="H187" s="106"/>
      <c r="I187" s="106"/>
    </row>
  </sheetData>
  <mergeCells count="15">
    <mergeCell ref="B70:B81"/>
    <mergeCell ref="B154:B165"/>
    <mergeCell ref="B166:B177"/>
    <mergeCell ref="B82:B93"/>
    <mergeCell ref="B94:B105"/>
    <mergeCell ref="B106:B117"/>
    <mergeCell ref="B118:B129"/>
    <mergeCell ref="B130:B141"/>
    <mergeCell ref="B142:B153"/>
    <mergeCell ref="A27:A31"/>
    <mergeCell ref="K16:Q16"/>
    <mergeCell ref="B34:B45"/>
    <mergeCell ref="B46:B57"/>
    <mergeCell ref="B58:B69"/>
    <mergeCell ref="C16:I16"/>
  </mergeCells>
  <dataValidations count="1">
    <dataValidation type="whole" allowBlank="1" showInputMessage="1" showErrorMessage="1" errorTitle="Uwaga" error="Wpisz liczbę z przedziału od 1 do 144. _x000a__x000a_Dziękuję :)" sqref="C31" xr:uid="{91FA14FC-ED14-4155-B1D3-8C6EA48253A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55</vt:i4>
      </vt:variant>
    </vt:vector>
  </HeadingPairs>
  <TitlesOfParts>
    <vt:vector size="58" baseType="lpstr">
      <vt:lpstr>WPISZ ZAŁOŻENIA</vt:lpstr>
      <vt:lpstr>OBLIGACJE</vt:lpstr>
      <vt:lpstr>IKE OBLIGACJE</vt:lpstr>
      <vt:lpstr>IKE_oplata_rok</vt:lpstr>
      <vt:lpstr>IKE_oplata_wskaznik</vt:lpstr>
      <vt:lpstr>IKE_wyniki_COI_I</vt:lpstr>
      <vt:lpstr>IKE_wyniki_COI_preferencje</vt:lpstr>
      <vt:lpstr>IKE_wyniki_EDO_I</vt:lpstr>
      <vt:lpstr>IKE_wyniki_EDO_preferencje</vt:lpstr>
      <vt:lpstr>IKE_wyniki_mc</vt:lpstr>
      <vt:lpstr>IKE_wyniki_skumulowana_inflacja</vt:lpstr>
      <vt:lpstr>IKE_zakup_domyslny_mc</vt:lpstr>
      <vt:lpstr>kapitalizacja_odsetek_mc_EDO</vt:lpstr>
      <vt:lpstr>OBLIGACJE!kapitalizacja_odsetek_mc_ROD</vt:lpstr>
      <vt:lpstr>OBLIGACJE!kapitalizacja_odsetek_mc_ROS</vt:lpstr>
      <vt:lpstr>koszt_wczesniejszy_wykup_COI</vt:lpstr>
      <vt:lpstr>koszt_wczesniejszy_wykup_EDO</vt:lpstr>
      <vt:lpstr>OBLIGACJE!koszt_wczesniejszy_wykup_ROD</vt:lpstr>
      <vt:lpstr>OBLIGACJE!koszt_wczesniejszy_wykup_ROS</vt:lpstr>
      <vt:lpstr>marza_COI</vt:lpstr>
      <vt:lpstr>marza_EDO</vt:lpstr>
      <vt:lpstr>OBLIGACJE!marza_ROD</vt:lpstr>
      <vt:lpstr>OBLIGACJE!marza_ROS</vt:lpstr>
      <vt:lpstr>podatek_Belki</vt:lpstr>
      <vt:lpstr>proc_I_okres_COI</vt:lpstr>
      <vt:lpstr>proc_I_okres_EDO</vt:lpstr>
      <vt:lpstr>OBLIGACJE!proc_I_okres_ROD</vt:lpstr>
      <vt:lpstr>OBLIGACJE!proc_I_okres_ROS</vt:lpstr>
      <vt:lpstr>scenariusz_I_inflacja</vt:lpstr>
      <vt:lpstr>scenariusz_I_inflacja_skumulowana</vt:lpstr>
      <vt:lpstr>scenariusz_I_konto</vt:lpstr>
      <vt:lpstr>scenariusz_I_rok</vt:lpstr>
      <vt:lpstr>test</vt:lpstr>
      <vt:lpstr>trigger_inflacja</vt:lpstr>
      <vt:lpstr>'IKE OBLIGACJE'!wyniki_COI_I</vt:lpstr>
      <vt:lpstr>OBLIGACJE!wyniki_COI_I</vt:lpstr>
      <vt:lpstr>'IKE OBLIGACJE'!wyniki_EDO_I</vt:lpstr>
      <vt:lpstr>OBLIGACJE!wyniki_EDO_I</vt:lpstr>
      <vt:lpstr>'IKE OBLIGACJE'!wyniki_mc</vt:lpstr>
      <vt:lpstr>OBLIGACJE!wyniki_mc</vt:lpstr>
      <vt:lpstr>'IKE OBLIGACJE'!wyniki_ROD_I</vt:lpstr>
      <vt:lpstr>OBLIGACJE!wyniki_ROD_I</vt:lpstr>
      <vt:lpstr>'IKE OBLIGACJE'!wyniki_ROS_I</vt:lpstr>
      <vt:lpstr>OBLIGACJE!wyniki_ROS_I</vt:lpstr>
      <vt:lpstr>'IKE OBLIGACJE'!wyniki_skumulowana_inflacja</vt:lpstr>
      <vt:lpstr>OBLIGACJE!wyniki_skumulowana_inflacja</vt:lpstr>
      <vt:lpstr>wyplata_odsetek_COI</vt:lpstr>
      <vt:lpstr>zakup_domyslny_ilosc</vt:lpstr>
      <vt:lpstr>zakup_domyslny_mc</vt:lpstr>
      <vt:lpstr>zakup_domyslny_wartosc</vt:lpstr>
      <vt:lpstr>zamiana_COI</vt:lpstr>
      <vt:lpstr>zamiana_EDO</vt:lpstr>
      <vt:lpstr>OBLIGACJE!zamiana_ROD</vt:lpstr>
      <vt:lpstr>OBLIGACJE!zamiana_ROS</vt:lpstr>
      <vt:lpstr>zapadalnosc_COI</vt:lpstr>
      <vt:lpstr>zapadalnosc_EDO</vt:lpstr>
      <vt:lpstr>OBLIGACJE!zapadalnosc_ROD</vt:lpstr>
      <vt:lpstr>OBLIGACJE!zapadalnosc_ROS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Kluczek</dc:creator>
  <cp:lastModifiedBy>Katarzyna Iwuc</cp:lastModifiedBy>
  <dcterms:created xsi:type="dcterms:W3CDTF">2021-10-08T22:33:52Z</dcterms:created>
  <dcterms:modified xsi:type="dcterms:W3CDTF">2021-12-02T20:48:31Z</dcterms:modified>
</cp:coreProperties>
</file>