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"/>
    </mc:Choice>
  </mc:AlternateContent>
  <xr:revisionPtr revIDLastSave="70" documentId="13_ncr:1_{10282782-BDE0-47D6-BDD7-EEC309759336}" xr6:coauthVersionLast="45" xr6:coauthVersionMax="45" xr10:uidLastSave="{2AB50BAD-93A5-452F-A3C6-E86802660760}"/>
  <bookViews>
    <workbookView xWindow="47880" yWindow="-120" windowWidth="29040" windowHeight="15840" xr2:uid="{00000000-000D-0000-FFFF-FFFF00000000}"/>
  </bookViews>
  <sheets>
    <sheet name="KALKULATOR" sheetId="3" r:id="rId1"/>
    <sheet name="zasady IKZE vs IKE" sheetId="7" state="hidden" r:id="rId2"/>
    <sheet name="Robocze" sheetId="2" state="hidden" r:id="rId3"/>
  </sheets>
  <definedNames>
    <definedName name="wykres_duzy_IKE">OFFSET(Robocze!$M$4:$M$63,0,0,COUNT(Robocze!$M$4:$M$63),1)</definedName>
    <definedName name="wykres_duzy_IKZE">OFFSET(Robocze!$L$4:$L$63,0,0,COUNT(Robocze!$L$4:$L$63),1)</definedName>
    <definedName name="wykres_duzy_inne">OFFSET(Robocze!$N$4:$N$63,0,0,COUNT(Robocze!$N$4:$N$63),1)</definedName>
    <definedName name="wykres_duzy_rok">OFFSET(Robocze!$J$4:$J$63,0,0,COUNT(Robocze!$J$4:$J$63),1)</definedName>
    <definedName name="wykres_duzy_wplaty">OFFSET(Robocze!$K$4:$K$63,0,0,COUNT(Robocze!$K$4:$K$63),1)</definedName>
    <definedName name="wykres_maly_IKE">OFFSET(Robocze!$U$12:$U$16,0,0,COUNT(Robocze!$T$12:$T$16),1)</definedName>
    <definedName name="wykres_maly_IKZE">OFFSET(Robocze!$T$12:$T$16,0,0,COUNT(Robocze!$T$12:$T$16),1)</definedName>
    <definedName name="wykres_maly_inne">OFFSET(Robocze!$V$12:$V$16,0,0,COUNT(Robocze!$T$12:$T$16),1)</definedName>
    <definedName name="wykres_maly_rok">OFFSET(Robocze!$R$12:$R$16,0,0,COUNT(Robocze!$T$12:$T$16),1)</definedName>
    <definedName name="wykres_maly_wplaty">OFFSET(Robocze!$W$12:$W$16,0,0,COUNT(Robocze!$T$12:$T$16),1)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A22" i="3"/>
  <c r="B22" i="3"/>
  <c r="C22" i="3"/>
  <c r="D22" i="3"/>
  <c r="AK22" i="3"/>
  <c r="A23" i="3"/>
  <c r="E23" i="3"/>
  <c r="B23" i="3"/>
  <c r="D23" i="3"/>
  <c r="AK23" i="3"/>
  <c r="A24" i="3"/>
  <c r="E24" i="3"/>
  <c r="B24" i="3"/>
  <c r="D24" i="3"/>
  <c r="AK24" i="3"/>
  <c r="A25" i="3"/>
  <c r="E25" i="3"/>
  <c r="B25" i="3"/>
  <c r="D25" i="3"/>
  <c r="AK25" i="3"/>
  <c r="A26" i="3"/>
  <c r="E26" i="3"/>
  <c r="B26" i="3"/>
  <c r="D26" i="3"/>
  <c r="AK26" i="3"/>
  <c r="A27" i="3"/>
  <c r="E27" i="3"/>
  <c r="B27" i="3"/>
  <c r="D27" i="3"/>
  <c r="AK27" i="3"/>
  <c r="A28" i="3"/>
  <c r="E28" i="3"/>
  <c r="B28" i="3"/>
  <c r="D28" i="3"/>
  <c r="AK28" i="3"/>
  <c r="A29" i="3"/>
  <c r="E29" i="3"/>
  <c r="B29" i="3"/>
  <c r="D29" i="3"/>
  <c r="AK29" i="3"/>
  <c r="A30" i="3"/>
  <c r="E30" i="3"/>
  <c r="B30" i="3"/>
  <c r="D30" i="3"/>
  <c r="AK30" i="3"/>
  <c r="A31" i="3"/>
  <c r="E31" i="3"/>
  <c r="B31" i="3"/>
  <c r="D31" i="3"/>
  <c r="AK31" i="3"/>
  <c r="A32" i="3"/>
  <c r="E32" i="3"/>
  <c r="B32" i="3"/>
  <c r="D32" i="3"/>
  <c r="AK32" i="3"/>
  <c r="A33" i="3"/>
  <c r="E33" i="3"/>
  <c r="B33" i="3"/>
  <c r="D33" i="3"/>
  <c r="AK33" i="3"/>
  <c r="A34" i="3"/>
  <c r="E34" i="3"/>
  <c r="B34" i="3"/>
  <c r="D34" i="3"/>
  <c r="AK34" i="3"/>
  <c r="A35" i="3"/>
  <c r="E35" i="3"/>
  <c r="B35" i="3"/>
  <c r="D35" i="3"/>
  <c r="AK35" i="3"/>
  <c r="A36" i="3"/>
  <c r="E36" i="3"/>
  <c r="B36" i="3"/>
  <c r="D36" i="3"/>
  <c r="AK36" i="3"/>
  <c r="A37" i="3"/>
  <c r="E37" i="3"/>
  <c r="B37" i="3"/>
  <c r="D37" i="3"/>
  <c r="AK37" i="3"/>
  <c r="A38" i="3"/>
  <c r="E38" i="3"/>
  <c r="B38" i="3"/>
  <c r="D38" i="3"/>
  <c r="AK38" i="3"/>
  <c r="A39" i="3"/>
  <c r="E39" i="3"/>
  <c r="B39" i="3"/>
  <c r="D39" i="3"/>
  <c r="AK39" i="3"/>
  <c r="A40" i="3"/>
  <c r="E40" i="3"/>
  <c r="B40" i="3"/>
  <c r="D40" i="3"/>
  <c r="AK40" i="3"/>
  <c r="A41" i="3"/>
  <c r="E41" i="3"/>
  <c r="B41" i="3"/>
  <c r="D41" i="3"/>
  <c r="AK41" i="3"/>
  <c r="A42" i="3"/>
  <c r="E42" i="3"/>
  <c r="B42" i="3"/>
  <c r="D42" i="3"/>
  <c r="AK42" i="3"/>
  <c r="A43" i="3"/>
  <c r="E43" i="3"/>
  <c r="B43" i="3"/>
  <c r="D43" i="3"/>
  <c r="AK43" i="3"/>
  <c r="A44" i="3"/>
  <c r="E44" i="3"/>
  <c r="B44" i="3"/>
  <c r="D44" i="3"/>
  <c r="AK44" i="3"/>
  <c r="A45" i="3"/>
  <c r="E45" i="3"/>
  <c r="B45" i="3"/>
  <c r="D45" i="3"/>
  <c r="AK45" i="3"/>
  <c r="A46" i="3"/>
  <c r="E46" i="3"/>
  <c r="B46" i="3"/>
  <c r="D46" i="3"/>
  <c r="AK46" i="3"/>
  <c r="A47" i="3"/>
  <c r="E47" i="3"/>
  <c r="B47" i="3"/>
  <c r="D47" i="3"/>
  <c r="AK47" i="3"/>
  <c r="A48" i="3"/>
  <c r="E48" i="3"/>
  <c r="B48" i="3"/>
  <c r="D48" i="3"/>
  <c r="AK48" i="3"/>
  <c r="A49" i="3"/>
  <c r="E49" i="3"/>
  <c r="B49" i="3"/>
  <c r="D49" i="3"/>
  <c r="AK49" i="3"/>
  <c r="A50" i="3"/>
  <c r="E50" i="3"/>
  <c r="B50" i="3"/>
  <c r="D50" i="3"/>
  <c r="AK50" i="3"/>
  <c r="A51" i="3"/>
  <c r="E51" i="3"/>
  <c r="B51" i="3"/>
  <c r="D51" i="3"/>
  <c r="AK51" i="3"/>
  <c r="A52" i="3"/>
  <c r="E52" i="3"/>
  <c r="B52" i="3"/>
  <c r="D52" i="3"/>
  <c r="AK52" i="3"/>
  <c r="A53" i="3"/>
  <c r="E53" i="3"/>
  <c r="B53" i="3"/>
  <c r="D53" i="3"/>
  <c r="AK53" i="3"/>
  <c r="A54" i="3"/>
  <c r="E54" i="3"/>
  <c r="B54" i="3"/>
  <c r="D54" i="3"/>
  <c r="AK54" i="3"/>
  <c r="A55" i="3"/>
  <c r="E55" i="3"/>
  <c r="B55" i="3"/>
  <c r="D55" i="3"/>
  <c r="AK55" i="3"/>
  <c r="A56" i="3"/>
  <c r="E56" i="3"/>
  <c r="B56" i="3"/>
  <c r="D56" i="3"/>
  <c r="AK56" i="3"/>
  <c r="A57" i="3"/>
  <c r="E57" i="3"/>
  <c r="B57" i="3"/>
  <c r="D57" i="3"/>
  <c r="AK57" i="3"/>
  <c r="A58" i="3"/>
  <c r="E58" i="3"/>
  <c r="B58" i="3"/>
  <c r="D58" i="3"/>
  <c r="AK58" i="3"/>
  <c r="A59" i="3"/>
  <c r="E59" i="3"/>
  <c r="B59" i="3"/>
  <c r="D59" i="3"/>
  <c r="AK59" i="3"/>
  <c r="A60" i="3"/>
  <c r="E60" i="3"/>
  <c r="B60" i="3"/>
  <c r="D60" i="3"/>
  <c r="AK60" i="3"/>
  <c r="A61" i="3"/>
  <c r="E61" i="3"/>
  <c r="B61" i="3"/>
  <c r="D61" i="3"/>
  <c r="AK61" i="3"/>
  <c r="A62" i="3"/>
  <c r="E62" i="3"/>
  <c r="B62" i="3"/>
  <c r="D62" i="3"/>
  <c r="AK62" i="3"/>
  <c r="A63" i="3"/>
  <c r="E63" i="3"/>
  <c r="B63" i="3"/>
  <c r="D63" i="3"/>
  <c r="AK63" i="3"/>
  <c r="A64" i="3"/>
  <c r="E64" i="3"/>
  <c r="B64" i="3"/>
  <c r="D64" i="3"/>
  <c r="AK64" i="3"/>
  <c r="A65" i="3"/>
  <c r="E65" i="3"/>
  <c r="B65" i="3"/>
  <c r="D65" i="3"/>
  <c r="AK65" i="3"/>
  <c r="A66" i="3"/>
  <c r="E66" i="3"/>
  <c r="B66" i="3"/>
  <c r="D66" i="3"/>
  <c r="AK66" i="3"/>
  <c r="A67" i="3"/>
  <c r="E67" i="3"/>
  <c r="B67" i="3"/>
  <c r="D67" i="3"/>
  <c r="AK67" i="3"/>
  <c r="A68" i="3"/>
  <c r="E68" i="3"/>
  <c r="B68" i="3"/>
  <c r="D68" i="3"/>
  <c r="AK68" i="3"/>
  <c r="A69" i="3"/>
  <c r="E69" i="3"/>
  <c r="B69" i="3"/>
  <c r="D69" i="3"/>
  <c r="AK69" i="3"/>
  <c r="A70" i="3"/>
  <c r="E70" i="3"/>
  <c r="B70" i="3"/>
  <c r="D70" i="3"/>
  <c r="AK70" i="3"/>
  <c r="A71" i="3"/>
  <c r="E71" i="3"/>
  <c r="B71" i="3"/>
  <c r="D71" i="3"/>
  <c r="AK71" i="3"/>
  <c r="A72" i="3"/>
  <c r="E72" i="3"/>
  <c r="B72" i="3"/>
  <c r="D72" i="3"/>
  <c r="AK72" i="3"/>
  <c r="A73" i="3"/>
  <c r="E73" i="3"/>
  <c r="B73" i="3"/>
  <c r="D73" i="3"/>
  <c r="AK73" i="3"/>
  <c r="A74" i="3"/>
  <c r="E74" i="3"/>
  <c r="B74" i="3"/>
  <c r="D74" i="3"/>
  <c r="AK74" i="3"/>
  <c r="A75" i="3"/>
  <c r="E75" i="3"/>
  <c r="B75" i="3"/>
  <c r="D75" i="3"/>
  <c r="AK75" i="3"/>
  <c r="A76" i="3"/>
  <c r="E76" i="3"/>
  <c r="B76" i="3"/>
  <c r="D76" i="3"/>
  <c r="AK76" i="3"/>
  <c r="A77" i="3"/>
  <c r="E77" i="3"/>
  <c r="B77" i="3"/>
  <c r="D77" i="3"/>
  <c r="AK77" i="3"/>
  <c r="A78" i="3"/>
  <c r="E78" i="3"/>
  <c r="B78" i="3"/>
  <c r="D78" i="3"/>
  <c r="AK78" i="3"/>
  <c r="A79" i="3"/>
  <c r="E79" i="3"/>
  <c r="B79" i="3"/>
  <c r="D79" i="3"/>
  <c r="AK79" i="3"/>
  <c r="A80" i="3"/>
  <c r="E80" i="3"/>
  <c r="B80" i="3"/>
  <c r="D80" i="3"/>
  <c r="AK80" i="3"/>
  <c r="A81" i="3"/>
  <c r="E81" i="3"/>
  <c r="B81" i="3"/>
  <c r="D81" i="3"/>
  <c r="AK81" i="3"/>
  <c r="A82" i="3"/>
  <c r="E82" i="3"/>
  <c r="B82" i="3"/>
  <c r="D82" i="3"/>
  <c r="AK82" i="3"/>
  <c r="A83" i="3"/>
  <c r="E83" i="3"/>
  <c r="B83" i="3"/>
  <c r="D83" i="3"/>
  <c r="AK83" i="3"/>
  <c r="A84" i="3"/>
  <c r="E84" i="3"/>
  <c r="B84" i="3"/>
  <c r="D84" i="3"/>
  <c r="AK84" i="3"/>
  <c r="A85" i="3"/>
  <c r="E85" i="3"/>
  <c r="B85" i="3"/>
  <c r="D85" i="3"/>
  <c r="AK85" i="3"/>
  <c r="A86" i="3"/>
  <c r="E86" i="3"/>
  <c r="B86" i="3"/>
  <c r="D86" i="3"/>
  <c r="AK86" i="3"/>
  <c r="A87" i="3"/>
  <c r="E87" i="3"/>
  <c r="B87" i="3"/>
  <c r="D87" i="3"/>
  <c r="AK87" i="3"/>
  <c r="A88" i="3"/>
  <c r="E88" i="3"/>
  <c r="B88" i="3"/>
  <c r="D88" i="3"/>
  <c r="AK88" i="3"/>
  <c r="A89" i="3"/>
  <c r="E89" i="3"/>
  <c r="B89" i="3"/>
  <c r="D89" i="3"/>
  <c r="AK89" i="3"/>
  <c r="A90" i="3"/>
  <c r="E90" i="3"/>
  <c r="B90" i="3"/>
  <c r="D90" i="3"/>
  <c r="AK90" i="3"/>
  <c r="A91" i="3"/>
  <c r="E91" i="3"/>
  <c r="B91" i="3"/>
  <c r="D91" i="3"/>
  <c r="AK91" i="3"/>
  <c r="A92" i="3"/>
  <c r="E92" i="3"/>
  <c r="B92" i="3"/>
  <c r="D92" i="3"/>
  <c r="AK92" i="3"/>
  <c r="A93" i="3"/>
  <c r="E93" i="3"/>
  <c r="B93" i="3"/>
  <c r="D93" i="3"/>
  <c r="AK93" i="3"/>
  <c r="A94" i="3"/>
  <c r="E94" i="3"/>
  <c r="B94" i="3"/>
  <c r="D94" i="3"/>
  <c r="AK94" i="3"/>
  <c r="A95" i="3"/>
  <c r="E95" i="3"/>
  <c r="B95" i="3"/>
  <c r="D95" i="3"/>
  <c r="AK95" i="3"/>
  <c r="A96" i="3"/>
  <c r="E96" i="3"/>
  <c r="B96" i="3"/>
  <c r="D96" i="3"/>
  <c r="AK96" i="3"/>
  <c r="A97" i="3"/>
  <c r="E97" i="3"/>
  <c r="B97" i="3"/>
  <c r="D97" i="3"/>
  <c r="AK97" i="3"/>
  <c r="A98" i="3"/>
  <c r="E98" i="3"/>
  <c r="B98" i="3"/>
  <c r="D98" i="3"/>
  <c r="AK98" i="3"/>
  <c r="A99" i="3"/>
  <c r="E99" i="3"/>
  <c r="B99" i="3"/>
  <c r="D99" i="3"/>
  <c r="AK99" i="3"/>
  <c r="A100" i="3"/>
  <c r="E100" i="3"/>
  <c r="B100" i="3"/>
  <c r="D100" i="3"/>
  <c r="AK100" i="3"/>
  <c r="A101" i="3"/>
  <c r="E101" i="3"/>
  <c r="B101" i="3"/>
  <c r="D101" i="3"/>
  <c r="AK101" i="3"/>
  <c r="A102" i="3"/>
  <c r="E102" i="3"/>
  <c r="B102" i="3"/>
  <c r="D102" i="3"/>
  <c r="AK102" i="3"/>
  <c r="A103" i="3"/>
  <c r="E103" i="3"/>
  <c r="B103" i="3"/>
  <c r="D103" i="3"/>
  <c r="AK103" i="3"/>
  <c r="A104" i="3"/>
  <c r="E104" i="3"/>
  <c r="B104" i="3"/>
  <c r="D104" i="3"/>
  <c r="AK104" i="3"/>
  <c r="A105" i="3"/>
  <c r="E105" i="3"/>
  <c r="B105" i="3"/>
  <c r="D105" i="3"/>
  <c r="AK105" i="3"/>
  <c r="A106" i="3"/>
  <c r="E106" i="3"/>
  <c r="B106" i="3"/>
  <c r="D106" i="3"/>
  <c r="AK106" i="3"/>
  <c r="A107" i="3"/>
  <c r="E107" i="3"/>
  <c r="B107" i="3"/>
  <c r="D107" i="3"/>
  <c r="AK107" i="3"/>
  <c r="A108" i="3"/>
  <c r="E108" i="3"/>
  <c r="B108" i="3"/>
  <c r="D108" i="3"/>
  <c r="AK108" i="3"/>
  <c r="A109" i="3"/>
  <c r="E109" i="3"/>
  <c r="B109" i="3"/>
  <c r="D109" i="3"/>
  <c r="AK109" i="3"/>
  <c r="A110" i="3"/>
  <c r="E110" i="3"/>
  <c r="B110" i="3"/>
  <c r="D110" i="3"/>
  <c r="AK110" i="3"/>
  <c r="A111" i="3"/>
  <c r="E111" i="3"/>
  <c r="B111" i="3"/>
  <c r="D111" i="3"/>
  <c r="AK111" i="3"/>
  <c r="A112" i="3"/>
  <c r="E112" i="3"/>
  <c r="B112" i="3"/>
  <c r="D112" i="3"/>
  <c r="AK112" i="3"/>
  <c r="A113" i="3"/>
  <c r="E113" i="3"/>
  <c r="B113" i="3"/>
  <c r="D113" i="3"/>
  <c r="AK113" i="3"/>
  <c r="A114" i="3"/>
  <c r="E114" i="3"/>
  <c r="B114" i="3"/>
  <c r="D114" i="3"/>
  <c r="AK114" i="3"/>
  <c r="A115" i="3"/>
  <c r="E115" i="3"/>
  <c r="B115" i="3"/>
  <c r="D115" i="3"/>
  <c r="AK115" i="3"/>
  <c r="A116" i="3"/>
  <c r="E116" i="3"/>
  <c r="B116" i="3"/>
  <c r="D116" i="3"/>
  <c r="AK116" i="3"/>
  <c r="A117" i="3"/>
  <c r="E117" i="3"/>
  <c r="B117" i="3"/>
  <c r="D117" i="3"/>
  <c r="AK117" i="3"/>
  <c r="A118" i="3"/>
  <c r="E118" i="3"/>
  <c r="B118" i="3"/>
  <c r="D118" i="3"/>
  <c r="AK118" i="3"/>
  <c r="A119" i="3"/>
  <c r="E119" i="3"/>
  <c r="B119" i="3"/>
  <c r="D119" i="3"/>
  <c r="AK119" i="3"/>
  <c r="A120" i="3"/>
  <c r="E120" i="3"/>
  <c r="B120" i="3"/>
  <c r="D120" i="3"/>
  <c r="AK120" i="3"/>
  <c r="A121" i="3"/>
  <c r="E121" i="3"/>
  <c r="B121" i="3"/>
  <c r="D121" i="3"/>
  <c r="AK121" i="3"/>
  <c r="A122" i="3"/>
  <c r="E122" i="3"/>
  <c r="B122" i="3"/>
  <c r="D122" i="3"/>
  <c r="AK122" i="3"/>
  <c r="A123" i="3"/>
  <c r="E123" i="3"/>
  <c r="B123" i="3"/>
  <c r="D123" i="3"/>
  <c r="AK123" i="3"/>
  <c r="A124" i="3"/>
  <c r="E124" i="3"/>
  <c r="B124" i="3"/>
  <c r="D124" i="3"/>
  <c r="AK124" i="3"/>
  <c r="A125" i="3"/>
  <c r="E125" i="3"/>
  <c r="B125" i="3"/>
  <c r="D125" i="3"/>
  <c r="AK125" i="3"/>
  <c r="A126" i="3"/>
  <c r="E126" i="3"/>
  <c r="B126" i="3"/>
  <c r="D126" i="3"/>
  <c r="AK126" i="3"/>
  <c r="A127" i="3"/>
  <c r="E127" i="3"/>
  <c r="B127" i="3"/>
  <c r="D127" i="3"/>
  <c r="AK127" i="3"/>
  <c r="A128" i="3"/>
  <c r="E128" i="3"/>
  <c r="B128" i="3"/>
  <c r="D128" i="3"/>
  <c r="AK128" i="3"/>
  <c r="A129" i="3"/>
  <c r="E129" i="3"/>
  <c r="B129" i="3"/>
  <c r="D129" i="3"/>
  <c r="AK129" i="3"/>
  <c r="A130" i="3"/>
  <c r="E130" i="3"/>
  <c r="B130" i="3"/>
  <c r="D130" i="3"/>
  <c r="AK130" i="3"/>
  <c r="A131" i="3"/>
  <c r="E131" i="3"/>
  <c r="B131" i="3"/>
  <c r="D131" i="3"/>
  <c r="AK131" i="3"/>
  <c r="A132" i="3"/>
  <c r="E132" i="3"/>
  <c r="B132" i="3"/>
  <c r="D132" i="3"/>
  <c r="AK132" i="3"/>
  <c r="A133" i="3"/>
  <c r="E133" i="3"/>
  <c r="B133" i="3"/>
  <c r="D133" i="3"/>
  <c r="AK133" i="3"/>
  <c r="A134" i="3"/>
  <c r="E134" i="3"/>
  <c r="B134" i="3"/>
  <c r="D134" i="3"/>
  <c r="AK134" i="3"/>
  <c r="A135" i="3"/>
  <c r="E135" i="3"/>
  <c r="B135" i="3"/>
  <c r="D135" i="3"/>
  <c r="AK135" i="3"/>
  <c r="A136" i="3"/>
  <c r="E136" i="3"/>
  <c r="B136" i="3"/>
  <c r="D136" i="3"/>
  <c r="AK136" i="3"/>
  <c r="A137" i="3"/>
  <c r="E137" i="3"/>
  <c r="B137" i="3"/>
  <c r="D137" i="3"/>
  <c r="AK137" i="3"/>
  <c r="A138" i="3"/>
  <c r="E138" i="3"/>
  <c r="B138" i="3"/>
  <c r="D138" i="3"/>
  <c r="AK138" i="3"/>
  <c r="A139" i="3"/>
  <c r="E139" i="3"/>
  <c r="B139" i="3"/>
  <c r="D139" i="3"/>
  <c r="AK139" i="3"/>
  <c r="A140" i="3"/>
  <c r="E140" i="3"/>
  <c r="B140" i="3"/>
  <c r="D140" i="3"/>
  <c r="AK140" i="3"/>
  <c r="A141" i="3"/>
  <c r="E141" i="3"/>
  <c r="B141" i="3"/>
  <c r="D141" i="3"/>
  <c r="AK141" i="3"/>
  <c r="A142" i="3"/>
  <c r="E142" i="3"/>
  <c r="B142" i="3"/>
  <c r="D142" i="3"/>
  <c r="AK142" i="3"/>
  <c r="A143" i="3"/>
  <c r="E143" i="3"/>
  <c r="B143" i="3"/>
  <c r="D143" i="3"/>
  <c r="AK143" i="3"/>
  <c r="A144" i="3"/>
  <c r="E144" i="3"/>
  <c r="B144" i="3"/>
  <c r="D144" i="3"/>
  <c r="AK144" i="3"/>
  <c r="A145" i="3"/>
  <c r="E145" i="3"/>
  <c r="B145" i="3"/>
  <c r="D145" i="3"/>
  <c r="AK145" i="3"/>
  <c r="A146" i="3"/>
  <c r="E146" i="3"/>
  <c r="B146" i="3"/>
  <c r="D146" i="3"/>
  <c r="AK146" i="3"/>
  <c r="A147" i="3"/>
  <c r="E147" i="3"/>
  <c r="B147" i="3"/>
  <c r="D147" i="3"/>
  <c r="AK147" i="3"/>
  <c r="A148" i="3"/>
  <c r="E148" i="3"/>
  <c r="B148" i="3"/>
  <c r="D148" i="3"/>
  <c r="AK148" i="3"/>
  <c r="A149" i="3"/>
  <c r="E149" i="3"/>
  <c r="B149" i="3"/>
  <c r="D149" i="3"/>
  <c r="AK149" i="3"/>
  <c r="A150" i="3"/>
  <c r="E150" i="3"/>
  <c r="B150" i="3"/>
  <c r="D150" i="3"/>
  <c r="AK150" i="3"/>
  <c r="A151" i="3"/>
  <c r="E151" i="3"/>
  <c r="B151" i="3"/>
  <c r="D151" i="3"/>
  <c r="AK151" i="3"/>
  <c r="A152" i="3"/>
  <c r="E152" i="3"/>
  <c r="B152" i="3"/>
  <c r="D152" i="3"/>
  <c r="AK152" i="3"/>
  <c r="A153" i="3"/>
  <c r="E153" i="3"/>
  <c r="B153" i="3"/>
  <c r="D153" i="3"/>
  <c r="AK153" i="3"/>
  <c r="A154" i="3"/>
  <c r="E154" i="3"/>
  <c r="B154" i="3"/>
  <c r="D154" i="3"/>
  <c r="AK154" i="3"/>
  <c r="A155" i="3"/>
  <c r="E155" i="3"/>
  <c r="B155" i="3"/>
  <c r="D155" i="3"/>
  <c r="AK155" i="3"/>
  <c r="A156" i="3"/>
  <c r="E156" i="3"/>
  <c r="B156" i="3"/>
  <c r="D156" i="3"/>
  <c r="AK156" i="3"/>
  <c r="A157" i="3"/>
  <c r="E157" i="3"/>
  <c r="B157" i="3"/>
  <c r="D157" i="3"/>
  <c r="AK157" i="3"/>
  <c r="A158" i="3"/>
  <c r="E158" i="3"/>
  <c r="B158" i="3"/>
  <c r="D158" i="3"/>
  <c r="AK158" i="3"/>
  <c r="A159" i="3"/>
  <c r="E159" i="3"/>
  <c r="B159" i="3"/>
  <c r="D159" i="3"/>
  <c r="AK159" i="3"/>
  <c r="A160" i="3"/>
  <c r="E160" i="3"/>
  <c r="B160" i="3"/>
  <c r="D160" i="3"/>
  <c r="AK160" i="3"/>
  <c r="A161" i="3"/>
  <c r="E161" i="3"/>
  <c r="B161" i="3"/>
  <c r="D161" i="3"/>
  <c r="AK161" i="3"/>
  <c r="A162" i="3"/>
  <c r="E162" i="3"/>
  <c r="B162" i="3"/>
  <c r="D162" i="3"/>
  <c r="AK162" i="3"/>
  <c r="A163" i="3"/>
  <c r="E163" i="3"/>
  <c r="B163" i="3"/>
  <c r="D163" i="3"/>
  <c r="AK163" i="3"/>
  <c r="A164" i="3"/>
  <c r="E164" i="3"/>
  <c r="B164" i="3"/>
  <c r="D164" i="3"/>
  <c r="AK164" i="3"/>
  <c r="A165" i="3"/>
  <c r="E165" i="3"/>
  <c r="B165" i="3"/>
  <c r="D165" i="3"/>
  <c r="AK165" i="3"/>
  <c r="A166" i="3"/>
  <c r="E166" i="3"/>
  <c r="B166" i="3"/>
  <c r="D166" i="3"/>
  <c r="AK166" i="3"/>
  <c r="A167" i="3"/>
  <c r="E167" i="3"/>
  <c r="B167" i="3"/>
  <c r="D167" i="3"/>
  <c r="AK167" i="3"/>
  <c r="A168" i="3"/>
  <c r="E168" i="3"/>
  <c r="B168" i="3"/>
  <c r="D168" i="3"/>
  <c r="AK168" i="3"/>
  <c r="A169" i="3"/>
  <c r="E169" i="3"/>
  <c r="B169" i="3"/>
  <c r="D169" i="3"/>
  <c r="AK169" i="3"/>
  <c r="A170" i="3"/>
  <c r="E170" i="3"/>
  <c r="B170" i="3"/>
  <c r="D170" i="3"/>
  <c r="AK170" i="3"/>
  <c r="A171" i="3"/>
  <c r="E171" i="3"/>
  <c r="B171" i="3"/>
  <c r="D171" i="3"/>
  <c r="AK171" i="3"/>
  <c r="A172" i="3"/>
  <c r="E172" i="3"/>
  <c r="B172" i="3"/>
  <c r="D172" i="3"/>
  <c r="AK172" i="3"/>
  <c r="A173" i="3"/>
  <c r="E173" i="3"/>
  <c r="B173" i="3"/>
  <c r="D173" i="3"/>
  <c r="AK173" i="3"/>
  <c r="A174" i="3"/>
  <c r="E174" i="3"/>
  <c r="B174" i="3"/>
  <c r="D174" i="3"/>
  <c r="AK174" i="3"/>
  <c r="A175" i="3"/>
  <c r="E175" i="3"/>
  <c r="B175" i="3"/>
  <c r="D175" i="3"/>
  <c r="AK175" i="3"/>
  <c r="A176" i="3"/>
  <c r="E176" i="3"/>
  <c r="B176" i="3"/>
  <c r="D176" i="3"/>
  <c r="AK176" i="3"/>
  <c r="A177" i="3"/>
  <c r="E177" i="3"/>
  <c r="B177" i="3"/>
  <c r="D177" i="3"/>
  <c r="AK177" i="3"/>
  <c r="A178" i="3"/>
  <c r="E178" i="3"/>
  <c r="B178" i="3"/>
  <c r="D178" i="3"/>
  <c r="AK178" i="3"/>
  <c r="A179" i="3"/>
  <c r="E179" i="3"/>
  <c r="B179" i="3"/>
  <c r="D179" i="3"/>
  <c r="AK179" i="3"/>
  <c r="A180" i="3"/>
  <c r="E180" i="3"/>
  <c r="B180" i="3"/>
  <c r="D180" i="3"/>
  <c r="AK180" i="3"/>
  <c r="A181" i="3"/>
  <c r="E181" i="3"/>
  <c r="B181" i="3"/>
  <c r="D181" i="3"/>
  <c r="AK181" i="3"/>
  <c r="A182" i="3"/>
  <c r="E182" i="3"/>
  <c r="B182" i="3"/>
  <c r="D182" i="3"/>
  <c r="AK182" i="3"/>
  <c r="A183" i="3"/>
  <c r="E183" i="3"/>
  <c r="B183" i="3"/>
  <c r="D183" i="3"/>
  <c r="AK183" i="3"/>
  <c r="A184" i="3"/>
  <c r="E184" i="3"/>
  <c r="B184" i="3"/>
  <c r="D184" i="3"/>
  <c r="AK184" i="3"/>
  <c r="A185" i="3"/>
  <c r="E185" i="3"/>
  <c r="B185" i="3"/>
  <c r="D185" i="3"/>
  <c r="AK185" i="3"/>
  <c r="A186" i="3"/>
  <c r="E186" i="3"/>
  <c r="B186" i="3"/>
  <c r="D186" i="3"/>
  <c r="AK186" i="3"/>
  <c r="A187" i="3"/>
  <c r="E187" i="3"/>
  <c r="B187" i="3"/>
  <c r="D187" i="3"/>
  <c r="AK187" i="3"/>
  <c r="A188" i="3"/>
  <c r="E188" i="3"/>
  <c r="B188" i="3"/>
  <c r="D188" i="3"/>
  <c r="AK188" i="3"/>
  <c r="A189" i="3"/>
  <c r="E189" i="3"/>
  <c r="B189" i="3"/>
  <c r="D189" i="3"/>
  <c r="AK189" i="3"/>
  <c r="A190" i="3"/>
  <c r="E190" i="3"/>
  <c r="B190" i="3"/>
  <c r="D190" i="3"/>
  <c r="AK190" i="3"/>
  <c r="A191" i="3"/>
  <c r="E191" i="3"/>
  <c r="B191" i="3"/>
  <c r="D191" i="3"/>
  <c r="AK191" i="3"/>
  <c r="A192" i="3"/>
  <c r="E192" i="3"/>
  <c r="B192" i="3"/>
  <c r="D192" i="3"/>
  <c r="AK192" i="3"/>
  <c r="A193" i="3"/>
  <c r="E193" i="3"/>
  <c r="B193" i="3"/>
  <c r="D193" i="3"/>
  <c r="AK193" i="3"/>
  <c r="A194" i="3"/>
  <c r="E194" i="3"/>
  <c r="B194" i="3"/>
  <c r="D194" i="3"/>
  <c r="AK194" i="3"/>
  <c r="A195" i="3"/>
  <c r="E195" i="3"/>
  <c r="B195" i="3"/>
  <c r="D195" i="3"/>
  <c r="AK195" i="3"/>
  <c r="A196" i="3"/>
  <c r="E196" i="3"/>
  <c r="B196" i="3"/>
  <c r="D196" i="3"/>
  <c r="AK196" i="3"/>
  <c r="A197" i="3"/>
  <c r="E197" i="3"/>
  <c r="B197" i="3"/>
  <c r="D197" i="3"/>
  <c r="AK197" i="3"/>
  <c r="A198" i="3"/>
  <c r="E198" i="3"/>
  <c r="B198" i="3"/>
  <c r="D198" i="3"/>
  <c r="AK198" i="3"/>
  <c r="A199" i="3"/>
  <c r="E199" i="3"/>
  <c r="B199" i="3"/>
  <c r="D199" i="3"/>
  <c r="AK199" i="3"/>
  <c r="A200" i="3"/>
  <c r="E200" i="3"/>
  <c r="B200" i="3"/>
  <c r="D200" i="3"/>
  <c r="AK200" i="3"/>
  <c r="A201" i="3"/>
  <c r="E201" i="3"/>
  <c r="B201" i="3"/>
  <c r="D201" i="3"/>
  <c r="AK201" i="3"/>
  <c r="A202" i="3"/>
  <c r="E202" i="3"/>
  <c r="B202" i="3"/>
  <c r="D202" i="3"/>
  <c r="AK202" i="3"/>
  <c r="A203" i="3"/>
  <c r="E203" i="3"/>
  <c r="B203" i="3"/>
  <c r="D203" i="3"/>
  <c r="AK203" i="3"/>
  <c r="A204" i="3"/>
  <c r="E204" i="3"/>
  <c r="B204" i="3"/>
  <c r="D204" i="3"/>
  <c r="AK204" i="3"/>
  <c r="A205" i="3"/>
  <c r="E205" i="3"/>
  <c r="B205" i="3"/>
  <c r="D205" i="3"/>
  <c r="AK205" i="3"/>
  <c r="A206" i="3"/>
  <c r="E206" i="3"/>
  <c r="B206" i="3"/>
  <c r="D206" i="3"/>
  <c r="AK206" i="3"/>
  <c r="A207" i="3"/>
  <c r="E207" i="3"/>
  <c r="B207" i="3"/>
  <c r="D207" i="3"/>
  <c r="AK207" i="3"/>
  <c r="A208" i="3"/>
  <c r="E208" i="3"/>
  <c r="B208" i="3"/>
  <c r="D208" i="3"/>
  <c r="AK208" i="3"/>
  <c r="A209" i="3"/>
  <c r="E209" i="3"/>
  <c r="B209" i="3"/>
  <c r="D209" i="3"/>
  <c r="AK209" i="3"/>
  <c r="A210" i="3"/>
  <c r="E210" i="3"/>
  <c r="B210" i="3"/>
  <c r="D210" i="3"/>
  <c r="AK210" i="3"/>
  <c r="A211" i="3"/>
  <c r="E211" i="3"/>
  <c r="B211" i="3"/>
  <c r="D211" i="3"/>
  <c r="AK211" i="3"/>
  <c r="A212" i="3"/>
  <c r="E212" i="3"/>
  <c r="B212" i="3"/>
  <c r="D212" i="3"/>
  <c r="AK212" i="3"/>
  <c r="A213" i="3"/>
  <c r="E213" i="3"/>
  <c r="B213" i="3"/>
  <c r="D213" i="3"/>
  <c r="AK213" i="3"/>
  <c r="A214" i="3"/>
  <c r="E214" i="3"/>
  <c r="B214" i="3"/>
  <c r="D214" i="3"/>
  <c r="AK214" i="3"/>
  <c r="A215" i="3"/>
  <c r="E215" i="3"/>
  <c r="B215" i="3"/>
  <c r="D215" i="3"/>
  <c r="AK215" i="3"/>
  <c r="A216" i="3"/>
  <c r="E216" i="3"/>
  <c r="B216" i="3"/>
  <c r="D216" i="3"/>
  <c r="AK216" i="3"/>
  <c r="A217" i="3"/>
  <c r="E217" i="3"/>
  <c r="B217" i="3"/>
  <c r="D217" i="3"/>
  <c r="AK217" i="3"/>
  <c r="A218" i="3"/>
  <c r="E218" i="3"/>
  <c r="B218" i="3"/>
  <c r="D218" i="3"/>
  <c r="AK218" i="3"/>
  <c r="A219" i="3"/>
  <c r="E219" i="3"/>
  <c r="B219" i="3"/>
  <c r="D219" i="3"/>
  <c r="AK219" i="3"/>
  <c r="A220" i="3"/>
  <c r="E220" i="3"/>
  <c r="B220" i="3"/>
  <c r="D220" i="3"/>
  <c r="AK220" i="3"/>
  <c r="A221" i="3"/>
  <c r="E221" i="3"/>
  <c r="B221" i="3"/>
  <c r="D221" i="3"/>
  <c r="AK221" i="3"/>
  <c r="A222" i="3"/>
  <c r="E222" i="3"/>
  <c r="B222" i="3"/>
  <c r="D222" i="3"/>
  <c r="AK222" i="3"/>
  <c r="A223" i="3"/>
  <c r="E223" i="3"/>
  <c r="B223" i="3"/>
  <c r="D223" i="3"/>
  <c r="AK223" i="3"/>
  <c r="A224" i="3"/>
  <c r="E224" i="3"/>
  <c r="B224" i="3"/>
  <c r="D224" i="3"/>
  <c r="AK224" i="3"/>
  <c r="A225" i="3"/>
  <c r="E225" i="3"/>
  <c r="B225" i="3"/>
  <c r="D225" i="3"/>
  <c r="AK225" i="3"/>
  <c r="A226" i="3"/>
  <c r="E226" i="3"/>
  <c r="B226" i="3"/>
  <c r="D226" i="3"/>
  <c r="AK226" i="3"/>
  <c r="A227" i="3"/>
  <c r="E227" i="3"/>
  <c r="B227" i="3"/>
  <c r="D227" i="3"/>
  <c r="AK227" i="3"/>
  <c r="A228" i="3"/>
  <c r="E228" i="3"/>
  <c r="B228" i="3"/>
  <c r="D228" i="3"/>
  <c r="AK228" i="3"/>
  <c r="A229" i="3"/>
  <c r="E229" i="3"/>
  <c r="B229" i="3"/>
  <c r="D229" i="3"/>
  <c r="AK229" i="3"/>
  <c r="A230" i="3"/>
  <c r="E230" i="3"/>
  <c r="B230" i="3"/>
  <c r="D230" i="3"/>
  <c r="AK230" i="3"/>
  <c r="A231" i="3"/>
  <c r="E231" i="3"/>
  <c r="B231" i="3"/>
  <c r="D231" i="3"/>
  <c r="AK231" i="3"/>
  <c r="A232" i="3"/>
  <c r="E232" i="3"/>
  <c r="B232" i="3"/>
  <c r="D232" i="3"/>
  <c r="AK232" i="3"/>
  <c r="A233" i="3"/>
  <c r="E233" i="3"/>
  <c r="B233" i="3"/>
  <c r="D233" i="3"/>
  <c r="AK233" i="3"/>
  <c r="A234" i="3"/>
  <c r="E234" i="3"/>
  <c r="B234" i="3"/>
  <c r="D234" i="3"/>
  <c r="AK234" i="3"/>
  <c r="A235" i="3"/>
  <c r="E235" i="3"/>
  <c r="B235" i="3"/>
  <c r="D235" i="3"/>
  <c r="AK235" i="3"/>
  <c r="A236" i="3"/>
  <c r="E236" i="3"/>
  <c r="B236" i="3"/>
  <c r="D236" i="3"/>
  <c r="AK236" i="3"/>
  <c r="A237" i="3"/>
  <c r="E237" i="3"/>
  <c r="B237" i="3"/>
  <c r="D237" i="3"/>
  <c r="AK237" i="3"/>
  <c r="A238" i="3"/>
  <c r="E238" i="3"/>
  <c r="B238" i="3"/>
  <c r="D238" i="3"/>
  <c r="AK238" i="3"/>
  <c r="A239" i="3"/>
  <c r="E239" i="3"/>
  <c r="B239" i="3"/>
  <c r="D239" i="3"/>
  <c r="AK239" i="3"/>
  <c r="A240" i="3"/>
  <c r="E240" i="3"/>
  <c r="B240" i="3"/>
  <c r="D240" i="3"/>
  <c r="AK240" i="3"/>
  <c r="A241" i="3"/>
  <c r="E241" i="3"/>
  <c r="B241" i="3"/>
  <c r="D241" i="3"/>
  <c r="AK241" i="3"/>
  <c r="A242" i="3"/>
  <c r="E242" i="3"/>
  <c r="B242" i="3"/>
  <c r="D242" i="3"/>
  <c r="AK242" i="3"/>
  <c r="A243" i="3"/>
  <c r="E243" i="3"/>
  <c r="B243" i="3"/>
  <c r="D243" i="3"/>
  <c r="AK243" i="3"/>
  <c r="A244" i="3"/>
  <c r="E244" i="3"/>
  <c r="B244" i="3"/>
  <c r="D244" i="3"/>
  <c r="AK244" i="3"/>
  <c r="A245" i="3"/>
  <c r="E245" i="3"/>
  <c r="B245" i="3"/>
  <c r="D245" i="3"/>
  <c r="AK245" i="3"/>
  <c r="A246" i="3"/>
  <c r="E246" i="3"/>
  <c r="B246" i="3"/>
  <c r="D246" i="3"/>
  <c r="AK246" i="3"/>
  <c r="A247" i="3"/>
  <c r="E247" i="3"/>
  <c r="B247" i="3"/>
  <c r="D247" i="3"/>
  <c r="AK247" i="3"/>
  <c r="A248" i="3"/>
  <c r="E248" i="3"/>
  <c r="B248" i="3"/>
  <c r="D248" i="3"/>
  <c r="AK248" i="3"/>
  <c r="A249" i="3"/>
  <c r="E249" i="3"/>
  <c r="B249" i="3"/>
  <c r="D249" i="3"/>
  <c r="AK249" i="3"/>
  <c r="A250" i="3"/>
  <c r="E250" i="3"/>
  <c r="B250" i="3"/>
  <c r="D250" i="3"/>
  <c r="AK250" i="3"/>
  <c r="A251" i="3"/>
  <c r="E251" i="3"/>
  <c r="B251" i="3"/>
  <c r="D251" i="3"/>
  <c r="AK251" i="3"/>
  <c r="A252" i="3"/>
  <c r="E252" i="3"/>
  <c r="B252" i="3"/>
  <c r="D252" i="3"/>
  <c r="AK252" i="3"/>
  <c r="A253" i="3"/>
  <c r="E253" i="3"/>
  <c r="B253" i="3"/>
  <c r="D253" i="3"/>
  <c r="AK253" i="3"/>
  <c r="A254" i="3"/>
  <c r="E254" i="3"/>
  <c r="B254" i="3"/>
  <c r="D254" i="3"/>
  <c r="AK254" i="3"/>
  <c r="A255" i="3"/>
  <c r="E255" i="3"/>
  <c r="B255" i="3"/>
  <c r="D255" i="3"/>
  <c r="AK255" i="3"/>
  <c r="A256" i="3"/>
  <c r="E256" i="3"/>
  <c r="B256" i="3"/>
  <c r="D256" i="3"/>
  <c r="AK256" i="3"/>
  <c r="A257" i="3"/>
  <c r="E257" i="3"/>
  <c r="B257" i="3"/>
  <c r="D257" i="3"/>
  <c r="AK257" i="3"/>
  <c r="A258" i="3"/>
  <c r="E258" i="3"/>
  <c r="B258" i="3"/>
  <c r="D258" i="3"/>
  <c r="AK258" i="3"/>
  <c r="A259" i="3"/>
  <c r="E259" i="3"/>
  <c r="B259" i="3"/>
  <c r="D259" i="3"/>
  <c r="AK259" i="3"/>
  <c r="A260" i="3"/>
  <c r="E260" i="3"/>
  <c r="B260" i="3"/>
  <c r="D260" i="3"/>
  <c r="AK260" i="3"/>
  <c r="A261" i="3"/>
  <c r="E261" i="3"/>
  <c r="B261" i="3"/>
  <c r="D261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62" i="3"/>
  <c r="AK463" i="3"/>
  <c r="AK464" i="3"/>
  <c r="AK465" i="3"/>
  <c r="AK466" i="3"/>
  <c r="AK467" i="3"/>
  <c r="AK468" i="3"/>
  <c r="AK469" i="3"/>
  <c r="AK470" i="3"/>
  <c r="AK471" i="3"/>
  <c r="AK472" i="3"/>
  <c r="AK473" i="3"/>
  <c r="AK474" i="3"/>
  <c r="AK475" i="3"/>
  <c r="AK476" i="3"/>
  <c r="AK477" i="3"/>
  <c r="AK478" i="3"/>
  <c r="AK479" i="3"/>
  <c r="AK480" i="3"/>
  <c r="AK481" i="3"/>
  <c r="AK482" i="3"/>
  <c r="AK483" i="3"/>
  <c r="AK484" i="3"/>
  <c r="AK485" i="3"/>
  <c r="AK486" i="3"/>
  <c r="AK487" i="3"/>
  <c r="AK488" i="3"/>
  <c r="AK489" i="3"/>
  <c r="AK490" i="3"/>
  <c r="AK491" i="3"/>
  <c r="AK492" i="3"/>
  <c r="AK493" i="3"/>
  <c r="AK494" i="3"/>
  <c r="AK495" i="3"/>
  <c r="AK496" i="3"/>
  <c r="AK497" i="3"/>
  <c r="AK498" i="3"/>
  <c r="AK499" i="3"/>
  <c r="AK500" i="3"/>
  <c r="AK501" i="3"/>
  <c r="AK502" i="3"/>
  <c r="AK503" i="3"/>
  <c r="AK504" i="3"/>
  <c r="AK505" i="3"/>
  <c r="AK506" i="3"/>
  <c r="AK507" i="3"/>
  <c r="AK508" i="3"/>
  <c r="AK509" i="3"/>
  <c r="AK510" i="3"/>
  <c r="AK511" i="3"/>
  <c r="AK512" i="3"/>
  <c r="AK513" i="3"/>
  <c r="AK514" i="3"/>
  <c r="AK515" i="3"/>
  <c r="AK516" i="3"/>
  <c r="AK517" i="3"/>
  <c r="AK518" i="3"/>
  <c r="AK519" i="3"/>
  <c r="AK520" i="3"/>
  <c r="AK521" i="3"/>
  <c r="AK522" i="3"/>
  <c r="AK523" i="3"/>
  <c r="AK524" i="3"/>
  <c r="AK525" i="3"/>
  <c r="AK526" i="3"/>
  <c r="AK527" i="3"/>
  <c r="AK528" i="3"/>
  <c r="AK529" i="3"/>
  <c r="AK530" i="3"/>
  <c r="AK531" i="3"/>
  <c r="AK532" i="3"/>
  <c r="AK533" i="3"/>
  <c r="AK534" i="3"/>
  <c r="AK535" i="3"/>
  <c r="AK536" i="3"/>
  <c r="AK537" i="3"/>
  <c r="AK538" i="3"/>
  <c r="AK539" i="3"/>
  <c r="AK540" i="3"/>
  <c r="AK541" i="3"/>
  <c r="AK542" i="3"/>
  <c r="AK543" i="3"/>
  <c r="AK544" i="3"/>
  <c r="AK545" i="3"/>
  <c r="AK546" i="3"/>
  <c r="AK547" i="3"/>
  <c r="AK548" i="3"/>
  <c r="AK549" i="3"/>
  <c r="AK550" i="3"/>
  <c r="AK551" i="3"/>
  <c r="AK552" i="3"/>
  <c r="AK553" i="3"/>
  <c r="AK554" i="3"/>
  <c r="AK555" i="3"/>
  <c r="AK556" i="3"/>
  <c r="AK557" i="3"/>
  <c r="AK558" i="3"/>
  <c r="AK559" i="3"/>
  <c r="AK560" i="3"/>
  <c r="AK561" i="3"/>
  <c r="AK562" i="3"/>
  <c r="AK563" i="3"/>
  <c r="AK564" i="3"/>
  <c r="AK565" i="3"/>
  <c r="AK566" i="3"/>
  <c r="AK567" i="3"/>
  <c r="AK568" i="3"/>
  <c r="AK569" i="3"/>
  <c r="AK570" i="3"/>
  <c r="AK571" i="3"/>
  <c r="AK572" i="3"/>
  <c r="AK573" i="3"/>
  <c r="AK574" i="3"/>
  <c r="AK575" i="3"/>
  <c r="AK576" i="3"/>
  <c r="AK577" i="3"/>
  <c r="AK578" i="3"/>
  <c r="AK579" i="3"/>
  <c r="AK580" i="3"/>
  <c r="AK581" i="3"/>
  <c r="AK582" i="3"/>
  <c r="AK583" i="3"/>
  <c r="AK584" i="3"/>
  <c r="AK585" i="3"/>
  <c r="AK586" i="3"/>
  <c r="AK587" i="3"/>
  <c r="AK588" i="3"/>
  <c r="AK589" i="3"/>
  <c r="AK590" i="3"/>
  <c r="AK591" i="3"/>
  <c r="AK592" i="3"/>
  <c r="AK593" i="3"/>
  <c r="AK594" i="3"/>
  <c r="AK595" i="3"/>
  <c r="AK596" i="3"/>
  <c r="AK597" i="3"/>
  <c r="AK598" i="3"/>
  <c r="AK599" i="3"/>
  <c r="AK600" i="3"/>
  <c r="AK601" i="3"/>
  <c r="AK602" i="3"/>
  <c r="AK603" i="3"/>
  <c r="AK604" i="3"/>
  <c r="AK605" i="3"/>
  <c r="AK606" i="3"/>
  <c r="AK607" i="3"/>
  <c r="AK608" i="3"/>
  <c r="AK609" i="3"/>
  <c r="AK610" i="3"/>
  <c r="AK611" i="3"/>
  <c r="AK612" i="3"/>
  <c r="AK613" i="3"/>
  <c r="AK614" i="3"/>
  <c r="AK615" i="3"/>
  <c r="AK616" i="3"/>
  <c r="AK617" i="3"/>
  <c r="AK618" i="3"/>
  <c r="AK619" i="3"/>
  <c r="AK620" i="3"/>
  <c r="AK6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262" i="3"/>
  <c r="E262" i="3"/>
  <c r="B262" i="3"/>
  <c r="D262" i="3"/>
  <c r="AE262" i="3"/>
  <c r="A263" i="3"/>
  <c r="E263" i="3"/>
  <c r="B263" i="3"/>
  <c r="D263" i="3"/>
  <c r="AE263" i="3"/>
  <c r="A264" i="3"/>
  <c r="E264" i="3"/>
  <c r="B264" i="3"/>
  <c r="D264" i="3"/>
  <c r="AE264" i="3"/>
  <c r="A265" i="3"/>
  <c r="E265" i="3"/>
  <c r="B265" i="3"/>
  <c r="D265" i="3"/>
  <c r="AE265" i="3"/>
  <c r="A266" i="3"/>
  <c r="E266" i="3"/>
  <c r="B266" i="3"/>
  <c r="D266" i="3"/>
  <c r="AE266" i="3"/>
  <c r="A267" i="3"/>
  <c r="E267" i="3"/>
  <c r="B267" i="3"/>
  <c r="D267" i="3"/>
  <c r="AE267" i="3"/>
  <c r="A268" i="3"/>
  <c r="E268" i="3"/>
  <c r="B268" i="3"/>
  <c r="D268" i="3"/>
  <c r="AE268" i="3"/>
  <c r="A269" i="3"/>
  <c r="E269" i="3"/>
  <c r="B269" i="3"/>
  <c r="D269" i="3"/>
  <c r="AE269" i="3"/>
  <c r="A270" i="3"/>
  <c r="E270" i="3"/>
  <c r="B270" i="3"/>
  <c r="D270" i="3"/>
  <c r="AE270" i="3"/>
  <c r="A271" i="3"/>
  <c r="E271" i="3"/>
  <c r="B271" i="3"/>
  <c r="D271" i="3"/>
  <c r="AE271" i="3"/>
  <c r="A272" i="3"/>
  <c r="E272" i="3"/>
  <c r="B272" i="3"/>
  <c r="D272" i="3"/>
  <c r="AE272" i="3"/>
  <c r="A273" i="3"/>
  <c r="E273" i="3"/>
  <c r="B273" i="3"/>
  <c r="D273" i="3"/>
  <c r="AE273" i="3"/>
  <c r="A274" i="3"/>
  <c r="E274" i="3"/>
  <c r="B274" i="3"/>
  <c r="D274" i="3"/>
  <c r="AE274" i="3"/>
  <c r="A275" i="3"/>
  <c r="E275" i="3"/>
  <c r="B275" i="3"/>
  <c r="D275" i="3"/>
  <c r="AE275" i="3"/>
  <c r="A276" i="3"/>
  <c r="E276" i="3"/>
  <c r="B276" i="3"/>
  <c r="D276" i="3"/>
  <c r="AE276" i="3"/>
  <c r="A277" i="3"/>
  <c r="E277" i="3"/>
  <c r="B277" i="3"/>
  <c r="D277" i="3"/>
  <c r="AE277" i="3"/>
  <c r="A278" i="3"/>
  <c r="E278" i="3"/>
  <c r="B278" i="3"/>
  <c r="D278" i="3"/>
  <c r="AE278" i="3"/>
  <c r="A279" i="3"/>
  <c r="E279" i="3"/>
  <c r="B279" i="3"/>
  <c r="D279" i="3"/>
  <c r="AE279" i="3"/>
  <c r="A280" i="3"/>
  <c r="E280" i="3"/>
  <c r="B280" i="3"/>
  <c r="D280" i="3"/>
  <c r="AE280" i="3"/>
  <c r="A281" i="3"/>
  <c r="E281" i="3"/>
  <c r="B281" i="3"/>
  <c r="D281" i="3"/>
  <c r="AE281" i="3"/>
  <c r="A282" i="3"/>
  <c r="E282" i="3"/>
  <c r="B282" i="3"/>
  <c r="D282" i="3"/>
  <c r="AE282" i="3"/>
  <c r="A283" i="3"/>
  <c r="E283" i="3"/>
  <c r="B283" i="3"/>
  <c r="D283" i="3"/>
  <c r="AE283" i="3"/>
  <c r="A284" i="3"/>
  <c r="E284" i="3"/>
  <c r="B284" i="3"/>
  <c r="D284" i="3"/>
  <c r="AE284" i="3"/>
  <c r="A285" i="3"/>
  <c r="E285" i="3"/>
  <c r="B285" i="3"/>
  <c r="D285" i="3"/>
  <c r="AE285" i="3"/>
  <c r="A286" i="3"/>
  <c r="E286" i="3"/>
  <c r="B286" i="3"/>
  <c r="D286" i="3"/>
  <c r="AE286" i="3"/>
  <c r="A287" i="3"/>
  <c r="E287" i="3"/>
  <c r="B287" i="3"/>
  <c r="D287" i="3"/>
  <c r="AE287" i="3"/>
  <c r="A288" i="3"/>
  <c r="E288" i="3"/>
  <c r="B288" i="3"/>
  <c r="D288" i="3"/>
  <c r="AE288" i="3"/>
  <c r="A289" i="3"/>
  <c r="E289" i="3"/>
  <c r="B289" i="3"/>
  <c r="D289" i="3"/>
  <c r="AE289" i="3"/>
  <c r="A290" i="3"/>
  <c r="E290" i="3"/>
  <c r="B290" i="3"/>
  <c r="D290" i="3"/>
  <c r="AE290" i="3"/>
  <c r="A291" i="3"/>
  <c r="E291" i="3"/>
  <c r="B291" i="3"/>
  <c r="D291" i="3"/>
  <c r="AE291" i="3"/>
  <c r="A292" i="3"/>
  <c r="E292" i="3"/>
  <c r="B292" i="3"/>
  <c r="D292" i="3"/>
  <c r="AE292" i="3"/>
  <c r="A293" i="3"/>
  <c r="E293" i="3"/>
  <c r="B293" i="3"/>
  <c r="D293" i="3"/>
  <c r="AE293" i="3"/>
  <c r="A294" i="3"/>
  <c r="E294" i="3"/>
  <c r="B294" i="3"/>
  <c r="D294" i="3"/>
  <c r="AE294" i="3"/>
  <c r="A295" i="3"/>
  <c r="E295" i="3"/>
  <c r="B295" i="3"/>
  <c r="D295" i="3"/>
  <c r="AE295" i="3"/>
  <c r="A296" i="3"/>
  <c r="E296" i="3"/>
  <c r="B296" i="3"/>
  <c r="D296" i="3"/>
  <c r="AE296" i="3"/>
  <c r="A297" i="3"/>
  <c r="E297" i="3"/>
  <c r="B297" i="3"/>
  <c r="D297" i="3"/>
  <c r="AE297" i="3"/>
  <c r="A298" i="3"/>
  <c r="E298" i="3"/>
  <c r="B298" i="3"/>
  <c r="D298" i="3"/>
  <c r="AE298" i="3"/>
  <c r="A299" i="3"/>
  <c r="E299" i="3"/>
  <c r="B299" i="3"/>
  <c r="D299" i="3"/>
  <c r="AE299" i="3"/>
  <c r="A300" i="3"/>
  <c r="E300" i="3"/>
  <c r="B300" i="3"/>
  <c r="D300" i="3"/>
  <c r="AE300" i="3"/>
  <c r="A301" i="3"/>
  <c r="E301" i="3"/>
  <c r="B301" i="3"/>
  <c r="D301" i="3"/>
  <c r="AE301" i="3"/>
  <c r="A302" i="3"/>
  <c r="E302" i="3"/>
  <c r="B302" i="3"/>
  <c r="D302" i="3"/>
  <c r="AE302" i="3"/>
  <c r="A303" i="3"/>
  <c r="E303" i="3"/>
  <c r="B303" i="3"/>
  <c r="D303" i="3"/>
  <c r="AE303" i="3"/>
  <c r="A304" i="3"/>
  <c r="E304" i="3"/>
  <c r="B304" i="3"/>
  <c r="D304" i="3"/>
  <c r="AE304" i="3"/>
  <c r="A305" i="3"/>
  <c r="E305" i="3"/>
  <c r="B305" i="3"/>
  <c r="D305" i="3"/>
  <c r="AE305" i="3"/>
  <c r="A306" i="3"/>
  <c r="E306" i="3"/>
  <c r="B306" i="3"/>
  <c r="D306" i="3"/>
  <c r="AE306" i="3"/>
  <c r="A307" i="3"/>
  <c r="E307" i="3"/>
  <c r="B307" i="3"/>
  <c r="D307" i="3"/>
  <c r="AE307" i="3"/>
  <c r="A308" i="3"/>
  <c r="E308" i="3"/>
  <c r="B308" i="3"/>
  <c r="D308" i="3"/>
  <c r="AE308" i="3"/>
  <c r="A309" i="3"/>
  <c r="E309" i="3"/>
  <c r="B309" i="3"/>
  <c r="D309" i="3"/>
  <c r="AE309" i="3"/>
  <c r="A310" i="3"/>
  <c r="E310" i="3"/>
  <c r="B310" i="3"/>
  <c r="D310" i="3"/>
  <c r="AE310" i="3"/>
  <c r="A311" i="3"/>
  <c r="E311" i="3"/>
  <c r="B311" i="3"/>
  <c r="D311" i="3"/>
  <c r="AE311" i="3"/>
  <c r="A312" i="3"/>
  <c r="E312" i="3"/>
  <c r="B312" i="3"/>
  <c r="D312" i="3"/>
  <c r="AE312" i="3"/>
  <c r="A313" i="3"/>
  <c r="E313" i="3"/>
  <c r="B313" i="3"/>
  <c r="D313" i="3"/>
  <c r="AE313" i="3"/>
  <c r="A314" i="3"/>
  <c r="E314" i="3"/>
  <c r="B314" i="3"/>
  <c r="D314" i="3"/>
  <c r="AE314" i="3"/>
  <c r="A315" i="3"/>
  <c r="E315" i="3"/>
  <c r="B315" i="3"/>
  <c r="D315" i="3"/>
  <c r="AE315" i="3"/>
  <c r="A316" i="3"/>
  <c r="E316" i="3"/>
  <c r="B316" i="3"/>
  <c r="D316" i="3"/>
  <c r="AE316" i="3"/>
  <c r="A317" i="3"/>
  <c r="E317" i="3"/>
  <c r="B317" i="3"/>
  <c r="D317" i="3"/>
  <c r="AE317" i="3"/>
  <c r="A318" i="3"/>
  <c r="E318" i="3"/>
  <c r="B318" i="3"/>
  <c r="D318" i="3"/>
  <c r="AE318" i="3"/>
  <c r="A319" i="3"/>
  <c r="E319" i="3"/>
  <c r="B319" i="3"/>
  <c r="D319" i="3"/>
  <c r="AE319" i="3"/>
  <c r="A320" i="3"/>
  <c r="E320" i="3"/>
  <c r="B320" i="3"/>
  <c r="D320" i="3"/>
  <c r="AE320" i="3"/>
  <c r="A321" i="3"/>
  <c r="E321" i="3"/>
  <c r="B321" i="3"/>
  <c r="D321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E506" i="3"/>
  <c r="AE507" i="3"/>
  <c r="AE508" i="3"/>
  <c r="AE509" i="3"/>
  <c r="AE510" i="3"/>
  <c r="AE511" i="3"/>
  <c r="AE512" i="3"/>
  <c r="AE513" i="3"/>
  <c r="AE514" i="3"/>
  <c r="AE515" i="3"/>
  <c r="AE516" i="3"/>
  <c r="AE517" i="3"/>
  <c r="AE518" i="3"/>
  <c r="AE519" i="3"/>
  <c r="AE520" i="3"/>
  <c r="AE521" i="3"/>
  <c r="AE522" i="3"/>
  <c r="AE523" i="3"/>
  <c r="AE524" i="3"/>
  <c r="AE525" i="3"/>
  <c r="AE526" i="3"/>
  <c r="AE527" i="3"/>
  <c r="AE528" i="3"/>
  <c r="AE529" i="3"/>
  <c r="AE530" i="3"/>
  <c r="AE531" i="3"/>
  <c r="AE532" i="3"/>
  <c r="AE533" i="3"/>
  <c r="AE534" i="3"/>
  <c r="AE535" i="3"/>
  <c r="AE536" i="3"/>
  <c r="AE537" i="3"/>
  <c r="AE538" i="3"/>
  <c r="AE539" i="3"/>
  <c r="AE540" i="3"/>
  <c r="AE541" i="3"/>
  <c r="AE542" i="3"/>
  <c r="AE543" i="3"/>
  <c r="AE544" i="3"/>
  <c r="AE545" i="3"/>
  <c r="AE546" i="3"/>
  <c r="AE547" i="3"/>
  <c r="AE548" i="3"/>
  <c r="AE549" i="3"/>
  <c r="AE550" i="3"/>
  <c r="AE551" i="3"/>
  <c r="AE552" i="3"/>
  <c r="AE553" i="3"/>
  <c r="AE554" i="3"/>
  <c r="AE555" i="3"/>
  <c r="AE556" i="3"/>
  <c r="AE557" i="3"/>
  <c r="AE558" i="3"/>
  <c r="AE559" i="3"/>
  <c r="AE560" i="3"/>
  <c r="AE561" i="3"/>
  <c r="AE562" i="3"/>
  <c r="AE563" i="3"/>
  <c r="AE564" i="3"/>
  <c r="AE565" i="3"/>
  <c r="AE566" i="3"/>
  <c r="AE567" i="3"/>
  <c r="AE568" i="3"/>
  <c r="AE569" i="3"/>
  <c r="AE570" i="3"/>
  <c r="AE571" i="3"/>
  <c r="AE572" i="3"/>
  <c r="AE573" i="3"/>
  <c r="AE574" i="3"/>
  <c r="AE575" i="3"/>
  <c r="AE576" i="3"/>
  <c r="AE577" i="3"/>
  <c r="AE578" i="3"/>
  <c r="AE579" i="3"/>
  <c r="AE580" i="3"/>
  <c r="AE581" i="3"/>
  <c r="AE582" i="3"/>
  <c r="AE583" i="3"/>
  <c r="AE584" i="3"/>
  <c r="AE585" i="3"/>
  <c r="AE586" i="3"/>
  <c r="AE587" i="3"/>
  <c r="AE588" i="3"/>
  <c r="AE589" i="3"/>
  <c r="AE590" i="3"/>
  <c r="AE591" i="3"/>
  <c r="AE592" i="3"/>
  <c r="AE593" i="3"/>
  <c r="AE594" i="3"/>
  <c r="AE595" i="3"/>
  <c r="AE596" i="3"/>
  <c r="AE597" i="3"/>
  <c r="AE598" i="3"/>
  <c r="AE599" i="3"/>
  <c r="AE600" i="3"/>
  <c r="AE601" i="3"/>
  <c r="AE602" i="3"/>
  <c r="AE603" i="3"/>
  <c r="AE604" i="3"/>
  <c r="AE605" i="3"/>
  <c r="AE606" i="3"/>
  <c r="AE607" i="3"/>
  <c r="AE608" i="3"/>
  <c r="AE609" i="3"/>
  <c r="AE610" i="3"/>
  <c r="AE611" i="3"/>
  <c r="AE612" i="3"/>
  <c r="AE613" i="3"/>
  <c r="AE614" i="3"/>
  <c r="AE615" i="3"/>
  <c r="AE616" i="3"/>
  <c r="AE617" i="3"/>
  <c r="AE618" i="3"/>
  <c r="AE619" i="3"/>
  <c r="AE620" i="3"/>
  <c r="AE6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E322" i="3"/>
  <c r="B322" i="3"/>
  <c r="E323" i="3"/>
  <c r="B323" i="3"/>
  <c r="E324" i="3"/>
  <c r="B324" i="3"/>
  <c r="E325" i="3"/>
  <c r="B325" i="3"/>
  <c r="E326" i="3"/>
  <c r="B326" i="3"/>
  <c r="E327" i="3"/>
  <c r="B327" i="3"/>
  <c r="E328" i="3"/>
  <c r="B328" i="3"/>
  <c r="E329" i="3"/>
  <c r="B329" i="3"/>
  <c r="E330" i="3"/>
  <c r="B330" i="3"/>
  <c r="E331" i="3"/>
  <c r="B331" i="3"/>
  <c r="E332" i="3"/>
  <c r="B332" i="3"/>
  <c r="E333" i="3"/>
  <c r="B333" i="3"/>
  <c r="E334" i="3"/>
  <c r="B334" i="3"/>
  <c r="E335" i="3"/>
  <c r="B335" i="3"/>
  <c r="E336" i="3"/>
  <c r="B336" i="3"/>
  <c r="E337" i="3"/>
  <c r="B337" i="3"/>
  <c r="E338" i="3"/>
  <c r="B338" i="3"/>
  <c r="E339" i="3"/>
  <c r="B339" i="3"/>
  <c r="E340" i="3"/>
  <c r="B340" i="3"/>
  <c r="E341" i="3"/>
  <c r="B341" i="3"/>
  <c r="E342" i="3"/>
  <c r="B342" i="3"/>
  <c r="E343" i="3"/>
  <c r="B343" i="3"/>
  <c r="E344" i="3"/>
  <c r="B344" i="3"/>
  <c r="E345" i="3"/>
  <c r="B345" i="3"/>
  <c r="E346" i="3"/>
  <c r="B346" i="3"/>
  <c r="E347" i="3"/>
  <c r="B347" i="3"/>
  <c r="E348" i="3"/>
  <c r="B348" i="3"/>
  <c r="E349" i="3"/>
  <c r="B349" i="3"/>
  <c r="E350" i="3"/>
  <c r="B350" i="3"/>
  <c r="E351" i="3"/>
  <c r="B351" i="3"/>
  <c r="E352" i="3"/>
  <c r="B352" i="3"/>
  <c r="E353" i="3"/>
  <c r="B353" i="3"/>
  <c r="E354" i="3"/>
  <c r="B354" i="3"/>
  <c r="E355" i="3"/>
  <c r="B355" i="3"/>
  <c r="E356" i="3"/>
  <c r="B356" i="3"/>
  <c r="E357" i="3"/>
  <c r="B357" i="3"/>
  <c r="E358" i="3"/>
  <c r="B358" i="3"/>
  <c r="E359" i="3"/>
  <c r="B359" i="3"/>
  <c r="E360" i="3"/>
  <c r="B360" i="3"/>
  <c r="E361" i="3"/>
  <c r="B361" i="3"/>
  <c r="E362" i="3"/>
  <c r="B362" i="3"/>
  <c r="E363" i="3"/>
  <c r="B363" i="3"/>
  <c r="E364" i="3"/>
  <c r="B364" i="3"/>
  <c r="E365" i="3"/>
  <c r="B365" i="3"/>
  <c r="E366" i="3"/>
  <c r="B366" i="3"/>
  <c r="E367" i="3"/>
  <c r="B367" i="3"/>
  <c r="E368" i="3"/>
  <c r="B368" i="3"/>
  <c r="E369" i="3"/>
  <c r="B369" i="3"/>
  <c r="E370" i="3"/>
  <c r="B370" i="3"/>
  <c r="E371" i="3"/>
  <c r="B371" i="3"/>
  <c r="E372" i="3"/>
  <c r="B372" i="3"/>
  <c r="E373" i="3"/>
  <c r="B373" i="3"/>
  <c r="E374" i="3"/>
  <c r="B374" i="3"/>
  <c r="E375" i="3"/>
  <c r="B375" i="3"/>
  <c r="E376" i="3"/>
  <c r="B376" i="3"/>
  <c r="E377" i="3"/>
  <c r="B377" i="3"/>
  <c r="E378" i="3"/>
  <c r="B378" i="3"/>
  <c r="E379" i="3"/>
  <c r="B379" i="3"/>
  <c r="E380" i="3"/>
  <c r="B380" i="3"/>
  <c r="E381" i="3"/>
  <c r="B381" i="3"/>
  <c r="E382" i="3"/>
  <c r="B382" i="3"/>
  <c r="E383" i="3"/>
  <c r="B383" i="3"/>
  <c r="E384" i="3"/>
  <c r="B384" i="3"/>
  <c r="E385" i="3"/>
  <c r="B385" i="3"/>
  <c r="E386" i="3"/>
  <c r="B386" i="3"/>
  <c r="E387" i="3"/>
  <c r="B387" i="3"/>
  <c r="E388" i="3"/>
  <c r="B388" i="3"/>
  <c r="E389" i="3"/>
  <c r="B389" i="3"/>
  <c r="E390" i="3"/>
  <c r="B390" i="3"/>
  <c r="E391" i="3"/>
  <c r="B391" i="3"/>
  <c r="E392" i="3"/>
  <c r="B392" i="3"/>
  <c r="E393" i="3"/>
  <c r="B393" i="3"/>
  <c r="E394" i="3"/>
  <c r="B394" i="3"/>
  <c r="E395" i="3"/>
  <c r="B395" i="3"/>
  <c r="E396" i="3"/>
  <c r="B396" i="3"/>
  <c r="E397" i="3"/>
  <c r="B397" i="3"/>
  <c r="E398" i="3"/>
  <c r="B398" i="3"/>
  <c r="E399" i="3"/>
  <c r="B399" i="3"/>
  <c r="E400" i="3"/>
  <c r="B400" i="3"/>
  <c r="E401" i="3"/>
  <c r="B401" i="3"/>
  <c r="E402" i="3"/>
  <c r="B402" i="3"/>
  <c r="E403" i="3"/>
  <c r="B403" i="3"/>
  <c r="E404" i="3"/>
  <c r="B404" i="3"/>
  <c r="E405" i="3"/>
  <c r="B405" i="3"/>
  <c r="E406" i="3"/>
  <c r="B406" i="3"/>
  <c r="E407" i="3"/>
  <c r="B407" i="3"/>
  <c r="E408" i="3"/>
  <c r="B408" i="3"/>
  <c r="E409" i="3"/>
  <c r="B409" i="3"/>
  <c r="E410" i="3"/>
  <c r="B410" i="3"/>
  <c r="E411" i="3"/>
  <c r="B411" i="3"/>
  <c r="E412" i="3"/>
  <c r="B412" i="3"/>
  <c r="E413" i="3"/>
  <c r="B413" i="3"/>
  <c r="E414" i="3"/>
  <c r="B414" i="3"/>
  <c r="E415" i="3"/>
  <c r="B415" i="3"/>
  <c r="E416" i="3"/>
  <c r="B416" i="3"/>
  <c r="E417" i="3"/>
  <c r="B417" i="3"/>
  <c r="E418" i="3"/>
  <c r="B418" i="3"/>
  <c r="E419" i="3"/>
  <c r="B419" i="3"/>
  <c r="E420" i="3"/>
  <c r="B420" i="3"/>
  <c r="E421" i="3"/>
  <c r="B421" i="3"/>
  <c r="E422" i="3"/>
  <c r="B422" i="3"/>
  <c r="E423" i="3"/>
  <c r="B423" i="3"/>
  <c r="E424" i="3"/>
  <c r="B424" i="3"/>
  <c r="E425" i="3"/>
  <c r="B425" i="3"/>
  <c r="E426" i="3"/>
  <c r="B426" i="3"/>
  <c r="E427" i="3"/>
  <c r="B427" i="3"/>
  <c r="E428" i="3"/>
  <c r="B428" i="3"/>
  <c r="E429" i="3"/>
  <c r="B429" i="3"/>
  <c r="E430" i="3"/>
  <c r="B430" i="3"/>
  <c r="E431" i="3"/>
  <c r="B431" i="3"/>
  <c r="E432" i="3"/>
  <c r="B432" i="3"/>
  <c r="E433" i="3"/>
  <c r="B433" i="3"/>
  <c r="E434" i="3"/>
  <c r="B434" i="3"/>
  <c r="E435" i="3"/>
  <c r="B435" i="3"/>
  <c r="E436" i="3"/>
  <c r="B436" i="3"/>
  <c r="E437" i="3"/>
  <c r="B437" i="3"/>
  <c r="E438" i="3"/>
  <c r="B438" i="3"/>
  <c r="E439" i="3"/>
  <c r="B439" i="3"/>
  <c r="E440" i="3"/>
  <c r="B440" i="3"/>
  <c r="E441" i="3"/>
  <c r="B441" i="3"/>
  <c r="E442" i="3"/>
  <c r="B442" i="3"/>
  <c r="E443" i="3"/>
  <c r="B443" i="3"/>
  <c r="E444" i="3"/>
  <c r="B444" i="3"/>
  <c r="E445" i="3"/>
  <c r="B445" i="3"/>
  <c r="E446" i="3"/>
  <c r="B446" i="3"/>
  <c r="E447" i="3"/>
  <c r="B447" i="3"/>
  <c r="E448" i="3"/>
  <c r="B448" i="3"/>
  <c r="E449" i="3"/>
  <c r="B449" i="3"/>
  <c r="E450" i="3"/>
  <c r="B450" i="3"/>
  <c r="E451" i="3"/>
  <c r="B451" i="3"/>
  <c r="E452" i="3"/>
  <c r="B452" i="3"/>
  <c r="E453" i="3"/>
  <c r="B453" i="3"/>
  <c r="E454" i="3"/>
  <c r="B454" i="3"/>
  <c r="E455" i="3"/>
  <c r="B455" i="3"/>
  <c r="E456" i="3"/>
  <c r="B456" i="3"/>
  <c r="E457" i="3"/>
  <c r="B457" i="3"/>
  <c r="E458" i="3"/>
  <c r="B458" i="3"/>
  <c r="E459" i="3"/>
  <c r="B459" i="3"/>
  <c r="E460" i="3"/>
  <c r="B460" i="3"/>
  <c r="E461" i="3"/>
  <c r="B461" i="3"/>
  <c r="E462" i="3"/>
  <c r="B462" i="3"/>
  <c r="E463" i="3"/>
  <c r="B463" i="3"/>
  <c r="E464" i="3"/>
  <c r="B464" i="3"/>
  <c r="E465" i="3"/>
  <c r="B465" i="3"/>
  <c r="E466" i="3"/>
  <c r="B466" i="3"/>
  <c r="E467" i="3"/>
  <c r="B467" i="3"/>
  <c r="E468" i="3"/>
  <c r="B468" i="3"/>
  <c r="E469" i="3"/>
  <c r="B469" i="3"/>
  <c r="E470" i="3"/>
  <c r="B470" i="3"/>
  <c r="E471" i="3"/>
  <c r="B471" i="3"/>
  <c r="E472" i="3"/>
  <c r="B472" i="3"/>
  <c r="E473" i="3"/>
  <c r="B473" i="3"/>
  <c r="E474" i="3"/>
  <c r="B474" i="3"/>
  <c r="E475" i="3"/>
  <c r="B475" i="3"/>
  <c r="E476" i="3"/>
  <c r="B476" i="3"/>
  <c r="E477" i="3"/>
  <c r="B477" i="3"/>
  <c r="E478" i="3"/>
  <c r="B478" i="3"/>
  <c r="E479" i="3"/>
  <c r="B479" i="3"/>
  <c r="E480" i="3"/>
  <c r="B480" i="3"/>
  <c r="E481" i="3"/>
  <c r="B481" i="3"/>
  <c r="E482" i="3"/>
  <c r="B482" i="3"/>
  <c r="E483" i="3"/>
  <c r="B483" i="3"/>
  <c r="E484" i="3"/>
  <c r="B484" i="3"/>
  <c r="E485" i="3"/>
  <c r="B485" i="3"/>
  <c r="E486" i="3"/>
  <c r="B486" i="3"/>
  <c r="E487" i="3"/>
  <c r="B487" i="3"/>
  <c r="E488" i="3"/>
  <c r="B488" i="3"/>
  <c r="E489" i="3"/>
  <c r="B489" i="3"/>
  <c r="E490" i="3"/>
  <c r="B490" i="3"/>
  <c r="E491" i="3"/>
  <c r="B491" i="3"/>
  <c r="E492" i="3"/>
  <c r="B492" i="3"/>
  <c r="E493" i="3"/>
  <c r="B493" i="3"/>
  <c r="E494" i="3"/>
  <c r="B494" i="3"/>
  <c r="E495" i="3"/>
  <c r="B495" i="3"/>
  <c r="E496" i="3"/>
  <c r="B496" i="3"/>
  <c r="E497" i="3"/>
  <c r="B497" i="3"/>
  <c r="E498" i="3"/>
  <c r="B498" i="3"/>
  <c r="E499" i="3"/>
  <c r="B499" i="3"/>
  <c r="E500" i="3"/>
  <c r="B500" i="3"/>
  <c r="E501" i="3"/>
  <c r="B501" i="3"/>
  <c r="E502" i="3"/>
  <c r="B502" i="3"/>
  <c r="E503" i="3"/>
  <c r="B503" i="3"/>
  <c r="E504" i="3"/>
  <c r="B504" i="3"/>
  <c r="E505" i="3"/>
  <c r="B505" i="3"/>
  <c r="E506" i="3"/>
  <c r="B506" i="3"/>
  <c r="E507" i="3"/>
  <c r="B507" i="3"/>
  <c r="E508" i="3"/>
  <c r="B508" i="3"/>
  <c r="E509" i="3"/>
  <c r="B509" i="3"/>
  <c r="E510" i="3"/>
  <c r="B510" i="3"/>
  <c r="E511" i="3"/>
  <c r="B511" i="3"/>
  <c r="E512" i="3"/>
  <c r="B512" i="3"/>
  <c r="E513" i="3"/>
  <c r="B513" i="3"/>
  <c r="E514" i="3"/>
  <c r="B514" i="3"/>
  <c r="E515" i="3"/>
  <c r="B515" i="3"/>
  <c r="E516" i="3"/>
  <c r="B516" i="3"/>
  <c r="E517" i="3"/>
  <c r="B517" i="3"/>
  <c r="E518" i="3"/>
  <c r="B518" i="3"/>
  <c r="E519" i="3"/>
  <c r="B519" i="3"/>
  <c r="E520" i="3"/>
  <c r="B520" i="3"/>
  <c r="E521" i="3"/>
  <c r="B521" i="3"/>
  <c r="E522" i="3"/>
  <c r="B522" i="3"/>
  <c r="E523" i="3"/>
  <c r="B523" i="3"/>
  <c r="E524" i="3"/>
  <c r="B524" i="3"/>
  <c r="E525" i="3"/>
  <c r="B525" i="3"/>
  <c r="E526" i="3"/>
  <c r="B526" i="3"/>
  <c r="E527" i="3"/>
  <c r="B527" i="3"/>
  <c r="E528" i="3"/>
  <c r="B528" i="3"/>
  <c r="E529" i="3"/>
  <c r="B529" i="3"/>
  <c r="E530" i="3"/>
  <c r="B530" i="3"/>
  <c r="E531" i="3"/>
  <c r="B531" i="3"/>
  <c r="E532" i="3"/>
  <c r="B532" i="3"/>
  <c r="E533" i="3"/>
  <c r="B533" i="3"/>
  <c r="E534" i="3"/>
  <c r="B534" i="3"/>
  <c r="E535" i="3"/>
  <c r="B535" i="3"/>
  <c r="E536" i="3"/>
  <c r="B536" i="3"/>
  <c r="E537" i="3"/>
  <c r="B537" i="3"/>
  <c r="E538" i="3"/>
  <c r="B538" i="3"/>
  <c r="E539" i="3"/>
  <c r="B539" i="3"/>
  <c r="E540" i="3"/>
  <c r="B540" i="3"/>
  <c r="E541" i="3"/>
  <c r="B541" i="3"/>
  <c r="E542" i="3"/>
  <c r="B542" i="3"/>
  <c r="E543" i="3"/>
  <c r="B543" i="3"/>
  <c r="E544" i="3"/>
  <c r="B544" i="3"/>
  <c r="E545" i="3"/>
  <c r="B545" i="3"/>
  <c r="E546" i="3"/>
  <c r="B546" i="3"/>
  <c r="E547" i="3"/>
  <c r="B547" i="3"/>
  <c r="E548" i="3"/>
  <c r="B548" i="3"/>
  <c r="E549" i="3"/>
  <c r="B549" i="3"/>
  <c r="E550" i="3"/>
  <c r="B550" i="3"/>
  <c r="E551" i="3"/>
  <c r="B551" i="3"/>
  <c r="E552" i="3"/>
  <c r="B552" i="3"/>
  <c r="E553" i="3"/>
  <c r="B553" i="3"/>
  <c r="E554" i="3"/>
  <c r="B554" i="3"/>
  <c r="E555" i="3"/>
  <c r="B555" i="3"/>
  <c r="E556" i="3"/>
  <c r="B556" i="3"/>
  <c r="E557" i="3"/>
  <c r="B557" i="3"/>
  <c r="E558" i="3"/>
  <c r="B558" i="3"/>
  <c r="E559" i="3"/>
  <c r="B559" i="3"/>
  <c r="E560" i="3"/>
  <c r="B560" i="3"/>
  <c r="E561" i="3"/>
  <c r="B561" i="3"/>
  <c r="E562" i="3"/>
  <c r="B562" i="3"/>
  <c r="E563" i="3"/>
  <c r="B563" i="3"/>
  <c r="E564" i="3"/>
  <c r="B564" i="3"/>
  <c r="E565" i="3"/>
  <c r="B565" i="3"/>
  <c r="E566" i="3"/>
  <c r="B566" i="3"/>
  <c r="E567" i="3"/>
  <c r="B567" i="3"/>
  <c r="E568" i="3"/>
  <c r="B568" i="3"/>
  <c r="E569" i="3"/>
  <c r="B569" i="3"/>
  <c r="E570" i="3"/>
  <c r="B570" i="3"/>
  <c r="E571" i="3"/>
  <c r="B571" i="3"/>
  <c r="E572" i="3"/>
  <c r="B572" i="3"/>
  <c r="E573" i="3"/>
  <c r="B573" i="3"/>
  <c r="E574" i="3"/>
  <c r="B574" i="3"/>
  <c r="E575" i="3"/>
  <c r="B575" i="3"/>
  <c r="E576" i="3"/>
  <c r="B576" i="3"/>
  <c r="E577" i="3"/>
  <c r="B577" i="3"/>
  <c r="E578" i="3"/>
  <c r="B578" i="3"/>
  <c r="E579" i="3"/>
  <c r="B579" i="3"/>
  <c r="E580" i="3"/>
  <c r="B580" i="3"/>
  <c r="E581" i="3"/>
  <c r="B581" i="3"/>
  <c r="E582" i="3"/>
  <c r="B582" i="3"/>
  <c r="E583" i="3"/>
  <c r="B583" i="3"/>
  <c r="E584" i="3"/>
  <c r="B584" i="3"/>
  <c r="E585" i="3"/>
  <c r="B585" i="3"/>
  <c r="E586" i="3"/>
  <c r="B586" i="3"/>
  <c r="E587" i="3"/>
  <c r="B587" i="3"/>
  <c r="E588" i="3"/>
  <c r="B588" i="3"/>
  <c r="E589" i="3"/>
  <c r="B589" i="3"/>
  <c r="E590" i="3"/>
  <c r="B590" i="3"/>
  <c r="E591" i="3"/>
  <c r="B591" i="3"/>
  <c r="E592" i="3"/>
  <c r="B592" i="3"/>
  <c r="E593" i="3"/>
  <c r="B593" i="3"/>
  <c r="E594" i="3"/>
  <c r="B594" i="3"/>
  <c r="E595" i="3"/>
  <c r="B595" i="3"/>
  <c r="E596" i="3"/>
  <c r="B596" i="3"/>
  <c r="E597" i="3"/>
  <c r="B597" i="3"/>
  <c r="E598" i="3"/>
  <c r="B598" i="3"/>
  <c r="E599" i="3"/>
  <c r="B599" i="3"/>
  <c r="E600" i="3"/>
  <c r="B600" i="3"/>
  <c r="E601" i="3"/>
  <c r="B601" i="3"/>
  <c r="E602" i="3"/>
  <c r="B602" i="3"/>
  <c r="E603" i="3"/>
  <c r="B603" i="3"/>
  <c r="E604" i="3"/>
  <c r="B604" i="3"/>
  <c r="E605" i="3"/>
  <c r="B605" i="3"/>
  <c r="E606" i="3"/>
  <c r="B606" i="3"/>
  <c r="E607" i="3"/>
  <c r="B607" i="3"/>
  <c r="E608" i="3"/>
  <c r="B608" i="3"/>
  <c r="E609" i="3"/>
  <c r="B609" i="3"/>
  <c r="E610" i="3"/>
  <c r="B610" i="3"/>
  <c r="E611" i="3"/>
  <c r="B611" i="3"/>
  <c r="E612" i="3"/>
  <c r="B612" i="3"/>
  <c r="C612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F612" i="3"/>
  <c r="G612" i="3"/>
  <c r="F381" i="3"/>
  <c r="G381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0" i="3"/>
  <c r="G120" i="3"/>
  <c r="H120" i="3"/>
  <c r="F121" i="3"/>
  <c r="G121" i="3"/>
  <c r="H121" i="3"/>
  <c r="F122" i="3"/>
  <c r="G122" i="3"/>
  <c r="H122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1" i="3"/>
  <c r="G131" i="3"/>
  <c r="H131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6" i="3"/>
  <c r="G136" i="3"/>
  <c r="H136" i="3"/>
  <c r="F137" i="3"/>
  <c r="G137" i="3"/>
  <c r="H137" i="3"/>
  <c r="F138" i="3"/>
  <c r="G138" i="3"/>
  <c r="H138" i="3"/>
  <c r="F139" i="3"/>
  <c r="G139" i="3"/>
  <c r="H139" i="3"/>
  <c r="F140" i="3"/>
  <c r="G140" i="3"/>
  <c r="H140" i="3"/>
  <c r="F141" i="3"/>
  <c r="G141" i="3"/>
  <c r="H141" i="3"/>
  <c r="F142" i="3"/>
  <c r="G142" i="3"/>
  <c r="H142" i="3"/>
  <c r="F143" i="3"/>
  <c r="G143" i="3"/>
  <c r="H143" i="3"/>
  <c r="F144" i="3"/>
  <c r="G144" i="3"/>
  <c r="H144" i="3"/>
  <c r="F145" i="3"/>
  <c r="G145" i="3"/>
  <c r="H145" i="3"/>
  <c r="F146" i="3"/>
  <c r="G146" i="3"/>
  <c r="H146" i="3"/>
  <c r="F147" i="3"/>
  <c r="G147" i="3"/>
  <c r="H147" i="3"/>
  <c r="F148" i="3"/>
  <c r="G148" i="3"/>
  <c r="H148" i="3"/>
  <c r="F149" i="3"/>
  <c r="G149" i="3"/>
  <c r="H149" i="3"/>
  <c r="F150" i="3"/>
  <c r="G150" i="3"/>
  <c r="H150" i="3"/>
  <c r="F151" i="3"/>
  <c r="G151" i="3"/>
  <c r="H151" i="3"/>
  <c r="F152" i="3"/>
  <c r="G152" i="3"/>
  <c r="H152" i="3"/>
  <c r="F153" i="3"/>
  <c r="G153" i="3"/>
  <c r="H153" i="3"/>
  <c r="F154" i="3"/>
  <c r="G154" i="3"/>
  <c r="H154" i="3"/>
  <c r="F155" i="3"/>
  <c r="G155" i="3"/>
  <c r="H155" i="3"/>
  <c r="F156" i="3"/>
  <c r="G156" i="3"/>
  <c r="H156" i="3"/>
  <c r="F157" i="3"/>
  <c r="G157" i="3"/>
  <c r="H157" i="3"/>
  <c r="F158" i="3"/>
  <c r="G158" i="3"/>
  <c r="H158" i="3"/>
  <c r="F159" i="3"/>
  <c r="G159" i="3"/>
  <c r="H159" i="3"/>
  <c r="F160" i="3"/>
  <c r="G160" i="3"/>
  <c r="H160" i="3"/>
  <c r="F161" i="3"/>
  <c r="G161" i="3"/>
  <c r="H161" i="3"/>
  <c r="F162" i="3"/>
  <c r="G162" i="3"/>
  <c r="H162" i="3"/>
  <c r="F163" i="3"/>
  <c r="G163" i="3"/>
  <c r="H163" i="3"/>
  <c r="F164" i="3"/>
  <c r="G164" i="3"/>
  <c r="H164" i="3"/>
  <c r="F165" i="3"/>
  <c r="G165" i="3"/>
  <c r="H165" i="3"/>
  <c r="F166" i="3"/>
  <c r="G166" i="3"/>
  <c r="H166" i="3"/>
  <c r="F167" i="3"/>
  <c r="G167" i="3"/>
  <c r="H167" i="3"/>
  <c r="F168" i="3"/>
  <c r="G168" i="3"/>
  <c r="H168" i="3"/>
  <c r="F169" i="3"/>
  <c r="G169" i="3"/>
  <c r="H169" i="3"/>
  <c r="F170" i="3"/>
  <c r="G170" i="3"/>
  <c r="H170" i="3"/>
  <c r="F171" i="3"/>
  <c r="G171" i="3"/>
  <c r="H171" i="3"/>
  <c r="F172" i="3"/>
  <c r="G172" i="3"/>
  <c r="H172" i="3"/>
  <c r="F173" i="3"/>
  <c r="G173" i="3"/>
  <c r="H173" i="3"/>
  <c r="F174" i="3"/>
  <c r="G174" i="3"/>
  <c r="H174" i="3"/>
  <c r="F175" i="3"/>
  <c r="G175" i="3"/>
  <c r="H175" i="3"/>
  <c r="F176" i="3"/>
  <c r="G176" i="3"/>
  <c r="H176" i="3"/>
  <c r="F177" i="3"/>
  <c r="G177" i="3"/>
  <c r="H177" i="3"/>
  <c r="F178" i="3"/>
  <c r="G178" i="3"/>
  <c r="H178" i="3"/>
  <c r="F179" i="3"/>
  <c r="G179" i="3"/>
  <c r="H179" i="3"/>
  <c r="F180" i="3"/>
  <c r="G180" i="3"/>
  <c r="H180" i="3"/>
  <c r="F181" i="3"/>
  <c r="G181" i="3"/>
  <c r="H181" i="3"/>
  <c r="F182" i="3"/>
  <c r="G182" i="3"/>
  <c r="H182" i="3"/>
  <c r="F183" i="3"/>
  <c r="G183" i="3"/>
  <c r="H183" i="3"/>
  <c r="F184" i="3"/>
  <c r="G184" i="3"/>
  <c r="H184" i="3"/>
  <c r="F185" i="3"/>
  <c r="G185" i="3"/>
  <c r="H185" i="3"/>
  <c r="F186" i="3"/>
  <c r="G186" i="3"/>
  <c r="H186" i="3"/>
  <c r="F187" i="3"/>
  <c r="G187" i="3"/>
  <c r="H187" i="3"/>
  <c r="F188" i="3"/>
  <c r="G188" i="3"/>
  <c r="H188" i="3"/>
  <c r="F189" i="3"/>
  <c r="G189" i="3"/>
  <c r="H189" i="3"/>
  <c r="F190" i="3"/>
  <c r="G190" i="3"/>
  <c r="H190" i="3"/>
  <c r="F191" i="3"/>
  <c r="G191" i="3"/>
  <c r="H191" i="3"/>
  <c r="F192" i="3"/>
  <c r="G192" i="3"/>
  <c r="H192" i="3"/>
  <c r="F193" i="3"/>
  <c r="G193" i="3"/>
  <c r="H193" i="3"/>
  <c r="F194" i="3"/>
  <c r="G194" i="3"/>
  <c r="H194" i="3"/>
  <c r="F195" i="3"/>
  <c r="G195" i="3"/>
  <c r="H195" i="3"/>
  <c r="F196" i="3"/>
  <c r="G196" i="3"/>
  <c r="H196" i="3"/>
  <c r="F197" i="3"/>
  <c r="G197" i="3"/>
  <c r="H197" i="3"/>
  <c r="F198" i="3"/>
  <c r="G198" i="3"/>
  <c r="H198" i="3"/>
  <c r="F199" i="3"/>
  <c r="G199" i="3"/>
  <c r="H199" i="3"/>
  <c r="F200" i="3"/>
  <c r="G200" i="3"/>
  <c r="H200" i="3"/>
  <c r="F201" i="3"/>
  <c r="G201" i="3"/>
  <c r="H201" i="3"/>
  <c r="F202" i="3"/>
  <c r="G202" i="3"/>
  <c r="H202" i="3"/>
  <c r="F203" i="3"/>
  <c r="G203" i="3"/>
  <c r="H203" i="3"/>
  <c r="F204" i="3"/>
  <c r="G204" i="3"/>
  <c r="H204" i="3"/>
  <c r="F205" i="3"/>
  <c r="G205" i="3"/>
  <c r="H205" i="3"/>
  <c r="F206" i="3"/>
  <c r="G206" i="3"/>
  <c r="H206" i="3"/>
  <c r="F207" i="3"/>
  <c r="G207" i="3"/>
  <c r="H207" i="3"/>
  <c r="F208" i="3"/>
  <c r="G208" i="3"/>
  <c r="H208" i="3"/>
  <c r="F209" i="3"/>
  <c r="G209" i="3"/>
  <c r="H209" i="3"/>
  <c r="F210" i="3"/>
  <c r="G210" i="3"/>
  <c r="H210" i="3"/>
  <c r="F211" i="3"/>
  <c r="G211" i="3"/>
  <c r="H211" i="3"/>
  <c r="F212" i="3"/>
  <c r="G212" i="3"/>
  <c r="H212" i="3"/>
  <c r="F213" i="3"/>
  <c r="G213" i="3"/>
  <c r="H213" i="3"/>
  <c r="F214" i="3"/>
  <c r="G214" i="3"/>
  <c r="H214" i="3"/>
  <c r="F215" i="3"/>
  <c r="G215" i="3"/>
  <c r="H215" i="3"/>
  <c r="F216" i="3"/>
  <c r="G216" i="3"/>
  <c r="H216" i="3"/>
  <c r="F217" i="3"/>
  <c r="G217" i="3"/>
  <c r="H217" i="3"/>
  <c r="F218" i="3"/>
  <c r="G218" i="3"/>
  <c r="H218" i="3"/>
  <c r="F219" i="3"/>
  <c r="G219" i="3"/>
  <c r="H219" i="3"/>
  <c r="F220" i="3"/>
  <c r="G220" i="3"/>
  <c r="H220" i="3"/>
  <c r="F221" i="3"/>
  <c r="G221" i="3"/>
  <c r="H221" i="3"/>
  <c r="F222" i="3"/>
  <c r="G222" i="3"/>
  <c r="H222" i="3"/>
  <c r="F223" i="3"/>
  <c r="G223" i="3"/>
  <c r="H223" i="3"/>
  <c r="F224" i="3"/>
  <c r="G224" i="3"/>
  <c r="H224" i="3"/>
  <c r="F225" i="3"/>
  <c r="G225" i="3"/>
  <c r="H225" i="3"/>
  <c r="F226" i="3"/>
  <c r="G226" i="3"/>
  <c r="H226" i="3"/>
  <c r="F227" i="3"/>
  <c r="G227" i="3"/>
  <c r="H227" i="3"/>
  <c r="F228" i="3"/>
  <c r="G228" i="3"/>
  <c r="H228" i="3"/>
  <c r="F229" i="3"/>
  <c r="G229" i="3"/>
  <c r="H229" i="3"/>
  <c r="F230" i="3"/>
  <c r="G230" i="3"/>
  <c r="H230" i="3"/>
  <c r="F231" i="3"/>
  <c r="G231" i="3"/>
  <c r="H231" i="3"/>
  <c r="F232" i="3"/>
  <c r="G232" i="3"/>
  <c r="H232" i="3"/>
  <c r="F233" i="3"/>
  <c r="G233" i="3"/>
  <c r="H233" i="3"/>
  <c r="F234" i="3"/>
  <c r="G234" i="3"/>
  <c r="H234" i="3"/>
  <c r="F235" i="3"/>
  <c r="G235" i="3"/>
  <c r="H235" i="3"/>
  <c r="F236" i="3"/>
  <c r="G236" i="3"/>
  <c r="H236" i="3"/>
  <c r="F237" i="3"/>
  <c r="G237" i="3"/>
  <c r="H237" i="3"/>
  <c r="F238" i="3"/>
  <c r="G238" i="3"/>
  <c r="H238" i="3"/>
  <c r="F239" i="3"/>
  <c r="G239" i="3"/>
  <c r="H239" i="3"/>
  <c r="F240" i="3"/>
  <c r="G240" i="3"/>
  <c r="H240" i="3"/>
  <c r="F241" i="3"/>
  <c r="G241" i="3"/>
  <c r="H241" i="3"/>
  <c r="F242" i="3"/>
  <c r="G242" i="3"/>
  <c r="H242" i="3"/>
  <c r="F243" i="3"/>
  <c r="G243" i="3"/>
  <c r="H243" i="3"/>
  <c r="F244" i="3"/>
  <c r="G244" i="3"/>
  <c r="H244" i="3"/>
  <c r="F245" i="3"/>
  <c r="G245" i="3"/>
  <c r="H245" i="3"/>
  <c r="F246" i="3"/>
  <c r="G246" i="3"/>
  <c r="H246" i="3"/>
  <c r="F247" i="3"/>
  <c r="G247" i="3"/>
  <c r="H247" i="3"/>
  <c r="F248" i="3"/>
  <c r="G248" i="3"/>
  <c r="H248" i="3"/>
  <c r="F249" i="3"/>
  <c r="G249" i="3"/>
  <c r="H249" i="3"/>
  <c r="F250" i="3"/>
  <c r="G250" i="3"/>
  <c r="H250" i="3"/>
  <c r="F251" i="3"/>
  <c r="G251" i="3"/>
  <c r="H251" i="3"/>
  <c r="F252" i="3"/>
  <c r="G252" i="3"/>
  <c r="H252" i="3"/>
  <c r="F253" i="3"/>
  <c r="G253" i="3"/>
  <c r="H253" i="3"/>
  <c r="F254" i="3"/>
  <c r="G254" i="3"/>
  <c r="H254" i="3"/>
  <c r="F255" i="3"/>
  <c r="G255" i="3"/>
  <c r="H255" i="3"/>
  <c r="F256" i="3"/>
  <c r="G256" i="3"/>
  <c r="H256" i="3"/>
  <c r="F257" i="3"/>
  <c r="G257" i="3"/>
  <c r="H257" i="3"/>
  <c r="F258" i="3"/>
  <c r="G258" i="3"/>
  <c r="H258" i="3"/>
  <c r="F259" i="3"/>
  <c r="G259" i="3"/>
  <c r="H259" i="3"/>
  <c r="F260" i="3"/>
  <c r="G260" i="3"/>
  <c r="H260" i="3"/>
  <c r="F261" i="3"/>
  <c r="G261" i="3"/>
  <c r="H261" i="3"/>
  <c r="F262" i="3"/>
  <c r="G262" i="3"/>
  <c r="H262" i="3"/>
  <c r="F263" i="3"/>
  <c r="G263" i="3"/>
  <c r="H263" i="3"/>
  <c r="F264" i="3"/>
  <c r="G264" i="3"/>
  <c r="H264" i="3"/>
  <c r="F265" i="3"/>
  <c r="G265" i="3"/>
  <c r="H265" i="3"/>
  <c r="F266" i="3"/>
  <c r="G266" i="3"/>
  <c r="H266" i="3"/>
  <c r="F267" i="3"/>
  <c r="G267" i="3"/>
  <c r="H267" i="3"/>
  <c r="F268" i="3"/>
  <c r="G268" i="3"/>
  <c r="H268" i="3"/>
  <c r="F269" i="3"/>
  <c r="G269" i="3"/>
  <c r="H269" i="3"/>
  <c r="F270" i="3"/>
  <c r="G270" i="3"/>
  <c r="H270" i="3"/>
  <c r="F271" i="3"/>
  <c r="G271" i="3"/>
  <c r="H271" i="3"/>
  <c r="F272" i="3"/>
  <c r="G272" i="3"/>
  <c r="H272" i="3"/>
  <c r="F273" i="3"/>
  <c r="G273" i="3"/>
  <c r="H273" i="3"/>
  <c r="F274" i="3"/>
  <c r="G274" i="3"/>
  <c r="H274" i="3"/>
  <c r="F275" i="3"/>
  <c r="G275" i="3"/>
  <c r="H275" i="3"/>
  <c r="F276" i="3"/>
  <c r="G276" i="3"/>
  <c r="H276" i="3"/>
  <c r="F277" i="3"/>
  <c r="G277" i="3"/>
  <c r="H277" i="3"/>
  <c r="F278" i="3"/>
  <c r="G278" i="3"/>
  <c r="H278" i="3"/>
  <c r="F279" i="3"/>
  <c r="G279" i="3"/>
  <c r="H279" i="3"/>
  <c r="F280" i="3"/>
  <c r="G280" i="3"/>
  <c r="H280" i="3"/>
  <c r="F281" i="3"/>
  <c r="G281" i="3"/>
  <c r="H281" i="3"/>
  <c r="F282" i="3"/>
  <c r="G282" i="3"/>
  <c r="H282" i="3"/>
  <c r="F283" i="3"/>
  <c r="G283" i="3"/>
  <c r="H283" i="3"/>
  <c r="F284" i="3"/>
  <c r="G284" i="3"/>
  <c r="H284" i="3"/>
  <c r="F285" i="3"/>
  <c r="G285" i="3"/>
  <c r="H285" i="3"/>
  <c r="F286" i="3"/>
  <c r="G286" i="3"/>
  <c r="H286" i="3"/>
  <c r="F287" i="3"/>
  <c r="G287" i="3"/>
  <c r="H287" i="3"/>
  <c r="F288" i="3"/>
  <c r="G288" i="3"/>
  <c r="H288" i="3"/>
  <c r="F289" i="3"/>
  <c r="G289" i="3"/>
  <c r="H289" i="3"/>
  <c r="F290" i="3"/>
  <c r="G290" i="3"/>
  <c r="H290" i="3"/>
  <c r="F291" i="3"/>
  <c r="G291" i="3"/>
  <c r="H291" i="3"/>
  <c r="F292" i="3"/>
  <c r="G292" i="3"/>
  <c r="H292" i="3"/>
  <c r="F293" i="3"/>
  <c r="G293" i="3"/>
  <c r="H293" i="3"/>
  <c r="F294" i="3"/>
  <c r="G294" i="3"/>
  <c r="H294" i="3"/>
  <c r="F295" i="3"/>
  <c r="G295" i="3"/>
  <c r="H295" i="3"/>
  <c r="F296" i="3"/>
  <c r="G296" i="3"/>
  <c r="H296" i="3"/>
  <c r="F297" i="3"/>
  <c r="G297" i="3"/>
  <c r="H297" i="3"/>
  <c r="F298" i="3"/>
  <c r="G298" i="3"/>
  <c r="H298" i="3"/>
  <c r="F299" i="3"/>
  <c r="G299" i="3"/>
  <c r="H299" i="3"/>
  <c r="F300" i="3"/>
  <c r="G300" i="3"/>
  <c r="H300" i="3"/>
  <c r="F301" i="3"/>
  <c r="G301" i="3"/>
  <c r="H301" i="3"/>
  <c r="F302" i="3"/>
  <c r="G302" i="3"/>
  <c r="H302" i="3"/>
  <c r="F303" i="3"/>
  <c r="G303" i="3"/>
  <c r="H303" i="3"/>
  <c r="F304" i="3"/>
  <c r="G304" i="3"/>
  <c r="H304" i="3"/>
  <c r="F305" i="3"/>
  <c r="G305" i="3"/>
  <c r="H305" i="3"/>
  <c r="F306" i="3"/>
  <c r="G306" i="3"/>
  <c r="H306" i="3"/>
  <c r="F307" i="3"/>
  <c r="G307" i="3"/>
  <c r="H307" i="3"/>
  <c r="F308" i="3"/>
  <c r="G308" i="3"/>
  <c r="H308" i="3"/>
  <c r="F309" i="3"/>
  <c r="G309" i="3"/>
  <c r="H309" i="3"/>
  <c r="F310" i="3"/>
  <c r="G310" i="3"/>
  <c r="H310" i="3"/>
  <c r="F311" i="3"/>
  <c r="G311" i="3"/>
  <c r="H311" i="3"/>
  <c r="F312" i="3"/>
  <c r="G312" i="3"/>
  <c r="H312" i="3"/>
  <c r="F313" i="3"/>
  <c r="G313" i="3"/>
  <c r="H313" i="3"/>
  <c r="F314" i="3"/>
  <c r="G314" i="3"/>
  <c r="H314" i="3"/>
  <c r="F315" i="3"/>
  <c r="G315" i="3"/>
  <c r="H315" i="3"/>
  <c r="F316" i="3"/>
  <c r="G316" i="3"/>
  <c r="H316" i="3"/>
  <c r="F317" i="3"/>
  <c r="G317" i="3"/>
  <c r="H317" i="3"/>
  <c r="F318" i="3"/>
  <c r="G318" i="3"/>
  <c r="H318" i="3"/>
  <c r="F319" i="3"/>
  <c r="G319" i="3"/>
  <c r="H319" i="3"/>
  <c r="F320" i="3"/>
  <c r="G320" i="3"/>
  <c r="H320" i="3"/>
  <c r="F321" i="3"/>
  <c r="G321" i="3"/>
  <c r="H321" i="3"/>
  <c r="F322" i="3"/>
  <c r="G322" i="3"/>
  <c r="H322" i="3"/>
  <c r="F323" i="3"/>
  <c r="G323" i="3"/>
  <c r="H323" i="3"/>
  <c r="F324" i="3"/>
  <c r="G324" i="3"/>
  <c r="H324" i="3"/>
  <c r="F325" i="3"/>
  <c r="G325" i="3"/>
  <c r="H325" i="3"/>
  <c r="F326" i="3"/>
  <c r="G326" i="3"/>
  <c r="H326" i="3"/>
  <c r="F327" i="3"/>
  <c r="G327" i="3"/>
  <c r="H327" i="3"/>
  <c r="F328" i="3"/>
  <c r="G328" i="3"/>
  <c r="H328" i="3"/>
  <c r="F329" i="3"/>
  <c r="G329" i="3"/>
  <c r="H329" i="3"/>
  <c r="F330" i="3"/>
  <c r="G330" i="3"/>
  <c r="H330" i="3"/>
  <c r="F331" i="3"/>
  <c r="G331" i="3"/>
  <c r="H331" i="3"/>
  <c r="F332" i="3"/>
  <c r="G332" i="3"/>
  <c r="H332" i="3"/>
  <c r="F333" i="3"/>
  <c r="G333" i="3"/>
  <c r="H333" i="3"/>
  <c r="F334" i="3"/>
  <c r="G334" i="3"/>
  <c r="H334" i="3"/>
  <c r="F335" i="3"/>
  <c r="G335" i="3"/>
  <c r="H335" i="3"/>
  <c r="F336" i="3"/>
  <c r="G336" i="3"/>
  <c r="H336" i="3"/>
  <c r="F337" i="3"/>
  <c r="G337" i="3"/>
  <c r="H337" i="3"/>
  <c r="F338" i="3"/>
  <c r="G338" i="3"/>
  <c r="H338" i="3"/>
  <c r="F339" i="3"/>
  <c r="G339" i="3"/>
  <c r="H339" i="3"/>
  <c r="F340" i="3"/>
  <c r="G340" i="3"/>
  <c r="H340" i="3"/>
  <c r="F341" i="3"/>
  <c r="G341" i="3"/>
  <c r="H341" i="3"/>
  <c r="F342" i="3"/>
  <c r="G342" i="3"/>
  <c r="H342" i="3"/>
  <c r="F343" i="3"/>
  <c r="G343" i="3"/>
  <c r="H343" i="3"/>
  <c r="F344" i="3"/>
  <c r="G344" i="3"/>
  <c r="H344" i="3"/>
  <c r="F345" i="3"/>
  <c r="G345" i="3"/>
  <c r="H345" i="3"/>
  <c r="F346" i="3"/>
  <c r="G346" i="3"/>
  <c r="H346" i="3"/>
  <c r="F347" i="3"/>
  <c r="G347" i="3"/>
  <c r="H347" i="3"/>
  <c r="F348" i="3"/>
  <c r="G348" i="3"/>
  <c r="H348" i="3"/>
  <c r="F349" i="3"/>
  <c r="G349" i="3"/>
  <c r="H349" i="3"/>
  <c r="F350" i="3"/>
  <c r="G350" i="3"/>
  <c r="H350" i="3"/>
  <c r="F351" i="3"/>
  <c r="G351" i="3"/>
  <c r="H351" i="3"/>
  <c r="F352" i="3"/>
  <c r="G352" i="3"/>
  <c r="H352" i="3"/>
  <c r="F353" i="3"/>
  <c r="G353" i="3"/>
  <c r="H353" i="3"/>
  <c r="F354" i="3"/>
  <c r="G354" i="3"/>
  <c r="H354" i="3"/>
  <c r="F355" i="3"/>
  <c r="G355" i="3"/>
  <c r="H355" i="3"/>
  <c r="F356" i="3"/>
  <c r="G356" i="3"/>
  <c r="H356" i="3"/>
  <c r="F357" i="3"/>
  <c r="G357" i="3"/>
  <c r="H357" i="3"/>
  <c r="F358" i="3"/>
  <c r="G358" i="3"/>
  <c r="H358" i="3"/>
  <c r="F359" i="3"/>
  <c r="G359" i="3"/>
  <c r="H359" i="3"/>
  <c r="F360" i="3"/>
  <c r="G360" i="3"/>
  <c r="H360" i="3"/>
  <c r="F361" i="3"/>
  <c r="G361" i="3"/>
  <c r="H361" i="3"/>
  <c r="F362" i="3"/>
  <c r="G362" i="3"/>
  <c r="H362" i="3"/>
  <c r="F363" i="3"/>
  <c r="G363" i="3"/>
  <c r="H363" i="3"/>
  <c r="F364" i="3"/>
  <c r="G364" i="3"/>
  <c r="H364" i="3"/>
  <c r="F365" i="3"/>
  <c r="G365" i="3"/>
  <c r="H365" i="3"/>
  <c r="F366" i="3"/>
  <c r="G366" i="3"/>
  <c r="H366" i="3"/>
  <c r="F367" i="3"/>
  <c r="G367" i="3"/>
  <c r="H367" i="3"/>
  <c r="F368" i="3"/>
  <c r="G368" i="3"/>
  <c r="H368" i="3"/>
  <c r="F369" i="3"/>
  <c r="G369" i="3"/>
  <c r="H369" i="3"/>
  <c r="F370" i="3"/>
  <c r="G370" i="3"/>
  <c r="H370" i="3"/>
  <c r="F371" i="3"/>
  <c r="G371" i="3"/>
  <c r="H371" i="3"/>
  <c r="F372" i="3"/>
  <c r="G372" i="3"/>
  <c r="H372" i="3"/>
  <c r="F373" i="3"/>
  <c r="G373" i="3"/>
  <c r="H373" i="3"/>
  <c r="F374" i="3"/>
  <c r="G374" i="3"/>
  <c r="H374" i="3"/>
  <c r="F375" i="3"/>
  <c r="G375" i="3"/>
  <c r="H375" i="3"/>
  <c r="F376" i="3"/>
  <c r="G376" i="3"/>
  <c r="H376" i="3"/>
  <c r="F377" i="3"/>
  <c r="G377" i="3"/>
  <c r="H377" i="3"/>
  <c r="F378" i="3"/>
  <c r="G378" i="3"/>
  <c r="H378" i="3"/>
  <c r="F379" i="3"/>
  <c r="G379" i="3"/>
  <c r="H379" i="3"/>
  <c r="F380" i="3"/>
  <c r="G380" i="3"/>
  <c r="H380" i="3"/>
  <c r="H381" i="3"/>
  <c r="F382" i="3"/>
  <c r="G382" i="3"/>
  <c r="H382" i="3"/>
  <c r="F383" i="3"/>
  <c r="G383" i="3"/>
  <c r="H383" i="3"/>
  <c r="F384" i="3"/>
  <c r="G384" i="3"/>
  <c r="H384" i="3"/>
  <c r="F385" i="3"/>
  <c r="G385" i="3"/>
  <c r="H385" i="3"/>
  <c r="F386" i="3"/>
  <c r="G386" i="3"/>
  <c r="H386" i="3"/>
  <c r="F387" i="3"/>
  <c r="G387" i="3"/>
  <c r="H387" i="3"/>
  <c r="F388" i="3"/>
  <c r="G388" i="3"/>
  <c r="H388" i="3"/>
  <c r="F389" i="3"/>
  <c r="G389" i="3"/>
  <c r="H389" i="3"/>
  <c r="F390" i="3"/>
  <c r="G390" i="3"/>
  <c r="H390" i="3"/>
  <c r="F391" i="3"/>
  <c r="G391" i="3"/>
  <c r="H391" i="3"/>
  <c r="F392" i="3"/>
  <c r="G392" i="3"/>
  <c r="H392" i="3"/>
  <c r="F393" i="3"/>
  <c r="G393" i="3"/>
  <c r="H393" i="3"/>
  <c r="F394" i="3"/>
  <c r="G394" i="3"/>
  <c r="H394" i="3"/>
  <c r="F395" i="3"/>
  <c r="G395" i="3"/>
  <c r="H395" i="3"/>
  <c r="F396" i="3"/>
  <c r="G396" i="3"/>
  <c r="H396" i="3"/>
  <c r="F397" i="3"/>
  <c r="G397" i="3"/>
  <c r="H397" i="3"/>
  <c r="F398" i="3"/>
  <c r="G398" i="3"/>
  <c r="H398" i="3"/>
  <c r="F399" i="3"/>
  <c r="G399" i="3"/>
  <c r="H399" i="3"/>
  <c r="F400" i="3"/>
  <c r="G400" i="3"/>
  <c r="H400" i="3"/>
  <c r="F401" i="3"/>
  <c r="G401" i="3"/>
  <c r="H401" i="3"/>
  <c r="F402" i="3"/>
  <c r="G402" i="3"/>
  <c r="H402" i="3"/>
  <c r="F403" i="3"/>
  <c r="G403" i="3"/>
  <c r="H403" i="3"/>
  <c r="F404" i="3"/>
  <c r="G404" i="3"/>
  <c r="H404" i="3"/>
  <c r="F405" i="3"/>
  <c r="G405" i="3"/>
  <c r="H405" i="3"/>
  <c r="F406" i="3"/>
  <c r="G406" i="3"/>
  <c r="H406" i="3"/>
  <c r="F407" i="3"/>
  <c r="G407" i="3"/>
  <c r="H407" i="3"/>
  <c r="F408" i="3"/>
  <c r="G408" i="3"/>
  <c r="H408" i="3"/>
  <c r="F409" i="3"/>
  <c r="G409" i="3"/>
  <c r="H409" i="3"/>
  <c r="F410" i="3"/>
  <c r="G410" i="3"/>
  <c r="H410" i="3"/>
  <c r="F411" i="3"/>
  <c r="G411" i="3"/>
  <c r="H411" i="3"/>
  <c r="F412" i="3"/>
  <c r="G412" i="3"/>
  <c r="H412" i="3"/>
  <c r="F413" i="3"/>
  <c r="G413" i="3"/>
  <c r="H413" i="3"/>
  <c r="F414" i="3"/>
  <c r="G414" i="3"/>
  <c r="H414" i="3"/>
  <c r="F415" i="3"/>
  <c r="G415" i="3"/>
  <c r="H415" i="3"/>
  <c r="F416" i="3"/>
  <c r="G416" i="3"/>
  <c r="H416" i="3"/>
  <c r="F417" i="3"/>
  <c r="G417" i="3"/>
  <c r="H417" i="3"/>
  <c r="F418" i="3"/>
  <c r="G418" i="3"/>
  <c r="H418" i="3"/>
  <c r="F419" i="3"/>
  <c r="G419" i="3"/>
  <c r="H419" i="3"/>
  <c r="F420" i="3"/>
  <c r="G420" i="3"/>
  <c r="H420" i="3"/>
  <c r="F421" i="3"/>
  <c r="G421" i="3"/>
  <c r="H421" i="3"/>
  <c r="F422" i="3"/>
  <c r="G422" i="3"/>
  <c r="H422" i="3"/>
  <c r="F423" i="3"/>
  <c r="G423" i="3"/>
  <c r="H423" i="3"/>
  <c r="F424" i="3"/>
  <c r="G424" i="3"/>
  <c r="H424" i="3"/>
  <c r="F425" i="3"/>
  <c r="G425" i="3"/>
  <c r="H425" i="3"/>
  <c r="F426" i="3"/>
  <c r="G426" i="3"/>
  <c r="H426" i="3"/>
  <c r="F427" i="3"/>
  <c r="G427" i="3"/>
  <c r="H427" i="3"/>
  <c r="F428" i="3"/>
  <c r="G428" i="3"/>
  <c r="H428" i="3"/>
  <c r="F429" i="3"/>
  <c r="G429" i="3"/>
  <c r="H429" i="3"/>
  <c r="F430" i="3"/>
  <c r="G430" i="3"/>
  <c r="H430" i="3"/>
  <c r="F431" i="3"/>
  <c r="G431" i="3"/>
  <c r="H431" i="3"/>
  <c r="F432" i="3"/>
  <c r="G432" i="3"/>
  <c r="H432" i="3"/>
  <c r="F433" i="3"/>
  <c r="G433" i="3"/>
  <c r="H433" i="3"/>
  <c r="F434" i="3"/>
  <c r="G434" i="3"/>
  <c r="H434" i="3"/>
  <c r="F435" i="3"/>
  <c r="G435" i="3"/>
  <c r="H435" i="3"/>
  <c r="F436" i="3"/>
  <c r="G436" i="3"/>
  <c r="H436" i="3"/>
  <c r="F437" i="3"/>
  <c r="G437" i="3"/>
  <c r="H437" i="3"/>
  <c r="F438" i="3"/>
  <c r="G438" i="3"/>
  <c r="H438" i="3"/>
  <c r="F439" i="3"/>
  <c r="G439" i="3"/>
  <c r="H439" i="3"/>
  <c r="F440" i="3"/>
  <c r="G440" i="3"/>
  <c r="H440" i="3"/>
  <c r="F441" i="3"/>
  <c r="G441" i="3"/>
  <c r="H441" i="3"/>
  <c r="F442" i="3"/>
  <c r="G442" i="3"/>
  <c r="H442" i="3"/>
  <c r="F443" i="3"/>
  <c r="G443" i="3"/>
  <c r="H443" i="3"/>
  <c r="F444" i="3"/>
  <c r="G444" i="3"/>
  <c r="H444" i="3"/>
  <c r="F445" i="3"/>
  <c r="G445" i="3"/>
  <c r="H445" i="3"/>
  <c r="F446" i="3"/>
  <c r="G446" i="3"/>
  <c r="H446" i="3"/>
  <c r="F447" i="3"/>
  <c r="G447" i="3"/>
  <c r="H447" i="3"/>
  <c r="F448" i="3"/>
  <c r="G448" i="3"/>
  <c r="H448" i="3"/>
  <c r="F449" i="3"/>
  <c r="G449" i="3"/>
  <c r="H449" i="3"/>
  <c r="F450" i="3"/>
  <c r="G450" i="3"/>
  <c r="H450" i="3"/>
  <c r="F451" i="3"/>
  <c r="G451" i="3"/>
  <c r="H451" i="3"/>
  <c r="F452" i="3"/>
  <c r="G452" i="3"/>
  <c r="H452" i="3"/>
  <c r="F453" i="3"/>
  <c r="G453" i="3"/>
  <c r="H453" i="3"/>
  <c r="F454" i="3"/>
  <c r="G454" i="3"/>
  <c r="H454" i="3"/>
  <c r="F455" i="3"/>
  <c r="G455" i="3"/>
  <c r="H455" i="3"/>
  <c r="F456" i="3"/>
  <c r="G456" i="3"/>
  <c r="H456" i="3"/>
  <c r="F457" i="3"/>
  <c r="G457" i="3"/>
  <c r="H457" i="3"/>
  <c r="F458" i="3"/>
  <c r="G458" i="3"/>
  <c r="H458" i="3"/>
  <c r="F459" i="3"/>
  <c r="G459" i="3"/>
  <c r="H459" i="3"/>
  <c r="F460" i="3"/>
  <c r="G460" i="3"/>
  <c r="H460" i="3"/>
  <c r="F461" i="3"/>
  <c r="G461" i="3"/>
  <c r="H461" i="3"/>
  <c r="F462" i="3"/>
  <c r="G462" i="3"/>
  <c r="H462" i="3"/>
  <c r="F463" i="3"/>
  <c r="G463" i="3"/>
  <c r="H463" i="3"/>
  <c r="F464" i="3"/>
  <c r="G464" i="3"/>
  <c r="H464" i="3"/>
  <c r="F465" i="3"/>
  <c r="G465" i="3"/>
  <c r="H465" i="3"/>
  <c r="F466" i="3"/>
  <c r="G466" i="3"/>
  <c r="H466" i="3"/>
  <c r="F467" i="3"/>
  <c r="G467" i="3"/>
  <c r="H467" i="3"/>
  <c r="F468" i="3"/>
  <c r="G468" i="3"/>
  <c r="H468" i="3"/>
  <c r="F469" i="3"/>
  <c r="G469" i="3"/>
  <c r="H469" i="3"/>
  <c r="F470" i="3"/>
  <c r="G470" i="3"/>
  <c r="H470" i="3"/>
  <c r="F471" i="3"/>
  <c r="G471" i="3"/>
  <c r="H471" i="3"/>
  <c r="F472" i="3"/>
  <c r="G472" i="3"/>
  <c r="H472" i="3"/>
  <c r="F473" i="3"/>
  <c r="G473" i="3"/>
  <c r="H473" i="3"/>
  <c r="F474" i="3"/>
  <c r="G474" i="3"/>
  <c r="H474" i="3"/>
  <c r="F475" i="3"/>
  <c r="G475" i="3"/>
  <c r="H475" i="3"/>
  <c r="F476" i="3"/>
  <c r="G476" i="3"/>
  <c r="H476" i="3"/>
  <c r="F477" i="3"/>
  <c r="G477" i="3"/>
  <c r="H477" i="3"/>
  <c r="F478" i="3"/>
  <c r="G478" i="3"/>
  <c r="H478" i="3"/>
  <c r="F479" i="3"/>
  <c r="G479" i="3"/>
  <c r="H479" i="3"/>
  <c r="F480" i="3"/>
  <c r="G480" i="3"/>
  <c r="H480" i="3"/>
  <c r="F481" i="3"/>
  <c r="G481" i="3"/>
  <c r="H481" i="3"/>
  <c r="F482" i="3"/>
  <c r="G482" i="3"/>
  <c r="H482" i="3"/>
  <c r="F483" i="3"/>
  <c r="G483" i="3"/>
  <c r="H483" i="3"/>
  <c r="F484" i="3"/>
  <c r="G484" i="3"/>
  <c r="H484" i="3"/>
  <c r="F485" i="3"/>
  <c r="G485" i="3"/>
  <c r="H485" i="3"/>
  <c r="F486" i="3"/>
  <c r="G486" i="3"/>
  <c r="H486" i="3"/>
  <c r="F487" i="3"/>
  <c r="G487" i="3"/>
  <c r="H487" i="3"/>
  <c r="F488" i="3"/>
  <c r="G488" i="3"/>
  <c r="H488" i="3"/>
  <c r="F489" i="3"/>
  <c r="G489" i="3"/>
  <c r="H489" i="3"/>
  <c r="F490" i="3"/>
  <c r="G490" i="3"/>
  <c r="H490" i="3"/>
  <c r="F491" i="3"/>
  <c r="G491" i="3"/>
  <c r="H491" i="3"/>
  <c r="F492" i="3"/>
  <c r="G492" i="3"/>
  <c r="H492" i="3"/>
  <c r="F493" i="3"/>
  <c r="G493" i="3"/>
  <c r="H493" i="3"/>
  <c r="F494" i="3"/>
  <c r="G494" i="3"/>
  <c r="H494" i="3"/>
  <c r="F495" i="3"/>
  <c r="G495" i="3"/>
  <c r="H495" i="3"/>
  <c r="F496" i="3"/>
  <c r="G496" i="3"/>
  <c r="H496" i="3"/>
  <c r="F497" i="3"/>
  <c r="G497" i="3"/>
  <c r="H497" i="3"/>
  <c r="F498" i="3"/>
  <c r="G498" i="3"/>
  <c r="H498" i="3"/>
  <c r="F499" i="3"/>
  <c r="G499" i="3"/>
  <c r="H499" i="3"/>
  <c r="F500" i="3"/>
  <c r="G500" i="3"/>
  <c r="H500" i="3"/>
  <c r="F501" i="3"/>
  <c r="G501" i="3"/>
  <c r="H501" i="3"/>
  <c r="F502" i="3"/>
  <c r="G502" i="3"/>
  <c r="H502" i="3"/>
  <c r="F503" i="3"/>
  <c r="G503" i="3"/>
  <c r="H503" i="3"/>
  <c r="F504" i="3"/>
  <c r="G504" i="3"/>
  <c r="H504" i="3"/>
  <c r="F505" i="3"/>
  <c r="G505" i="3"/>
  <c r="H505" i="3"/>
  <c r="F506" i="3"/>
  <c r="G506" i="3"/>
  <c r="H506" i="3"/>
  <c r="F507" i="3"/>
  <c r="G507" i="3"/>
  <c r="H507" i="3"/>
  <c r="F508" i="3"/>
  <c r="G508" i="3"/>
  <c r="H508" i="3"/>
  <c r="F509" i="3"/>
  <c r="G509" i="3"/>
  <c r="H509" i="3"/>
  <c r="F510" i="3"/>
  <c r="G510" i="3"/>
  <c r="H510" i="3"/>
  <c r="F511" i="3"/>
  <c r="G511" i="3"/>
  <c r="H511" i="3"/>
  <c r="F512" i="3"/>
  <c r="G512" i="3"/>
  <c r="H512" i="3"/>
  <c r="F513" i="3"/>
  <c r="G513" i="3"/>
  <c r="H513" i="3"/>
  <c r="F514" i="3"/>
  <c r="G514" i="3"/>
  <c r="H514" i="3"/>
  <c r="F515" i="3"/>
  <c r="G515" i="3"/>
  <c r="H515" i="3"/>
  <c r="F516" i="3"/>
  <c r="G516" i="3"/>
  <c r="H516" i="3"/>
  <c r="F517" i="3"/>
  <c r="G517" i="3"/>
  <c r="H517" i="3"/>
  <c r="F518" i="3"/>
  <c r="G518" i="3"/>
  <c r="H518" i="3"/>
  <c r="F519" i="3"/>
  <c r="G519" i="3"/>
  <c r="H519" i="3"/>
  <c r="F520" i="3"/>
  <c r="G520" i="3"/>
  <c r="H520" i="3"/>
  <c r="F521" i="3"/>
  <c r="G521" i="3"/>
  <c r="H521" i="3"/>
  <c r="F522" i="3"/>
  <c r="G522" i="3"/>
  <c r="H522" i="3"/>
  <c r="F523" i="3"/>
  <c r="G523" i="3"/>
  <c r="H523" i="3"/>
  <c r="F524" i="3"/>
  <c r="G524" i="3"/>
  <c r="H524" i="3"/>
  <c r="F525" i="3"/>
  <c r="G525" i="3"/>
  <c r="H525" i="3"/>
  <c r="F526" i="3"/>
  <c r="G526" i="3"/>
  <c r="H526" i="3"/>
  <c r="F527" i="3"/>
  <c r="G527" i="3"/>
  <c r="H527" i="3"/>
  <c r="F528" i="3"/>
  <c r="G528" i="3"/>
  <c r="H528" i="3"/>
  <c r="F529" i="3"/>
  <c r="G529" i="3"/>
  <c r="H529" i="3"/>
  <c r="F530" i="3"/>
  <c r="G530" i="3"/>
  <c r="H530" i="3"/>
  <c r="F531" i="3"/>
  <c r="G531" i="3"/>
  <c r="H531" i="3"/>
  <c r="F532" i="3"/>
  <c r="G532" i="3"/>
  <c r="H532" i="3"/>
  <c r="F533" i="3"/>
  <c r="G533" i="3"/>
  <c r="H533" i="3"/>
  <c r="F534" i="3"/>
  <c r="G534" i="3"/>
  <c r="H534" i="3"/>
  <c r="F535" i="3"/>
  <c r="G535" i="3"/>
  <c r="H535" i="3"/>
  <c r="F536" i="3"/>
  <c r="G536" i="3"/>
  <c r="H536" i="3"/>
  <c r="F537" i="3"/>
  <c r="G537" i="3"/>
  <c r="H537" i="3"/>
  <c r="F538" i="3"/>
  <c r="G538" i="3"/>
  <c r="H538" i="3"/>
  <c r="F539" i="3"/>
  <c r="G539" i="3"/>
  <c r="H539" i="3"/>
  <c r="F540" i="3"/>
  <c r="G540" i="3"/>
  <c r="H540" i="3"/>
  <c r="F541" i="3"/>
  <c r="G541" i="3"/>
  <c r="H541" i="3"/>
  <c r="F542" i="3"/>
  <c r="G542" i="3"/>
  <c r="H542" i="3"/>
  <c r="F543" i="3"/>
  <c r="G543" i="3"/>
  <c r="H543" i="3"/>
  <c r="F544" i="3"/>
  <c r="G544" i="3"/>
  <c r="H544" i="3"/>
  <c r="F545" i="3"/>
  <c r="G545" i="3"/>
  <c r="H545" i="3"/>
  <c r="F546" i="3"/>
  <c r="G546" i="3"/>
  <c r="H546" i="3"/>
  <c r="F547" i="3"/>
  <c r="G547" i="3"/>
  <c r="H547" i="3"/>
  <c r="F548" i="3"/>
  <c r="G548" i="3"/>
  <c r="H548" i="3"/>
  <c r="F549" i="3"/>
  <c r="G549" i="3"/>
  <c r="H549" i="3"/>
  <c r="F550" i="3"/>
  <c r="G550" i="3"/>
  <c r="H550" i="3"/>
  <c r="F551" i="3"/>
  <c r="G551" i="3"/>
  <c r="H551" i="3"/>
  <c r="F552" i="3"/>
  <c r="G552" i="3"/>
  <c r="H552" i="3"/>
  <c r="F553" i="3"/>
  <c r="G553" i="3"/>
  <c r="H553" i="3"/>
  <c r="F554" i="3"/>
  <c r="G554" i="3"/>
  <c r="H554" i="3"/>
  <c r="F555" i="3"/>
  <c r="G555" i="3"/>
  <c r="H555" i="3"/>
  <c r="F556" i="3"/>
  <c r="G556" i="3"/>
  <c r="H556" i="3"/>
  <c r="F557" i="3"/>
  <c r="G557" i="3"/>
  <c r="H557" i="3"/>
  <c r="F558" i="3"/>
  <c r="G558" i="3"/>
  <c r="H558" i="3"/>
  <c r="F559" i="3"/>
  <c r="G559" i="3"/>
  <c r="H559" i="3"/>
  <c r="F560" i="3"/>
  <c r="G560" i="3"/>
  <c r="H560" i="3"/>
  <c r="F561" i="3"/>
  <c r="G561" i="3"/>
  <c r="H561" i="3"/>
  <c r="F562" i="3"/>
  <c r="G562" i="3"/>
  <c r="H562" i="3"/>
  <c r="F563" i="3"/>
  <c r="G563" i="3"/>
  <c r="H563" i="3"/>
  <c r="F564" i="3"/>
  <c r="G564" i="3"/>
  <c r="H564" i="3"/>
  <c r="F565" i="3"/>
  <c r="G565" i="3"/>
  <c r="H565" i="3"/>
  <c r="F566" i="3"/>
  <c r="G566" i="3"/>
  <c r="H566" i="3"/>
  <c r="F567" i="3"/>
  <c r="G567" i="3"/>
  <c r="H567" i="3"/>
  <c r="F568" i="3"/>
  <c r="G568" i="3"/>
  <c r="H568" i="3"/>
  <c r="F569" i="3"/>
  <c r="G569" i="3"/>
  <c r="H569" i="3"/>
  <c r="F570" i="3"/>
  <c r="G570" i="3"/>
  <c r="H570" i="3"/>
  <c r="F571" i="3"/>
  <c r="G571" i="3"/>
  <c r="H571" i="3"/>
  <c r="F572" i="3"/>
  <c r="G572" i="3"/>
  <c r="H572" i="3"/>
  <c r="F573" i="3"/>
  <c r="G573" i="3"/>
  <c r="H573" i="3"/>
  <c r="F574" i="3"/>
  <c r="G574" i="3"/>
  <c r="H574" i="3"/>
  <c r="F575" i="3"/>
  <c r="G575" i="3"/>
  <c r="H575" i="3"/>
  <c r="F576" i="3"/>
  <c r="G576" i="3"/>
  <c r="H576" i="3"/>
  <c r="F577" i="3"/>
  <c r="G577" i="3"/>
  <c r="H577" i="3"/>
  <c r="F578" i="3"/>
  <c r="G578" i="3"/>
  <c r="H578" i="3"/>
  <c r="F579" i="3"/>
  <c r="G579" i="3"/>
  <c r="H579" i="3"/>
  <c r="F580" i="3"/>
  <c r="G580" i="3"/>
  <c r="H580" i="3"/>
  <c r="F581" i="3"/>
  <c r="G581" i="3"/>
  <c r="H581" i="3"/>
  <c r="F582" i="3"/>
  <c r="G582" i="3"/>
  <c r="H582" i="3"/>
  <c r="F583" i="3"/>
  <c r="G583" i="3"/>
  <c r="H583" i="3"/>
  <c r="F584" i="3"/>
  <c r="G584" i="3"/>
  <c r="H584" i="3"/>
  <c r="F585" i="3"/>
  <c r="G585" i="3"/>
  <c r="H585" i="3"/>
  <c r="F586" i="3"/>
  <c r="G586" i="3"/>
  <c r="H586" i="3"/>
  <c r="F587" i="3"/>
  <c r="G587" i="3"/>
  <c r="H587" i="3"/>
  <c r="F588" i="3"/>
  <c r="G588" i="3"/>
  <c r="H588" i="3"/>
  <c r="F589" i="3"/>
  <c r="G589" i="3"/>
  <c r="H589" i="3"/>
  <c r="F590" i="3"/>
  <c r="G590" i="3"/>
  <c r="H590" i="3"/>
  <c r="F591" i="3"/>
  <c r="G591" i="3"/>
  <c r="H591" i="3"/>
  <c r="F592" i="3"/>
  <c r="G592" i="3"/>
  <c r="H592" i="3"/>
  <c r="F593" i="3"/>
  <c r="G593" i="3"/>
  <c r="H593" i="3"/>
  <c r="F594" i="3"/>
  <c r="G594" i="3"/>
  <c r="H594" i="3"/>
  <c r="F595" i="3"/>
  <c r="G595" i="3"/>
  <c r="H595" i="3"/>
  <c r="F596" i="3"/>
  <c r="G596" i="3"/>
  <c r="H596" i="3"/>
  <c r="F597" i="3"/>
  <c r="G597" i="3"/>
  <c r="H597" i="3"/>
  <c r="F598" i="3"/>
  <c r="G598" i="3"/>
  <c r="H598" i="3"/>
  <c r="F599" i="3"/>
  <c r="G599" i="3"/>
  <c r="H599" i="3"/>
  <c r="F600" i="3"/>
  <c r="G600" i="3"/>
  <c r="H600" i="3"/>
  <c r="F601" i="3"/>
  <c r="G601" i="3"/>
  <c r="H601" i="3"/>
  <c r="F602" i="3"/>
  <c r="G602" i="3"/>
  <c r="H602" i="3"/>
  <c r="F603" i="3"/>
  <c r="G603" i="3"/>
  <c r="H603" i="3"/>
  <c r="F604" i="3"/>
  <c r="G604" i="3"/>
  <c r="H604" i="3"/>
  <c r="F605" i="3"/>
  <c r="G605" i="3"/>
  <c r="H605" i="3"/>
  <c r="F606" i="3"/>
  <c r="G606" i="3"/>
  <c r="H606" i="3"/>
  <c r="F607" i="3"/>
  <c r="G607" i="3"/>
  <c r="H607" i="3"/>
  <c r="F608" i="3"/>
  <c r="G608" i="3"/>
  <c r="H608" i="3"/>
  <c r="F609" i="3"/>
  <c r="G609" i="3"/>
  <c r="H609" i="3"/>
  <c r="F610" i="3"/>
  <c r="G610" i="3"/>
  <c r="H610" i="3"/>
  <c r="F611" i="3"/>
  <c r="G611" i="3"/>
  <c r="H611" i="3"/>
  <c r="H612" i="3"/>
  <c r="I612" i="3"/>
  <c r="J612" i="3"/>
  <c r="K612" i="3"/>
  <c r="L612" i="3"/>
  <c r="J379" i="3"/>
  <c r="I22" i="3"/>
  <c r="T22" i="3"/>
  <c r="U22" i="3"/>
  <c r="J23" i="3"/>
  <c r="I23" i="3"/>
  <c r="T23" i="3"/>
  <c r="U23" i="3"/>
  <c r="J24" i="3"/>
  <c r="I24" i="3"/>
  <c r="T24" i="3"/>
  <c r="U24" i="3"/>
  <c r="J25" i="3"/>
  <c r="I25" i="3"/>
  <c r="T25" i="3"/>
  <c r="U25" i="3"/>
  <c r="J26" i="3"/>
  <c r="I26" i="3"/>
  <c r="T26" i="3"/>
  <c r="U26" i="3"/>
  <c r="J27" i="3"/>
  <c r="I27" i="3"/>
  <c r="T27" i="3"/>
  <c r="U27" i="3"/>
  <c r="J28" i="3"/>
  <c r="I28" i="3"/>
  <c r="T28" i="3"/>
  <c r="U28" i="3"/>
  <c r="J29" i="3"/>
  <c r="I29" i="3"/>
  <c r="T29" i="3"/>
  <c r="U29" i="3"/>
  <c r="J30" i="3"/>
  <c r="I30" i="3"/>
  <c r="T30" i="3"/>
  <c r="U30" i="3"/>
  <c r="J31" i="3"/>
  <c r="I31" i="3"/>
  <c r="T31" i="3"/>
  <c r="U31" i="3"/>
  <c r="J32" i="3"/>
  <c r="I32" i="3"/>
  <c r="T32" i="3"/>
  <c r="U32" i="3"/>
  <c r="J33" i="3"/>
  <c r="I33" i="3"/>
  <c r="T33" i="3"/>
  <c r="U33" i="3"/>
  <c r="J34" i="3"/>
  <c r="I34" i="3"/>
  <c r="T34" i="3"/>
  <c r="U34" i="3"/>
  <c r="J35" i="3"/>
  <c r="I35" i="3"/>
  <c r="T35" i="3"/>
  <c r="U35" i="3"/>
  <c r="J36" i="3"/>
  <c r="I36" i="3"/>
  <c r="T36" i="3"/>
  <c r="U36" i="3"/>
  <c r="J37" i="3"/>
  <c r="I37" i="3"/>
  <c r="T37" i="3"/>
  <c r="U37" i="3"/>
  <c r="J38" i="3"/>
  <c r="I38" i="3"/>
  <c r="T38" i="3"/>
  <c r="U38" i="3"/>
  <c r="J39" i="3"/>
  <c r="I39" i="3"/>
  <c r="T39" i="3"/>
  <c r="U39" i="3"/>
  <c r="J40" i="3"/>
  <c r="I40" i="3"/>
  <c r="T40" i="3"/>
  <c r="U40" i="3"/>
  <c r="J41" i="3"/>
  <c r="I41" i="3"/>
  <c r="T41" i="3"/>
  <c r="U41" i="3"/>
  <c r="J42" i="3"/>
  <c r="I42" i="3"/>
  <c r="T42" i="3"/>
  <c r="U42" i="3"/>
  <c r="J43" i="3"/>
  <c r="I43" i="3"/>
  <c r="T43" i="3"/>
  <c r="U43" i="3"/>
  <c r="J44" i="3"/>
  <c r="I44" i="3"/>
  <c r="T44" i="3"/>
  <c r="U44" i="3"/>
  <c r="J45" i="3"/>
  <c r="I45" i="3"/>
  <c r="T45" i="3"/>
  <c r="U45" i="3"/>
  <c r="J46" i="3"/>
  <c r="I46" i="3"/>
  <c r="T46" i="3"/>
  <c r="U46" i="3"/>
  <c r="J47" i="3"/>
  <c r="I47" i="3"/>
  <c r="T47" i="3"/>
  <c r="U47" i="3"/>
  <c r="J48" i="3"/>
  <c r="I48" i="3"/>
  <c r="T48" i="3"/>
  <c r="U48" i="3"/>
  <c r="J49" i="3"/>
  <c r="I49" i="3"/>
  <c r="T49" i="3"/>
  <c r="U49" i="3"/>
  <c r="J50" i="3"/>
  <c r="I50" i="3"/>
  <c r="T50" i="3"/>
  <c r="U50" i="3"/>
  <c r="J51" i="3"/>
  <c r="I51" i="3"/>
  <c r="T51" i="3"/>
  <c r="U51" i="3"/>
  <c r="J52" i="3"/>
  <c r="I52" i="3"/>
  <c r="T52" i="3"/>
  <c r="U52" i="3"/>
  <c r="J53" i="3"/>
  <c r="I53" i="3"/>
  <c r="T53" i="3"/>
  <c r="U53" i="3"/>
  <c r="J54" i="3"/>
  <c r="I54" i="3"/>
  <c r="T54" i="3"/>
  <c r="U54" i="3"/>
  <c r="J55" i="3"/>
  <c r="I55" i="3"/>
  <c r="T55" i="3"/>
  <c r="U55" i="3"/>
  <c r="J56" i="3"/>
  <c r="I56" i="3"/>
  <c r="T56" i="3"/>
  <c r="U56" i="3"/>
  <c r="J57" i="3"/>
  <c r="I57" i="3"/>
  <c r="T57" i="3"/>
  <c r="U57" i="3"/>
  <c r="J58" i="3"/>
  <c r="I58" i="3"/>
  <c r="T58" i="3"/>
  <c r="U58" i="3"/>
  <c r="J59" i="3"/>
  <c r="I59" i="3"/>
  <c r="T59" i="3"/>
  <c r="U59" i="3"/>
  <c r="J60" i="3"/>
  <c r="I60" i="3"/>
  <c r="T60" i="3"/>
  <c r="U60" i="3"/>
  <c r="J61" i="3"/>
  <c r="I61" i="3"/>
  <c r="T61" i="3"/>
  <c r="U61" i="3"/>
  <c r="J62" i="3"/>
  <c r="I62" i="3"/>
  <c r="T62" i="3"/>
  <c r="U62" i="3"/>
  <c r="J63" i="3"/>
  <c r="I63" i="3"/>
  <c r="T63" i="3"/>
  <c r="U63" i="3"/>
  <c r="J64" i="3"/>
  <c r="I64" i="3"/>
  <c r="T64" i="3"/>
  <c r="U64" i="3"/>
  <c r="J65" i="3"/>
  <c r="I65" i="3"/>
  <c r="T65" i="3"/>
  <c r="U65" i="3"/>
  <c r="J66" i="3"/>
  <c r="I66" i="3"/>
  <c r="T66" i="3"/>
  <c r="U66" i="3"/>
  <c r="J67" i="3"/>
  <c r="I67" i="3"/>
  <c r="T67" i="3"/>
  <c r="U67" i="3"/>
  <c r="J68" i="3"/>
  <c r="I68" i="3"/>
  <c r="T68" i="3"/>
  <c r="U68" i="3"/>
  <c r="J69" i="3"/>
  <c r="I69" i="3"/>
  <c r="T69" i="3"/>
  <c r="U69" i="3"/>
  <c r="J70" i="3"/>
  <c r="I70" i="3"/>
  <c r="T70" i="3"/>
  <c r="U70" i="3"/>
  <c r="J71" i="3"/>
  <c r="I71" i="3"/>
  <c r="T71" i="3"/>
  <c r="U71" i="3"/>
  <c r="J72" i="3"/>
  <c r="I72" i="3"/>
  <c r="T72" i="3"/>
  <c r="U72" i="3"/>
  <c r="J73" i="3"/>
  <c r="I73" i="3"/>
  <c r="T73" i="3"/>
  <c r="U73" i="3"/>
  <c r="J74" i="3"/>
  <c r="I74" i="3"/>
  <c r="T74" i="3"/>
  <c r="U74" i="3"/>
  <c r="J75" i="3"/>
  <c r="I75" i="3"/>
  <c r="T75" i="3"/>
  <c r="U75" i="3"/>
  <c r="J76" i="3"/>
  <c r="I76" i="3"/>
  <c r="T76" i="3"/>
  <c r="U76" i="3"/>
  <c r="J77" i="3"/>
  <c r="I77" i="3"/>
  <c r="T77" i="3"/>
  <c r="U77" i="3"/>
  <c r="J78" i="3"/>
  <c r="I78" i="3"/>
  <c r="T78" i="3"/>
  <c r="U78" i="3"/>
  <c r="J79" i="3"/>
  <c r="I79" i="3"/>
  <c r="T79" i="3"/>
  <c r="U79" i="3"/>
  <c r="J80" i="3"/>
  <c r="I80" i="3"/>
  <c r="T80" i="3"/>
  <c r="U80" i="3"/>
  <c r="J81" i="3"/>
  <c r="I81" i="3"/>
  <c r="T81" i="3"/>
  <c r="U81" i="3"/>
  <c r="J82" i="3"/>
  <c r="I82" i="3"/>
  <c r="T82" i="3"/>
  <c r="U82" i="3"/>
  <c r="J83" i="3"/>
  <c r="I83" i="3"/>
  <c r="T83" i="3"/>
  <c r="U83" i="3"/>
  <c r="J84" i="3"/>
  <c r="I84" i="3"/>
  <c r="T84" i="3"/>
  <c r="U84" i="3"/>
  <c r="J85" i="3"/>
  <c r="I85" i="3"/>
  <c r="T85" i="3"/>
  <c r="U85" i="3"/>
  <c r="J86" i="3"/>
  <c r="I86" i="3"/>
  <c r="T86" i="3"/>
  <c r="U86" i="3"/>
  <c r="J87" i="3"/>
  <c r="I87" i="3"/>
  <c r="T87" i="3"/>
  <c r="U87" i="3"/>
  <c r="J88" i="3"/>
  <c r="I88" i="3"/>
  <c r="T88" i="3"/>
  <c r="U88" i="3"/>
  <c r="J89" i="3"/>
  <c r="I89" i="3"/>
  <c r="T89" i="3"/>
  <c r="U89" i="3"/>
  <c r="J90" i="3"/>
  <c r="I90" i="3"/>
  <c r="T90" i="3"/>
  <c r="U90" i="3"/>
  <c r="J91" i="3"/>
  <c r="I91" i="3"/>
  <c r="T91" i="3"/>
  <c r="U91" i="3"/>
  <c r="J92" i="3"/>
  <c r="I92" i="3"/>
  <c r="T92" i="3"/>
  <c r="U92" i="3"/>
  <c r="J93" i="3"/>
  <c r="I93" i="3"/>
  <c r="T93" i="3"/>
  <c r="U93" i="3"/>
  <c r="J94" i="3"/>
  <c r="I94" i="3"/>
  <c r="T94" i="3"/>
  <c r="U94" i="3"/>
  <c r="J95" i="3"/>
  <c r="I95" i="3"/>
  <c r="T95" i="3"/>
  <c r="U95" i="3"/>
  <c r="J96" i="3"/>
  <c r="I96" i="3"/>
  <c r="T96" i="3"/>
  <c r="U96" i="3"/>
  <c r="J97" i="3"/>
  <c r="I97" i="3"/>
  <c r="T97" i="3"/>
  <c r="U97" i="3"/>
  <c r="J98" i="3"/>
  <c r="I98" i="3"/>
  <c r="T98" i="3"/>
  <c r="U98" i="3"/>
  <c r="J99" i="3"/>
  <c r="I99" i="3"/>
  <c r="T99" i="3"/>
  <c r="U99" i="3"/>
  <c r="J100" i="3"/>
  <c r="I100" i="3"/>
  <c r="T100" i="3"/>
  <c r="U100" i="3"/>
  <c r="J101" i="3"/>
  <c r="I101" i="3"/>
  <c r="T101" i="3"/>
  <c r="U101" i="3"/>
  <c r="J102" i="3"/>
  <c r="I102" i="3"/>
  <c r="T102" i="3"/>
  <c r="U102" i="3"/>
  <c r="J103" i="3"/>
  <c r="I103" i="3"/>
  <c r="T103" i="3"/>
  <c r="U103" i="3"/>
  <c r="J104" i="3"/>
  <c r="I104" i="3"/>
  <c r="T104" i="3"/>
  <c r="U104" i="3"/>
  <c r="J105" i="3"/>
  <c r="I105" i="3"/>
  <c r="T105" i="3"/>
  <c r="U105" i="3"/>
  <c r="J106" i="3"/>
  <c r="I106" i="3"/>
  <c r="T106" i="3"/>
  <c r="U106" i="3"/>
  <c r="J107" i="3"/>
  <c r="I107" i="3"/>
  <c r="T107" i="3"/>
  <c r="U107" i="3"/>
  <c r="J108" i="3"/>
  <c r="I108" i="3"/>
  <c r="T108" i="3"/>
  <c r="U108" i="3"/>
  <c r="J109" i="3"/>
  <c r="I109" i="3"/>
  <c r="T109" i="3"/>
  <c r="U109" i="3"/>
  <c r="J110" i="3"/>
  <c r="I110" i="3"/>
  <c r="T110" i="3"/>
  <c r="U110" i="3"/>
  <c r="J111" i="3"/>
  <c r="I111" i="3"/>
  <c r="T111" i="3"/>
  <c r="U111" i="3"/>
  <c r="J112" i="3"/>
  <c r="I112" i="3"/>
  <c r="T112" i="3"/>
  <c r="U112" i="3"/>
  <c r="J113" i="3"/>
  <c r="I113" i="3"/>
  <c r="T113" i="3"/>
  <c r="U113" i="3"/>
  <c r="J114" i="3"/>
  <c r="I114" i="3"/>
  <c r="T114" i="3"/>
  <c r="U114" i="3"/>
  <c r="J115" i="3"/>
  <c r="I115" i="3"/>
  <c r="T115" i="3"/>
  <c r="U115" i="3"/>
  <c r="J116" i="3"/>
  <c r="I116" i="3"/>
  <c r="T116" i="3"/>
  <c r="U116" i="3"/>
  <c r="J117" i="3"/>
  <c r="I117" i="3"/>
  <c r="T117" i="3"/>
  <c r="U117" i="3"/>
  <c r="J118" i="3"/>
  <c r="I118" i="3"/>
  <c r="T118" i="3"/>
  <c r="U118" i="3"/>
  <c r="J119" i="3"/>
  <c r="I119" i="3"/>
  <c r="T119" i="3"/>
  <c r="U119" i="3"/>
  <c r="J120" i="3"/>
  <c r="I120" i="3"/>
  <c r="T120" i="3"/>
  <c r="U120" i="3"/>
  <c r="J121" i="3"/>
  <c r="I121" i="3"/>
  <c r="T121" i="3"/>
  <c r="U121" i="3"/>
  <c r="J122" i="3"/>
  <c r="I122" i="3"/>
  <c r="T122" i="3"/>
  <c r="U122" i="3"/>
  <c r="J123" i="3"/>
  <c r="I123" i="3"/>
  <c r="T123" i="3"/>
  <c r="U123" i="3"/>
  <c r="J124" i="3"/>
  <c r="I124" i="3"/>
  <c r="T124" i="3"/>
  <c r="U124" i="3"/>
  <c r="J125" i="3"/>
  <c r="I125" i="3"/>
  <c r="T125" i="3"/>
  <c r="U125" i="3"/>
  <c r="J126" i="3"/>
  <c r="I126" i="3"/>
  <c r="T126" i="3"/>
  <c r="U126" i="3"/>
  <c r="J127" i="3"/>
  <c r="I127" i="3"/>
  <c r="T127" i="3"/>
  <c r="U127" i="3"/>
  <c r="J128" i="3"/>
  <c r="I128" i="3"/>
  <c r="T128" i="3"/>
  <c r="U128" i="3"/>
  <c r="J129" i="3"/>
  <c r="I129" i="3"/>
  <c r="T129" i="3"/>
  <c r="U129" i="3"/>
  <c r="J130" i="3"/>
  <c r="I130" i="3"/>
  <c r="T130" i="3"/>
  <c r="U130" i="3"/>
  <c r="J131" i="3"/>
  <c r="I131" i="3"/>
  <c r="T131" i="3"/>
  <c r="U131" i="3"/>
  <c r="J132" i="3"/>
  <c r="I132" i="3"/>
  <c r="T132" i="3"/>
  <c r="U132" i="3"/>
  <c r="J133" i="3"/>
  <c r="I133" i="3"/>
  <c r="T133" i="3"/>
  <c r="U133" i="3"/>
  <c r="J134" i="3"/>
  <c r="I134" i="3"/>
  <c r="T134" i="3"/>
  <c r="U134" i="3"/>
  <c r="J135" i="3"/>
  <c r="I135" i="3"/>
  <c r="T135" i="3"/>
  <c r="U135" i="3"/>
  <c r="J136" i="3"/>
  <c r="I136" i="3"/>
  <c r="T136" i="3"/>
  <c r="U136" i="3"/>
  <c r="J137" i="3"/>
  <c r="I137" i="3"/>
  <c r="T137" i="3"/>
  <c r="U137" i="3"/>
  <c r="J138" i="3"/>
  <c r="I138" i="3"/>
  <c r="T138" i="3"/>
  <c r="U138" i="3"/>
  <c r="J139" i="3"/>
  <c r="I139" i="3"/>
  <c r="T139" i="3"/>
  <c r="U139" i="3"/>
  <c r="J140" i="3"/>
  <c r="I140" i="3"/>
  <c r="T140" i="3"/>
  <c r="U140" i="3"/>
  <c r="J141" i="3"/>
  <c r="I141" i="3"/>
  <c r="T141" i="3"/>
  <c r="U141" i="3"/>
  <c r="J142" i="3"/>
  <c r="I142" i="3"/>
  <c r="T142" i="3"/>
  <c r="U142" i="3"/>
  <c r="J143" i="3"/>
  <c r="I143" i="3"/>
  <c r="T143" i="3"/>
  <c r="U143" i="3"/>
  <c r="J144" i="3"/>
  <c r="I144" i="3"/>
  <c r="T144" i="3"/>
  <c r="U144" i="3"/>
  <c r="J145" i="3"/>
  <c r="I145" i="3"/>
  <c r="T145" i="3"/>
  <c r="U145" i="3"/>
  <c r="J146" i="3"/>
  <c r="I146" i="3"/>
  <c r="T146" i="3"/>
  <c r="U146" i="3"/>
  <c r="J147" i="3"/>
  <c r="I147" i="3"/>
  <c r="T147" i="3"/>
  <c r="U147" i="3"/>
  <c r="J148" i="3"/>
  <c r="I148" i="3"/>
  <c r="T148" i="3"/>
  <c r="U148" i="3"/>
  <c r="J149" i="3"/>
  <c r="I149" i="3"/>
  <c r="T149" i="3"/>
  <c r="U149" i="3"/>
  <c r="J150" i="3"/>
  <c r="I150" i="3"/>
  <c r="T150" i="3"/>
  <c r="U150" i="3"/>
  <c r="J151" i="3"/>
  <c r="I151" i="3"/>
  <c r="T151" i="3"/>
  <c r="U151" i="3"/>
  <c r="J152" i="3"/>
  <c r="I152" i="3"/>
  <c r="T152" i="3"/>
  <c r="U152" i="3"/>
  <c r="J153" i="3"/>
  <c r="I153" i="3"/>
  <c r="T153" i="3"/>
  <c r="U153" i="3"/>
  <c r="J154" i="3"/>
  <c r="I154" i="3"/>
  <c r="T154" i="3"/>
  <c r="U154" i="3"/>
  <c r="J155" i="3"/>
  <c r="I155" i="3"/>
  <c r="T155" i="3"/>
  <c r="U155" i="3"/>
  <c r="J156" i="3"/>
  <c r="I156" i="3"/>
  <c r="T156" i="3"/>
  <c r="U156" i="3"/>
  <c r="J157" i="3"/>
  <c r="I157" i="3"/>
  <c r="T157" i="3"/>
  <c r="U157" i="3"/>
  <c r="J158" i="3"/>
  <c r="I158" i="3"/>
  <c r="T158" i="3"/>
  <c r="U158" i="3"/>
  <c r="J159" i="3"/>
  <c r="I159" i="3"/>
  <c r="T159" i="3"/>
  <c r="U159" i="3"/>
  <c r="J160" i="3"/>
  <c r="I160" i="3"/>
  <c r="T160" i="3"/>
  <c r="U160" i="3"/>
  <c r="J161" i="3"/>
  <c r="I161" i="3"/>
  <c r="T161" i="3"/>
  <c r="U161" i="3"/>
  <c r="J162" i="3"/>
  <c r="I162" i="3"/>
  <c r="T162" i="3"/>
  <c r="U162" i="3"/>
  <c r="J163" i="3"/>
  <c r="I163" i="3"/>
  <c r="T163" i="3"/>
  <c r="U163" i="3"/>
  <c r="J164" i="3"/>
  <c r="I164" i="3"/>
  <c r="T164" i="3"/>
  <c r="U164" i="3"/>
  <c r="J165" i="3"/>
  <c r="I165" i="3"/>
  <c r="T165" i="3"/>
  <c r="U165" i="3"/>
  <c r="J166" i="3"/>
  <c r="I166" i="3"/>
  <c r="T166" i="3"/>
  <c r="U166" i="3"/>
  <c r="J167" i="3"/>
  <c r="I167" i="3"/>
  <c r="T167" i="3"/>
  <c r="U167" i="3"/>
  <c r="J168" i="3"/>
  <c r="I168" i="3"/>
  <c r="T168" i="3"/>
  <c r="U168" i="3"/>
  <c r="J169" i="3"/>
  <c r="I169" i="3"/>
  <c r="T169" i="3"/>
  <c r="U169" i="3"/>
  <c r="J170" i="3"/>
  <c r="I170" i="3"/>
  <c r="T170" i="3"/>
  <c r="U170" i="3"/>
  <c r="J171" i="3"/>
  <c r="I171" i="3"/>
  <c r="T171" i="3"/>
  <c r="U171" i="3"/>
  <c r="J172" i="3"/>
  <c r="I172" i="3"/>
  <c r="T172" i="3"/>
  <c r="U172" i="3"/>
  <c r="J173" i="3"/>
  <c r="I173" i="3"/>
  <c r="T173" i="3"/>
  <c r="U173" i="3"/>
  <c r="J174" i="3"/>
  <c r="I174" i="3"/>
  <c r="T174" i="3"/>
  <c r="U174" i="3"/>
  <c r="J175" i="3"/>
  <c r="I175" i="3"/>
  <c r="T175" i="3"/>
  <c r="U175" i="3"/>
  <c r="J176" i="3"/>
  <c r="I176" i="3"/>
  <c r="T176" i="3"/>
  <c r="U176" i="3"/>
  <c r="J177" i="3"/>
  <c r="I177" i="3"/>
  <c r="T177" i="3"/>
  <c r="U177" i="3"/>
  <c r="J178" i="3"/>
  <c r="I178" i="3"/>
  <c r="T178" i="3"/>
  <c r="U178" i="3"/>
  <c r="J179" i="3"/>
  <c r="I179" i="3"/>
  <c r="T179" i="3"/>
  <c r="U179" i="3"/>
  <c r="J180" i="3"/>
  <c r="I180" i="3"/>
  <c r="T180" i="3"/>
  <c r="U180" i="3"/>
  <c r="J181" i="3"/>
  <c r="I181" i="3"/>
  <c r="T181" i="3"/>
  <c r="U181" i="3"/>
  <c r="J182" i="3"/>
  <c r="I182" i="3"/>
  <c r="T182" i="3"/>
  <c r="U182" i="3"/>
  <c r="J183" i="3"/>
  <c r="I183" i="3"/>
  <c r="T183" i="3"/>
  <c r="U183" i="3"/>
  <c r="J184" i="3"/>
  <c r="I184" i="3"/>
  <c r="T184" i="3"/>
  <c r="U184" i="3"/>
  <c r="J185" i="3"/>
  <c r="I185" i="3"/>
  <c r="T185" i="3"/>
  <c r="U185" i="3"/>
  <c r="J186" i="3"/>
  <c r="I186" i="3"/>
  <c r="T186" i="3"/>
  <c r="U186" i="3"/>
  <c r="J187" i="3"/>
  <c r="I187" i="3"/>
  <c r="T187" i="3"/>
  <c r="U187" i="3"/>
  <c r="J188" i="3"/>
  <c r="I188" i="3"/>
  <c r="T188" i="3"/>
  <c r="U188" i="3"/>
  <c r="J189" i="3"/>
  <c r="I189" i="3"/>
  <c r="T189" i="3"/>
  <c r="U189" i="3"/>
  <c r="J190" i="3"/>
  <c r="I190" i="3"/>
  <c r="T190" i="3"/>
  <c r="U190" i="3"/>
  <c r="J191" i="3"/>
  <c r="I191" i="3"/>
  <c r="T191" i="3"/>
  <c r="U191" i="3"/>
  <c r="J192" i="3"/>
  <c r="I192" i="3"/>
  <c r="T192" i="3"/>
  <c r="U192" i="3"/>
  <c r="J193" i="3"/>
  <c r="I193" i="3"/>
  <c r="T193" i="3"/>
  <c r="U193" i="3"/>
  <c r="J194" i="3"/>
  <c r="I194" i="3"/>
  <c r="T194" i="3"/>
  <c r="U194" i="3"/>
  <c r="J195" i="3"/>
  <c r="I195" i="3"/>
  <c r="T195" i="3"/>
  <c r="U195" i="3"/>
  <c r="J196" i="3"/>
  <c r="I196" i="3"/>
  <c r="T196" i="3"/>
  <c r="U196" i="3"/>
  <c r="J197" i="3"/>
  <c r="I197" i="3"/>
  <c r="T197" i="3"/>
  <c r="U197" i="3"/>
  <c r="J198" i="3"/>
  <c r="I198" i="3"/>
  <c r="T198" i="3"/>
  <c r="U198" i="3"/>
  <c r="J199" i="3"/>
  <c r="I199" i="3"/>
  <c r="T199" i="3"/>
  <c r="U199" i="3"/>
  <c r="J200" i="3"/>
  <c r="I200" i="3"/>
  <c r="T200" i="3"/>
  <c r="U200" i="3"/>
  <c r="J201" i="3"/>
  <c r="I201" i="3"/>
  <c r="T201" i="3"/>
  <c r="U201" i="3"/>
  <c r="J202" i="3"/>
  <c r="I202" i="3"/>
  <c r="T202" i="3"/>
  <c r="U202" i="3"/>
  <c r="J203" i="3"/>
  <c r="I203" i="3"/>
  <c r="T203" i="3"/>
  <c r="U203" i="3"/>
  <c r="J204" i="3"/>
  <c r="I204" i="3"/>
  <c r="T204" i="3"/>
  <c r="U204" i="3"/>
  <c r="J205" i="3"/>
  <c r="I205" i="3"/>
  <c r="T205" i="3"/>
  <c r="U205" i="3"/>
  <c r="J206" i="3"/>
  <c r="I206" i="3"/>
  <c r="T206" i="3"/>
  <c r="U206" i="3"/>
  <c r="J207" i="3"/>
  <c r="I207" i="3"/>
  <c r="T207" i="3"/>
  <c r="U207" i="3"/>
  <c r="J208" i="3"/>
  <c r="I208" i="3"/>
  <c r="T208" i="3"/>
  <c r="U208" i="3"/>
  <c r="J209" i="3"/>
  <c r="I209" i="3"/>
  <c r="T209" i="3"/>
  <c r="U209" i="3"/>
  <c r="J210" i="3"/>
  <c r="I210" i="3"/>
  <c r="T210" i="3"/>
  <c r="U210" i="3"/>
  <c r="J211" i="3"/>
  <c r="I211" i="3"/>
  <c r="T211" i="3"/>
  <c r="U211" i="3"/>
  <c r="J212" i="3"/>
  <c r="I212" i="3"/>
  <c r="T212" i="3"/>
  <c r="U212" i="3"/>
  <c r="J213" i="3"/>
  <c r="I213" i="3"/>
  <c r="T213" i="3"/>
  <c r="U213" i="3"/>
  <c r="J214" i="3"/>
  <c r="I214" i="3"/>
  <c r="T214" i="3"/>
  <c r="U214" i="3"/>
  <c r="J215" i="3"/>
  <c r="I215" i="3"/>
  <c r="T215" i="3"/>
  <c r="U215" i="3"/>
  <c r="J216" i="3"/>
  <c r="I216" i="3"/>
  <c r="T216" i="3"/>
  <c r="U216" i="3"/>
  <c r="J217" i="3"/>
  <c r="I217" i="3"/>
  <c r="T217" i="3"/>
  <c r="U217" i="3"/>
  <c r="J218" i="3"/>
  <c r="I218" i="3"/>
  <c r="T218" i="3"/>
  <c r="U218" i="3"/>
  <c r="J219" i="3"/>
  <c r="I219" i="3"/>
  <c r="T219" i="3"/>
  <c r="U219" i="3"/>
  <c r="J220" i="3"/>
  <c r="I220" i="3"/>
  <c r="T220" i="3"/>
  <c r="U220" i="3"/>
  <c r="J221" i="3"/>
  <c r="I221" i="3"/>
  <c r="T221" i="3"/>
  <c r="U221" i="3"/>
  <c r="J222" i="3"/>
  <c r="I222" i="3"/>
  <c r="T222" i="3"/>
  <c r="U222" i="3"/>
  <c r="J223" i="3"/>
  <c r="I223" i="3"/>
  <c r="T223" i="3"/>
  <c r="U223" i="3"/>
  <c r="J224" i="3"/>
  <c r="I224" i="3"/>
  <c r="T224" i="3"/>
  <c r="U224" i="3"/>
  <c r="J225" i="3"/>
  <c r="I225" i="3"/>
  <c r="T225" i="3"/>
  <c r="U225" i="3"/>
  <c r="J226" i="3"/>
  <c r="I226" i="3"/>
  <c r="T226" i="3"/>
  <c r="U226" i="3"/>
  <c r="J227" i="3"/>
  <c r="I227" i="3"/>
  <c r="T227" i="3"/>
  <c r="U227" i="3"/>
  <c r="J228" i="3"/>
  <c r="I228" i="3"/>
  <c r="T228" i="3"/>
  <c r="U228" i="3"/>
  <c r="J229" i="3"/>
  <c r="I229" i="3"/>
  <c r="T229" i="3"/>
  <c r="U229" i="3"/>
  <c r="J230" i="3"/>
  <c r="I230" i="3"/>
  <c r="T230" i="3"/>
  <c r="U230" i="3"/>
  <c r="J231" i="3"/>
  <c r="I231" i="3"/>
  <c r="T231" i="3"/>
  <c r="U231" i="3"/>
  <c r="J232" i="3"/>
  <c r="I232" i="3"/>
  <c r="T232" i="3"/>
  <c r="U232" i="3"/>
  <c r="J233" i="3"/>
  <c r="I233" i="3"/>
  <c r="T233" i="3"/>
  <c r="U233" i="3"/>
  <c r="J234" i="3"/>
  <c r="I234" i="3"/>
  <c r="T234" i="3"/>
  <c r="U234" i="3"/>
  <c r="J235" i="3"/>
  <c r="I235" i="3"/>
  <c r="T235" i="3"/>
  <c r="U235" i="3"/>
  <c r="J236" i="3"/>
  <c r="I236" i="3"/>
  <c r="T236" i="3"/>
  <c r="U236" i="3"/>
  <c r="J237" i="3"/>
  <c r="I237" i="3"/>
  <c r="T237" i="3"/>
  <c r="U237" i="3"/>
  <c r="J238" i="3"/>
  <c r="I238" i="3"/>
  <c r="T238" i="3"/>
  <c r="U238" i="3"/>
  <c r="J239" i="3"/>
  <c r="I239" i="3"/>
  <c r="T239" i="3"/>
  <c r="U239" i="3"/>
  <c r="J240" i="3"/>
  <c r="I240" i="3"/>
  <c r="T240" i="3"/>
  <c r="U240" i="3"/>
  <c r="J241" i="3"/>
  <c r="I241" i="3"/>
  <c r="T241" i="3"/>
  <c r="U241" i="3"/>
  <c r="J242" i="3"/>
  <c r="I242" i="3"/>
  <c r="T242" i="3"/>
  <c r="U242" i="3"/>
  <c r="J243" i="3"/>
  <c r="I243" i="3"/>
  <c r="T243" i="3"/>
  <c r="U243" i="3"/>
  <c r="J244" i="3"/>
  <c r="I244" i="3"/>
  <c r="T244" i="3"/>
  <c r="U244" i="3"/>
  <c r="J245" i="3"/>
  <c r="I245" i="3"/>
  <c r="T245" i="3"/>
  <c r="U245" i="3"/>
  <c r="J246" i="3"/>
  <c r="I246" i="3"/>
  <c r="T246" i="3"/>
  <c r="U246" i="3"/>
  <c r="J247" i="3"/>
  <c r="I247" i="3"/>
  <c r="T247" i="3"/>
  <c r="U247" i="3"/>
  <c r="J248" i="3"/>
  <c r="I248" i="3"/>
  <c r="T248" i="3"/>
  <c r="U248" i="3"/>
  <c r="J249" i="3"/>
  <c r="I249" i="3"/>
  <c r="T249" i="3"/>
  <c r="U249" i="3"/>
  <c r="J250" i="3"/>
  <c r="I250" i="3"/>
  <c r="T250" i="3"/>
  <c r="U250" i="3"/>
  <c r="J251" i="3"/>
  <c r="I251" i="3"/>
  <c r="T251" i="3"/>
  <c r="U251" i="3"/>
  <c r="J252" i="3"/>
  <c r="I252" i="3"/>
  <c r="T252" i="3"/>
  <c r="U252" i="3"/>
  <c r="J253" i="3"/>
  <c r="I253" i="3"/>
  <c r="T253" i="3"/>
  <c r="U253" i="3"/>
  <c r="J254" i="3"/>
  <c r="I254" i="3"/>
  <c r="T254" i="3"/>
  <c r="U254" i="3"/>
  <c r="J255" i="3"/>
  <c r="I255" i="3"/>
  <c r="T255" i="3"/>
  <c r="U255" i="3"/>
  <c r="J256" i="3"/>
  <c r="I256" i="3"/>
  <c r="T256" i="3"/>
  <c r="U256" i="3"/>
  <c r="J257" i="3"/>
  <c r="I257" i="3"/>
  <c r="T257" i="3"/>
  <c r="U257" i="3"/>
  <c r="J258" i="3"/>
  <c r="I258" i="3"/>
  <c r="T258" i="3"/>
  <c r="U258" i="3"/>
  <c r="J259" i="3"/>
  <c r="I259" i="3"/>
  <c r="T259" i="3"/>
  <c r="U259" i="3"/>
  <c r="J260" i="3"/>
  <c r="I260" i="3"/>
  <c r="T260" i="3"/>
  <c r="U260" i="3"/>
  <c r="J261" i="3"/>
  <c r="I261" i="3"/>
  <c r="T261" i="3"/>
  <c r="U261" i="3"/>
  <c r="J262" i="3"/>
  <c r="I262" i="3"/>
  <c r="T262" i="3"/>
  <c r="U262" i="3"/>
  <c r="J263" i="3"/>
  <c r="I263" i="3"/>
  <c r="T263" i="3"/>
  <c r="U263" i="3"/>
  <c r="J264" i="3"/>
  <c r="I264" i="3"/>
  <c r="T264" i="3"/>
  <c r="U264" i="3"/>
  <c r="J265" i="3"/>
  <c r="I265" i="3"/>
  <c r="T265" i="3"/>
  <c r="U265" i="3"/>
  <c r="J266" i="3"/>
  <c r="I266" i="3"/>
  <c r="T266" i="3"/>
  <c r="U266" i="3"/>
  <c r="J267" i="3"/>
  <c r="I267" i="3"/>
  <c r="T267" i="3"/>
  <c r="U267" i="3"/>
  <c r="J268" i="3"/>
  <c r="I268" i="3"/>
  <c r="T268" i="3"/>
  <c r="U268" i="3"/>
  <c r="J269" i="3"/>
  <c r="I269" i="3"/>
  <c r="T269" i="3"/>
  <c r="U269" i="3"/>
  <c r="J270" i="3"/>
  <c r="I270" i="3"/>
  <c r="T270" i="3"/>
  <c r="U270" i="3"/>
  <c r="J271" i="3"/>
  <c r="I271" i="3"/>
  <c r="T271" i="3"/>
  <c r="U271" i="3"/>
  <c r="J272" i="3"/>
  <c r="I272" i="3"/>
  <c r="T272" i="3"/>
  <c r="U272" i="3"/>
  <c r="J273" i="3"/>
  <c r="I273" i="3"/>
  <c r="T273" i="3"/>
  <c r="U273" i="3"/>
  <c r="J274" i="3"/>
  <c r="I274" i="3"/>
  <c r="T274" i="3"/>
  <c r="U274" i="3"/>
  <c r="J275" i="3"/>
  <c r="I275" i="3"/>
  <c r="T275" i="3"/>
  <c r="U275" i="3"/>
  <c r="J276" i="3"/>
  <c r="I276" i="3"/>
  <c r="T276" i="3"/>
  <c r="U276" i="3"/>
  <c r="J277" i="3"/>
  <c r="I277" i="3"/>
  <c r="T277" i="3"/>
  <c r="U277" i="3"/>
  <c r="J278" i="3"/>
  <c r="I278" i="3"/>
  <c r="T278" i="3"/>
  <c r="U278" i="3"/>
  <c r="J279" i="3"/>
  <c r="I279" i="3"/>
  <c r="T279" i="3"/>
  <c r="U279" i="3"/>
  <c r="J280" i="3"/>
  <c r="I280" i="3"/>
  <c r="T280" i="3"/>
  <c r="U280" i="3"/>
  <c r="J281" i="3"/>
  <c r="I281" i="3"/>
  <c r="T281" i="3"/>
  <c r="U281" i="3"/>
  <c r="J282" i="3"/>
  <c r="I282" i="3"/>
  <c r="T282" i="3"/>
  <c r="U282" i="3"/>
  <c r="J283" i="3"/>
  <c r="I283" i="3"/>
  <c r="T283" i="3"/>
  <c r="U283" i="3"/>
  <c r="J284" i="3"/>
  <c r="I284" i="3"/>
  <c r="T284" i="3"/>
  <c r="U284" i="3"/>
  <c r="J285" i="3"/>
  <c r="I285" i="3"/>
  <c r="T285" i="3"/>
  <c r="U285" i="3"/>
  <c r="J286" i="3"/>
  <c r="I286" i="3"/>
  <c r="T286" i="3"/>
  <c r="U286" i="3"/>
  <c r="J287" i="3"/>
  <c r="I287" i="3"/>
  <c r="T287" i="3"/>
  <c r="U287" i="3"/>
  <c r="J288" i="3"/>
  <c r="I288" i="3"/>
  <c r="T288" i="3"/>
  <c r="U288" i="3"/>
  <c r="J289" i="3"/>
  <c r="I289" i="3"/>
  <c r="T289" i="3"/>
  <c r="U289" i="3"/>
  <c r="J290" i="3"/>
  <c r="I290" i="3"/>
  <c r="T290" i="3"/>
  <c r="U290" i="3"/>
  <c r="J291" i="3"/>
  <c r="I291" i="3"/>
  <c r="T291" i="3"/>
  <c r="U291" i="3"/>
  <c r="J292" i="3"/>
  <c r="I292" i="3"/>
  <c r="T292" i="3"/>
  <c r="U292" i="3"/>
  <c r="J293" i="3"/>
  <c r="I293" i="3"/>
  <c r="T293" i="3"/>
  <c r="U293" i="3"/>
  <c r="J294" i="3"/>
  <c r="I294" i="3"/>
  <c r="T294" i="3"/>
  <c r="U294" i="3"/>
  <c r="J295" i="3"/>
  <c r="I295" i="3"/>
  <c r="T295" i="3"/>
  <c r="U295" i="3"/>
  <c r="J296" i="3"/>
  <c r="I296" i="3"/>
  <c r="T296" i="3"/>
  <c r="U296" i="3"/>
  <c r="J297" i="3"/>
  <c r="I297" i="3"/>
  <c r="T297" i="3"/>
  <c r="U297" i="3"/>
  <c r="J298" i="3"/>
  <c r="I298" i="3"/>
  <c r="T298" i="3"/>
  <c r="U298" i="3"/>
  <c r="J299" i="3"/>
  <c r="I299" i="3"/>
  <c r="T299" i="3"/>
  <c r="U299" i="3"/>
  <c r="J300" i="3"/>
  <c r="I300" i="3"/>
  <c r="T300" i="3"/>
  <c r="U300" i="3"/>
  <c r="J301" i="3"/>
  <c r="I301" i="3"/>
  <c r="T301" i="3"/>
  <c r="U301" i="3"/>
  <c r="J302" i="3"/>
  <c r="I302" i="3"/>
  <c r="T302" i="3"/>
  <c r="U302" i="3"/>
  <c r="J303" i="3"/>
  <c r="I303" i="3"/>
  <c r="T303" i="3"/>
  <c r="U303" i="3"/>
  <c r="J304" i="3"/>
  <c r="I304" i="3"/>
  <c r="T304" i="3"/>
  <c r="U304" i="3"/>
  <c r="J305" i="3"/>
  <c r="I305" i="3"/>
  <c r="T305" i="3"/>
  <c r="U305" i="3"/>
  <c r="J306" i="3"/>
  <c r="I306" i="3"/>
  <c r="T306" i="3"/>
  <c r="U306" i="3"/>
  <c r="J307" i="3"/>
  <c r="I307" i="3"/>
  <c r="T307" i="3"/>
  <c r="U307" i="3"/>
  <c r="J308" i="3"/>
  <c r="I308" i="3"/>
  <c r="T308" i="3"/>
  <c r="U308" i="3"/>
  <c r="J309" i="3"/>
  <c r="I309" i="3"/>
  <c r="T309" i="3"/>
  <c r="U309" i="3"/>
  <c r="J310" i="3"/>
  <c r="I310" i="3"/>
  <c r="T310" i="3"/>
  <c r="U310" i="3"/>
  <c r="J311" i="3"/>
  <c r="I311" i="3"/>
  <c r="T311" i="3"/>
  <c r="U311" i="3"/>
  <c r="J312" i="3"/>
  <c r="I312" i="3"/>
  <c r="T312" i="3"/>
  <c r="U312" i="3"/>
  <c r="J313" i="3"/>
  <c r="I313" i="3"/>
  <c r="T313" i="3"/>
  <c r="U313" i="3"/>
  <c r="J314" i="3"/>
  <c r="I314" i="3"/>
  <c r="T314" i="3"/>
  <c r="U314" i="3"/>
  <c r="J315" i="3"/>
  <c r="I315" i="3"/>
  <c r="T315" i="3"/>
  <c r="U315" i="3"/>
  <c r="J316" i="3"/>
  <c r="I316" i="3"/>
  <c r="T316" i="3"/>
  <c r="U316" i="3"/>
  <c r="J317" i="3"/>
  <c r="I317" i="3"/>
  <c r="T317" i="3"/>
  <c r="U317" i="3"/>
  <c r="J318" i="3"/>
  <c r="I318" i="3"/>
  <c r="T318" i="3"/>
  <c r="U318" i="3"/>
  <c r="J319" i="3"/>
  <c r="I319" i="3"/>
  <c r="T319" i="3"/>
  <c r="U319" i="3"/>
  <c r="J320" i="3"/>
  <c r="I320" i="3"/>
  <c r="T320" i="3"/>
  <c r="U320" i="3"/>
  <c r="J321" i="3"/>
  <c r="I321" i="3"/>
  <c r="T321" i="3"/>
  <c r="U321" i="3"/>
  <c r="J322" i="3"/>
  <c r="I322" i="3"/>
  <c r="T322" i="3"/>
  <c r="U322" i="3"/>
  <c r="J323" i="3"/>
  <c r="I323" i="3"/>
  <c r="T323" i="3"/>
  <c r="U323" i="3"/>
  <c r="J324" i="3"/>
  <c r="I324" i="3"/>
  <c r="T324" i="3"/>
  <c r="U324" i="3"/>
  <c r="J325" i="3"/>
  <c r="I325" i="3"/>
  <c r="T325" i="3"/>
  <c r="U325" i="3"/>
  <c r="J326" i="3"/>
  <c r="I326" i="3"/>
  <c r="T326" i="3"/>
  <c r="U326" i="3"/>
  <c r="J327" i="3"/>
  <c r="I327" i="3"/>
  <c r="T327" i="3"/>
  <c r="U327" i="3"/>
  <c r="J328" i="3"/>
  <c r="I328" i="3"/>
  <c r="T328" i="3"/>
  <c r="U328" i="3"/>
  <c r="J329" i="3"/>
  <c r="I329" i="3"/>
  <c r="T329" i="3"/>
  <c r="U329" i="3"/>
  <c r="J330" i="3"/>
  <c r="I330" i="3"/>
  <c r="T330" i="3"/>
  <c r="U330" i="3"/>
  <c r="J331" i="3"/>
  <c r="I331" i="3"/>
  <c r="T331" i="3"/>
  <c r="U331" i="3"/>
  <c r="J332" i="3"/>
  <c r="I332" i="3"/>
  <c r="T332" i="3"/>
  <c r="U332" i="3"/>
  <c r="J333" i="3"/>
  <c r="I333" i="3"/>
  <c r="T333" i="3"/>
  <c r="U333" i="3"/>
  <c r="J334" i="3"/>
  <c r="I334" i="3"/>
  <c r="T334" i="3"/>
  <c r="U334" i="3"/>
  <c r="J335" i="3"/>
  <c r="I335" i="3"/>
  <c r="T335" i="3"/>
  <c r="U335" i="3"/>
  <c r="J336" i="3"/>
  <c r="I336" i="3"/>
  <c r="T336" i="3"/>
  <c r="U336" i="3"/>
  <c r="J337" i="3"/>
  <c r="I337" i="3"/>
  <c r="T337" i="3"/>
  <c r="U337" i="3"/>
  <c r="J338" i="3"/>
  <c r="I338" i="3"/>
  <c r="T338" i="3"/>
  <c r="U338" i="3"/>
  <c r="J339" i="3"/>
  <c r="I339" i="3"/>
  <c r="T339" i="3"/>
  <c r="U339" i="3"/>
  <c r="J340" i="3"/>
  <c r="I340" i="3"/>
  <c r="T340" i="3"/>
  <c r="U340" i="3"/>
  <c r="J341" i="3"/>
  <c r="I341" i="3"/>
  <c r="T341" i="3"/>
  <c r="U341" i="3"/>
  <c r="J342" i="3"/>
  <c r="I342" i="3"/>
  <c r="T342" i="3"/>
  <c r="U342" i="3"/>
  <c r="J343" i="3"/>
  <c r="I343" i="3"/>
  <c r="T343" i="3"/>
  <c r="U343" i="3"/>
  <c r="J344" i="3"/>
  <c r="I344" i="3"/>
  <c r="T344" i="3"/>
  <c r="U344" i="3"/>
  <c r="J345" i="3"/>
  <c r="I345" i="3"/>
  <c r="T345" i="3"/>
  <c r="U345" i="3"/>
  <c r="J346" i="3"/>
  <c r="I346" i="3"/>
  <c r="T346" i="3"/>
  <c r="U346" i="3"/>
  <c r="J347" i="3"/>
  <c r="I347" i="3"/>
  <c r="T347" i="3"/>
  <c r="U347" i="3"/>
  <c r="J348" i="3"/>
  <c r="I348" i="3"/>
  <c r="T348" i="3"/>
  <c r="U348" i="3"/>
  <c r="J349" i="3"/>
  <c r="I349" i="3"/>
  <c r="T349" i="3"/>
  <c r="U349" i="3"/>
  <c r="J350" i="3"/>
  <c r="I350" i="3"/>
  <c r="T350" i="3"/>
  <c r="U350" i="3"/>
  <c r="J351" i="3"/>
  <c r="I351" i="3"/>
  <c r="T351" i="3"/>
  <c r="U351" i="3"/>
  <c r="J352" i="3"/>
  <c r="I352" i="3"/>
  <c r="T352" i="3"/>
  <c r="U352" i="3"/>
  <c r="J353" i="3"/>
  <c r="I353" i="3"/>
  <c r="T353" i="3"/>
  <c r="U353" i="3"/>
  <c r="J354" i="3"/>
  <c r="I354" i="3"/>
  <c r="T354" i="3"/>
  <c r="U354" i="3"/>
  <c r="J355" i="3"/>
  <c r="I355" i="3"/>
  <c r="T355" i="3"/>
  <c r="U355" i="3"/>
  <c r="J356" i="3"/>
  <c r="I356" i="3"/>
  <c r="T356" i="3"/>
  <c r="U356" i="3"/>
  <c r="J357" i="3"/>
  <c r="I357" i="3"/>
  <c r="T357" i="3"/>
  <c r="U357" i="3"/>
  <c r="J358" i="3"/>
  <c r="I358" i="3"/>
  <c r="T358" i="3"/>
  <c r="U358" i="3"/>
  <c r="J359" i="3"/>
  <c r="I359" i="3"/>
  <c r="T359" i="3"/>
  <c r="U359" i="3"/>
  <c r="J360" i="3"/>
  <c r="I360" i="3"/>
  <c r="T360" i="3"/>
  <c r="U360" i="3"/>
  <c r="J361" i="3"/>
  <c r="I361" i="3"/>
  <c r="T361" i="3"/>
  <c r="U361" i="3"/>
  <c r="J362" i="3"/>
  <c r="I362" i="3"/>
  <c r="T362" i="3"/>
  <c r="U362" i="3"/>
  <c r="J363" i="3"/>
  <c r="I363" i="3"/>
  <c r="T363" i="3"/>
  <c r="U363" i="3"/>
  <c r="J364" i="3"/>
  <c r="I364" i="3"/>
  <c r="T364" i="3"/>
  <c r="U364" i="3"/>
  <c r="J365" i="3"/>
  <c r="I365" i="3"/>
  <c r="T365" i="3"/>
  <c r="U365" i="3"/>
  <c r="J366" i="3"/>
  <c r="I366" i="3"/>
  <c r="T366" i="3"/>
  <c r="U366" i="3"/>
  <c r="J367" i="3"/>
  <c r="I367" i="3"/>
  <c r="T367" i="3"/>
  <c r="U367" i="3"/>
  <c r="J368" i="3"/>
  <c r="I368" i="3"/>
  <c r="T368" i="3"/>
  <c r="U368" i="3"/>
  <c r="J369" i="3"/>
  <c r="I369" i="3"/>
  <c r="T369" i="3"/>
  <c r="U369" i="3"/>
  <c r="J370" i="3"/>
  <c r="I370" i="3"/>
  <c r="T370" i="3"/>
  <c r="U370" i="3"/>
  <c r="J371" i="3"/>
  <c r="I371" i="3"/>
  <c r="T371" i="3"/>
  <c r="U371" i="3"/>
  <c r="J372" i="3"/>
  <c r="I372" i="3"/>
  <c r="T372" i="3"/>
  <c r="U372" i="3"/>
  <c r="J373" i="3"/>
  <c r="I373" i="3"/>
  <c r="T373" i="3"/>
  <c r="U373" i="3"/>
  <c r="J374" i="3"/>
  <c r="I374" i="3"/>
  <c r="T374" i="3"/>
  <c r="U374" i="3"/>
  <c r="J375" i="3"/>
  <c r="I375" i="3"/>
  <c r="T375" i="3"/>
  <c r="U375" i="3"/>
  <c r="J376" i="3"/>
  <c r="I376" i="3"/>
  <c r="T376" i="3"/>
  <c r="U376" i="3"/>
  <c r="J377" i="3"/>
  <c r="I377" i="3"/>
  <c r="T377" i="3"/>
  <c r="U377" i="3"/>
  <c r="J378" i="3"/>
  <c r="I378" i="3"/>
  <c r="T378" i="3"/>
  <c r="U378" i="3"/>
  <c r="I379" i="3"/>
  <c r="T379" i="3"/>
  <c r="U379" i="3"/>
  <c r="J380" i="3"/>
  <c r="I380" i="3"/>
  <c r="T380" i="3"/>
  <c r="U380" i="3"/>
  <c r="J381" i="3"/>
  <c r="I381" i="3"/>
  <c r="T381" i="3"/>
  <c r="U381" i="3"/>
  <c r="J382" i="3"/>
  <c r="I382" i="3"/>
  <c r="T382" i="3"/>
  <c r="U382" i="3"/>
  <c r="J383" i="3"/>
  <c r="I383" i="3"/>
  <c r="T383" i="3"/>
  <c r="U383" i="3"/>
  <c r="J384" i="3"/>
  <c r="I384" i="3"/>
  <c r="T384" i="3"/>
  <c r="U384" i="3"/>
  <c r="J385" i="3"/>
  <c r="I385" i="3"/>
  <c r="T385" i="3"/>
  <c r="U385" i="3"/>
  <c r="J386" i="3"/>
  <c r="I386" i="3"/>
  <c r="T386" i="3"/>
  <c r="U386" i="3"/>
  <c r="J387" i="3"/>
  <c r="I387" i="3"/>
  <c r="T387" i="3"/>
  <c r="U387" i="3"/>
  <c r="J388" i="3"/>
  <c r="I388" i="3"/>
  <c r="T388" i="3"/>
  <c r="U388" i="3"/>
  <c r="J389" i="3"/>
  <c r="I389" i="3"/>
  <c r="T389" i="3"/>
  <c r="U389" i="3"/>
  <c r="J390" i="3"/>
  <c r="I390" i="3"/>
  <c r="T390" i="3"/>
  <c r="U390" i="3"/>
  <c r="J391" i="3"/>
  <c r="I391" i="3"/>
  <c r="T391" i="3"/>
  <c r="U391" i="3"/>
  <c r="J392" i="3"/>
  <c r="I392" i="3"/>
  <c r="T392" i="3"/>
  <c r="U392" i="3"/>
  <c r="J393" i="3"/>
  <c r="I393" i="3"/>
  <c r="T393" i="3"/>
  <c r="U393" i="3"/>
  <c r="J394" i="3"/>
  <c r="I394" i="3"/>
  <c r="T394" i="3"/>
  <c r="U394" i="3"/>
  <c r="J395" i="3"/>
  <c r="I395" i="3"/>
  <c r="T395" i="3"/>
  <c r="U395" i="3"/>
  <c r="J396" i="3"/>
  <c r="I396" i="3"/>
  <c r="T396" i="3"/>
  <c r="U396" i="3"/>
  <c r="J397" i="3"/>
  <c r="I397" i="3"/>
  <c r="T397" i="3"/>
  <c r="U397" i="3"/>
  <c r="J398" i="3"/>
  <c r="I398" i="3"/>
  <c r="T398" i="3"/>
  <c r="U398" i="3"/>
  <c r="J399" i="3"/>
  <c r="I399" i="3"/>
  <c r="T399" i="3"/>
  <c r="U399" i="3"/>
  <c r="J400" i="3"/>
  <c r="I400" i="3"/>
  <c r="T400" i="3"/>
  <c r="U400" i="3"/>
  <c r="J401" i="3"/>
  <c r="I401" i="3"/>
  <c r="T401" i="3"/>
  <c r="U401" i="3"/>
  <c r="J402" i="3"/>
  <c r="I402" i="3"/>
  <c r="T402" i="3"/>
  <c r="U402" i="3"/>
  <c r="J403" i="3"/>
  <c r="I403" i="3"/>
  <c r="T403" i="3"/>
  <c r="U403" i="3"/>
  <c r="J404" i="3"/>
  <c r="I404" i="3"/>
  <c r="T404" i="3"/>
  <c r="U404" i="3"/>
  <c r="J405" i="3"/>
  <c r="I405" i="3"/>
  <c r="T405" i="3"/>
  <c r="U405" i="3"/>
  <c r="J406" i="3"/>
  <c r="I406" i="3"/>
  <c r="T406" i="3"/>
  <c r="U406" i="3"/>
  <c r="J407" i="3"/>
  <c r="I407" i="3"/>
  <c r="T407" i="3"/>
  <c r="U407" i="3"/>
  <c r="J408" i="3"/>
  <c r="I408" i="3"/>
  <c r="T408" i="3"/>
  <c r="U408" i="3"/>
  <c r="J409" i="3"/>
  <c r="I409" i="3"/>
  <c r="T409" i="3"/>
  <c r="U409" i="3"/>
  <c r="J410" i="3"/>
  <c r="I410" i="3"/>
  <c r="T410" i="3"/>
  <c r="U410" i="3"/>
  <c r="J411" i="3"/>
  <c r="I411" i="3"/>
  <c r="T411" i="3"/>
  <c r="U411" i="3"/>
  <c r="J412" i="3"/>
  <c r="I412" i="3"/>
  <c r="T412" i="3"/>
  <c r="U412" i="3"/>
  <c r="J413" i="3"/>
  <c r="I413" i="3"/>
  <c r="T413" i="3"/>
  <c r="U413" i="3"/>
  <c r="J414" i="3"/>
  <c r="I414" i="3"/>
  <c r="T414" i="3"/>
  <c r="U414" i="3"/>
  <c r="J415" i="3"/>
  <c r="I415" i="3"/>
  <c r="T415" i="3"/>
  <c r="U415" i="3"/>
  <c r="J416" i="3"/>
  <c r="I416" i="3"/>
  <c r="T416" i="3"/>
  <c r="U416" i="3"/>
  <c r="J417" i="3"/>
  <c r="I417" i="3"/>
  <c r="T417" i="3"/>
  <c r="U417" i="3"/>
  <c r="J418" i="3"/>
  <c r="I418" i="3"/>
  <c r="T418" i="3"/>
  <c r="U418" i="3"/>
  <c r="J419" i="3"/>
  <c r="I419" i="3"/>
  <c r="T419" i="3"/>
  <c r="U419" i="3"/>
  <c r="J420" i="3"/>
  <c r="I420" i="3"/>
  <c r="T420" i="3"/>
  <c r="U420" i="3"/>
  <c r="J421" i="3"/>
  <c r="I421" i="3"/>
  <c r="T421" i="3"/>
  <c r="U421" i="3"/>
  <c r="J422" i="3"/>
  <c r="I422" i="3"/>
  <c r="T422" i="3"/>
  <c r="U422" i="3"/>
  <c r="J423" i="3"/>
  <c r="I423" i="3"/>
  <c r="T423" i="3"/>
  <c r="U423" i="3"/>
  <c r="J424" i="3"/>
  <c r="I424" i="3"/>
  <c r="T424" i="3"/>
  <c r="U424" i="3"/>
  <c r="J425" i="3"/>
  <c r="I425" i="3"/>
  <c r="T425" i="3"/>
  <c r="U425" i="3"/>
  <c r="J426" i="3"/>
  <c r="I426" i="3"/>
  <c r="T426" i="3"/>
  <c r="U426" i="3"/>
  <c r="J427" i="3"/>
  <c r="I427" i="3"/>
  <c r="T427" i="3"/>
  <c r="U427" i="3"/>
  <c r="J428" i="3"/>
  <c r="I428" i="3"/>
  <c r="T428" i="3"/>
  <c r="U428" i="3"/>
  <c r="J429" i="3"/>
  <c r="I429" i="3"/>
  <c r="T429" i="3"/>
  <c r="U429" i="3"/>
  <c r="J430" i="3"/>
  <c r="I430" i="3"/>
  <c r="T430" i="3"/>
  <c r="U430" i="3"/>
  <c r="J431" i="3"/>
  <c r="I431" i="3"/>
  <c r="T431" i="3"/>
  <c r="U431" i="3"/>
  <c r="J432" i="3"/>
  <c r="I432" i="3"/>
  <c r="T432" i="3"/>
  <c r="U432" i="3"/>
  <c r="J433" i="3"/>
  <c r="I433" i="3"/>
  <c r="T433" i="3"/>
  <c r="U433" i="3"/>
  <c r="J434" i="3"/>
  <c r="I434" i="3"/>
  <c r="T434" i="3"/>
  <c r="U434" i="3"/>
  <c r="J435" i="3"/>
  <c r="I435" i="3"/>
  <c r="T435" i="3"/>
  <c r="U435" i="3"/>
  <c r="J436" i="3"/>
  <c r="I436" i="3"/>
  <c r="T436" i="3"/>
  <c r="U436" i="3"/>
  <c r="J437" i="3"/>
  <c r="I437" i="3"/>
  <c r="T437" i="3"/>
  <c r="U437" i="3"/>
  <c r="J438" i="3"/>
  <c r="I438" i="3"/>
  <c r="T438" i="3"/>
  <c r="U438" i="3"/>
  <c r="J439" i="3"/>
  <c r="I439" i="3"/>
  <c r="T439" i="3"/>
  <c r="U439" i="3"/>
  <c r="J440" i="3"/>
  <c r="I440" i="3"/>
  <c r="T440" i="3"/>
  <c r="U440" i="3"/>
  <c r="J441" i="3"/>
  <c r="I441" i="3"/>
  <c r="T441" i="3"/>
  <c r="U441" i="3"/>
  <c r="J442" i="3"/>
  <c r="I442" i="3"/>
  <c r="T442" i="3"/>
  <c r="U442" i="3"/>
  <c r="J443" i="3"/>
  <c r="I443" i="3"/>
  <c r="T443" i="3"/>
  <c r="U443" i="3"/>
  <c r="J444" i="3"/>
  <c r="I444" i="3"/>
  <c r="T444" i="3"/>
  <c r="U444" i="3"/>
  <c r="J445" i="3"/>
  <c r="I445" i="3"/>
  <c r="T445" i="3"/>
  <c r="U445" i="3"/>
  <c r="J446" i="3"/>
  <c r="I446" i="3"/>
  <c r="T446" i="3"/>
  <c r="U446" i="3"/>
  <c r="J447" i="3"/>
  <c r="I447" i="3"/>
  <c r="T447" i="3"/>
  <c r="U447" i="3"/>
  <c r="J448" i="3"/>
  <c r="I448" i="3"/>
  <c r="T448" i="3"/>
  <c r="U448" i="3"/>
  <c r="J449" i="3"/>
  <c r="I449" i="3"/>
  <c r="T449" i="3"/>
  <c r="U449" i="3"/>
  <c r="J450" i="3"/>
  <c r="I450" i="3"/>
  <c r="T450" i="3"/>
  <c r="U450" i="3"/>
  <c r="J451" i="3"/>
  <c r="I451" i="3"/>
  <c r="T451" i="3"/>
  <c r="U451" i="3"/>
  <c r="J452" i="3"/>
  <c r="I452" i="3"/>
  <c r="T452" i="3"/>
  <c r="U452" i="3"/>
  <c r="J453" i="3"/>
  <c r="I453" i="3"/>
  <c r="T453" i="3"/>
  <c r="U453" i="3"/>
  <c r="J454" i="3"/>
  <c r="I454" i="3"/>
  <c r="T454" i="3"/>
  <c r="U454" i="3"/>
  <c r="J455" i="3"/>
  <c r="I455" i="3"/>
  <c r="T455" i="3"/>
  <c r="U455" i="3"/>
  <c r="J456" i="3"/>
  <c r="I456" i="3"/>
  <c r="T456" i="3"/>
  <c r="U456" i="3"/>
  <c r="J457" i="3"/>
  <c r="I457" i="3"/>
  <c r="T457" i="3"/>
  <c r="U457" i="3"/>
  <c r="J458" i="3"/>
  <c r="I458" i="3"/>
  <c r="T458" i="3"/>
  <c r="U458" i="3"/>
  <c r="J459" i="3"/>
  <c r="I459" i="3"/>
  <c r="T459" i="3"/>
  <c r="U459" i="3"/>
  <c r="J460" i="3"/>
  <c r="I460" i="3"/>
  <c r="T460" i="3"/>
  <c r="U460" i="3"/>
  <c r="J461" i="3"/>
  <c r="I461" i="3"/>
  <c r="T461" i="3"/>
  <c r="U461" i="3"/>
  <c r="J462" i="3"/>
  <c r="I462" i="3"/>
  <c r="T462" i="3"/>
  <c r="U462" i="3"/>
  <c r="J463" i="3"/>
  <c r="I463" i="3"/>
  <c r="T463" i="3"/>
  <c r="U463" i="3"/>
  <c r="J464" i="3"/>
  <c r="I464" i="3"/>
  <c r="T464" i="3"/>
  <c r="U464" i="3"/>
  <c r="J465" i="3"/>
  <c r="I465" i="3"/>
  <c r="T465" i="3"/>
  <c r="U465" i="3"/>
  <c r="J466" i="3"/>
  <c r="I466" i="3"/>
  <c r="T466" i="3"/>
  <c r="U466" i="3"/>
  <c r="J467" i="3"/>
  <c r="I467" i="3"/>
  <c r="T467" i="3"/>
  <c r="U467" i="3"/>
  <c r="J468" i="3"/>
  <c r="I468" i="3"/>
  <c r="T468" i="3"/>
  <c r="U468" i="3"/>
  <c r="J469" i="3"/>
  <c r="I469" i="3"/>
  <c r="T469" i="3"/>
  <c r="U469" i="3"/>
  <c r="J470" i="3"/>
  <c r="I470" i="3"/>
  <c r="T470" i="3"/>
  <c r="U470" i="3"/>
  <c r="J471" i="3"/>
  <c r="I471" i="3"/>
  <c r="T471" i="3"/>
  <c r="U471" i="3"/>
  <c r="J472" i="3"/>
  <c r="I472" i="3"/>
  <c r="T472" i="3"/>
  <c r="U472" i="3"/>
  <c r="J473" i="3"/>
  <c r="I473" i="3"/>
  <c r="T473" i="3"/>
  <c r="U473" i="3"/>
  <c r="J474" i="3"/>
  <c r="I474" i="3"/>
  <c r="T474" i="3"/>
  <c r="U474" i="3"/>
  <c r="J475" i="3"/>
  <c r="I475" i="3"/>
  <c r="T475" i="3"/>
  <c r="U475" i="3"/>
  <c r="J476" i="3"/>
  <c r="I476" i="3"/>
  <c r="T476" i="3"/>
  <c r="U476" i="3"/>
  <c r="J477" i="3"/>
  <c r="I477" i="3"/>
  <c r="T477" i="3"/>
  <c r="U477" i="3"/>
  <c r="J478" i="3"/>
  <c r="I478" i="3"/>
  <c r="T478" i="3"/>
  <c r="U478" i="3"/>
  <c r="J479" i="3"/>
  <c r="I479" i="3"/>
  <c r="T479" i="3"/>
  <c r="U479" i="3"/>
  <c r="J480" i="3"/>
  <c r="I480" i="3"/>
  <c r="T480" i="3"/>
  <c r="U480" i="3"/>
  <c r="J481" i="3"/>
  <c r="I481" i="3"/>
  <c r="T481" i="3"/>
  <c r="U481" i="3"/>
  <c r="J482" i="3"/>
  <c r="I482" i="3"/>
  <c r="T482" i="3"/>
  <c r="U482" i="3"/>
  <c r="J483" i="3"/>
  <c r="I483" i="3"/>
  <c r="T483" i="3"/>
  <c r="U483" i="3"/>
  <c r="J484" i="3"/>
  <c r="I484" i="3"/>
  <c r="T484" i="3"/>
  <c r="U484" i="3"/>
  <c r="J485" i="3"/>
  <c r="I485" i="3"/>
  <c r="T485" i="3"/>
  <c r="U485" i="3"/>
  <c r="J486" i="3"/>
  <c r="I486" i="3"/>
  <c r="T486" i="3"/>
  <c r="U486" i="3"/>
  <c r="J487" i="3"/>
  <c r="I487" i="3"/>
  <c r="T487" i="3"/>
  <c r="U487" i="3"/>
  <c r="J488" i="3"/>
  <c r="I488" i="3"/>
  <c r="T488" i="3"/>
  <c r="U488" i="3"/>
  <c r="J489" i="3"/>
  <c r="I489" i="3"/>
  <c r="T489" i="3"/>
  <c r="U489" i="3"/>
  <c r="J490" i="3"/>
  <c r="I490" i="3"/>
  <c r="T490" i="3"/>
  <c r="U490" i="3"/>
  <c r="J491" i="3"/>
  <c r="I491" i="3"/>
  <c r="T491" i="3"/>
  <c r="U491" i="3"/>
  <c r="J492" i="3"/>
  <c r="I492" i="3"/>
  <c r="T492" i="3"/>
  <c r="U492" i="3"/>
  <c r="J493" i="3"/>
  <c r="I493" i="3"/>
  <c r="T493" i="3"/>
  <c r="U493" i="3"/>
  <c r="J494" i="3"/>
  <c r="I494" i="3"/>
  <c r="T494" i="3"/>
  <c r="U494" i="3"/>
  <c r="J495" i="3"/>
  <c r="I495" i="3"/>
  <c r="T495" i="3"/>
  <c r="U495" i="3"/>
  <c r="J496" i="3"/>
  <c r="I496" i="3"/>
  <c r="T496" i="3"/>
  <c r="U496" i="3"/>
  <c r="J497" i="3"/>
  <c r="I497" i="3"/>
  <c r="T497" i="3"/>
  <c r="U497" i="3"/>
  <c r="J498" i="3"/>
  <c r="I498" i="3"/>
  <c r="T498" i="3"/>
  <c r="U498" i="3"/>
  <c r="J499" i="3"/>
  <c r="I499" i="3"/>
  <c r="T499" i="3"/>
  <c r="U499" i="3"/>
  <c r="J500" i="3"/>
  <c r="I500" i="3"/>
  <c r="T500" i="3"/>
  <c r="U500" i="3"/>
  <c r="J501" i="3"/>
  <c r="I501" i="3"/>
  <c r="T501" i="3"/>
  <c r="U501" i="3"/>
  <c r="J502" i="3"/>
  <c r="I502" i="3"/>
  <c r="T502" i="3"/>
  <c r="U502" i="3"/>
  <c r="J503" i="3"/>
  <c r="I503" i="3"/>
  <c r="T503" i="3"/>
  <c r="U503" i="3"/>
  <c r="J504" i="3"/>
  <c r="I504" i="3"/>
  <c r="T504" i="3"/>
  <c r="U504" i="3"/>
  <c r="J505" i="3"/>
  <c r="I505" i="3"/>
  <c r="T505" i="3"/>
  <c r="U505" i="3"/>
  <c r="J506" i="3"/>
  <c r="I506" i="3"/>
  <c r="T506" i="3"/>
  <c r="U506" i="3"/>
  <c r="J507" i="3"/>
  <c r="I507" i="3"/>
  <c r="T507" i="3"/>
  <c r="U507" i="3"/>
  <c r="J508" i="3"/>
  <c r="I508" i="3"/>
  <c r="T508" i="3"/>
  <c r="U508" i="3"/>
  <c r="J509" i="3"/>
  <c r="I509" i="3"/>
  <c r="T509" i="3"/>
  <c r="U509" i="3"/>
  <c r="J510" i="3"/>
  <c r="I510" i="3"/>
  <c r="T510" i="3"/>
  <c r="U510" i="3"/>
  <c r="J511" i="3"/>
  <c r="I511" i="3"/>
  <c r="T511" i="3"/>
  <c r="U511" i="3"/>
  <c r="J512" i="3"/>
  <c r="I512" i="3"/>
  <c r="T512" i="3"/>
  <c r="U512" i="3"/>
  <c r="J513" i="3"/>
  <c r="I513" i="3"/>
  <c r="T513" i="3"/>
  <c r="U513" i="3"/>
  <c r="J514" i="3"/>
  <c r="I514" i="3"/>
  <c r="T514" i="3"/>
  <c r="U514" i="3"/>
  <c r="J515" i="3"/>
  <c r="I515" i="3"/>
  <c r="T515" i="3"/>
  <c r="U515" i="3"/>
  <c r="J516" i="3"/>
  <c r="I516" i="3"/>
  <c r="T516" i="3"/>
  <c r="U516" i="3"/>
  <c r="J517" i="3"/>
  <c r="I517" i="3"/>
  <c r="T517" i="3"/>
  <c r="U517" i="3"/>
  <c r="J518" i="3"/>
  <c r="I518" i="3"/>
  <c r="T518" i="3"/>
  <c r="U518" i="3"/>
  <c r="J519" i="3"/>
  <c r="I519" i="3"/>
  <c r="T519" i="3"/>
  <c r="U519" i="3"/>
  <c r="J520" i="3"/>
  <c r="I520" i="3"/>
  <c r="T520" i="3"/>
  <c r="U520" i="3"/>
  <c r="J521" i="3"/>
  <c r="I521" i="3"/>
  <c r="T521" i="3"/>
  <c r="U521" i="3"/>
  <c r="J522" i="3"/>
  <c r="I522" i="3"/>
  <c r="T522" i="3"/>
  <c r="U522" i="3"/>
  <c r="J523" i="3"/>
  <c r="I523" i="3"/>
  <c r="T523" i="3"/>
  <c r="U523" i="3"/>
  <c r="J524" i="3"/>
  <c r="I524" i="3"/>
  <c r="T524" i="3"/>
  <c r="U524" i="3"/>
  <c r="J525" i="3"/>
  <c r="I525" i="3"/>
  <c r="T525" i="3"/>
  <c r="U525" i="3"/>
  <c r="J526" i="3"/>
  <c r="I526" i="3"/>
  <c r="T526" i="3"/>
  <c r="U526" i="3"/>
  <c r="J527" i="3"/>
  <c r="I527" i="3"/>
  <c r="T527" i="3"/>
  <c r="U527" i="3"/>
  <c r="J528" i="3"/>
  <c r="I528" i="3"/>
  <c r="T528" i="3"/>
  <c r="U528" i="3"/>
  <c r="J529" i="3"/>
  <c r="I529" i="3"/>
  <c r="T529" i="3"/>
  <c r="U529" i="3"/>
  <c r="J530" i="3"/>
  <c r="I530" i="3"/>
  <c r="T530" i="3"/>
  <c r="U530" i="3"/>
  <c r="J531" i="3"/>
  <c r="I531" i="3"/>
  <c r="T531" i="3"/>
  <c r="U531" i="3"/>
  <c r="J532" i="3"/>
  <c r="I532" i="3"/>
  <c r="T532" i="3"/>
  <c r="U532" i="3"/>
  <c r="J533" i="3"/>
  <c r="I533" i="3"/>
  <c r="T533" i="3"/>
  <c r="U533" i="3"/>
  <c r="J534" i="3"/>
  <c r="I534" i="3"/>
  <c r="T534" i="3"/>
  <c r="U534" i="3"/>
  <c r="J535" i="3"/>
  <c r="I535" i="3"/>
  <c r="T535" i="3"/>
  <c r="U535" i="3"/>
  <c r="J536" i="3"/>
  <c r="I536" i="3"/>
  <c r="T536" i="3"/>
  <c r="U536" i="3"/>
  <c r="J537" i="3"/>
  <c r="I537" i="3"/>
  <c r="T537" i="3"/>
  <c r="U537" i="3"/>
  <c r="J538" i="3"/>
  <c r="I538" i="3"/>
  <c r="T538" i="3"/>
  <c r="U538" i="3"/>
  <c r="J539" i="3"/>
  <c r="I539" i="3"/>
  <c r="T539" i="3"/>
  <c r="U539" i="3"/>
  <c r="J540" i="3"/>
  <c r="I540" i="3"/>
  <c r="T540" i="3"/>
  <c r="U540" i="3"/>
  <c r="J541" i="3"/>
  <c r="I541" i="3"/>
  <c r="T541" i="3"/>
  <c r="U541" i="3"/>
  <c r="J542" i="3"/>
  <c r="I542" i="3"/>
  <c r="T542" i="3"/>
  <c r="U542" i="3"/>
  <c r="J543" i="3"/>
  <c r="I543" i="3"/>
  <c r="T543" i="3"/>
  <c r="U543" i="3"/>
  <c r="J544" i="3"/>
  <c r="I544" i="3"/>
  <c r="T544" i="3"/>
  <c r="U544" i="3"/>
  <c r="J545" i="3"/>
  <c r="I545" i="3"/>
  <c r="T545" i="3"/>
  <c r="U545" i="3"/>
  <c r="J546" i="3"/>
  <c r="I546" i="3"/>
  <c r="T546" i="3"/>
  <c r="U546" i="3"/>
  <c r="J547" i="3"/>
  <c r="I547" i="3"/>
  <c r="T547" i="3"/>
  <c r="U547" i="3"/>
  <c r="J548" i="3"/>
  <c r="I548" i="3"/>
  <c r="T548" i="3"/>
  <c r="U548" i="3"/>
  <c r="J549" i="3"/>
  <c r="I549" i="3"/>
  <c r="T549" i="3"/>
  <c r="U549" i="3"/>
  <c r="J550" i="3"/>
  <c r="I550" i="3"/>
  <c r="T550" i="3"/>
  <c r="U550" i="3"/>
  <c r="J551" i="3"/>
  <c r="I551" i="3"/>
  <c r="T551" i="3"/>
  <c r="U551" i="3"/>
  <c r="J552" i="3"/>
  <c r="I552" i="3"/>
  <c r="T552" i="3"/>
  <c r="U552" i="3"/>
  <c r="J553" i="3"/>
  <c r="I553" i="3"/>
  <c r="T553" i="3"/>
  <c r="U553" i="3"/>
  <c r="J554" i="3"/>
  <c r="I554" i="3"/>
  <c r="T554" i="3"/>
  <c r="U554" i="3"/>
  <c r="J555" i="3"/>
  <c r="I555" i="3"/>
  <c r="T555" i="3"/>
  <c r="U555" i="3"/>
  <c r="J556" i="3"/>
  <c r="I556" i="3"/>
  <c r="T556" i="3"/>
  <c r="U556" i="3"/>
  <c r="J557" i="3"/>
  <c r="I557" i="3"/>
  <c r="T557" i="3"/>
  <c r="U557" i="3"/>
  <c r="J558" i="3"/>
  <c r="I558" i="3"/>
  <c r="T558" i="3"/>
  <c r="U558" i="3"/>
  <c r="J559" i="3"/>
  <c r="I559" i="3"/>
  <c r="T559" i="3"/>
  <c r="U559" i="3"/>
  <c r="J560" i="3"/>
  <c r="I560" i="3"/>
  <c r="T560" i="3"/>
  <c r="U560" i="3"/>
  <c r="J561" i="3"/>
  <c r="I561" i="3"/>
  <c r="T561" i="3"/>
  <c r="U561" i="3"/>
  <c r="J562" i="3"/>
  <c r="I562" i="3"/>
  <c r="T562" i="3"/>
  <c r="U562" i="3"/>
  <c r="J563" i="3"/>
  <c r="I563" i="3"/>
  <c r="T563" i="3"/>
  <c r="U563" i="3"/>
  <c r="J564" i="3"/>
  <c r="I564" i="3"/>
  <c r="T564" i="3"/>
  <c r="U564" i="3"/>
  <c r="J565" i="3"/>
  <c r="I565" i="3"/>
  <c r="T565" i="3"/>
  <c r="U565" i="3"/>
  <c r="J566" i="3"/>
  <c r="I566" i="3"/>
  <c r="T566" i="3"/>
  <c r="U566" i="3"/>
  <c r="J567" i="3"/>
  <c r="I567" i="3"/>
  <c r="T567" i="3"/>
  <c r="U567" i="3"/>
  <c r="J568" i="3"/>
  <c r="I568" i="3"/>
  <c r="T568" i="3"/>
  <c r="U568" i="3"/>
  <c r="J569" i="3"/>
  <c r="I569" i="3"/>
  <c r="T569" i="3"/>
  <c r="U569" i="3"/>
  <c r="J570" i="3"/>
  <c r="I570" i="3"/>
  <c r="T570" i="3"/>
  <c r="U570" i="3"/>
  <c r="J571" i="3"/>
  <c r="I571" i="3"/>
  <c r="T571" i="3"/>
  <c r="U571" i="3"/>
  <c r="J572" i="3"/>
  <c r="I572" i="3"/>
  <c r="T572" i="3"/>
  <c r="U572" i="3"/>
  <c r="J573" i="3"/>
  <c r="I573" i="3"/>
  <c r="T573" i="3"/>
  <c r="U573" i="3"/>
  <c r="J574" i="3"/>
  <c r="I574" i="3"/>
  <c r="T574" i="3"/>
  <c r="U574" i="3"/>
  <c r="J575" i="3"/>
  <c r="I575" i="3"/>
  <c r="T575" i="3"/>
  <c r="U575" i="3"/>
  <c r="J576" i="3"/>
  <c r="I576" i="3"/>
  <c r="T576" i="3"/>
  <c r="U576" i="3"/>
  <c r="J577" i="3"/>
  <c r="I577" i="3"/>
  <c r="T577" i="3"/>
  <c r="U577" i="3"/>
  <c r="J578" i="3"/>
  <c r="I578" i="3"/>
  <c r="T578" i="3"/>
  <c r="U578" i="3"/>
  <c r="J579" i="3"/>
  <c r="I579" i="3"/>
  <c r="T579" i="3"/>
  <c r="U579" i="3"/>
  <c r="J580" i="3"/>
  <c r="I580" i="3"/>
  <c r="T580" i="3"/>
  <c r="U580" i="3"/>
  <c r="J581" i="3"/>
  <c r="I581" i="3"/>
  <c r="T581" i="3"/>
  <c r="U581" i="3"/>
  <c r="J582" i="3"/>
  <c r="I582" i="3"/>
  <c r="T582" i="3"/>
  <c r="U582" i="3"/>
  <c r="J583" i="3"/>
  <c r="I583" i="3"/>
  <c r="T583" i="3"/>
  <c r="U583" i="3"/>
  <c r="J584" i="3"/>
  <c r="I584" i="3"/>
  <c r="T584" i="3"/>
  <c r="U584" i="3"/>
  <c r="J585" i="3"/>
  <c r="I585" i="3"/>
  <c r="T585" i="3"/>
  <c r="U585" i="3"/>
  <c r="J586" i="3"/>
  <c r="I586" i="3"/>
  <c r="T586" i="3"/>
  <c r="U586" i="3"/>
  <c r="J587" i="3"/>
  <c r="I587" i="3"/>
  <c r="T587" i="3"/>
  <c r="U587" i="3"/>
  <c r="J588" i="3"/>
  <c r="I588" i="3"/>
  <c r="T588" i="3"/>
  <c r="U588" i="3"/>
  <c r="J589" i="3"/>
  <c r="I589" i="3"/>
  <c r="T589" i="3"/>
  <c r="U589" i="3"/>
  <c r="J590" i="3"/>
  <c r="I590" i="3"/>
  <c r="T590" i="3"/>
  <c r="U590" i="3"/>
  <c r="J591" i="3"/>
  <c r="I591" i="3"/>
  <c r="T591" i="3"/>
  <c r="U591" i="3"/>
  <c r="J592" i="3"/>
  <c r="I592" i="3"/>
  <c r="T592" i="3"/>
  <c r="U592" i="3"/>
  <c r="J593" i="3"/>
  <c r="I593" i="3"/>
  <c r="T593" i="3"/>
  <c r="U593" i="3"/>
  <c r="J594" i="3"/>
  <c r="I594" i="3"/>
  <c r="T594" i="3"/>
  <c r="U594" i="3"/>
  <c r="J595" i="3"/>
  <c r="I595" i="3"/>
  <c r="T595" i="3"/>
  <c r="U595" i="3"/>
  <c r="J596" i="3"/>
  <c r="I596" i="3"/>
  <c r="T596" i="3"/>
  <c r="U596" i="3"/>
  <c r="J597" i="3"/>
  <c r="I597" i="3"/>
  <c r="T597" i="3"/>
  <c r="U597" i="3"/>
  <c r="J598" i="3"/>
  <c r="I598" i="3"/>
  <c r="T598" i="3"/>
  <c r="U598" i="3"/>
  <c r="J599" i="3"/>
  <c r="I599" i="3"/>
  <c r="T599" i="3"/>
  <c r="U599" i="3"/>
  <c r="J600" i="3"/>
  <c r="I600" i="3"/>
  <c r="T600" i="3"/>
  <c r="U600" i="3"/>
  <c r="J601" i="3"/>
  <c r="I601" i="3"/>
  <c r="T601" i="3"/>
  <c r="U601" i="3"/>
  <c r="J602" i="3"/>
  <c r="I602" i="3"/>
  <c r="T602" i="3"/>
  <c r="U602" i="3"/>
  <c r="J603" i="3"/>
  <c r="I603" i="3"/>
  <c r="T603" i="3"/>
  <c r="U603" i="3"/>
  <c r="J604" i="3"/>
  <c r="I604" i="3"/>
  <c r="T604" i="3"/>
  <c r="U604" i="3"/>
  <c r="J605" i="3"/>
  <c r="I605" i="3"/>
  <c r="T605" i="3"/>
  <c r="U605" i="3"/>
  <c r="J606" i="3"/>
  <c r="I606" i="3"/>
  <c r="T606" i="3"/>
  <c r="U606" i="3"/>
  <c r="J607" i="3"/>
  <c r="I607" i="3"/>
  <c r="T607" i="3"/>
  <c r="U607" i="3"/>
  <c r="J608" i="3"/>
  <c r="I608" i="3"/>
  <c r="T608" i="3"/>
  <c r="U608" i="3"/>
  <c r="J609" i="3"/>
  <c r="I609" i="3"/>
  <c r="T609" i="3"/>
  <c r="U609" i="3"/>
  <c r="J610" i="3"/>
  <c r="I610" i="3"/>
  <c r="T610" i="3"/>
  <c r="U610" i="3"/>
  <c r="J611" i="3"/>
  <c r="I611" i="3"/>
  <c r="T611" i="3"/>
  <c r="U611" i="3"/>
  <c r="T612" i="3"/>
  <c r="U612" i="3"/>
  <c r="S612" i="3"/>
  <c r="W612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230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S230" i="3"/>
  <c r="X230" i="3"/>
  <c r="S22" i="3"/>
  <c r="X22" i="3"/>
  <c r="Y22" i="3"/>
  <c r="Z22" i="3"/>
  <c r="AA22" i="3"/>
  <c r="AC22" i="3"/>
  <c r="S23" i="3"/>
  <c r="X23" i="3"/>
  <c r="Z23" i="3"/>
  <c r="AA23" i="3"/>
  <c r="AC23" i="3"/>
  <c r="S24" i="3"/>
  <c r="X24" i="3"/>
  <c r="Z24" i="3"/>
  <c r="AA24" i="3"/>
  <c r="AC24" i="3"/>
  <c r="S25" i="3"/>
  <c r="X25" i="3"/>
  <c r="Z25" i="3"/>
  <c r="AA25" i="3"/>
  <c r="AC25" i="3"/>
  <c r="S26" i="3"/>
  <c r="X26" i="3"/>
  <c r="Z26" i="3"/>
  <c r="AA26" i="3"/>
  <c r="AC26" i="3"/>
  <c r="S27" i="3"/>
  <c r="X27" i="3"/>
  <c r="Z27" i="3"/>
  <c r="AA27" i="3"/>
  <c r="AC27" i="3"/>
  <c r="S28" i="3"/>
  <c r="X28" i="3"/>
  <c r="Z28" i="3"/>
  <c r="AA28" i="3"/>
  <c r="AC28" i="3"/>
  <c r="S29" i="3"/>
  <c r="X29" i="3"/>
  <c r="Z29" i="3"/>
  <c r="AA29" i="3"/>
  <c r="AC29" i="3"/>
  <c r="S30" i="3"/>
  <c r="X30" i="3"/>
  <c r="Z30" i="3"/>
  <c r="AA30" i="3"/>
  <c r="AC30" i="3"/>
  <c r="S31" i="3"/>
  <c r="X31" i="3"/>
  <c r="Z31" i="3"/>
  <c r="AA31" i="3"/>
  <c r="AC31" i="3"/>
  <c r="S32" i="3"/>
  <c r="X32" i="3"/>
  <c r="Z32" i="3"/>
  <c r="AA32" i="3"/>
  <c r="AC32" i="3"/>
  <c r="S33" i="3"/>
  <c r="X33" i="3"/>
  <c r="Z33" i="3"/>
  <c r="AA33" i="3"/>
  <c r="AC33" i="3"/>
  <c r="S34" i="3"/>
  <c r="X34" i="3"/>
  <c r="Z34" i="3"/>
  <c r="AA34" i="3"/>
  <c r="AC34" i="3"/>
  <c r="S35" i="3"/>
  <c r="X35" i="3"/>
  <c r="Z35" i="3"/>
  <c r="AA35" i="3"/>
  <c r="AC35" i="3"/>
  <c r="S36" i="3"/>
  <c r="X36" i="3"/>
  <c r="Z36" i="3"/>
  <c r="AA36" i="3"/>
  <c r="AC36" i="3"/>
  <c r="S37" i="3"/>
  <c r="X37" i="3"/>
  <c r="Z37" i="3"/>
  <c r="AA37" i="3"/>
  <c r="AC37" i="3"/>
  <c r="S38" i="3"/>
  <c r="X38" i="3"/>
  <c r="Z38" i="3"/>
  <c r="AA38" i="3"/>
  <c r="AC38" i="3"/>
  <c r="S39" i="3"/>
  <c r="X39" i="3"/>
  <c r="Z39" i="3"/>
  <c r="AA39" i="3"/>
  <c r="AC39" i="3"/>
  <c r="S40" i="3"/>
  <c r="X40" i="3"/>
  <c r="Z40" i="3"/>
  <c r="AA40" i="3"/>
  <c r="AC40" i="3"/>
  <c r="S41" i="3"/>
  <c r="X41" i="3"/>
  <c r="Z41" i="3"/>
  <c r="AA41" i="3"/>
  <c r="AC41" i="3"/>
  <c r="S42" i="3"/>
  <c r="X42" i="3"/>
  <c r="Z42" i="3"/>
  <c r="AA42" i="3"/>
  <c r="AC42" i="3"/>
  <c r="S43" i="3"/>
  <c r="X43" i="3"/>
  <c r="Z43" i="3"/>
  <c r="AA43" i="3"/>
  <c r="AC43" i="3"/>
  <c r="S44" i="3"/>
  <c r="X44" i="3"/>
  <c r="Z44" i="3"/>
  <c r="AA44" i="3"/>
  <c r="AC44" i="3"/>
  <c r="S45" i="3"/>
  <c r="X45" i="3"/>
  <c r="Z45" i="3"/>
  <c r="AA45" i="3"/>
  <c r="AC45" i="3"/>
  <c r="S46" i="3"/>
  <c r="X46" i="3"/>
  <c r="Z46" i="3"/>
  <c r="AA46" i="3"/>
  <c r="AC46" i="3"/>
  <c r="S47" i="3"/>
  <c r="X47" i="3"/>
  <c r="Z47" i="3"/>
  <c r="AA47" i="3"/>
  <c r="AC47" i="3"/>
  <c r="S48" i="3"/>
  <c r="X48" i="3"/>
  <c r="Z48" i="3"/>
  <c r="AA48" i="3"/>
  <c r="AC48" i="3"/>
  <c r="S49" i="3"/>
  <c r="X49" i="3"/>
  <c r="Z49" i="3"/>
  <c r="AA49" i="3"/>
  <c r="AC49" i="3"/>
  <c r="S50" i="3"/>
  <c r="X50" i="3"/>
  <c r="Z50" i="3"/>
  <c r="AA50" i="3"/>
  <c r="AC50" i="3"/>
  <c r="S51" i="3"/>
  <c r="X51" i="3"/>
  <c r="Z51" i="3"/>
  <c r="AA51" i="3"/>
  <c r="AC51" i="3"/>
  <c r="S52" i="3"/>
  <c r="X52" i="3"/>
  <c r="Z52" i="3"/>
  <c r="AA52" i="3"/>
  <c r="AC52" i="3"/>
  <c r="S53" i="3"/>
  <c r="X53" i="3"/>
  <c r="Z53" i="3"/>
  <c r="AA53" i="3"/>
  <c r="AC53" i="3"/>
  <c r="S54" i="3"/>
  <c r="X54" i="3"/>
  <c r="Z54" i="3"/>
  <c r="AA54" i="3"/>
  <c r="AC54" i="3"/>
  <c r="S55" i="3"/>
  <c r="X55" i="3"/>
  <c r="Z55" i="3"/>
  <c r="AA55" i="3"/>
  <c r="AC55" i="3"/>
  <c r="S56" i="3"/>
  <c r="X56" i="3"/>
  <c r="Z56" i="3"/>
  <c r="AA56" i="3"/>
  <c r="AC56" i="3"/>
  <c r="S57" i="3"/>
  <c r="X57" i="3"/>
  <c r="Z57" i="3"/>
  <c r="AA57" i="3"/>
  <c r="AC57" i="3"/>
  <c r="S58" i="3"/>
  <c r="X58" i="3"/>
  <c r="Z58" i="3"/>
  <c r="AA58" i="3"/>
  <c r="AC58" i="3"/>
  <c r="S59" i="3"/>
  <c r="X59" i="3"/>
  <c r="Z59" i="3"/>
  <c r="AA59" i="3"/>
  <c r="AC59" i="3"/>
  <c r="S60" i="3"/>
  <c r="X60" i="3"/>
  <c r="Z60" i="3"/>
  <c r="AA60" i="3"/>
  <c r="AC60" i="3"/>
  <c r="S61" i="3"/>
  <c r="X61" i="3"/>
  <c r="Z61" i="3"/>
  <c r="AA61" i="3"/>
  <c r="AC61" i="3"/>
  <c r="S62" i="3"/>
  <c r="X62" i="3"/>
  <c r="Z62" i="3"/>
  <c r="AA62" i="3"/>
  <c r="AC62" i="3"/>
  <c r="S63" i="3"/>
  <c r="X63" i="3"/>
  <c r="Z63" i="3"/>
  <c r="AA63" i="3"/>
  <c r="AC63" i="3"/>
  <c r="S64" i="3"/>
  <c r="X64" i="3"/>
  <c r="Z64" i="3"/>
  <c r="AA64" i="3"/>
  <c r="AC64" i="3"/>
  <c r="S65" i="3"/>
  <c r="X65" i="3"/>
  <c r="Z65" i="3"/>
  <c r="AA65" i="3"/>
  <c r="AC65" i="3"/>
  <c r="S66" i="3"/>
  <c r="X66" i="3"/>
  <c r="Z66" i="3"/>
  <c r="AA66" i="3"/>
  <c r="AC66" i="3"/>
  <c r="S67" i="3"/>
  <c r="X67" i="3"/>
  <c r="Z67" i="3"/>
  <c r="AA67" i="3"/>
  <c r="AC67" i="3"/>
  <c r="S68" i="3"/>
  <c r="X68" i="3"/>
  <c r="Z68" i="3"/>
  <c r="AA68" i="3"/>
  <c r="AC68" i="3"/>
  <c r="S69" i="3"/>
  <c r="X69" i="3"/>
  <c r="Z69" i="3"/>
  <c r="AA69" i="3"/>
  <c r="AC69" i="3"/>
  <c r="S70" i="3"/>
  <c r="X70" i="3"/>
  <c r="Z70" i="3"/>
  <c r="AA70" i="3"/>
  <c r="AC70" i="3"/>
  <c r="S71" i="3"/>
  <c r="X71" i="3"/>
  <c r="Z71" i="3"/>
  <c r="AA71" i="3"/>
  <c r="AC71" i="3"/>
  <c r="S72" i="3"/>
  <c r="X72" i="3"/>
  <c r="Z72" i="3"/>
  <c r="AA72" i="3"/>
  <c r="AC72" i="3"/>
  <c r="S73" i="3"/>
  <c r="X73" i="3"/>
  <c r="Z73" i="3"/>
  <c r="AA73" i="3"/>
  <c r="AC73" i="3"/>
  <c r="S74" i="3"/>
  <c r="X74" i="3"/>
  <c r="Z74" i="3"/>
  <c r="AA74" i="3"/>
  <c r="AC74" i="3"/>
  <c r="S75" i="3"/>
  <c r="X75" i="3"/>
  <c r="Z75" i="3"/>
  <c r="AA75" i="3"/>
  <c r="AC75" i="3"/>
  <c r="S76" i="3"/>
  <c r="X76" i="3"/>
  <c r="Z76" i="3"/>
  <c r="AA76" i="3"/>
  <c r="AC76" i="3"/>
  <c r="S77" i="3"/>
  <c r="X77" i="3"/>
  <c r="Z77" i="3"/>
  <c r="AA77" i="3"/>
  <c r="AC77" i="3"/>
  <c r="S78" i="3"/>
  <c r="X78" i="3"/>
  <c r="Z78" i="3"/>
  <c r="AA78" i="3"/>
  <c r="AC78" i="3"/>
  <c r="S79" i="3"/>
  <c r="X79" i="3"/>
  <c r="Z79" i="3"/>
  <c r="AA79" i="3"/>
  <c r="AC79" i="3"/>
  <c r="S80" i="3"/>
  <c r="X80" i="3"/>
  <c r="Z80" i="3"/>
  <c r="AA80" i="3"/>
  <c r="AC80" i="3"/>
  <c r="S81" i="3"/>
  <c r="X81" i="3"/>
  <c r="Z81" i="3"/>
  <c r="AA81" i="3"/>
  <c r="AC81" i="3"/>
  <c r="S82" i="3"/>
  <c r="X82" i="3"/>
  <c r="Z82" i="3"/>
  <c r="AA82" i="3"/>
  <c r="AC82" i="3"/>
  <c r="S83" i="3"/>
  <c r="X83" i="3"/>
  <c r="Z83" i="3"/>
  <c r="AA83" i="3"/>
  <c r="AC83" i="3"/>
  <c r="S84" i="3"/>
  <c r="X84" i="3"/>
  <c r="Z84" i="3"/>
  <c r="AA84" i="3"/>
  <c r="AC84" i="3"/>
  <c r="S85" i="3"/>
  <c r="X85" i="3"/>
  <c r="Z85" i="3"/>
  <c r="AA85" i="3"/>
  <c r="AC85" i="3"/>
  <c r="S86" i="3"/>
  <c r="X86" i="3"/>
  <c r="Z86" i="3"/>
  <c r="AA86" i="3"/>
  <c r="AC86" i="3"/>
  <c r="S87" i="3"/>
  <c r="X87" i="3"/>
  <c r="Z87" i="3"/>
  <c r="AA87" i="3"/>
  <c r="AC87" i="3"/>
  <c r="S88" i="3"/>
  <c r="X88" i="3"/>
  <c r="Z88" i="3"/>
  <c r="AA88" i="3"/>
  <c r="AC88" i="3"/>
  <c r="S89" i="3"/>
  <c r="X89" i="3"/>
  <c r="Z89" i="3"/>
  <c r="AA89" i="3"/>
  <c r="AC89" i="3"/>
  <c r="S90" i="3"/>
  <c r="X90" i="3"/>
  <c r="Z90" i="3"/>
  <c r="AA90" i="3"/>
  <c r="AC90" i="3"/>
  <c r="S91" i="3"/>
  <c r="X91" i="3"/>
  <c r="Z91" i="3"/>
  <c r="AA91" i="3"/>
  <c r="AC91" i="3"/>
  <c r="S92" i="3"/>
  <c r="X92" i="3"/>
  <c r="Z92" i="3"/>
  <c r="AA92" i="3"/>
  <c r="AC92" i="3"/>
  <c r="S93" i="3"/>
  <c r="X93" i="3"/>
  <c r="Z93" i="3"/>
  <c r="AA93" i="3"/>
  <c r="AC93" i="3"/>
  <c r="S94" i="3"/>
  <c r="X94" i="3"/>
  <c r="Z94" i="3"/>
  <c r="AA94" i="3"/>
  <c r="AC94" i="3"/>
  <c r="S95" i="3"/>
  <c r="X95" i="3"/>
  <c r="Z95" i="3"/>
  <c r="AA95" i="3"/>
  <c r="AC95" i="3"/>
  <c r="S96" i="3"/>
  <c r="X96" i="3"/>
  <c r="Z96" i="3"/>
  <c r="AA96" i="3"/>
  <c r="AC96" i="3"/>
  <c r="S97" i="3"/>
  <c r="X97" i="3"/>
  <c r="Z97" i="3"/>
  <c r="AA97" i="3"/>
  <c r="AC97" i="3"/>
  <c r="S98" i="3"/>
  <c r="X98" i="3"/>
  <c r="Z98" i="3"/>
  <c r="AA98" i="3"/>
  <c r="AC98" i="3"/>
  <c r="S99" i="3"/>
  <c r="X99" i="3"/>
  <c r="Z99" i="3"/>
  <c r="AA99" i="3"/>
  <c r="AC99" i="3"/>
  <c r="S100" i="3"/>
  <c r="X100" i="3"/>
  <c r="Z100" i="3"/>
  <c r="AA100" i="3"/>
  <c r="AC100" i="3"/>
  <c r="S101" i="3"/>
  <c r="X101" i="3"/>
  <c r="Z101" i="3"/>
  <c r="AA101" i="3"/>
  <c r="AC101" i="3"/>
  <c r="S102" i="3"/>
  <c r="X102" i="3"/>
  <c r="Z102" i="3"/>
  <c r="AA102" i="3"/>
  <c r="AC102" i="3"/>
  <c r="S103" i="3"/>
  <c r="X103" i="3"/>
  <c r="Z103" i="3"/>
  <c r="AA103" i="3"/>
  <c r="AC103" i="3"/>
  <c r="S104" i="3"/>
  <c r="X104" i="3"/>
  <c r="Z104" i="3"/>
  <c r="AA104" i="3"/>
  <c r="AC104" i="3"/>
  <c r="S105" i="3"/>
  <c r="X105" i="3"/>
  <c r="Z105" i="3"/>
  <c r="AA105" i="3"/>
  <c r="AC105" i="3"/>
  <c r="S106" i="3"/>
  <c r="X106" i="3"/>
  <c r="Z106" i="3"/>
  <c r="AA106" i="3"/>
  <c r="AC106" i="3"/>
  <c r="S107" i="3"/>
  <c r="X107" i="3"/>
  <c r="Z107" i="3"/>
  <c r="AA107" i="3"/>
  <c r="AC107" i="3"/>
  <c r="S108" i="3"/>
  <c r="X108" i="3"/>
  <c r="Z108" i="3"/>
  <c r="AA108" i="3"/>
  <c r="AC108" i="3"/>
  <c r="S109" i="3"/>
  <c r="X109" i="3"/>
  <c r="Z109" i="3"/>
  <c r="AA109" i="3"/>
  <c r="AC109" i="3"/>
  <c r="S110" i="3"/>
  <c r="X110" i="3"/>
  <c r="Z110" i="3"/>
  <c r="AA110" i="3"/>
  <c r="AC110" i="3"/>
  <c r="S111" i="3"/>
  <c r="X111" i="3"/>
  <c r="Z111" i="3"/>
  <c r="AA111" i="3"/>
  <c r="AC111" i="3"/>
  <c r="S112" i="3"/>
  <c r="X112" i="3"/>
  <c r="Z112" i="3"/>
  <c r="AA112" i="3"/>
  <c r="AC112" i="3"/>
  <c r="S113" i="3"/>
  <c r="X113" i="3"/>
  <c r="Z113" i="3"/>
  <c r="AA113" i="3"/>
  <c r="AC113" i="3"/>
  <c r="S114" i="3"/>
  <c r="X114" i="3"/>
  <c r="Z114" i="3"/>
  <c r="AA114" i="3"/>
  <c r="AC114" i="3"/>
  <c r="S115" i="3"/>
  <c r="X115" i="3"/>
  <c r="Z115" i="3"/>
  <c r="AA115" i="3"/>
  <c r="AC115" i="3"/>
  <c r="S116" i="3"/>
  <c r="X116" i="3"/>
  <c r="Z116" i="3"/>
  <c r="AA116" i="3"/>
  <c r="AC116" i="3"/>
  <c r="S117" i="3"/>
  <c r="X117" i="3"/>
  <c r="Z117" i="3"/>
  <c r="AA117" i="3"/>
  <c r="AC117" i="3"/>
  <c r="S118" i="3"/>
  <c r="X118" i="3"/>
  <c r="Z118" i="3"/>
  <c r="AA118" i="3"/>
  <c r="AC118" i="3"/>
  <c r="S119" i="3"/>
  <c r="X119" i="3"/>
  <c r="Z119" i="3"/>
  <c r="AA119" i="3"/>
  <c r="AC119" i="3"/>
  <c r="S120" i="3"/>
  <c r="X120" i="3"/>
  <c r="Z120" i="3"/>
  <c r="AA120" i="3"/>
  <c r="AC120" i="3"/>
  <c r="S121" i="3"/>
  <c r="X121" i="3"/>
  <c r="Z121" i="3"/>
  <c r="AA121" i="3"/>
  <c r="AC121" i="3"/>
  <c r="S122" i="3"/>
  <c r="X122" i="3"/>
  <c r="Z122" i="3"/>
  <c r="AA122" i="3"/>
  <c r="AC122" i="3"/>
  <c r="S123" i="3"/>
  <c r="X123" i="3"/>
  <c r="Z123" i="3"/>
  <c r="AA123" i="3"/>
  <c r="AC123" i="3"/>
  <c r="S124" i="3"/>
  <c r="X124" i="3"/>
  <c r="Z124" i="3"/>
  <c r="AA124" i="3"/>
  <c r="AC124" i="3"/>
  <c r="S125" i="3"/>
  <c r="X125" i="3"/>
  <c r="Z125" i="3"/>
  <c r="AA125" i="3"/>
  <c r="AC125" i="3"/>
  <c r="S126" i="3"/>
  <c r="X126" i="3"/>
  <c r="Z126" i="3"/>
  <c r="AA126" i="3"/>
  <c r="AC126" i="3"/>
  <c r="S127" i="3"/>
  <c r="X127" i="3"/>
  <c r="Z127" i="3"/>
  <c r="AA127" i="3"/>
  <c r="AC127" i="3"/>
  <c r="S128" i="3"/>
  <c r="X128" i="3"/>
  <c r="Z128" i="3"/>
  <c r="AA128" i="3"/>
  <c r="AC128" i="3"/>
  <c r="S129" i="3"/>
  <c r="X129" i="3"/>
  <c r="Z129" i="3"/>
  <c r="AA129" i="3"/>
  <c r="AC129" i="3"/>
  <c r="S130" i="3"/>
  <c r="X130" i="3"/>
  <c r="Z130" i="3"/>
  <c r="AA130" i="3"/>
  <c r="AC130" i="3"/>
  <c r="S131" i="3"/>
  <c r="X131" i="3"/>
  <c r="Z131" i="3"/>
  <c r="AA131" i="3"/>
  <c r="AC131" i="3"/>
  <c r="S132" i="3"/>
  <c r="X132" i="3"/>
  <c r="Z132" i="3"/>
  <c r="AA132" i="3"/>
  <c r="AC132" i="3"/>
  <c r="S133" i="3"/>
  <c r="X133" i="3"/>
  <c r="Z133" i="3"/>
  <c r="AA133" i="3"/>
  <c r="AC133" i="3"/>
  <c r="S134" i="3"/>
  <c r="X134" i="3"/>
  <c r="Z134" i="3"/>
  <c r="AA134" i="3"/>
  <c r="AC134" i="3"/>
  <c r="S135" i="3"/>
  <c r="X135" i="3"/>
  <c r="Z135" i="3"/>
  <c r="AA135" i="3"/>
  <c r="AC135" i="3"/>
  <c r="S136" i="3"/>
  <c r="X136" i="3"/>
  <c r="Z136" i="3"/>
  <c r="AA136" i="3"/>
  <c r="AC136" i="3"/>
  <c r="S137" i="3"/>
  <c r="X137" i="3"/>
  <c r="Z137" i="3"/>
  <c r="AA137" i="3"/>
  <c r="AC137" i="3"/>
  <c r="S138" i="3"/>
  <c r="X138" i="3"/>
  <c r="Z138" i="3"/>
  <c r="AA138" i="3"/>
  <c r="AC138" i="3"/>
  <c r="S139" i="3"/>
  <c r="X139" i="3"/>
  <c r="Z139" i="3"/>
  <c r="AA139" i="3"/>
  <c r="AC139" i="3"/>
  <c r="S140" i="3"/>
  <c r="X140" i="3"/>
  <c r="Z140" i="3"/>
  <c r="AA140" i="3"/>
  <c r="AC140" i="3"/>
  <c r="S141" i="3"/>
  <c r="X141" i="3"/>
  <c r="Z141" i="3"/>
  <c r="AA141" i="3"/>
  <c r="AC141" i="3"/>
  <c r="S142" i="3"/>
  <c r="X142" i="3"/>
  <c r="Z142" i="3"/>
  <c r="AA142" i="3"/>
  <c r="AC142" i="3"/>
  <c r="S143" i="3"/>
  <c r="X143" i="3"/>
  <c r="Z143" i="3"/>
  <c r="AA143" i="3"/>
  <c r="AC143" i="3"/>
  <c r="S144" i="3"/>
  <c r="X144" i="3"/>
  <c r="Z144" i="3"/>
  <c r="AA144" i="3"/>
  <c r="AC144" i="3"/>
  <c r="S145" i="3"/>
  <c r="X145" i="3"/>
  <c r="Z145" i="3"/>
  <c r="AA145" i="3"/>
  <c r="AC145" i="3"/>
  <c r="S146" i="3"/>
  <c r="X146" i="3"/>
  <c r="Z146" i="3"/>
  <c r="AA146" i="3"/>
  <c r="AC146" i="3"/>
  <c r="S147" i="3"/>
  <c r="X147" i="3"/>
  <c r="Z147" i="3"/>
  <c r="AA147" i="3"/>
  <c r="AC147" i="3"/>
  <c r="S148" i="3"/>
  <c r="X148" i="3"/>
  <c r="Z148" i="3"/>
  <c r="AA148" i="3"/>
  <c r="AC148" i="3"/>
  <c r="S149" i="3"/>
  <c r="X149" i="3"/>
  <c r="Z149" i="3"/>
  <c r="AA149" i="3"/>
  <c r="AC149" i="3"/>
  <c r="S150" i="3"/>
  <c r="X150" i="3"/>
  <c r="Z150" i="3"/>
  <c r="AA150" i="3"/>
  <c r="AC150" i="3"/>
  <c r="S151" i="3"/>
  <c r="X151" i="3"/>
  <c r="Z151" i="3"/>
  <c r="AA151" i="3"/>
  <c r="AC151" i="3"/>
  <c r="S152" i="3"/>
  <c r="X152" i="3"/>
  <c r="Z152" i="3"/>
  <c r="AA152" i="3"/>
  <c r="AC152" i="3"/>
  <c r="S153" i="3"/>
  <c r="X153" i="3"/>
  <c r="Z153" i="3"/>
  <c r="AA153" i="3"/>
  <c r="AC153" i="3"/>
  <c r="S154" i="3"/>
  <c r="X154" i="3"/>
  <c r="Z154" i="3"/>
  <c r="AA154" i="3"/>
  <c r="AC154" i="3"/>
  <c r="S155" i="3"/>
  <c r="X155" i="3"/>
  <c r="Z155" i="3"/>
  <c r="AA155" i="3"/>
  <c r="AC155" i="3"/>
  <c r="S156" i="3"/>
  <c r="X156" i="3"/>
  <c r="Z156" i="3"/>
  <c r="AA156" i="3"/>
  <c r="AC156" i="3"/>
  <c r="S157" i="3"/>
  <c r="X157" i="3"/>
  <c r="Z157" i="3"/>
  <c r="AA157" i="3"/>
  <c r="AC157" i="3"/>
  <c r="S158" i="3"/>
  <c r="X158" i="3"/>
  <c r="Z158" i="3"/>
  <c r="AA158" i="3"/>
  <c r="AC158" i="3"/>
  <c r="S159" i="3"/>
  <c r="X159" i="3"/>
  <c r="Z159" i="3"/>
  <c r="AA159" i="3"/>
  <c r="AC159" i="3"/>
  <c r="S160" i="3"/>
  <c r="X160" i="3"/>
  <c r="Z160" i="3"/>
  <c r="AA160" i="3"/>
  <c r="AC160" i="3"/>
  <c r="S161" i="3"/>
  <c r="X161" i="3"/>
  <c r="Z161" i="3"/>
  <c r="AA161" i="3"/>
  <c r="AC161" i="3"/>
  <c r="S162" i="3"/>
  <c r="X162" i="3"/>
  <c r="Z162" i="3"/>
  <c r="AA162" i="3"/>
  <c r="AC162" i="3"/>
  <c r="S163" i="3"/>
  <c r="X163" i="3"/>
  <c r="Z163" i="3"/>
  <c r="AA163" i="3"/>
  <c r="AC163" i="3"/>
  <c r="S164" i="3"/>
  <c r="X164" i="3"/>
  <c r="Z164" i="3"/>
  <c r="AA164" i="3"/>
  <c r="AC164" i="3"/>
  <c r="S165" i="3"/>
  <c r="X165" i="3"/>
  <c r="Z165" i="3"/>
  <c r="AA165" i="3"/>
  <c r="AC165" i="3"/>
  <c r="S166" i="3"/>
  <c r="X166" i="3"/>
  <c r="Z166" i="3"/>
  <c r="AA166" i="3"/>
  <c r="AC166" i="3"/>
  <c r="S167" i="3"/>
  <c r="X167" i="3"/>
  <c r="Z167" i="3"/>
  <c r="AA167" i="3"/>
  <c r="AC167" i="3"/>
  <c r="S168" i="3"/>
  <c r="X168" i="3"/>
  <c r="Z168" i="3"/>
  <c r="AA168" i="3"/>
  <c r="AC168" i="3"/>
  <c r="S169" i="3"/>
  <c r="X169" i="3"/>
  <c r="Z169" i="3"/>
  <c r="AA169" i="3"/>
  <c r="AC169" i="3"/>
  <c r="S170" i="3"/>
  <c r="X170" i="3"/>
  <c r="Z170" i="3"/>
  <c r="AA170" i="3"/>
  <c r="AC170" i="3"/>
  <c r="S171" i="3"/>
  <c r="X171" i="3"/>
  <c r="Z171" i="3"/>
  <c r="AA171" i="3"/>
  <c r="AC171" i="3"/>
  <c r="S172" i="3"/>
  <c r="X172" i="3"/>
  <c r="Z172" i="3"/>
  <c r="AA172" i="3"/>
  <c r="AC172" i="3"/>
  <c r="S173" i="3"/>
  <c r="X173" i="3"/>
  <c r="Z173" i="3"/>
  <c r="AA173" i="3"/>
  <c r="AC173" i="3"/>
  <c r="S174" i="3"/>
  <c r="X174" i="3"/>
  <c r="Z174" i="3"/>
  <c r="AA174" i="3"/>
  <c r="AC174" i="3"/>
  <c r="S175" i="3"/>
  <c r="X175" i="3"/>
  <c r="Z175" i="3"/>
  <c r="AA175" i="3"/>
  <c r="AC175" i="3"/>
  <c r="S176" i="3"/>
  <c r="X176" i="3"/>
  <c r="Z176" i="3"/>
  <c r="AA176" i="3"/>
  <c r="AC176" i="3"/>
  <c r="S177" i="3"/>
  <c r="X177" i="3"/>
  <c r="Z177" i="3"/>
  <c r="AA177" i="3"/>
  <c r="AC177" i="3"/>
  <c r="S178" i="3"/>
  <c r="X178" i="3"/>
  <c r="Z178" i="3"/>
  <c r="AA178" i="3"/>
  <c r="AC178" i="3"/>
  <c r="S179" i="3"/>
  <c r="X179" i="3"/>
  <c r="Z179" i="3"/>
  <c r="AA179" i="3"/>
  <c r="AC179" i="3"/>
  <c r="S180" i="3"/>
  <c r="X180" i="3"/>
  <c r="Z180" i="3"/>
  <c r="AA180" i="3"/>
  <c r="AC180" i="3"/>
  <c r="S181" i="3"/>
  <c r="X181" i="3"/>
  <c r="Z181" i="3"/>
  <c r="AA181" i="3"/>
  <c r="AC181" i="3"/>
  <c r="S182" i="3"/>
  <c r="X182" i="3"/>
  <c r="Z182" i="3"/>
  <c r="AA182" i="3"/>
  <c r="AC182" i="3"/>
  <c r="S183" i="3"/>
  <c r="X183" i="3"/>
  <c r="Z183" i="3"/>
  <c r="AA183" i="3"/>
  <c r="AC183" i="3"/>
  <c r="S184" i="3"/>
  <c r="X184" i="3"/>
  <c r="Z184" i="3"/>
  <c r="AA184" i="3"/>
  <c r="AC184" i="3"/>
  <c r="S185" i="3"/>
  <c r="X185" i="3"/>
  <c r="Z185" i="3"/>
  <c r="AA185" i="3"/>
  <c r="AC185" i="3"/>
  <c r="S186" i="3"/>
  <c r="X186" i="3"/>
  <c r="Z186" i="3"/>
  <c r="AA186" i="3"/>
  <c r="AC186" i="3"/>
  <c r="S187" i="3"/>
  <c r="X187" i="3"/>
  <c r="Z187" i="3"/>
  <c r="AA187" i="3"/>
  <c r="AC187" i="3"/>
  <c r="S188" i="3"/>
  <c r="X188" i="3"/>
  <c r="Z188" i="3"/>
  <c r="AA188" i="3"/>
  <c r="AC188" i="3"/>
  <c r="S189" i="3"/>
  <c r="X189" i="3"/>
  <c r="Z189" i="3"/>
  <c r="AA189" i="3"/>
  <c r="AC189" i="3"/>
  <c r="S190" i="3"/>
  <c r="X190" i="3"/>
  <c r="Z190" i="3"/>
  <c r="AA190" i="3"/>
  <c r="AC190" i="3"/>
  <c r="S191" i="3"/>
  <c r="X191" i="3"/>
  <c r="Z191" i="3"/>
  <c r="AA191" i="3"/>
  <c r="AC191" i="3"/>
  <c r="S192" i="3"/>
  <c r="X192" i="3"/>
  <c r="Z192" i="3"/>
  <c r="AA192" i="3"/>
  <c r="AC192" i="3"/>
  <c r="S193" i="3"/>
  <c r="X193" i="3"/>
  <c r="Z193" i="3"/>
  <c r="AA193" i="3"/>
  <c r="AC193" i="3"/>
  <c r="S194" i="3"/>
  <c r="X194" i="3"/>
  <c r="Z194" i="3"/>
  <c r="AA194" i="3"/>
  <c r="AC194" i="3"/>
  <c r="S195" i="3"/>
  <c r="X195" i="3"/>
  <c r="Z195" i="3"/>
  <c r="AA195" i="3"/>
  <c r="AC195" i="3"/>
  <c r="S196" i="3"/>
  <c r="X196" i="3"/>
  <c r="Z196" i="3"/>
  <c r="AA196" i="3"/>
  <c r="AC196" i="3"/>
  <c r="S197" i="3"/>
  <c r="X197" i="3"/>
  <c r="Z197" i="3"/>
  <c r="AA197" i="3"/>
  <c r="AC197" i="3"/>
  <c r="S198" i="3"/>
  <c r="X198" i="3"/>
  <c r="Z198" i="3"/>
  <c r="AA198" i="3"/>
  <c r="AC198" i="3"/>
  <c r="S199" i="3"/>
  <c r="X199" i="3"/>
  <c r="Z199" i="3"/>
  <c r="AA199" i="3"/>
  <c r="AC199" i="3"/>
  <c r="S200" i="3"/>
  <c r="X200" i="3"/>
  <c r="Z200" i="3"/>
  <c r="AA200" i="3"/>
  <c r="AC200" i="3"/>
  <c r="S201" i="3"/>
  <c r="X201" i="3"/>
  <c r="Z201" i="3"/>
  <c r="AA201" i="3"/>
  <c r="AC201" i="3"/>
  <c r="S202" i="3"/>
  <c r="X202" i="3"/>
  <c r="Z202" i="3"/>
  <c r="AA202" i="3"/>
  <c r="AC202" i="3"/>
  <c r="S203" i="3"/>
  <c r="X203" i="3"/>
  <c r="Z203" i="3"/>
  <c r="AA203" i="3"/>
  <c r="AC203" i="3"/>
  <c r="S204" i="3"/>
  <c r="X204" i="3"/>
  <c r="Z204" i="3"/>
  <c r="AA204" i="3"/>
  <c r="AC204" i="3"/>
  <c r="S205" i="3"/>
  <c r="X205" i="3"/>
  <c r="Z205" i="3"/>
  <c r="AA205" i="3"/>
  <c r="AC205" i="3"/>
  <c r="S206" i="3"/>
  <c r="X206" i="3"/>
  <c r="Z206" i="3"/>
  <c r="AA206" i="3"/>
  <c r="AC206" i="3"/>
  <c r="S207" i="3"/>
  <c r="X207" i="3"/>
  <c r="Z207" i="3"/>
  <c r="AA207" i="3"/>
  <c r="AC207" i="3"/>
  <c r="S208" i="3"/>
  <c r="X208" i="3"/>
  <c r="Z208" i="3"/>
  <c r="AA208" i="3"/>
  <c r="AC208" i="3"/>
  <c r="S209" i="3"/>
  <c r="X209" i="3"/>
  <c r="Z209" i="3"/>
  <c r="AA209" i="3"/>
  <c r="AC209" i="3"/>
  <c r="S210" i="3"/>
  <c r="X210" i="3"/>
  <c r="Z210" i="3"/>
  <c r="AA210" i="3"/>
  <c r="AC210" i="3"/>
  <c r="S211" i="3"/>
  <c r="X211" i="3"/>
  <c r="Z211" i="3"/>
  <c r="AA211" i="3"/>
  <c r="AC211" i="3"/>
  <c r="S212" i="3"/>
  <c r="X212" i="3"/>
  <c r="Z212" i="3"/>
  <c r="AA212" i="3"/>
  <c r="AC212" i="3"/>
  <c r="S213" i="3"/>
  <c r="X213" i="3"/>
  <c r="Z213" i="3"/>
  <c r="AA213" i="3"/>
  <c r="AC213" i="3"/>
  <c r="S214" i="3"/>
  <c r="X214" i="3"/>
  <c r="Z214" i="3"/>
  <c r="AA214" i="3"/>
  <c r="AC214" i="3"/>
  <c r="S215" i="3"/>
  <c r="X215" i="3"/>
  <c r="Z215" i="3"/>
  <c r="AA215" i="3"/>
  <c r="AC215" i="3"/>
  <c r="S216" i="3"/>
  <c r="X216" i="3"/>
  <c r="Z216" i="3"/>
  <c r="AA216" i="3"/>
  <c r="AC216" i="3"/>
  <c r="S217" i="3"/>
  <c r="X217" i="3"/>
  <c r="Z217" i="3"/>
  <c r="AA217" i="3"/>
  <c r="AC217" i="3"/>
  <c r="S218" i="3"/>
  <c r="X218" i="3"/>
  <c r="Z218" i="3"/>
  <c r="AA218" i="3"/>
  <c r="AC218" i="3"/>
  <c r="S219" i="3"/>
  <c r="X219" i="3"/>
  <c r="Z219" i="3"/>
  <c r="AA219" i="3"/>
  <c r="AC219" i="3"/>
  <c r="S220" i="3"/>
  <c r="X220" i="3"/>
  <c r="Z220" i="3"/>
  <c r="AA220" i="3"/>
  <c r="AC220" i="3"/>
  <c r="S221" i="3"/>
  <c r="X221" i="3"/>
  <c r="Z221" i="3"/>
  <c r="AA221" i="3"/>
  <c r="AC221" i="3"/>
  <c r="S222" i="3"/>
  <c r="X222" i="3"/>
  <c r="Z222" i="3"/>
  <c r="AA222" i="3"/>
  <c r="AC222" i="3"/>
  <c r="S223" i="3"/>
  <c r="X223" i="3"/>
  <c r="Z223" i="3"/>
  <c r="AA223" i="3"/>
  <c r="AC223" i="3"/>
  <c r="S224" i="3"/>
  <c r="X224" i="3"/>
  <c r="Z224" i="3"/>
  <c r="AA224" i="3"/>
  <c r="AC224" i="3"/>
  <c r="S225" i="3"/>
  <c r="X225" i="3"/>
  <c r="Z225" i="3"/>
  <c r="AA225" i="3"/>
  <c r="AC225" i="3"/>
  <c r="S226" i="3"/>
  <c r="X226" i="3"/>
  <c r="Z226" i="3"/>
  <c r="AA226" i="3"/>
  <c r="AC226" i="3"/>
  <c r="S227" i="3"/>
  <c r="X227" i="3"/>
  <c r="Z227" i="3"/>
  <c r="AA227" i="3"/>
  <c r="AC227" i="3"/>
  <c r="S228" i="3"/>
  <c r="X228" i="3"/>
  <c r="Z228" i="3"/>
  <c r="AA228" i="3"/>
  <c r="AC228" i="3"/>
  <c r="S229" i="3"/>
  <c r="X229" i="3"/>
  <c r="Z229" i="3"/>
  <c r="AA229" i="3"/>
  <c r="AC229" i="3"/>
  <c r="Z230" i="3"/>
  <c r="AA230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C230" i="3"/>
  <c r="S231" i="3"/>
  <c r="X231" i="3"/>
  <c r="Z231" i="3"/>
  <c r="AA231" i="3"/>
  <c r="AB231" i="3"/>
  <c r="AC231" i="3"/>
  <c r="S232" i="3"/>
  <c r="X232" i="3"/>
  <c r="Z232" i="3"/>
  <c r="AA232" i="3"/>
  <c r="AB232" i="3"/>
  <c r="AC232" i="3"/>
  <c r="S233" i="3"/>
  <c r="X233" i="3"/>
  <c r="Z233" i="3"/>
  <c r="AA233" i="3"/>
  <c r="AB233" i="3"/>
  <c r="AC233" i="3"/>
  <c r="S234" i="3"/>
  <c r="X234" i="3"/>
  <c r="Z234" i="3"/>
  <c r="AA234" i="3"/>
  <c r="AB234" i="3"/>
  <c r="AC234" i="3"/>
  <c r="S235" i="3"/>
  <c r="X235" i="3"/>
  <c r="Z235" i="3"/>
  <c r="AA235" i="3"/>
  <c r="AB235" i="3"/>
  <c r="AC235" i="3"/>
  <c r="S236" i="3"/>
  <c r="X236" i="3"/>
  <c r="Z236" i="3"/>
  <c r="AA236" i="3"/>
  <c r="AB236" i="3"/>
  <c r="AC236" i="3"/>
  <c r="S237" i="3"/>
  <c r="X237" i="3"/>
  <c r="Z237" i="3"/>
  <c r="AA237" i="3"/>
  <c r="AB237" i="3"/>
  <c r="AC237" i="3"/>
  <c r="S238" i="3"/>
  <c r="X238" i="3"/>
  <c r="Z238" i="3"/>
  <c r="AA238" i="3"/>
  <c r="AB238" i="3"/>
  <c r="AC238" i="3"/>
  <c r="S239" i="3"/>
  <c r="X239" i="3"/>
  <c r="Z239" i="3"/>
  <c r="AA239" i="3"/>
  <c r="AB239" i="3"/>
  <c r="AC239" i="3"/>
  <c r="S240" i="3"/>
  <c r="X240" i="3"/>
  <c r="Z240" i="3"/>
  <c r="AA240" i="3"/>
  <c r="AB240" i="3"/>
  <c r="AC240" i="3"/>
  <c r="S241" i="3"/>
  <c r="X241" i="3"/>
  <c r="Z241" i="3"/>
  <c r="AA241" i="3"/>
  <c r="AB241" i="3"/>
  <c r="AC241" i="3"/>
  <c r="A613" i="3"/>
  <c r="E613" i="3"/>
  <c r="B613" i="3"/>
  <c r="C613" i="3"/>
  <c r="A614" i="3"/>
  <c r="E614" i="3"/>
  <c r="B614" i="3"/>
  <c r="C614" i="3"/>
  <c r="A615" i="3"/>
  <c r="E615" i="3"/>
  <c r="B615" i="3"/>
  <c r="C615" i="3"/>
  <c r="A616" i="3"/>
  <c r="E616" i="3"/>
  <c r="B616" i="3"/>
  <c r="C616" i="3"/>
  <c r="A617" i="3"/>
  <c r="E617" i="3"/>
  <c r="B617" i="3"/>
  <c r="C617" i="3"/>
  <c r="A618" i="3"/>
  <c r="E618" i="3"/>
  <c r="B618" i="3"/>
  <c r="C618" i="3"/>
  <c r="A619" i="3"/>
  <c r="E619" i="3"/>
  <c r="B619" i="3"/>
  <c r="C619" i="3"/>
  <c r="A620" i="3"/>
  <c r="E620" i="3"/>
  <c r="B620" i="3"/>
  <c r="C620" i="3"/>
  <c r="A621" i="3"/>
  <c r="E621" i="3"/>
  <c r="B621" i="3"/>
  <c r="C621" i="3"/>
  <c r="F613" i="3"/>
  <c r="G613" i="3"/>
  <c r="F614" i="3"/>
  <c r="G614" i="3"/>
  <c r="F615" i="3"/>
  <c r="G615" i="3"/>
  <c r="F616" i="3"/>
  <c r="G616" i="3"/>
  <c r="F617" i="3"/>
  <c r="G617" i="3"/>
  <c r="F618" i="3"/>
  <c r="G618" i="3"/>
  <c r="F619" i="3"/>
  <c r="G619" i="3"/>
  <c r="F620" i="3"/>
  <c r="G620" i="3"/>
  <c r="F621" i="3"/>
  <c r="G621" i="3"/>
  <c r="S242" i="3"/>
  <c r="X242" i="3"/>
  <c r="Z242" i="3"/>
  <c r="AA242" i="3"/>
  <c r="AB242" i="3"/>
  <c r="AC242" i="3"/>
  <c r="S243" i="3"/>
  <c r="X243" i="3"/>
  <c r="Z243" i="3"/>
  <c r="AA243" i="3"/>
  <c r="AB243" i="3"/>
  <c r="AC243" i="3"/>
  <c r="S244" i="3"/>
  <c r="X244" i="3"/>
  <c r="Z244" i="3"/>
  <c r="AA244" i="3"/>
  <c r="AB244" i="3"/>
  <c r="AC244" i="3"/>
  <c r="S245" i="3"/>
  <c r="X245" i="3"/>
  <c r="Z245" i="3"/>
  <c r="AA245" i="3"/>
  <c r="AB245" i="3"/>
  <c r="AC245" i="3"/>
  <c r="S246" i="3"/>
  <c r="X246" i="3"/>
  <c r="Z246" i="3"/>
  <c r="AA246" i="3"/>
  <c r="AB246" i="3"/>
  <c r="AC246" i="3"/>
  <c r="S247" i="3"/>
  <c r="X247" i="3"/>
  <c r="Z247" i="3"/>
  <c r="AA247" i="3"/>
  <c r="AB247" i="3"/>
  <c r="AC247" i="3"/>
  <c r="S248" i="3"/>
  <c r="X248" i="3"/>
  <c r="Z248" i="3"/>
  <c r="AA248" i="3"/>
  <c r="AB248" i="3"/>
  <c r="AC248" i="3"/>
  <c r="S249" i="3"/>
  <c r="X249" i="3"/>
  <c r="Z249" i="3"/>
  <c r="AA249" i="3"/>
  <c r="AB249" i="3"/>
  <c r="AC249" i="3"/>
  <c r="S250" i="3"/>
  <c r="X250" i="3"/>
  <c r="Z250" i="3"/>
  <c r="AA250" i="3"/>
  <c r="AB250" i="3"/>
  <c r="AC250" i="3"/>
  <c r="S251" i="3"/>
  <c r="X251" i="3"/>
  <c r="Z251" i="3"/>
  <c r="AA251" i="3"/>
  <c r="AB251" i="3"/>
  <c r="AC251" i="3"/>
  <c r="S252" i="3"/>
  <c r="X252" i="3"/>
  <c r="Z252" i="3"/>
  <c r="AA252" i="3"/>
  <c r="AB252" i="3"/>
  <c r="AC252" i="3"/>
  <c r="S253" i="3"/>
  <c r="X253" i="3"/>
  <c r="Z253" i="3"/>
  <c r="AA253" i="3"/>
  <c r="AB253" i="3"/>
  <c r="AC253" i="3"/>
  <c r="S254" i="3"/>
  <c r="X254" i="3"/>
  <c r="Z254" i="3"/>
  <c r="AA254" i="3"/>
  <c r="AB254" i="3"/>
  <c r="AC254" i="3"/>
  <c r="S255" i="3"/>
  <c r="X255" i="3"/>
  <c r="Z255" i="3"/>
  <c r="AA255" i="3"/>
  <c r="AB255" i="3"/>
  <c r="AC255" i="3"/>
  <c r="S256" i="3"/>
  <c r="X256" i="3"/>
  <c r="Z256" i="3"/>
  <c r="AA256" i="3"/>
  <c r="AB256" i="3"/>
  <c r="AC256" i="3"/>
  <c r="S257" i="3"/>
  <c r="X257" i="3"/>
  <c r="Z257" i="3"/>
  <c r="AA257" i="3"/>
  <c r="AB257" i="3"/>
  <c r="AC257" i="3"/>
  <c r="S258" i="3"/>
  <c r="X258" i="3"/>
  <c r="Z258" i="3"/>
  <c r="AA258" i="3"/>
  <c r="AB258" i="3"/>
  <c r="AC258" i="3"/>
  <c r="S259" i="3"/>
  <c r="X259" i="3"/>
  <c r="Z259" i="3"/>
  <c r="AA259" i="3"/>
  <c r="AB259" i="3"/>
  <c r="AC259" i="3"/>
  <c r="S260" i="3"/>
  <c r="X260" i="3"/>
  <c r="Z260" i="3"/>
  <c r="AA260" i="3"/>
  <c r="AB260" i="3"/>
  <c r="AC260" i="3"/>
  <c r="S261" i="3"/>
  <c r="X261" i="3"/>
  <c r="Z261" i="3"/>
  <c r="AA261" i="3"/>
  <c r="AB261" i="3"/>
  <c r="AC261" i="3"/>
  <c r="S262" i="3"/>
  <c r="X262" i="3"/>
  <c r="Z262" i="3"/>
  <c r="AA262" i="3"/>
  <c r="AB262" i="3"/>
  <c r="AC262" i="3"/>
  <c r="S263" i="3"/>
  <c r="X263" i="3"/>
  <c r="Z263" i="3"/>
  <c r="AA263" i="3"/>
  <c r="AB263" i="3"/>
  <c r="AC263" i="3"/>
  <c r="S264" i="3"/>
  <c r="X264" i="3"/>
  <c r="Z264" i="3"/>
  <c r="AA264" i="3"/>
  <c r="AB264" i="3"/>
  <c r="AC264" i="3"/>
  <c r="S265" i="3"/>
  <c r="X265" i="3"/>
  <c r="Z265" i="3"/>
  <c r="AA265" i="3"/>
  <c r="AB265" i="3"/>
  <c r="AC265" i="3"/>
  <c r="S266" i="3"/>
  <c r="X266" i="3"/>
  <c r="Z266" i="3"/>
  <c r="AA266" i="3"/>
  <c r="AB266" i="3"/>
  <c r="AC266" i="3"/>
  <c r="S267" i="3"/>
  <c r="X267" i="3"/>
  <c r="Z267" i="3"/>
  <c r="AA267" i="3"/>
  <c r="AB267" i="3"/>
  <c r="AC267" i="3"/>
  <c r="S268" i="3"/>
  <c r="X268" i="3"/>
  <c r="Z268" i="3"/>
  <c r="AA268" i="3"/>
  <c r="AB268" i="3"/>
  <c r="AC268" i="3"/>
  <c r="S269" i="3"/>
  <c r="X269" i="3"/>
  <c r="Z269" i="3"/>
  <c r="AA269" i="3"/>
  <c r="AB269" i="3"/>
  <c r="AC269" i="3"/>
  <c r="S270" i="3"/>
  <c r="X270" i="3"/>
  <c r="Z270" i="3"/>
  <c r="AA270" i="3"/>
  <c r="AB270" i="3"/>
  <c r="AC270" i="3"/>
  <c r="S271" i="3"/>
  <c r="X271" i="3"/>
  <c r="Z271" i="3"/>
  <c r="AA271" i="3"/>
  <c r="AB271" i="3"/>
  <c r="AC271" i="3"/>
  <c r="S272" i="3"/>
  <c r="X272" i="3"/>
  <c r="Z272" i="3"/>
  <c r="AA272" i="3"/>
  <c r="AB272" i="3"/>
  <c r="AC272" i="3"/>
  <c r="S273" i="3"/>
  <c r="X273" i="3"/>
  <c r="Z273" i="3"/>
  <c r="AA273" i="3"/>
  <c r="AB273" i="3"/>
  <c r="AC273" i="3"/>
  <c r="S274" i="3"/>
  <c r="X274" i="3"/>
  <c r="Z274" i="3"/>
  <c r="AA274" i="3"/>
  <c r="AB274" i="3"/>
  <c r="AC274" i="3"/>
  <c r="S275" i="3"/>
  <c r="X275" i="3"/>
  <c r="Z275" i="3"/>
  <c r="AA275" i="3"/>
  <c r="AB275" i="3"/>
  <c r="AC275" i="3"/>
  <c r="S276" i="3"/>
  <c r="X276" i="3"/>
  <c r="Z276" i="3"/>
  <c r="AA276" i="3"/>
  <c r="AB276" i="3"/>
  <c r="AC276" i="3"/>
  <c r="S277" i="3"/>
  <c r="X277" i="3"/>
  <c r="Z277" i="3"/>
  <c r="AA277" i="3"/>
  <c r="AB277" i="3"/>
  <c r="AC277" i="3"/>
  <c r="S278" i="3"/>
  <c r="X278" i="3"/>
  <c r="Z278" i="3"/>
  <c r="AA278" i="3"/>
  <c r="AB278" i="3"/>
  <c r="AC278" i="3"/>
  <c r="S279" i="3"/>
  <c r="X279" i="3"/>
  <c r="Z279" i="3"/>
  <c r="AA279" i="3"/>
  <c r="AB279" i="3"/>
  <c r="AC279" i="3"/>
  <c r="S280" i="3"/>
  <c r="X280" i="3"/>
  <c r="Z280" i="3"/>
  <c r="AA280" i="3"/>
  <c r="AB280" i="3"/>
  <c r="AC280" i="3"/>
  <c r="S281" i="3"/>
  <c r="X281" i="3"/>
  <c r="Z281" i="3"/>
  <c r="AA281" i="3"/>
  <c r="AB281" i="3"/>
  <c r="AC281" i="3"/>
  <c r="S282" i="3"/>
  <c r="X282" i="3"/>
  <c r="Z282" i="3"/>
  <c r="AA282" i="3"/>
  <c r="AB282" i="3"/>
  <c r="AC282" i="3"/>
  <c r="S283" i="3"/>
  <c r="X283" i="3"/>
  <c r="Z283" i="3"/>
  <c r="AA283" i="3"/>
  <c r="AB283" i="3"/>
  <c r="AC283" i="3"/>
  <c r="S284" i="3"/>
  <c r="X284" i="3"/>
  <c r="Z284" i="3"/>
  <c r="AA284" i="3"/>
  <c r="AB284" i="3"/>
  <c r="AC284" i="3"/>
  <c r="S285" i="3"/>
  <c r="X285" i="3"/>
  <c r="Z285" i="3"/>
  <c r="AA285" i="3"/>
  <c r="AB285" i="3"/>
  <c r="AC285" i="3"/>
  <c r="S286" i="3"/>
  <c r="X286" i="3"/>
  <c r="Z286" i="3"/>
  <c r="AA286" i="3"/>
  <c r="AB286" i="3"/>
  <c r="AC286" i="3"/>
  <c r="S287" i="3"/>
  <c r="X287" i="3"/>
  <c r="Z287" i="3"/>
  <c r="AA287" i="3"/>
  <c r="AB287" i="3"/>
  <c r="AC287" i="3"/>
  <c r="S288" i="3"/>
  <c r="X288" i="3"/>
  <c r="Z288" i="3"/>
  <c r="AA288" i="3"/>
  <c r="AB288" i="3"/>
  <c r="AC288" i="3"/>
  <c r="S289" i="3"/>
  <c r="X289" i="3"/>
  <c r="Z289" i="3"/>
  <c r="AA289" i="3"/>
  <c r="AB289" i="3"/>
  <c r="AC289" i="3"/>
  <c r="S290" i="3"/>
  <c r="X290" i="3"/>
  <c r="Z290" i="3"/>
  <c r="AA290" i="3"/>
  <c r="AB290" i="3"/>
  <c r="AC290" i="3"/>
  <c r="S291" i="3"/>
  <c r="X291" i="3"/>
  <c r="Z291" i="3"/>
  <c r="AA291" i="3"/>
  <c r="AB291" i="3"/>
  <c r="AC291" i="3"/>
  <c r="S292" i="3"/>
  <c r="X292" i="3"/>
  <c r="Z292" i="3"/>
  <c r="AA292" i="3"/>
  <c r="AB292" i="3"/>
  <c r="AC292" i="3"/>
  <c r="S293" i="3"/>
  <c r="X293" i="3"/>
  <c r="Z293" i="3"/>
  <c r="AA293" i="3"/>
  <c r="AB293" i="3"/>
  <c r="AC293" i="3"/>
  <c r="S294" i="3"/>
  <c r="X294" i="3"/>
  <c r="Z294" i="3"/>
  <c r="AA294" i="3"/>
  <c r="AB294" i="3"/>
  <c r="AC294" i="3"/>
  <c r="S295" i="3"/>
  <c r="X295" i="3"/>
  <c r="Z295" i="3"/>
  <c r="AA295" i="3"/>
  <c r="AB295" i="3"/>
  <c r="AC295" i="3"/>
  <c r="S296" i="3"/>
  <c r="X296" i="3"/>
  <c r="Z296" i="3"/>
  <c r="AA296" i="3"/>
  <c r="AB296" i="3"/>
  <c r="AC296" i="3"/>
  <c r="S297" i="3"/>
  <c r="X297" i="3"/>
  <c r="Z297" i="3"/>
  <c r="AA297" i="3"/>
  <c r="AB297" i="3"/>
  <c r="AC297" i="3"/>
  <c r="S298" i="3"/>
  <c r="X298" i="3"/>
  <c r="Z298" i="3"/>
  <c r="AA298" i="3"/>
  <c r="AB298" i="3"/>
  <c r="AC298" i="3"/>
  <c r="S299" i="3"/>
  <c r="X299" i="3"/>
  <c r="Z299" i="3"/>
  <c r="AA299" i="3"/>
  <c r="AB299" i="3"/>
  <c r="AC299" i="3"/>
  <c r="S300" i="3"/>
  <c r="X300" i="3"/>
  <c r="Z300" i="3"/>
  <c r="AA300" i="3"/>
  <c r="AB300" i="3"/>
  <c r="AC300" i="3"/>
  <c r="S301" i="3"/>
  <c r="X301" i="3"/>
  <c r="Z301" i="3"/>
  <c r="AA301" i="3"/>
  <c r="AB301" i="3"/>
  <c r="AC301" i="3"/>
  <c r="S302" i="3"/>
  <c r="X302" i="3"/>
  <c r="Z302" i="3"/>
  <c r="AA302" i="3"/>
  <c r="AB302" i="3"/>
  <c r="AC302" i="3"/>
  <c r="S303" i="3"/>
  <c r="X303" i="3"/>
  <c r="Z303" i="3"/>
  <c r="AA303" i="3"/>
  <c r="AB303" i="3"/>
  <c r="AC303" i="3"/>
  <c r="S304" i="3"/>
  <c r="X304" i="3"/>
  <c r="Z304" i="3"/>
  <c r="AA304" i="3"/>
  <c r="AB304" i="3"/>
  <c r="AC304" i="3"/>
  <c r="S305" i="3"/>
  <c r="X305" i="3"/>
  <c r="Z305" i="3"/>
  <c r="AA305" i="3"/>
  <c r="AB305" i="3"/>
  <c r="AC305" i="3"/>
  <c r="S306" i="3"/>
  <c r="X306" i="3"/>
  <c r="Z306" i="3"/>
  <c r="AA306" i="3"/>
  <c r="AB306" i="3"/>
  <c r="AC306" i="3"/>
  <c r="S307" i="3"/>
  <c r="X307" i="3"/>
  <c r="Z307" i="3"/>
  <c r="AA307" i="3"/>
  <c r="AB307" i="3"/>
  <c r="AC307" i="3"/>
  <c r="S308" i="3"/>
  <c r="X308" i="3"/>
  <c r="Z308" i="3"/>
  <c r="AA308" i="3"/>
  <c r="AB308" i="3"/>
  <c r="AC308" i="3"/>
  <c r="S309" i="3"/>
  <c r="X309" i="3"/>
  <c r="Z309" i="3"/>
  <c r="AA309" i="3"/>
  <c r="AB309" i="3"/>
  <c r="AC309" i="3"/>
  <c r="S310" i="3"/>
  <c r="X310" i="3"/>
  <c r="Z310" i="3"/>
  <c r="AA310" i="3"/>
  <c r="AB310" i="3"/>
  <c r="AC310" i="3"/>
  <c r="S311" i="3"/>
  <c r="X311" i="3"/>
  <c r="Z311" i="3"/>
  <c r="AA311" i="3"/>
  <c r="AB311" i="3"/>
  <c r="AC311" i="3"/>
  <c r="S312" i="3"/>
  <c r="X312" i="3"/>
  <c r="Z312" i="3"/>
  <c r="AA312" i="3"/>
  <c r="AB312" i="3"/>
  <c r="AC312" i="3"/>
  <c r="S313" i="3"/>
  <c r="X313" i="3"/>
  <c r="Z313" i="3"/>
  <c r="AA313" i="3"/>
  <c r="AB313" i="3"/>
  <c r="AC313" i="3"/>
  <c r="S314" i="3"/>
  <c r="X314" i="3"/>
  <c r="Z314" i="3"/>
  <c r="AA314" i="3"/>
  <c r="AB314" i="3"/>
  <c r="AC314" i="3"/>
  <c r="S315" i="3"/>
  <c r="X315" i="3"/>
  <c r="Z315" i="3"/>
  <c r="AA315" i="3"/>
  <c r="AB315" i="3"/>
  <c r="AC315" i="3"/>
  <c r="S316" i="3"/>
  <c r="X316" i="3"/>
  <c r="Z316" i="3"/>
  <c r="AA316" i="3"/>
  <c r="AB316" i="3"/>
  <c r="AC316" i="3"/>
  <c r="S317" i="3"/>
  <c r="X317" i="3"/>
  <c r="Z317" i="3"/>
  <c r="AA317" i="3"/>
  <c r="AB317" i="3"/>
  <c r="AC317" i="3"/>
  <c r="S318" i="3"/>
  <c r="X318" i="3"/>
  <c r="Z318" i="3"/>
  <c r="AA318" i="3"/>
  <c r="AB318" i="3"/>
  <c r="AC318" i="3"/>
  <c r="S319" i="3"/>
  <c r="X319" i="3"/>
  <c r="Z319" i="3"/>
  <c r="AA319" i="3"/>
  <c r="AB319" i="3"/>
  <c r="AC319" i="3"/>
  <c r="S320" i="3"/>
  <c r="X320" i="3"/>
  <c r="Z320" i="3"/>
  <c r="AA320" i="3"/>
  <c r="AB320" i="3"/>
  <c r="AC320" i="3"/>
  <c r="S321" i="3"/>
  <c r="X321" i="3"/>
  <c r="Z321" i="3"/>
  <c r="AA321" i="3"/>
  <c r="AB321" i="3"/>
  <c r="AC321" i="3"/>
  <c r="S322" i="3"/>
  <c r="X322" i="3"/>
  <c r="Z322" i="3"/>
  <c r="AA322" i="3"/>
  <c r="AB322" i="3"/>
  <c r="AC322" i="3"/>
  <c r="S323" i="3"/>
  <c r="X323" i="3"/>
  <c r="Z323" i="3"/>
  <c r="AA323" i="3"/>
  <c r="AB323" i="3"/>
  <c r="AC323" i="3"/>
  <c r="S324" i="3"/>
  <c r="X324" i="3"/>
  <c r="Z324" i="3"/>
  <c r="AA324" i="3"/>
  <c r="AB324" i="3"/>
  <c r="AC324" i="3"/>
  <c r="S325" i="3"/>
  <c r="X325" i="3"/>
  <c r="Z325" i="3"/>
  <c r="AA325" i="3"/>
  <c r="AB325" i="3"/>
  <c r="AC325" i="3"/>
  <c r="S326" i="3"/>
  <c r="X326" i="3"/>
  <c r="Z326" i="3"/>
  <c r="AA326" i="3"/>
  <c r="AB326" i="3"/>
  <c r="AC326" i="3"/>
  <c r="S327" i="3"/>
  <c r="X327" i="3"/>
  <c r="Z327" i="3"/>
  <c r="AA327" i="3"/>
  <c r="AB327" i="3"/>
  <c r="AC327" i="3"/>
  <c r="S328" i="3"/>
  <c r="X328" i="3"/>
  <c r="Z328" i="3"/>
  <c r="AA328" i="3"/>
  <c r="AB328" i="3"/>
  <c r="AC328" i="3"/>
  <c r="S329" i="3"/>
  <c r="X329" i="3"/>
  <c r="Z329" i="3"/>
  <c r="AA329" i="3"/>
  <c r="AB329" i="3"/>
  <c r="AC329" i="3"/>
  <c r="S330" i="3"/>
  <c r="X330" i="3"/>
  <c r="Z330" i="3"/>
  <c r="AA330" i="3"/>
  <c r="AB330" i="3"/>
  <c r="AC330" i="3"/>
  <c r="S331" i="3"/>
  <c r="X331" i="3"/>
  <c r="Z331" i="3"/>
  <c r="AA331" i="3"/>
  <c r="AB331" i="3"/>
  <c r="AC331" i="3"/>
  <c r="S332" i="3"/>
  <c r="X332" i="3"/>
  <c r="Z332" i="3"/>
  <c r="AA332" i="3"/>
  <c r="AB332" i="3"/>
  <c r="AC332" i="3"/>
  <c r="S333" i="3"/>
  <c r="X333" i="3"/>
  <c r="Z333" i="3"/>
  <c r="AA333" i="3"/>
  <c r="AB333" i="3"/>
  <c r="AC333" i="3"/>
  <c r="S334" i="3"/>
  <c r="X334" i="3"/>
  <c r="Z334" i="3"/>
  <c r="AA334" i="3"/>
  <c r="AB334" i="3"/>
  <c r="AC334" i="3"/>
  <c r="S335" i="3"/>
  <c r="X335" i="3"/>
  <c r="Z335" i="3"/>
  <c r="AA335" i="3"/>
  <c r="AB335" i="3"/>
  <c r="AC335" i="3"/>
  <c r="S336" i="3"/>
  <c r="X336" i="3"/>
  <c r="Z336" i="3"/>
  <c r="AA336" i="3"/>
  <c r="AB336" i="3"/>
  <c r="AC336" i="3"/>
  <c r="S337" i="3"/>
  <c r="X337" i="3"/>
  <c r="Z337" i="3"/>
  <c r="AA337" i="3"/>
  <c r="AB337" i="3"/>
  <c r="AC337" i="3"/>
  <c r="S338" i="3"/>
  <c r="X338" i="3"/>
  <c r="Z338" i="3"/>
  <c r="AA338" i="3"/>
  <c r="AB338" i="3"/>
  <c r="AC338" i="3"/>
  <c r="S339" i="3"/>
  <c r="X339" i="3"/>
  <c r="Z339" i="3"/>
  <c r="AA339" i="3"/>
  <c r="AB339" i="3"/>
  <c r="AC339" i="3"/>
  <c r="S340" i="3"/>
  <c r="X340" i="3"/>
  <c r="Z340" i="3"/>
  <c r="AA340" i="3"/>
  <c r="AB340" i="3"/>
  <c r="AC340" i="3"/>
  <c r="S341" i="3"/>
  <c r="X341" i="3"/>
  <c r="Z341" i="3"/>
  <c r="AA341" i="3"/>
  <c r="AB341" i="3"/>
  <c r="AC341" i="3"/>
  <c r="S342" i="3"/>
  <c r="X342" i="3"/>
  <c r="Z342" i="3"/>
  <c r="AA342" i="3"/>
  <c r="AB342" i="3"/>
  <c r="AC342" i="3"/>
  <c r="S343" i="3"/>
  <c r="X343" i="3"/>
  <c r="Z343" i="3"/>
  <c r="AA343" i="3"/>
  <c r="AB343" i="3"/>
  <c r="AC343" i="3"/>
  <c r="S344" i="3"/>
  <c r="X344" i="3"/>
  <c r="Z344" i="3"/>
  <c r="AA344" i="3"/>
  <c r="AB344" i="3"/>
  <c r="AC344" i="3"/>
  <c r="S345" i="3"/>
  <c r="X345" i="3"/>
  <c r="Z345" i="3"/>
  <c r="AA345" i="3"/>
  <c r="AB345" i="3"/>
  <c r="AC345" i="3"/>
  <c r="S346" i="3"/>
  <c r="X346" i="3"/>
  <c r="Z346" i="3"/>
  <c r="AA346" i="3"/>
  <c r="AB346" i="3"/>
  <c r="AC346" i="3"/>
  <c r="S347" i="3"/>
  <c r="X347" i="3"/>
  <c r="Z347" i="3"/>
  <c r="AA347" i="3"/>
  <c r="AB347" i="3"/>
  <c r="AC347" i="3"/>
  <c r="S348" i="3"/>
  <c r="X348" i="3"/>
  <c r="Z348" i="3"/>
  <c r="AA348" i="3"/>
  <c r="AB348" i="3"/>
  <c r="AC348" i="3"/>
  <c r="S349" i="3"/>
  <c r="X349" i="3"/>
  <c r="Z349" i="3"/>
  <c r="AA349" i="3"/>
  <c r="AB349" i="3"/>
  <c r="AC349" i="3"/>
  <c r="S350" i="3"/>
  <c r="X350" i="3"/>
  <c r="Z350" i="3"/>
  <c r="AA350" i="3"/>
  <c r="AB350" i="3"/>
  <c r="AC350" i="3"/>
  <c r="S351" i="3"/>
  <c r="X351" i="3"/>
  <c r="Z351" i="3"/>
  <c r="AA351" i="3"/>
  <c r="AB351" i="3"/>
  <c r="AC351" i="3"/>
  <c r="S352" i="3"/>
  <c r="X352" i="3"/>
  <c r="Z352" i="3"/>
  <c r="AA352" i="3"/>
  <c r="AB352" i="3"/>
  <c r="AC352" i="3"/>
  <c r="S353" i="3"/>
  <c r="X353" i="3"/>
  <c r="Z353" i="3"/>
  <c r="AA353" i="3"/>
  <c r="AB353" i="3"/>
  <c r="AC353" i="3"/>
  <c r="S354" i="3"/>
  <c r="X354" i="3"/>
  <c r="Z354" i="3"/>
  <c r="AA354" i="3"/>
  <c r="AB354" i="3"/>
  <c r="AC354" i="3"/>
  <c r="S355" i="3"/>
  <c r="X355" i="3"/>
  <c r="Z355" i="3"/>
  <c r="AA355" i="3"/>
  <c r="AB355" i="3"/>
  <c r="AC355" i="3"/>
  <c r="S356" i="3"/>
  <c r="X356" i="3"/>
  <c r="Z356" i="3"/>
  <c r="AA356" i="3"/>
  <c r="AB356" i="3"/>
  <c r="AC356" i="3"/>
  <c r="S357" i="3"/>
  <c r="X357" i="3"/>
  <c r="Z357" i="3"/>
  <c r="AA357" i="3"/>
  <c r="AB357" i="3"/>
  <c r="AC357" i="3"/>
  <c r="S358" i="3"/>
  <c r="X358" i="3"/>
  <c r="Z358" i="3"/>
  <c r="AA358" i="3"/>
  <c r="AB358" i="3"/>
  <c r="AC358" i="3"/>
  <c r="S359" i="3"/>
  <c r="X359" i="3"/>
  <c r="Z359" i="3"/>
  <c r="AA359" i="3"/>
  <c r="AB359" i="3"/>
  <c r="AC359" i="3"/>
  <c r="S360" i="3"/>
  <c r="X360" i="3"/>
  <c r="Z360" i="3"/>
  <c r="AA360" i="3"/>
  <c r="AB360" i="3"/>
  <c r="AC360" i="3"/>
  <c r="S361" i="3"/>
  <c r="X361" i="3"/>
  <c r="Z361" i="3"/>
  <c r="AA361" i="3"/>
  <c r="AB361" i="3"/>
  <c r="AC361" i="3"/>
  <c r="A741" i="3"/>
  <c r="E741" i="3"/>
  <c r="B741" i="3"/>
  <c r="C741" i="3"/>
  <c r="S362" i="3"/>
  <c r="X362" i="3"/>
  <c r="Z362" i="3"/>
  <c r="AA362" i="3"/>
  <c r="AB362" i="3"/>
  <c r="AC362" i="3"/>
  <c r="S363" i="3"/>
  <c r="X363" i="3"/>
  <c r="Z363" i="3"/>
  <c r="AA363" i="3"/>
  <c r="AB363" i="3"/>
  <c r="AC363" i="3"/>
  <c r="S364" i="3"/>
  <c r="X364" i="3"/>
  <c r="Z364" i="3"/>
  <c r="AA364" i="3"/>
  <c r="AB364" i="3"/>
  <c r="AC364" i="3"/>
  <c r="S365" i="3"/>
  <c r="X365" i="3"/>
  <c r="Z365" i="3"/>
  <c r="AA365" i="3"/>
  <c r="AB365" i="3"/>
  <c r="AC365" i="3"/>
  <c r="S366" i="3"/>
  <c r="X366" i="3"/>
  <c r="Z366" i="3"/>
  <c r="AA366" i="3"/>
  <c r="AB366" i="3"/>
  <c r="AC366" i="3"/>
  <c r="S367" i="3"/>
  <c r="X367" i="3"/>
  <c r="Z367" i="3"/>
  <c r="AA367" i="3"/>
  <c r="AB367" i="3"/>
  <c r="AC367" i="3"/>
  <c r="S368" i="3"/>
  <c r="X368" i="3"/>
  <c r="Z368" i="3"/>
  <c r="AA368" i="3"/>
  <c r="AB368" i="3"/>
  <c r="AC368" i="3"/>
  <c r="S369" i="3"/>
  <c r="X369" i="3"/>
  <c r="Z369" i="3"/>
  <c r="AA369" i="3"/>
  <c r="AB369" i="3"/>
  <c r="AC369" i="3"/>
  <c r="S370" i="3"/>
  <c r="X370" i="3"/>
  <c r="Z370" i="3"/>
  <c r="AA370" i="3"/>
  <c r="AB370" i="3"/>
  <c r="AC370" i="3"/>
  <c r="S371" i="3"/>
  <c r="X371" i="3"/>
  <c r="Z371" i="3"/>
  <c r="AA371" i="3"/>
  <c r="AB371" i="3"/>
  <c r="AC371" i="3"/>
  <c r="S372" i="3"/>
  <c r="X372" i="3"/>
  <c r="Z372" i="3"/>
  <c r="AA372" i="3"/>
  <c r="AB372" i="3"/>
  <c r="AC372" i="3"/>
  <c r="S373" i="3"/>
  <c r="X373" i="3"/>
  <c r="Z373" i="3"/>
  <c r="AA373" i="3"/>
  <c r="AB373" i="3"/>
  <c r="AC373" i="3"/>
  <c r="S374" i="3"/>
  <c r="X374" i="3"/>
  <c r="Z374" i="3"/>
  <c r="AA374" i="3"/>
  <c r="AB374" i="3"/>
  <c r="AC374" i="3"/>
  <c r="S375" i="3"/>
  <c r="X375" i="3"/>
  <c r="Z375" i="3"/>
  <c r="AA375" i="3"/>
  <c r="AB375" i="3"/>
  <c r="AC375" i="3"/>
  <c r="S376" i="3"/>
  <c r="X376" i="3"/>
  <c r="Z376" i="3"/>
  <c r="AA376" i="3"/>
  <c r="AB376" i="3"/>
  <c r="AC376" i="3"/>
  <c r="S377" i="3"/>
  <c r="X377" i="3"/>
  <c r="Z377" i="3"/>
  <c r="AA377" i="3"/>
  <c r="AB377" i="3"/>
  <c r="AC377" i="3"/>
  <c r="S378" i="3"/>
  <c r="X378" i="3"/>
  <c r="Z378" i="3"/>
  <c r="AA378" i="3"/>
  <c r="AB378" i="3"/>
  <c r="AC378" i="3"/>
  <c r="S379" i="3"/>
  <c r="X379" i="3"/>
  <c r="Z379" i="3"/>
  <c r="AA379" i="3"/>
  <c r="AB379" i="3"/>
  <c r="AC379" i="3"/>
  <c r="S380" i="3"/>
  <c r="X380" i="3"/>
  <c r="Z380" i="3"/>
  <c r="AA380" i="3"/>
  <c r="AB380" i="3"/>
  <c r="AC380" i="3"/>
  <c r="S381" i="3"/>
  <c r="X381" i="3"/>
  <c r="Z381" i="3"/>
  <c r="AA381" i="3"/>
  <c r="AB381" i="3"/>
  <c r="AC381" i="3"/>
  <c r="S382" i="3"/>
  <c r="X382" i="3"/>
  <c r="Z382" i="3"/>
  <c r="AA382" i="3"/>
  <c r="AB382" i="3"/>
  <c r="AC382" i="3"/>
  <c r="S383" i="3"/>
  <c r="X383" i="3"/>
  <c r="Z383" i="3"/>
  <c r="AA383" i="3"/>
  <c r="AB383" i="3"/>
  <c r="AC383" i="3"/>
  <c r="S384" i="3"/>
  <c r="X384" i="3"/>
  <c r="Z384" i="3"/>
  <c r="AA384" i="3"/>
  <c r="AB384" i="3"/>
  <c r="AC384" i="3"/>
  <c r="S385" i="3"/>
  <c r="X385" i="3"/>
  <c r="Z385" i="3"/>
  <c r="AA385" i="3"/>
  <c r="AB385" i="3"/>
  <c r="AC385" i="3"/>
  <c r="S386" i="3"/>
  <c r="X386" i="3"/>
  <c r="Z386" i="3"/>
  <c r="AA386" i="3"/>
  <c r="AB386" i="3"/>
  <c r="AC386" i="3"/>
  <c r="S387" i="3"/>
  <c r="X387" i="3"/>
  <c r="Z387" i="3"/>
  <c r="AA387" i="3"/>
  <c r="AB387" i="3"/>
  <c r="AC387" i="3"/>
  <c r="S388" i="3"/>
  <c r="X388" i="3"/>
  <c r="Z388" i="3"/>
  <c r="AA388" i="3"/>
  <c r="AB388" i="3"/>
  <c r="AC388" i="3"/>
  <c r="S389" i="3"/>
  <c r="X389" i="3"/>
  <c r="Z389" i="3"/>
  <c r="AA389" i="3"/>
  <c r="AB389" i="3"/>
  <c r="AC389" i="3"/>
  <c r="S390" i="3"/>
  <c r="X390" i="3"/>
  <c r="Z390" i="3"/>
  <c r="AA390" i="3"/>
  <c r="AB390" i="3"/>
  <c r="AC390" i="3"/>
  <c r="S391" i="3"/>
  <c r="X391" i="3"/>
  <c r="Z391" i="3"/>
  <c r="AA391" i="3"/>
  <c r="AB391" i="3"/>
  <c r="AC391" i="3"/>
  <c r="S392" i="3"/>
  <c r="X392" i="3"/>
  <c r="Z392" i="3"/>
  <c r="AA392" i="3"/>
  <c r="AB392" i="3"/>
  <c r="AC392" i="3"/>
  <c r="S393" i="3"/>
  <c r="X393" i="3"/>
  <c r="Z393" i="3"/>
  <c r="AA393" i="3"/>
  <c r="AB393" i="3"/>
  <c r="AC393" i="3"/>
  <c r="S394" i="3"/>
  <c r="X394" i="3"/>
  <c r="Z394" i="3"/>
  <c r="AA394" i="3"/>
  <c r="AB394" i="3"/>
  <c r="AC394" i="3"/>
  <c r="S395" i="3"/>
  <c r="X395" i="3"/>
  <c r="Z395" i="3"/>
  <c r="AA395" i="3"/>
  <c r="AB395" i="3"/>
  <c r="AC395" i="3"/>
  <c r="S396" i="3"/>
  <c r="X396" i="3"/>
  <c r="Z396" i="3"/>
  <c r="AA396" i="3"/>
  <c r="AB396" i="3"/>
  <c r="AC396" i="3"/>
  <c r="S397" i="3"/>
  <c r="X397" i="3"/>
  <c r="Z397" i="3"/>
  <c r="AA397" i="3"/>
  <c r="AB397" i="3"/>
  <c r="AC397" i="3"/>
  <c r="S398" i="3"/>
  <c r="X398" i="3"/>
  <c r="Z398" i="3"/>
  <c r="AA398" i="3"/>
  <c r="AB398" i="3"/>
  <c r="AC398" i="3"/>
  <c r="S399" i="3"/>
  <c r="X399" i="3"/>
  <c r="Z399" i="3"/>
  <c r="AA399" i="3"/>
  <c r="AB399" i="3"/>
  <c r="AC399" i="3"/>
  <c r="S400" i="3"/>
  <c r="X400" i="3"/>
  <c r="Z400" i="3"/>
  <c r="AA400" i="3"/>
  <c r="AB400" i="3"/>
  <c r="AC400" i="3"/>
  <c r="S401" i="3"/>
  <c r="X401" i="3"/>
  <c r="Z401" i="3"/>
  <c r="AA401" i="3"/>
  <c r="AB401" i="3"/>
  <c r="AC401" i="3"/>
  <c r="S402" i="3"/>
  <c r="X402" i="3"/>
  <c r="Z402" i="3"/>
  <c r="AA402" i="3"/>
  <c r="AB402" i="3"/>
  <c r="AC402" i="3"/>
  <c r="S403" i="3"/>
  <c r="X403" i="3"/>
  <c r="Z403" i="3"/>
  <c r="AA403" i="3"/>
  <c r="AB403" i="3"/>
  <c r="AC403" i="3"/>
  <c r="S404" i="3"/>
  <c r="X404" i="3"/>
  <c r="Z404" i="3"/>
  <c r="AA404" i="3"/>
  <c r="AB404" i="3"/>
  <c r="AC404" i="3"/>
  <c r="S405" i="3"/>
  <c r="X405" i="3"/>
  <c r="Z405" i="3"/>
  <c r="AA405" i="3"/>
  <c r="AB405" i="3"/>
  <c r="AC405" i="3"/>
  <c r="S406" i="3"/>
  <c r="X406" i="3"/>
  <c r="Z406" i="3"/>
  <c r="AA406" i="3"/>
  <c r="AB406" i="3"/>
  <c r="AC406" i="3"/>
  <c r="S407" i="3"/>
  <c r="X407" i="3"/>
  <c r="Z407" i="3"/>
  <c r="AA407" i="3"/>
  <c r="AB407" i="3"/>
  <c r="AC407" i="3"/>
  <c r="S408" i="3"/>
  <c r="X408" i="3"/>
  <c r="Z408" i="3"/>
  <c r="AA408" i="3"/>
  <c r="AB408" i="3"/>
  <c r="AC408" i="3"/>
  <c r="S409" i="3"/>
  <c r="X409" i="3"/>
  <c r="Z409" i="3"/>
  <c r="AA409" i="3"/>
  <c r="AB409" i="3"/>
  <c r="AC409" i="3"/>
  <c r="S410" i="3"/>
  <c r="X410" i="3"/>
  <c r="Z410" i="3"/>
  <c r="AA410" i="3"/>
  <c r="AB410" i="3"/>
  <c r="AC410" i="3"/>
  <c r="S411" i="3"/>
  <c r="X411" i="3"/>
  <c r="Z411" i="3"/>
  <c r="AA411" i="3"/>
  <c r="AB411" i="3"/>
  <c r="AC411" i="3"/>
  <c r="S412" i="3"/>
  <c r="X412" i="3"/>
  <c r="Z412" i="3"/>
  <c r="AA412" i="3"/>
  <c r="AB412" i="3"/>
  <c r="AC412" i="3"/>
  <c r="S413" i="3"/>
  <c r="X413" i="3"/>
  <c r="Z413" i="3"/>
  <c r="AA413" i="3"/>
  <c r="AB413" i="3"/>
  <c r="AC413" i="3"/>
  <c r="S414" i="3"/>
  <c r="X414" i="3"/>
  <c r="Z414" i="3"/>
  <c r="AA414" i="3"/>
  <c r="AB414" i="3"/>
  <c r="AC414" i="3"/>
  <c r="S415" i="3"/>
  <c r="X415" i="3"/>
  <c r="Z415" i="3"/>
  <c r="AA415" i="3"/>
  <c r="AB415" i="3"/>
  <c r="AC415" i="3"/>
  <c r="S416" i="3"/>
  <c r="X416" i="3"/>
  <c r="Z416" i="3"/>
  <c r="AA416" i="3"/>
  <c r="AB416" i="3"/>
  <c r="AC416" i="3"/>
  <c r="S417" i="3"/>
  <c r="X417" i="3"/>
  <c r="Z417" i="3"/>
  <c r="AA417" i="3"/>
  <c r="AB417" i="3"/>
  <c r="AC417" i="3"/>
  <c r="S418" i="3"/>
  <c r="X418" i="3"/>
  <c r="Z418" i="3"/>
  <c r="AA418" i="3"/>
  <c r="AB418" i="3"/>
  <c r="AC418" i="3"/>
  <c r="S419" i="3"/>
  <c r="X419" i="3"/>
  <c r="Z419" i="3"/>
  <c r="AA419" i="3"/>
  <c r="AB419" i="3"/>
  <c r="AC419" i="3"/>
  <c r="S420" i="3"/>
  <c r="X420" i="3"/>
  <c r="Z420" i="3"/>
  <c r="AA420" i="3"/>
  <c r="AB420" i="3"/>
  <c r="AC420" i="3"/>
  <c r="S421" i="3"/>
  <c r="X421" i="3"/>
  <c r="Z421" i="3"/>
  <c r="AA421" i="3"/>
  <c r="AB421" i="3"/>
  <c r="AC421" i="3"/>
  <c r="S422" i="3"/>
  <c r="X422" i="3"/>
  <c r="Z422" i="3"/>
  <c r="AA422" i="3"/>
  <c r="AB422" i="3"/>
  <c r="AC422" i="3"/>
  <c r="S423" i="3"/>
  <c r="X423" i="3"/>
  <c r="Z423" i="3"/>
  <c r="AA423" i="3"/>
  <c r="AB423" i="3"/>
  <c r="AC423" i="3"/>
  <c r="S424" i="3"/>
  <c r="X424" i="3"/>
  <c r="Z424" i="3"/>
  <c r="AA424" i="3"/>
  <c r="AB424" i="3"/>
  <c r="AC424" i="3"/>
  <c r="S425" i="3"/>
  <c r="X425" i="3"/>
  <c r="Z425" i="3"/>
  <c r="AA425" i="3"/>
  <c r="AB425" i="3"/>
  <c r="AC425" i="3"/>
  <c r="S426" i="3"/>
  <c r="X426" i="3"/>
  <c r="Z426" i="3"/>
  <c r="AA426" i="3"/>
  <c r="AB426" i="3"/>
  <c r="AC426" i="3"/>
  <c r="S427" i="3"/>
  <c r="X427" i="3"/>
  <c r="Z427" i="3"/>
  <c r="AA427" i="3"/>
  <c r="AB427" i="3"/>
  <c r="AC427" i="3"/>
  <c r="S428" i="3"/>
  <c r="X428" i="3"/>
  <c r="Z428" i="3"/>
  <c r="AA428" i="3"/>
  <c r="AB428" i="3"/>
  <c r="AC428" i="3"/>
  <c r="S429" i="3"/>
  <c r="X429" i="3"/>
  <c r="Z429" i="3"/>
  <c r="AA429" i="3"/>
  <c r="AB429" i="3"/>
  <c r="AC429" i="3"/>
  <c r="S430" i="3"/>
  <c r="X430" i="3"/>
  <c r="Z430" i="3"/>
  <c r="AA430" i="3"/>
  <c r="AB430" i="3"/>
  <c r="AC430" i="3"/>
  <c r="S431" i="3"/>
  <c r="X431" i="3"/>
  <c r="Z431" i="3"/>
  <c r="AA431" i="3"/>
  <c r="AB431" i="3"/>
  <c r="AC431" i="3"/>
  <c r="S432" i="3"/>
  <c r="X432" i="3"/>
  <c r="Z432" i="3"/>
  <c r="AA432" i="3"/>
  <c r="AB432" i="3"/>
  <c r="AC432" i="3"/>
  <c r="S433" i="3"/>
  <c r="X433" i="3"/>
  <c r="Z433" i="3"/>
  <c r="AA433" i="3"/>
  <c r="AB433" i="3"/>
  <c r="AC433" i="3"/>
  <c r="S434" i="3"/>
  <c r="X434" i="3"/>
  <c r="Z434" i="3"/>
  <c r="AA434" i="3"/>
  <c r="AB434" i="3"/>
  <c r="AC434" i="3"/>
  <c r="S435" i="3"/>
  <c r="X435" i="3"/>
  <c r="Z435" i="3"/>
  <c r="AA435" i="3"/>
  <c r="AB435" i="3"/>
  <c r="AC435" i="3"/>
  <c r="S436" i="3"/>
  <c r="X436" i="3"/>
  <c r="Z436" i="3"/>
  <c r="AA436" i="3"/>
  <c r="AB436" i="3"/>
  <c r="AC436" i="3"/>
  <c r="S437" i="3"/>
  <c r="X437" i="3"/>
  <c r="Z437" i="3"/>
  <c r="AA437" i="3"/>
  <c r="AB437" i="3"/>
  <c r="AC437" i="3"/>
  <c r="S438" i="3"/>
  <c r="X438" i="3"/>
  <c r="Z438" i="3"/>
  <c r="AA438" i="3"/>
  <c r="AB438" i="3"/>
  <c r="AC438" i="3"/>
  <c r="S439" i="3"/>
  <c r="X439" i="3"/>
  <c r="Z439" i="3"/>
  <c r="AA439" i="3"/>
  <c r="AB439" i="3"/>
  <c r="AC439" i="3"/>
  <c r="S440" i="3"/>
  <c r="X440" i="3"/>
  <c r="Z440" i="3"/>
  <c r="AA440" i="3"/>
  <c r="AB440" i="3"/>
  <c r="AC440" i="3"/>
  <c r="S441" i="3"/>
  <c r="X441" i="3"/>
  <c r="Z441" i="3"/>
  <c r="AA441" i="3"/>
  <c r="AB441" i="3"/>
  <c r="AC441" i="3"/>
  <c r="S442" i="3"/>
  <c r="X442" i="3"/>
  <c r="Z442" i="3"/>
  <c r="AA442" i="3"/>
  <c r="AB442" i="3"/>
  <c r="AC442" i="3"/>
  <c r="S443" i="3"/>
  <c r="X443" i="3"/>
  <c r="Z443" i="3"/>
  <c r="AA443" i="3"/>
  <c r="AB443" i="3"/>
  <c r="AC443" i="3"/>
  <c r="S444" i="3"/>
  <c r="X444" i="3"/>
  <c r="Z444" i="3"/>
  <c r="AA444" i="3"/>
  <c r="AB444" i="3"/>
  <c r="AC444" i="3"/>
  <c r="S445" i="3"/>
  <c r="X445" i="3"/>
  <c r="Z445" i="3"/>
  <c r="AA445" i="3"/>
  <c r="AB445" i="3"/>
  <c r="AC445" i="3"/>
  <c r="S446" i="3"/>
  <c r="X446" i="3"/>
  <c r="Z446" i="3"/>
  <c r="AA446" i="3"/>
  <c r="AB446" i="3"/>
  <c r="AC446" i="3"/>
  <c r="S447" i="3"/>
  <c r="X447" i="3"/>
  <c r="Z447" i="3"/>
  <c r="AA447" i="3"/>
  <c r="AB447" i="3"/>
  <c r="AC447" i="3"/>
  <c r="S448" i="3"/>
  <c r="X448" i="3"/>
  <c r="Z448" i="3"/>
  <c r="AA448" i="3"/>
  <c r="AB448" i="3"/>
  <c r="AC448" i="3"/>
  <c r="S449" i="3"/>
  <c r="X449" i="3"/>
  <c r="Z449" i="3"/>
  <c r="AA449" i="3"/>
  <c r="AB449" i="3"/>
  <c r="AC449" i="3"/>
  <c r="S450" i="3"/>
  <c r="X450" i="3"/>
  <c r="Z450" i="3"/>
  <c r="AA450" i="3"/>
  <c r="AB450" i="3"/>
  <c r="AC450" i="3"/>
  <c r="S451" i="3"/>
  <c r="X451" i="3"/>
  <c r="Z451" i="3"/>
  <c r="AA451" i="3"/>
  <c r="AB451" i="3"/>
  <c r="AC451" i="3"/>
  <c r="S452" i="3"/>
  <c r="X452" i="3"/>
  <c r="Z452" i="3"/>
  <c r="AA452" i="3"/>
  <c r="AB452" i="3"/>
  <c r="AC452" i="3"/>
  <c r="S453" i="3"/>
  <c r="X453" i="3"/>
  <c r="Z453" i="3"/>
  <c r="AA453" i="3"/>
  <c r="AB453" i="3"/>
  <c r="AC453" i="3"/>
  <c r="S454" i="3"/>
  <c r="X454" i="3"/>
  <c r="Z454" i="3"/>
  <c r="AA454" i="3"/>
  <c r="AB454" i="3"/>
  <c r="AC454" i="3"/>
  <c r="S455" i="3"/>
  <c r="X455" i="3"/>
  <c r="Z455" i="3"/>
  <c r="AA455" i="3"/>
  <c r="AB455" i="3"/>
  <c r="AC455" i="3"/>
  <c r="S456" i="3"/>
  <c r="X456" i="3"/>
  <c r="Z456" i="3"/>
  <c r="AA456" i="3"/>
  <c r="AB456" i="3"/>
  <c r="AC456" i="3"/>
  <c r="S457" i="3"/>
  <c r="X457" i="3"/>
  <c r="Z457" i="3"/>
  <c r="AA457" i="3"/>
  <c r="AB457" i="3"/>
  <c r="AC457" i="3"/>
  <c r="S458" i="3"/>
  <c r="X458" i="3"/>
  <c r="Z458" i="3"/>
  <c r="AA458" i="3"/>
  <c r="AB458" i="3"/>
  <c r="AC458" i="3"/>
  <c r="S459" i="3"/>
  <c r="X459" i="3"/>
  <c r="Z459" i="3"/>
  <c r="AA459" i="3"/>
  <c r="AB459" i="3"/>
  <c r="AC459" i="3"/>
  <c r="S460" i="3"/>
  <c r="X460" i="3"/>
  <c r="Z460" i="3"/>
  <c r="AA460" i="3"/>
  <c r="AB460" i="3"/>
  <c r="AC460" i="3"/>
  <c r="S461" i="3"/>
  <c r="X461" i="3"/>
  <c r="Z461" i="3"/>
  <c r="AA461" i="3"/>
  <c r="AB461" i="3"/>
  <c r="AC461" i="3"/>
  <c r="S462" i="3"/>
  <c r="X462" i="3"/>
  <c r="Z462" i="3"/>
  <c r="AA462" i="3"/>
  <c r="AB462" i="3"/>
  <c r="AC462" i="3"/>
  <c r="S463" i="3"/>
  <c r="X463" i="3"/>
  <c r="Z463" i="3"/>
  <c r="AA463" i="3"/>
  <c r="AB463" i="3"/>
  <c r="AC463" i="3"/>
  <c r="S464" i="3"/>
  <c r="X464" i="3"/>
  <c r="Z464" i="3"/>
  <c r="AA464" i="3"/>
  <c r="AB464" i="3"/>
  <c r="AC464" i="3"/>
  <c r="S465" i="3"/>
  <c r="X465" i="3"/>
  <c r="Z465" i="3"/>
  <c r="AA465" i="3"/>
  <c r="AB465" i="3"/>
  <c r="AC465" i="3"/>
  <c r="S466" i="3"/>
  <c r="X466" i="3"/>
  <c r="Z466" i="3"/>
  <c r="AA466" i="3"/>
  <c r="AB466" i="3"/>
  <c r="AC466" i="3"/>
  <c r="S467" i="3"/>
  <c r="X467" i="3"/>
  <c r="Z467" i="3"/>
  <c r="AA467" i="3"/>
  <c r="AB467" i="3"/>
  <c r="AC467" i="3"/>
  <c r="S468" i="3"/>
  <c r="X468" i="3"/>
  <c r="Z468" i="3"/>
  <c r="AA468" i="3"/>
  <c r="AB468" i="3"/>
  <c r="AC468" i="3"/>
  <c r="S469" i="3"/>
  <c r="X469" i="3"/>
  <c r="Z469" i="3"/>
  <c r="AA469" i="3"/>
  <c r="AB469" i="3"/>
  <c r="AC469" i="3"/>
  <c r="S470" i="3"/>
  <c r="X470" i="3"/>
  <c r="Z470" i="3"/>
  <c r="AA470" i="3"/>
  <c r="AB470" i="3"/>
  <c r="AC470" i="3"/>
  <c r="S471" i="3"/>
  <c r="X471" i="3"/>
  <c r="Z471" i="3"/>
  <c r="AA471" i="3"/>
  <c r="AB471" i="3"/>
  <c r="AC471" i="3"/>
  <c r="S472" i="3"/>
  <c r="X472" i="3"/>
  <c r="Z472" i="3"/>
  <c r="AA472" i="3"/>
  <c r="AB472" i="3"/>
  <c r="AC472" i="3"/>
  <c r="S473" i="3"/>
  <c r="X473" i="3"/>
  <c r="Z473" i="3"/>
  <c r="AA473" i="3"/>
  <c r="AB473" i="3"/>
  <c r="AC473" i="3"/>
  <c r="S474" i="3"/>
  <c r="X474" i="3"/>
  <c r="Z474" i="3"/>
  <c r="AA474" i="3"/>
  <c r="AB474" i="3"/>
  <c r="AC474" i="3"/>
  <c r="S475" i="3"/>
  <c r="X475" i="3"/>
  <c r="Z475" i="3"/>
  <c r="AA475" i="3"/>
  <c r="AB475" i="3"/>
  <c r="AC475" i="3"/>
  <c r="S476" i="3"/>
  <c r="X476" i="3"/>
  <c r="Z476" i="3"/>
  <c r="AA476" i="3"/>
  <c r="AB476" i="3"/>
  <c r="AC476" i="3"/>
  <c r="S477" i="3"/>
  <c r="X477" i="3"/>
  <c r="Z477" i="3"/>
  <c r="AA477" i="3"/>
  <c r="AB477" i="3"/>
  <c r="AC477" i="3"/>
  <c r="S478" i="3"/>
  <c r="X478" i="3"/>
  <c r="Z478" i="3"/>
  <c r="AA478" i="3"/>
  <c r="AB478" i="3"/>
  <c r="AC478" i="3"/>
  <c r="S479" i="3"/>
  <c r="X479" i="3"/>
  <c r="Z479" i="3"/>
  <c r="AA479" i="3"/>
  <c r="AB479" i="3"/>
  <c r="AC479" i="3"/>
  <c r="S480" i="3"/>
  <c r="X480" i="3"/>
  <c r="Z480" i="3"/>
  <c r="AA480" i="3"/>
  <c r="AB480" i="3"/>
  <c r="AC480" i="3"/>
  <c r="S481" i="3"/>
  <c r="X481" i="3"/>
  <c r="Z481" i="3"/>
  <c r="AA481" i="3"/>
  <c r="AB481" i="3"/>
  <c r="AC481" i="3"/>
  <c r="S482" i="3"/>
  <c r="X482" i="3"/>
  <c r="Z482" i="3"/>
  <c r="AA482" i="3"/>
  <c r="AB482" i="3"/>
  <c r="AC482" i="3"/>
  <c r="S483" i="3"/>
  <c r="X483" i="3"/>
  <c r="Z483" i="3"/>
  <c r="AA483" i="3"/>
  <c r="AB483" i="3"/>
  <c r="AC483" i="3"/>
  <c r="S484" i="3"/>
  <c r="X484" i="3"/>
  <c r="Z484" i="3"/>
  <c r="AA484" i="3"/>
  <c r="AB484" i="3"/>
  <c r="AC484" i="3"/>
  <c r="S485" i="3"/>
  <c r="X485" i="3"/>
  <c r="Z485" i="3"/>
  <c r="AA485" i="3"/>
  <c r="AB485" i="3"/>
  <c r="AC485" i="3"/>
  <c r="S486" i="3"/>
  <c r="X486" i="3"/>
  <c r="Z486" i="3"/>
  <c r="AA486" i="3"/>
  <c r="AB486" i="3"/>
  <c r="AC486" i="3"/>
  <c r="S487" i="3"/>
  <c r="X487" i="3"/>
  <c r="Z487" i="3"/>
  <c r="AA487" i="3"/>
  <c r="AB487" i="3"/>
  <c r="AC487" i="3"/>
  <c r="S488" i="3"/>
  <c r="X488" i="3"/>
  <c r="Z488" i="3"/>
  <c r="AA488" i="3"/>
  <c r="AB488" i="3"/>
  <c r="AC488" i="3"/>
  <c r="S489" i="3"/>
  <c r="X489" i="3"/>
  <c r="Z489" i="3"/>
  <c r="AA489" i="3"/>
  <c r="AB489" i="3"/>
  <c r="AC489" i="3"/>
  <c r="S490" i="3"/>
  <c r="X490" i="3"/>
  <c r="Z490" i="3"/>
  <c r="AA490" i="3"/>
  <c r="AB490" i="3"/>
  <c r="AC490" i="3"/>
  <c r="S491" i="3"/>
  <c r="X491" i="3"/>
  <c r="Z491" i="3"/>
  <c r="AA491" i="3"/>
  <c r="AB491" i="3"/>
  <c r="AC491" i="3"/>
  <c r="S492" i="3"/>
  <c r="X492" i="3"/>
  <c r="Z492" i="3"/>
  <c r="AA492" i="3"/>
  <c r="AB492" i="3"/>
  <c r="AC492" i="3"/>
  <c r="S493" i="3"/>
  <c r="X493" i="3"/>
  <c r="Z493" i="3"/>
  <c r="AA493" i="3"/>
  <c r="AB493" i="3"/>
  <c r="AC493" i="3"/>
  <c r="S494" i="3"/>
  <c r="X494" i="3"/>
  <c r="Z494" i="3"/>
  <c r="AA494" i="3"/>
  <c r="AB494" i="3"/>
  <c r="AC494" i="3"/>
  <c r="S495" i="3"/>
  <c r="X495" i="3"/>
  <c r="Z495" i="3"/>
  <c r="AA495" i="3"/>
  <c r="AB495" i="3"/>
  <c r="AC495" i="3"/>
  <c r="S496" i="3"/>
  <c r="X496" i="3"/>
  <c r="Z496" i="3"/>
  <c r="AA496" i="3"/>
  <c r="AB496" i="3"/>
  <c r="AC496" i="3"/>
  <c r="S497" i="3"/>
  <c r="X497" i="3"/>
  <c r="Z497" i="3"/>
  <c r="AA497" i="3"/>
  <c r="AB497" i="3"/>
  <c r="AC497" i="3"/>
  <c r="S498" i="3"/>
  <c r="X498" i="3"/>
  <c r="Z498" i="3"/>
  <c r="AA498" i="3"/>
  <c r="AB498" i="3"/>
  <c r="AC498" i="3"/>
  <c r="S499" i="3"/>
  <c r="X499" i="3"/>
  <c r="Z499" i="3"/>
  <c r="AA499" i="3"/>
  <c r="AB499" i="3"/>
  <c r="AC499" i="3"/>
  <c r="S500" i="3"/>
  <c r="X500" i="3"/>
  <c r="Z500" i="3"/>
  <c r="AA500" i="3"/>
  <c r="AB500" i="3"/>
  <c r="AC500" i="3"/>
  <c r="S501" i="3"/>
  <c r="X501" i="3"/>
  <c r="Z501" i="3"/>
  <c r="AA501" i="3"/>
  <c r="AB501" i="3"/>
  <c r="AC501" i="3"/>
  <c r="S502" i="3"/>
  <c r="X502" i="3"/>
  <c r="Z502" i="3"/>
  <c r="AA502" i="3"/>
  <c r="AB502" i="3"/>
  <c r="AC502" i="3"/>
  <c r="S503" i="3"/>
  <c r="X503" i="3"/>
  <c r="Z503" i="3"/>
  <c r="AA503" i="3"/>
  <c r="AB503" i="3"/>
  <c r="AC503" i="3"/>
  <c r="S504" i="3"/>
  <c r="X504" i="3"/>
  <c r="Z504" i="3"/>
  <c r="AA504" i="3"/>
  <c r="AB504" i="3"/>
  <c r="AC504" i="3"/>
  <c r="S505" i="3"/>
  <c r="X505" i="3"/>
  <c r="Z505" i="3"/>
  <c r="AA505" i="3"/>
  <c r="AB505" i="3"/>
  <c r="AC505" i="3"/>
  <c r="S506" i="3"/>
  <c r="X506" i="3"/>
  <c r="Z506" i="3"/>
  <c r="AA506" i="3"/>
  <c r="AB506" i="3"/>
  <c r="AC506" i="3"/>
  <c r="S507" i="3"/>
  <c r="X507" i="3"/>
  <c r="Z507" i="3"/>
  <c r="AA507" i="3"/>
  <c r="AB507" i="3"/>
  <c r="AC507" i="3"/>
  <c r="S508" i="3"/>
  <c r="X508" i="3"/>
  <c r="Z508" i="3"/>
  <c r="AA508" i="3"/>
  <c r="AB508" i="3"/>
  <c r="AC508" i="3"/>
  <c r="S509" i="3"/>
  <c r="X509" i="3"/>
  <c r="Z509" i="3"/>
  <c r="AA509" i="3"/>
  <c r="AB509" i="3"/>
  <c r="AC509" i="3"/>
  <c r="S510" i="3"/>
  <c r="X510" i="3"/>
  <c r="Z510" i="3"/>
  <c r="AA510" i="3"/>
  <c r="AB510" i="3"/>
  <c r="AC510" i="3"/>
  <c r="S511" i="3"/>
  <c r="X511" i="3"/>
  <c r="Z511" i="3"/>
  <c r="AA511" i="3"/>
  <c r="AB511" i="3"/>
  <c r="AC511" i="3"/>
  <c r="S512" i="3"/>
  <c r="X512" i="3"/>
  <c r="Z512" i="3"/>
  <c r="AA512" i="3"/>
  <c r="AB512" i="3"/>
  <c r="AC512" i="3"/>
  <c r="S513" i="3"/>
  <c r="X513" i="3"/>
  <c r="Z513" i="3"/>
  <c r="AA513" i="3"/>
  <c r="AB513" i="3"/>
  <c r="AC513" i="3"/>
  <c r="S514" i="3"/>
  <c r="X514" i="3"/>
  <c r="Z514" i="3"/>
  <c r="AA514" i="3"/>
  <c r="AB514" i="3"/>
  <c r="AC514" i="3"/>
  <c r="S515" i="3"/>
  <c r="X515" i="3"/>
  <c r="Z515" i="3"/>
  <c r="AA515" i="3"/>
  <c r="AB515" i="3"/>
  <c r="AC515" i="3"/>
  <c r="S516" i="3"/>
  <c r="X516" i="3"/>
  <c r="Z516" i="3"/>
  <c r="AA516" i="3"/>
  <c r="AB516" i="3"/>
  <c r="AC516" i="3"/>
  <c r="S517" i="3"/>
  <c r="X517" i="3"/>
  <c r="Z517" i="3"/>
  <c r="AA517" i="3"/>
  <c r="AB517" i="3"/>
  <c r="AC517" i="3"/>
  <c r="S518" i="3"/>
  <c r="X518" i="3"/>
  <c r="Z518" i="3"/>
  <c r="AA518" i="3"/>
  <c r="AB518" i="3"/>
  <c r="AC518" i="3"/>
  <c r="S519" i="3"/>
  <c r="X519" i="3"/>
  <c r="Z519" i="3"/>
  <c r="AA519" i="3"/>
  <c r="AB519" i="3"/>
  <c r="AC519" i="3"/>
  <c r="S520" i="3"/>
  <c r="X520" i="3"/>
  <c r="Z520" i="3"/>
  <c r="AA520" i="3"/>
  <c r="AB520" i="3"/>
  <c r="AC520" i="3"/>
  <c r="S521" i="3"/>
  <c r="X521" i="3"/>
  <c r="Z521" i="3"/>
  <c r="AA521" i="3"/>
  <c r="AB521" i="3"/>
  <c r="AC521" i="3"/>
  <c r="S522" i="3"/>
  <c r="X522" i="3"/>
  <c r="Z522" i="3"/>
  <c r="AA522" i="3"/>
  <c r="AB522" i="3"/>
  <c r="AC522" i="3"/>
  <c r="S523" i="3"/>
  <c r="X523" i="3"/>
  <c r="Z523" i="3"/>
  <c r="AA523" i="3"/>
  <c r="AB523" i="3"/>
  <c r="AC523" i="3"/>
  <c r="S524" i="3"/>
  <c r="X524" i="3"/>
  <c r="Z524" i="3"/>
  <c r="AA524" i="3"/>
  <c r="AB524" i="3"/>
  <c r="AC524" i="3"/>
  <c r="S525" i="3"/>
  <c r="X525" i="3"/>
  <c r="Z525" i="3"/>
  <c r="AA525" i="3"/>
  <c r="AB525" i="3"/>
  <c r="AC525" i="3"/>
  <c r="S526" i="3"/>
  <c r="X526" i="3"/>
  <c r="Z526" i="3"/>
  <c r="AA526" i="3"/>
  <c r="AB526" i="3"/>
  <c r="AC526" i="3"/>
  <c r="S527" i="3"/>
  <c r="X527" i="3"/>
  <c r="Z527" i="3"/>
  <c r="AA527" i="3"/>
  <c r="AB527" i="3"/>
  <c r="AC527" i="3"/>
  <c r="S528" i="3"/>
  <c r="X528" i="3"/>
  <c r="Z528" i="3"/>
  <c r="AA528" i="3"/>
  <c r="AB528" i="3"/>
  <c r="AC528" i="3"/>
  <c r="S529" i="3"/>
  <c r="X529" i="3"/>
  <c r="Z529" i="3"/>
  <c r="AA529" i="3"/>
  <c r="AB529" i="3"/>
  <c r="AC529" i="3"/>
  <c r="S530" i="3"/>
  <c r="X530" i="3"/>
  <c r="Z530" i="3"/>
  <c r="AA530" i="3"/>
  <c r="AB530" i="3"/>
  <c r="AC530" i="3"/>
  <c r="S531" i="3"/>
  <c r="X531" i="3"/>
  <c r="Z531" i="3"/>
  <c r="AA531" i="3"/>
  <c r="AB531" i="3"/>
  <c r="AC531" i="3"/>
  <c r="S532" i="3"/>
  <c r="X532" i="3"/>
  <c r="Z532" i="3"/>
  <c r="AA532" i="3"/>
  <c r="AB532" i="3"/>
  <c r="AC532" i="3"/>
  <c r="S533" i="3"/>
  <c r="X533" i="3"/>
  <c r="Z533" i="3"/>
  <c r="AA533" i="3"/>
  <c r="AB533" i="3"/>
  <c r="AC533" i="3"/>
  <c r="S534" i="3"/>
  <c r="X534" i="3"/>
  <c r="Z534" i="3"/>
  <c r="AA534" i="3"/>
  <c r="AB534" i="3"/>
  <c r="AC534" i="3"/>
  <c r="S535" i="3"/>
  <c r="X535" i="3"/>
  <c r="Z535" i="3"/>
  <c r="AA535" i="3"/>
  <c r="AB535" i="3"/>
  <c r="AC535" i="3"/>
  <c r="S536" i="3"/>
  <c r="X536" i="3"/>
  <c r="Z536" i="3"/>
  <c r="AA536" i="3"/>
  <c r="AB536" i="3"/>
  <c r="AC536" i="3"/>
  <c r="S537" i="3"/>
  <c r="X537" i="3"/>
  <c r="Z537" i="3"/>
  <c r="AA537" i="3"/>
  <c r="AB537" i="3"/>
  <c r="AC537" i="3"/>
  <c r="S538" i="3"/>
  <c r="X538" i="3"/>
  <c r="Z538" i="3"/>
  <c r="AA538" i="3"/>
  <c r="AB538" i="3"/>
  <c r="AC538" i="3"/>
  <c r="S539" i="3"/>
  <c r="X539" i="3"/>
  <c r="Z539" i="3"/>
  <c r="AA539" i="3"/>
  <c r="AB539" i="3"/>
  <c r="AC539" i="3"/>
  <c r="S540" i="3"/>
  <c r="X540" i="3"/>
  <c r="Z540" i="3"/>
  <c r="AA540" i="3"/>
  <c r="AB540" i="3"/>
  <c r="AC540" i="3"/>
  <c r="S541" i="3"/>
  <c r="X541" i="3"/>
  <c r="Z541" i="3"/>
  <c r="AA541" i="3"/>
  <c r="AB541" i="3"/>
  <c r="AC541" i="3"/>
  <c r="S542" i="3"/>
  <c r="X542" i="3"/>
  <c r="Z542" i="3"/>
  <c r="AA542" i="3"/>
  <c r="AB542" i="3"/>
  <c r="AC542" i="3"/>
  <c r="S543" i="3"/>
  <c r="X543" i="3"/>
  <c r="Z543" i="3"/>
  <c r="AA543" i="3"/>
  <c r="AB543" i="3"/>
  <c r="AC543" i="3"/>
  <c r="S544" i="3"/>
  <c r="X544" i="3"/>
  <c r="Z544" i="3"/>
  <c r="AA544" i="3"/>
  <c r="AB544" i="3"/>
  <c r="AC544" i="3"/>
  <c r="S545" i="3"/>
  <c r="X545" i="3"/>
  <c r="Z545" i="3"/>
  <c r="AA545" i="3"/>
  <c r="AB545" i="3"/>
  <c r="AC545" i="3"/>
  <c r="S546" i="3"/>
  <c r="X546" i="3"/>
  <c r="Z546" i="3"/>
  <c r="AA546" i="3"/>
  <c r="AB546" i="3"/>
  <c r="AC546" i="3"/>
  <c r="S547" i="3"/>
  <c r="X547" i="3"/>
  <c r="Z547" i="3"/>
  <c r="AA547" i="3"/>
  <c r="AB547" i="3"/>
  <c r="AC547" i="3"/>
  <c r="S548" i="3"/>
  <c r="X548" i="3"/>
  <c r="Z548" i="3"/>
  <c r="AA548" i="3"/>
  <c r="AB548" i="3"/>
  <c r="AC548" i="3"/>
  <c r="S549" i="3"/>
  <c r="X549" i="3"/>
  <c r="Z549" i="3"/>
  <c r="AA549" i="3"/>
  <c r="AB549" i="3"/>
  <c r="AC549" i="3"/>
  <c r="S550" i="3"/>
  <c r="X550" i="3"/>
  <c r="Z550" i="3"/>
  <c r="AA550" i="3"/>
  <c r="AB550" i="3"/>
  <c r="AC550" i="3"/>
  <c r="S551" i="3"/>
  <c r="X551" i="3"/>
  <c r="Z551" i="3"/>
  <c r="AA551" i="3"/>
  <c r="AB551" i="3"/>
  <c r="AC551" i="3"/>
  <c r="S552" i="3"/>
  <c r="X552" i="3"/>
  <c r="Z552" i="3"/>
  <c r="AA552" i="3"/>
  <c r="AB552" i="3"/>
  <c r="AC552" i="3"/>
  <c r="S553" i="3"/>
  <c r="X553" i="3"/>
  <c r="Z553" i="3"/>
  <c r="AA553" i="3"/>
  <c r="AB553" i="3"/>
  <c r="AC553" i="3"/>
  <c r="S554" i="3"/>
  <c r="X554" i="3"/>
  <c r="Z554" i="3"/>
  <c r="AA554" i="3"/>
  <c r="AB554" i="3"/>
  <c r="AC554" i="3"/>
  <c r="S555" i="3"/>
  <c r="X555" i="3"/>
  <c r="Z555" i="3"/>
  <c r="AA555" i="3"/>
  <c r="AB555" i="3"/>
  <c r="AC555" i="3"/>
  <c r="S556" i="3"/>
  <c r="X556" i="3"/>
  <c r="Z556" i="3"/>
  <c r="AA556" i="3"/>
  <c r="AB556" i="3"/>
  <c r="AC556" i="3"/>
  <c r="S557" i="3"/>
  <c r="X557" i="3"/>
  <c r="Z557" i="3"/>
  <c r="AA557" i="3"/>
  <c r="AB557" i="3"/>
  <c r="AC557" i="3"/>
  <c r="S558" i="3"/>
  <c r="X558" i="3"/>
  <c r="Z558" i="3"/>
  <c r="AA558" i="3"/>
  <c r="AB558" i="3"/>
  <c r="AC558" i="3"/>
  <c r="S559" i="3"/>
  <c r="X559" i="3"/>
  <c r="Z559" i="3"/>
  <c r="AA559" i="3"/>
  <c r="AB559" i="3"/>
  <c r="AC559" i="3"/>
  <c r="S560" i="3"/>
  <c r="X560" i="3"/>
  <c r="Z560" i="3"/>
  <c r="AA560" i="3"/>
  <c r="AB560" i="3"/>
  <c r="AC560" i="3"/>
  <c r="S561" i="3"/>
  <c r="X561" i="3"/>
  <c r="Z561" i="3"/>
  <c r="AA561" i="3"/>
  <c r="AB561" i="3"/>
  <c r="AC561" i="3"/>
  <c r="S562" i="3"/>
  <c r="X562" i="3"/>
  <c r="Z562" i="3"/>
  <c r="AA562" i="3"/>
  <c r="AB562" i="3"/>
  <c r="AC562" i="3"/>
  <c r="S563" i="3"/>
  <c r="X563" i="3"/>
  <c r="Z563" i="3"/>
  <c r="AA563" i="3"/>
  <c r="AB563" i="3"/>
  <c r="AC563" i="3"/>
  <c r="S564" i="3"/>
  <c r="X564" i="3"/>
  <c r="Z564" i="3"/>
  <c r="AA564" i="3"/>
  <c r="AB564" i="3"/>
  <c r="AC564" i="3"/>
  <c r="S565" i="3"/>
  <c r="X565" i="3"/>
  <c r="Z565" i="3"/>
  <c r="AA565" i="3"/>
  <c r="AB565" i="3"/>
  <c r="AC565" i="3"/>
  <c r="S566" i="3"/>
  <c r="X566" i="3"/>
  <c r="Z566" i="3"/>
  <c r="AA566" i="3"/>
  <c r="AB566" i="3"/>
  <c r="AC566" i="3"/>
  <c r="S567" i="3"/>
  <c r="X567" i="3"/>
  <c r="Z567" i="3"/>
  <c r="AA567" i="3"/>
  <c r="AB567" i="3"/>
  <c r="AC567" i="3"/>
  <c r="S568" i="3"/>
  <c r="X568" i="3"/>
  <c r="Z568" i="3"/>
  <c r="AA568" i="3"/>
  <c r="AB568" i="3"/>
  <c r="AC568" i="3"/>
  <c r="S569" i="3"/>
  <c r="X569" i="3"/>
  <c r="Z569" i="3"/>
  <c r="AA569" i="3"/>
  <c r="AB569" i="3"/>
  <c r="AC569" i="3"/>
  <c r="S570" i="3"/>
  <c r="X570" i="3"/>
  <c r="Z570" i="3"/>
  <c r="AA570" i="3"/>
  <c r="AB570" i="3"/>
  <c r="AC570" i="3"/>
  <c r="S571" i="3"/>
  <c r="X571" i="3"/>
  <c r="Z571" i="3"/>
  <c r="AA571" i="3"/>
  <c r="AB571" i="3"/>
  <c r="AC571" i="3"/>
  <c r="S572" i="3"/>
  <c r="X572" i="3"/>
  <c r="Z572" i="3"/>
  <c r="AA572" i="3"/>
  <c r="AB572" i="3"/>
  <c r="AC572" i="3"/>
  <c r="S573" i="3"/>
  <c r="X573" i="3"/>
  <c r="Z573" i="3"/>
  <c r="AA573" i="3"/>
  <c r="AB573" i="3"/>
  <c r="AC573" i="3"/>
  <c r="S574" i="3"/>
  <c r="X574" i="3"/>
  <c r="Z574" i="3"/>
  <c r="AA574" i="3"/>
  <c r="AB574" i="3"/>
  <c r="AC574" i="3"/>
  <c r="S575" i="3"/>
  <c r="X575" i="3"/>
  <c r="Z575" i="3"/>
  <c r="AA575" i="3"/>
  <c r="AB575" i="3"/>
  <c r="AC575" i="3"/>
  <c r="S576" i="3"/>
  <c r="X576" i="3"/>
  <c r="Z576" i="3"/>
  <c r="AA576" i="3"/>
  <c r="AB576" i="3"/>
  <c r="AC576" i="3"/>
  <c r="S577" i="3"/>
  <c r="X577" i="3"/>
  <c r="Z577" i="3"/>
  <c r="AA577" i="3"/>
  <c r="AB577" i="3"/>
  <c r="AC577" i="3"/>
  <c r="S578" i="3"/>
  <c r="X578" i="3"/>
  <c r="Z578" i="3"/>
  <c r="AA578" i="3"/>
  <c r="AB578" i="3"/>
  <c r="AC578" i="3"/>
  <c r="S579" i="3"/>
  <c r="X579" i="3"/>
  <c r="Z579" i="3"/>
  <c r="AA579" i="3"/>
  <c r="AB579" i="3"/>
  <c r="AC579" i="3"/>
  <c r="S580" i="3"/>
  <c r="X580" i="3"/>
  <c r="Z580" i="3"/>
  <c r="AA580" i="3"/>
  <c r="AB580" i="3"/>
  <c r="AC580" i="3"/>
  <c r="S581" i="3"/>
  <c r="X581" i="3"/>
  <c r="Z581" i="3"/>
  <c r="AA581" i="3"/>
  <c r="AB581" i="3"/>
  <c r="AC581" i="3"/>
  <c r="S582" i="3"/>
  <c r="X582" i="3"/>
  <c r="Z582" i="3"/>
  <c r="AA582" i="3"/>
  <c r="AB582" i="3"/>
  <c r="AC582" i="3"/>
  <c r="S583" i="3"/>
  <c r="X583" i="3"/>
  <c r="Z583" i="3"/>
  <c r="AA583" i="3"/>
  <c r="AB583" i="3"/>
  <c r="AC583" i="3"/>
  <c r="S584" i="3"/>
  <c r="X584" i="3"/>
  <c r="Z584" i="3"/>
  <c r="AA584" i="3"/>
  <c r="AB584" i="3"/>
  <c r="AC584" i="3"/>
  <c r="S585" i="3"/>
  <c r="X585" i="3"/>
  <c r="Z585" i="3"/>
  <c r="AA585" i="3"/>
  <c r="AB585" i="3"/>
  <c r="AC585" i="3"/>
  <c r="S586" i="3"/>
  <c r="X586" i="3"/>
  <c r="Z586" i="3"/>
  <c r="AA586" i="3"/>
  <c r="AB586" i="3"/>
  <c r="AC586" i="3"/>
  <c r="S587" i="3"/>
  <c r="X587" i="3"/>
  <c r="Z587" i="3"/>
  <c r="AA587" i="3"/>
  <c r="AB587" i="3"/>
  <c r="AC587" i="3"/>
  <c r="S588" i="3"/>
  <c r="X588" i="3"/>
  <c r="Z588" i="3"/>
  <c r="AA588" i="3"/>
  <c r="AB588" i="3"/>
  <c r="AC588" i="3"/>
  <c r="S589" i="3"/>
  <c r="X589" i="3"/>
  <c r="Z589" i="3"/>
  <c r="AA589" i="3"/>
  <c r="AB589" i="3"/>
  <c r="AC589" i="3"/>
  <c r="S590" i="3"/>
  <c r="X590" i="3"/>
  <c r="Z590" i="3"/>
  <c r="AA590" i="3"/>
  <c r="AB590" i="3"/>
  <c r="AC590" i="3"/>
  <c r="S591" i="3"/>
  <c r="X591" i="3"/>
  <c r="Z591" i="3"/>
  <c r="AA591" i="3"/>
  <c r="AB591" i="3"/>
  <c r="AC591" i="3"/>
  <c r="S592" i="3"/>
  <c r="X592" i="3"/>
  <c r="Z592" i="3"/>
  <c r="AA592" i="3"/>
  <c r="AB592" i="3"/>
  <c r="AC592" i="3"/>
  <c r="S593" i="3"/>
  <c r="X593" i="3"/>
  <c r="Z593" i="3"/>
  <c r="AA593" i="3"/>
  <c r="AB593" i="3"/>
  <c r="AC593" i="3"/>
  <c r="S594" i="3"/>
  <c r="X594" i="3"/>
  <c r="Z594" i="3"/>
  <c r="AA594" i="3"/>
  <c r="AB594" i="3"/>
  <c r="AC594" i="3"/>
  <c r="S595" i="3"/>
  <c r="X595" i="3"/>
  <c r="Z595" i="3"/>
  <c r="AA595" i="3"/>
  <c r="AB595" i="3"/>
  <c r="AC595" i="3"/>
  <c r="S596" i="3"/>
  <c r="X596" i="3"/>
  <c r="Z596" i="3"/>
  <c r="AA596" i="3"/>
  <c r="AB596" i="3"/>
  <c r="AC596" i="3"/>
  <c r="S597" i="3"/>
  <c r="X597" i="3"/>
  <c r="Z597" i="3"/>
  <c r="AA597" i="3"/>
  <c r="AB597" i="3"/>
  <c r="AC597" i="3"/>
  <c r="S598" i="3"/>
  <c r="X598" i="3"/>
  <c r="Z598" i="3"/>
  <c r="AA598" i="3"/>
  <c r="AB598" i="3"/>
  <c r="AC598" i="3"/>
  <c r="S599" i="3"/>
  <c r="X599" i="3"/>
  <c r="Z599" i="3"/>
  <c r="AA599" i="3"/>
  <c r="AB599" i="3"/>
  <c r="AC599" i="3"/>
  <c r="S600" i="3"/>
  <c r="X600" i="3"/>
  <c r="Z600" i="3"/>
  <c r="AA600" i="3"/>
  <c r="AB600" i="3"/>
  <c r="AC600" i="3"/>
  <c r="S601" i="3"/>
  <c r="X601" i="3"/>
  <c r="Z601" i="3"/>
  <c r="AA601" i="3"/>
  <c r="AB601" i="3"/>
  <c r="AC601" i="3"/>
  <c r="S602" i="3"/>
  <c r="X602" i="3"/>
  <c r="Z602" i="3"/>
  <c r="AA602" i="3"/>
  <c r="AB602" i="3"/>
  <c r="AC602" i="3"/>
  <c r="S603" i="3"/>
  <c r="X603" i="3"/>
  <c r="Z603" i="3"/>
  <c r="AA603" i="3"/>
  <c r="AB603" i="3"/>
  <c r="AC603" i="3"/>
  <c r="S604" i="3"/>
  <c r="X604" i="3"/>
  <c r="Z604" i="3"/>
  <c r="AA604" i="3"/>
  <c r="AB604" i="3"/>
  <c r="AC604" i="3"/>
  <c r="S605" i="3"/>
  <c r="X605" i="3"/>
  <c r="Z605" i="3"/>
  <c r="AA605" i="3"/>
  <c r="AB605" i="3"/>
  <c r="AC605" i="3"/>
  <c r="S606" i="3"/>
  <c r="X606" i="3"/>
  <c r="Z606" i="3"/>
  <c r="AA606" i="3"/>
  <c r="AB606" i="3"/>
  <c r="AC606" i="3"/>
  <c r="S607" i="3"/>
  <c r="X607" i="3"/>
  <c r="Z607" i="3"/>
  <c r="AA607" i="3"/>
  <c r="AB607" i="3"/>
  <c r="AC607" i="3"/>
  <c r="S608" i="3"/>
  <c r="X608" i="3"/>
  <c r="Z608" i="3"/>
  <c r="AA608" i="3"/>
  <c r="AB608" i="3"/>
  <c r="AC608" i="3"/>
  <c r="S609" i="3"/>
  <c r="X609" i="3"/>
  <c r="Z609" i="3"/>
  <c r="AA609" i="3"/>
  <c r="AB609" i="3"/>
  <c r="AC609" i="3"/>
  <c r="S610" i="3"/>
  <c r="X610" i="3"/>
  <c r="Z610" i="3"/>
  <c r="AA610" i="3"/>
  <c r="AB610" i="3"/>
  <c r="AC610" i="3"/>
  <c r="S611" i="3"/>
  <c r="X611" i="3"/>
  <c r="Z611" i="3"/>
  <c r="AA611" i="3"/>
  <c r="AB611" i="3"/>
  <c r="AC611" i="3"/>
  <c r="X612" i="3"/>
  <c r="Z612" i="3"/>
  <c r="AA612" i="3"/>
  <c r="AB612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87" i="3"/>
  <c r="W588" i="3"/>
  <c r="W589" i="3"/>
  <c r="W590" i="3"/>
  <c r="W591" i="3"/>
  <c r="W592" i="3"/>
  <c r="W593" i="3"/>
  <c r="W594" i="3"/>
  <c r="W595" i="3"/>
  <c r="W596" i="3"/>
  <c r="W597" i="3"/>
  <c r="W598" i="3"/>
  <c r="W599" i="3"/>
  <c r="W600" i="3"/>
  <c r="W601" i="3"/>
  <c r="W602" i="3"/>
  <c r="W603" i="3"/>
  <c r="W604" i="3"/>
  <c r="W605" i="3"/>
  <c r="W606" i="3"/>
  <c r="W607" i="3"/>
  <c r="W608" i="3"/>
  <c r="W609" i="3"/>
  <c r="W610" i="3"/>
  <c r="W61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AF612" i="3"/>
  <c r="M612" i="3"/>
  <c r="V612" i="3"/>
  <c r="AD612" i="3"/>
  <c r="N612" i="3"/>
  <c r="AG22" i="3"/>
  <c r="AH22" i="3"/>
  <c r="AI22" i="3"/>
  <c r="AG23" i="3"/>
  <c r="AH23" i="3"/>
  <c r="AI23" i="3"/>
  <c r="AG24" i="3"/>
  <c r="AH24" i="3"/>
  <c r="AI24" i="3"/>
  <c r="AG25" i="3"/>
  <c r="AH25" i="3"/>
  <c r="AI25" i="3"/>
  <c r="AG26" i="3"/>
  <c r="AH26" i="3"/>
  <c r="AI26" i="3"/>
  <c r="AG27" i="3"/>
  <c r="AH27" i="3"/>
  <c r="AI27" i="3"/>
  <c r="AG28" i="3"/>
  <c r="AH28" i="3"/>
  <c r="AI28" i="3"/>
  <c r="AG29" i="3"/>
  <c r="AH29" i="3"/>
  <c r="AI29" i="3"/>
  <c r="AG30" i="3"/>
  <c r="AH30" i="3"/>
  <c r="AI30" i="3"/>
  <c r="AG31" i="3"/>
  <c r="AH31" i="3"/>
  <c r="AI31" i="3"/>
  <c r="AG32" i="3"/>
  <c r="AH32" i="3"/>
  <c r="AI32" i="3"/>
  <c r="AG33" i="3"/>
  <c r="AH33" i="3"/>
  <c r="AI33" i="3"/>
  <c r="AG34" i="3"/>
  <c r="AH34" i="3"/>
  <c r="AI34" i="3"/>
  <c r="AG35" i="3"/>
  <c r="AH35" i="3"/>
  <c r="AI35" i="3"/>
  <c r="AG36" i="3"/>
  <c r="AH36" i="3"/>
  <c r="AI36" i="3"/>
  <c r="AG37" i="3"/>
  <c r="AH37" i="3"/>
  <c r="AI37" i="3"/>
  <c r="AG38" i="3"/>
  <c r="AH38" i="3"/>
  <c r="AI38" i="3"/>
  <c r="AG39" i="3"/>
  <c r="AH39" i="3"/>
  <c r="AI39" i="3"/>
  <c r="AG40" i="3"/>
  <c r="AH40" i="3"/>
  <c r="AI40" i="3"/>
  <c r="AG41" i="3"/>
  <c r="AH41" i="3"/>
  <c r="AI41" i="3"/>
  <c r="AG42" i="3"/>
  <c r="AH42" i="3"/>
  <c r="AI42" i="3"/>
  <c r="AG43" i="3"/>
  <c r="AH43" i="3"/>
  <c r="AI43" i="3"/>
  <c r="AG44" i="3"/>
  <c r="AH44" i="3"/>
  <c r="AI44" i="3"/>
  <c r="AG45" i="3"/>
  <c r="AH45" i="3"/>
  <c r="AI45" i="3"/>
  <c r="AG46" i="3"/>
  <c r="AH46" i="3"/>
  <c r="AI46" i="3"/>
  <c r="AG47" i="3"/>
  <c r="AH47" i="3"/>
  <c r="AI47" i="3"/>
  <c r="AG48" i="3"/>
  <c r="AH48" i="3"/>
  <c r="AI48" i="3"/>
  <c r="AG49" i="3"/>
  <c r="AH49" i="3"/>
  <c r="AI49" i="3"/>
  <c r="AG50" i="3"/>
  <c r="AH50" i="3"/>
  <c r="AI50" i="3"/>
  <c r="AG51" i="3"/>
  <c r="AH51" i="3"/>
  <c r="AI51" i="3"/>
  <c r="AG52" i="3"/>
  <c r="AH52" i="3"/>
  <c r="AI52" i="3"/>
  <c r="AG53" i="3"/>
  <c r="AH53" i="3"/>
  <c r="AI53" i="3"/>
  <c r="AG54" i="3"/>
  <c r="AH54" i="3"/>
  <c r="AI54" i="3"/>
  <c r="AG55" i="3"/>
  <c r="AH55" i="3"/>
  <c r="AI55" i="3"/>
  <c r="AG56" i="3"/>
  <c r="AH56" i="3"/>
  <c r="AI56" i="3"/>
  <c r="AG57" i="3"/>
  <c r="AH57" i="3"/>
  <c r="AI57" i="3"/>
  <c r="AG58" i="3"/>
  <c r="AH58" i="3"/>
  <c r="AI58" i="3"/>
  <c r="AG59" i="3"/>
  <c r="AH59" i="3"/>
  <c r="AI59" i="3"/>
  <c r="AG60" i="3"/>
  <c r="AH60" i="3"/>
  <c r="AI60" i="3"/>
  <c r="AG61" i="3"/>
  <c r="AH61" i="3"/>
  <c r="AI61" i="3"/>
  <c r="AG62" i="3"/>
  <c r="AH62" i="3"/>
  <c r="AI62" i="3"/>
  <c r="AG63" i="3"/>
  <c r="AH63" i="3"/>
  <c r="AI63" i="3"/>
  <c r="AG64" i="3"/>
  <c r="AH64" i="3"/>
  <c r="AI64" i="3"/>
  <c r="AG65" i="3"/>
  <c r="AH65" i="3"/>
  <c r="AI65" i="3"/>
  <c r="AG66" i="3"/>
  <c r="AH66" i="3"/>
  <c r="AI66" i="3"/>
  <c r="AG67" i="3"/>
  <c r="AH67" i="3"/>
  <c r="AI67" i="3"/>
  <c r="AG68" i="3"/>
  <c r="AH68" i="3"/>
  <c r="AI68" i="3"/>
  <c r="AG69" i="3"/>
  <c r="AH69" i="3"/>
  <c r="AI69" i="3"/>
  <c r="AG70" i="3"/>
  <c r="AH70" i="3"/>
  <c r="AI70" i="3"/>
  <c r="AG71" i="3"/>
  <c r="AH71" i="3"/>
  <c r="AI71" i="3"/>
  <c r="AG72" i="3"/>
  <c r="AH72" i="3"/>
  <c r="AI72" i="3"/>
  <c r="AG73" i="3"/>
  <c r="AH73" i="3"/>
  <c r="AI73" i="3"/>
  <c r="AG74" i="3"/>
  <c r="AH74" i="3"/>
  <c r="AI74" i="3"/>
  <c r="AG75" i="3"/>
  <c r="AH75" i="3"/>
  <c r="AI75" i="3"/>
  <c r="AG76" i="3"/>
  <c r="AH76" i="3"/>
  <c r="AI76" i="3"/>
  <c r="AG77" i="3"/>
  <c r="AH77" i="3"/>
  <c r="AI77" i="3"/>
  <c r="AG78" i="3"/>
  <c r="AH78" i="3"/>
  <c r="AI78" i="3"/>
  <c r="AG79" i="3"/>
  <c r="AH79" i="3"/>
  <c r="AI79" i="3"/>
  <c r="AG80" i="3"/>
  <c r="AH80" i="3"/>
  <c r="AI80" i="3"/>
  <c r="AG81" i="3"/>
  <c r="AH81" i="3"/>
  <c r="AI81" i="3"/>
  <c r="AG82" i="3"/>
  <c r="AH82" i="3"/>
  <c r="AI82" i="3"/>
  <c r="AG83" i="3"/>
  <c r="AH83" i="3"/>
  <c r="AI83" i="3"/>
  <c r="AG84" i="3"/>
  <c r="AH84" i="3"/>
  <c r="AI84" i="3"/>
  <c r="AG85" i="3"/>
  <c r="AH85" i="3"/>
  <c r="AI85" i="3"/>
  <c r="AG86" i="3"/>
  <c r="AH86" i="3"/>
  <c r="AI86" i="3"/>
  <c r="AG87" i="3"/>
  <c r="AH87" i="3"/>
  <c r="AI87" i="3"/>
  <c r="AG88" i="3"/>
  <c r="AH88" i="3"/>
  <c r="AI88" i="3"/>
  <c r="AG89" i="3"/>
  <c r="AH89" i="3"/>
  <c r="AI89" i="3"/>
  <c r="AG90" i="3"/>
  <c r="AH90" i="3"/>
  <c r="AI90" i="3"/>
  <c r="AG91" i="3"/>
  <c r="AH91" i="3"/>
  <c r="AI91" i="3"/>
  <c r="AG92" i="3"/>
  <c r="AH92" i="3"/>
  <c r="AI92" i="3"/>
  <c r="AG93" i="3"/>
  <c r="AH93" i="3"/>
  <c r="AI93" i="3"/>
  <c r="AG94" i="3"/>
  <c r="AH94" i="3"/>
  <c r="AI94" i="3"/>
  <c r="AG95" i="3"/>
  <c r="AH95" i="3"/>
  <c r="AI95" i="3"/>
  <c r="AG96" i="3"/>
  <c r="AH96" i="3"/>
  <c r="AI96" i="3"/>
  <c r="AG97" i="3"/>
  <c r="AH97" i="3"/>
  <c r="AI97" i="3"/>
  <c r="AG98" i="3"/>
  <c r="AH98" i="3"/>
  <c r="AI98" i="3"/>
  <c r="AG99" i="3"/>
  <c r="AH99" i="3"/>
  <c r="AI99" i="3"/>
  <c r="AG100" i="3"/>
  <c r="AH100" i="3"/>
  <c r="AI100" i="3"/>
  <c r="AG101" i="3"/>
  <c r="AH101" i="3"/>
  <c r="AI101" i="3"/>
  <c r="AG102" i="3"/>
  <c r="AH102" i="3"/>
  <c r="AI102" i="3"/>
  <c r="AG103" i="3"/>
  <c r="AH103" i="3"/>
  <c r="AI103" i="3"/>
  <c r="AG104" i="3"/>
  <c r="AH104" i="3"/>
  <c r="AI104" i="3"/>
  <c r="AG105" i="3"/>
  <c r="AH105" i="3"/>
  <c r="AI105" i="3"/>
  <c r="AG106" i="3"/>
  <c r="AH106" i="3"/>
  <c r="AI106" i="3"/>
  <c r="AG107" i="3"/>
  <c r="AH107" i="3"/>
  <c r="AI107" i="3"/>
  <c r="AG108" i="3"/>
  <c r="AH108" i="3"/>
  <c r="AI108" i="3"/>
  <c r="AG109" i="3"/>
  <c r="AH109" i="3"/>
  <c r="AI109" i="3"/>
  <c r="AG110" i="3"/>
  <c r="AH110" i="3"/>
  <c r="AI110" i="3"/>
  <c r="AG111" i="3"/>
  <c r="AH111" i="3"/>
  <c r="AI111" i="3"/>
  <c r="AG112" i="3"/>
  <c r="AH112" i="3"/>
  <c r="AI112" i="3"/>
  <c r="AG113" i="3"/>
  <c r="AH113" i="3"/>
  <c r="AI113" i="3"/>
  <c r="AG114" i="3"/>
  <c r="AH114" i="3"/>
  <c r="AI114" i="3"/>
  <c r="AG115" i="3"/>
  <c r="AH115" i="3"/>
  <c r="AI115" i="3"/>
  <c r="AG116" i="3"/>
  <c r="AH116" i="3"/>
  <c r="AI116" i="3"/>
  <c r="AG117" i="3"/>
  <c r="AH117" i="3"/>
  <c r="AI117" i="3"/>
  <c r="AG118" i="3"/>
  <c r="AH118" i="3"/>
  <c r="AI118" i="3"/>
  <c r="AG119" i="3"/>
  <c r="AH119" i="3"/>
  <c r="AI119" i="3"/>
  <c r="AG120" i="3"/>
  <c r="AH120" i="3"/>
  <c r="AI120" i="3"/>
  <c r="AG121" i="3"/>
  <c r="AH121" i="3"/>
  <c r="AI121" i="3"/>
  <c r="AG122" i="3"/>
  <c r="AH122" i="3"/>
  <c r="AI122" i="3"/>
  <c r="AG123" i="3"/>
  <c r="AH123" i="3"/>
  <c r="AI123" i="3"/>
  <c r="AG124" i="3"/>
  <c r="AH124" i="3"/>
  <c r="AI124" i="3"/>
  <c r="AG125" i="3"/>
  <c r="AH125" i="3"/>
  <c r="AI125" i="3"/>
  <c r="AG126" i="3"/>
  <c r="AH126" i="3"/>
  <c r="AI126" i="3"/>
  <c r="AG127" i="3"/>
  <c r="AH127" i="3"/>
  <c r="AI127" i="3"/>
  <c r="AG128" i="3"/>
  <c r="AH128" i="3"/>
  <c r="AI128" i="3"/>
  <c r="AG129" i="3"/>
  <c r="AH129" i="3"/>
  <c r="AI129" i="3"/>
  <c r="AG130" i="3"/>
  <c r="AH130" i="3"/>
  <c r="AI130" i="3"/>
  <c r="AG131" i="3"/>
  <c r="AH131" i="3"/>
  <c r="AI131" i="3"/>
  <c r="AG132" i="3"/>
  <c r="AH132" i="3"/>
  <c r="AI132" i="3"/>
  <c r="AG133" i="3"/>
  <c r="AH133" i="3"/>
  <c r="AI133" i="3"/>
  <c r="AG134" i="3"/>
  <c r="AH134" i="3"/>
  <c r="AI134" i="3"/>
  <c r="AG135" i="3"/>
  <c r="AH135" i="3"/>
  <c r="AI135" i="3"/>
  <c r="AG136" i="3"/>
  <c r="AH136" i="3"/>
  <c r="AI136" i="3"/>
  <c r="AG137" i="3"/>
  <c r="AH137" i="3"/>
  <c r="AI137" i="3"/>
  <c r="AG138" i="3"/>
  <c r="AH138" i="3"/>
  <c r="AI138" i="3"/>
  <c r="AG139" i="3"/>
  <c r="AH139" i="3"/>
  <c r="AI139" i="3"/>
  <c r="AG140" i="3"/>
  <c r="AH140" i="3"/>
  <c r="AI140" i="3"/>
  <c r="AG141" i="3"/>
  <c r="AH141" i="3"/>
  <c r="AI141" i="3"/>
  <c r="AG142" i="3"/>
  <c r="AH142" i="3"/>
  <c r="AI142" i="3"/>
  <c r="AG143" i="3"/>
  <c r="AH143" i="3"/>
  <c r="AI143" i="3"/>
  <c r="AG144" i="3"/>
  <c r="AH144" i="3"/>
  <c r="AI144" i="3"/>
  <c r="AG145" i="3"/>
  <c r="AH145" i="3"/>
  <c r="AI145" i="3"/>
  <c r="AG146" i="3"/>
  <c r="AH146" i="3"/>
  <c r="AI146" i="3"/>
  <c r="AG147" i="3"/>
  <c r="AH147" i="3"/>
  <c r="AI147" i="3"/>
  <c r="AG148" i="3"/>
  <c r="AH148" i="3"/>
  <c r="AI148" i="3"/>
  <c r="AG149" i="3"/>
  <c r="AH149" i="3"/>
  <c r="AI149" i="3"/>
  <c r="AG150" i="3"/>
  <c r="AH150" i="3"/>
  <c r="AI150" i="3"/>
  <c r="AG151" i="3"/>
  <c r="AH151" i="3"/>
  <c r="AI151" i="3"/>
  <c r="AG152" i="3"/>
  <c r="AH152" i="3"/>
  <c r="AI152" i="3"/>
  <c r="AG153" i="3"/>
  <c r="AH153" i="3"/>
  <c r="AI153" i="3"/>
  <c r="AG154" i="3"/>
  <c r="AH154" i="3"/>
  <c r="AI154" i="3"/>
  <c r="AG155" i="3"/>
  <c r="AH155" i="3"/>
  <c r="AI155" i="3"/>
  <c r="AG156" i="3"/>
  <c r="AH156" i="3"/>
  <c r="AI156" i="3"/>
  <c r="AG157" i="3"/>
  <c r="AH157" i="3"/>
  <c r="AI157" i="3"/>
  <c r="AG158" i="3"/>
  <c r="AH158" i="3"/>
  <c r="AI158" i="3"/>
  <c r="AG159" i="3"/>
  <c r="AH159" i="3"/>
  <c r="AI159" i="3"/>
  <c r="AG160" i="3"/>
  <c r="AH160" i="3"/>
  <c r="AI160" i="3"/>
  <c r="AG161" i="3"/>
  <c r="AH161" i="3"/>
  <c r="AI161" i="3"/>
  <c r="AG162" i="3"/>
  <c r="AH162" i="3"/>
  <c r="AI162" i="3"/>
  <c r="AG163" i="3"/>
  <c r="AH163" i="3"/>
  <c r="AI163" i="3"/>
  <c r="AG164" i="3"/>
  <c r="AH164" i="3"/>
  <c r="AI164" i="3"/>
  <c r="AG165" i="3"/>
  <c r="AH165" i="3"/>
  <c r="AI165" i="3"/>
  <c r="AG166" i="3"/>
  <c r="AH166" i="3"/>
  <c r="AI166" i="3"/>
  <c r="AG167" i="3"/>
  <c r="AH167" i="3"/>
  <c r="AI167" i="3"/>
  <c r="AG168" i="3"/>
  <c r="AH168" i="3"/>
  <c r="AI168" i="3"/>
  <c r="AG169" i="3"/>
  <c r="AH169" i="3"/>
  <c r="AI169" i="3"/>
  <c r="AG170" i="3"/>
  <c r="AH170" i="3"/>
  <c r="AI170" i="3"/>
  <c r="AG171" i="3"/>
  <c r="AH171" i="3"/>
  <c r="AI171" i="3"/>
  <c r="AG172" i="3"/>
  <c r="AH172" i="3"/>
  <c r="AI172" i="3"/>
  <c r="AG173" i="3"/>
  <c r="AH173" i="3"/>
  <c r="AI173" i="3"/>
  <c r="AG174" i="3"/>
  <c r="AH174" i="3"/>
  <c r="AI174" i="3"/>
  <c r="AG175" i="3"/>
  <c r="AH175" i="3"/>
  <c r="AI175" i="3"/>
  <c r="AG176" i="3"/>
  <c r="AH176" i="3"/>
  <c r="AI176" i="3"/>
  <c r="AG177" i="3"/>
  <c r="AH177" i="3"/>
  <c r="AI177" i="3"/>
  <c r="AG178" i="3"/>
  <c r="AH178" i="3"/>
  <c r="AI178" i="3"/>
  <c r="AG179" i="3"/>
  <c r="AH179" i="3"/>
  <c r="AI179" i="3"/>
  <c r="AG180" i="3"/>
  <c r="AH180" i="3"/>
  <c r="AI180" i="3"/>
  <c r="AG181" i="3"/>
  <c r="AH181" i="3"/>
  <c r="AI181" i="3"/>
  <c r="AG182" i="3"/>
  <c r="AH182" i="3"/>
  <c r="AI182" i="3"/>
  <c r="AG183" i="3"/>
  <c r="AH183" i="3"/>
  <c r="AI183" i="3"/>
  <c r="AG184" i="3"/>
  <c r="AH184" i="3"/>
  <c r="AI184" i="3"/>
  <c r="AG185" i="3"/>
  <c r="AH185" i="3"/>
  <c r="AI185" i="3"/>
  <c r="AG186" i="3"/>
  <c r="AH186" i="3"/>
  <c r="AI186" i="3"/>
  <c r="AG187" i="3"/>
  <c r="AH187" i="3"/>
  <c r="AI187" i="3"/>
  <c r="AG188" i="3"/>
  <c r="AH188" i="3"/>
  <c r="AI188" i="3"/>
  <c r="AG189" i="3"/>
  <c r="AH189" i="3"/>
  <c r="AI189" i="3"/>
  <c r="AG190" i="3"/>
  <c r="AH190" i="3"/>
  <c r="AI190" i="3"/>
  <c r="AG191" i="3"/>
  <c r="AH191" i="3"/>
  <c r="AI191" i="3"/>
  <c r="AG192" i="3"/>
  <c r="AH192" i="3"/>
  <c r="AI192" i="3"/>
  <c r="AG193" i="3"/>
  <c r="AH193" i="3"/>
  <c r="AI193" i="3"/>
  <c r="AG194" i="3"/>
  <c r="AH194" i="3"/>
  <c r="AI194" i="3"/>
  <c r="AG195" i="3"/>
  <c r="AH195" i="3"/>
  <c r="AI195" i="3"/>
  <c r="AG196" i="3"/>
  <c r="AH196" i="3"/>
  <c r="AI196" i="3"/>
  <c r="AG197" i="3"/>
  <c r="AH197" i="3"/>
  <c r="AI197" i="3"/>
  <c r="AG198" i="3"/>
  <c r="AH198" i="3"/>
  <c r="AI198" i="3"/>
  <c r="AG199" i="3"/>
  <c r="AH199" i="3"/>
  <c r="AI199" i="3"/>
  <c r="AG200" i="3"/>
  <c r="AH200" i="3"/>
  <c r="AI200" i="3"/>
  <c r="AG201" i="3"/>
  <c r="AH201" i="3"/>
  <c r="AI201" i="3"/>
  <c r="AG202" i="3"/>
  <c r="AH202" i="3"/>
  <c r="AI202" i="3"/>
  <c r="AG203" i="3"/>
  <c r="AH203" i="3"/>
  <c r="AI203" i="3"/>
  <c r="AG204" i="3"/>
  <c r="AH204" i="3"/>
  <c r="AI204" i="3"/>
  <c r="AG205" i="3"/>
  <c r="AH205" i="3"/>
  <c r="AI205" i="3"/>
  <c r="AG206" i="3"/>
  <c r="AH206" i="3"/>
  <c r="AI206" i="3"/>
  <c r="AG207" i="3"/>
  <c r="AH207" i="3"/>
  <c r="AI207" i="3"/>
  <c r="AG208" i="3"/>
  <c r="AH208" i="3"/>
  <c r="AI208" i="3"/>
  <c r="AG209" i="3"/>
  <c r="AH209" i="3"/>
  <c r="AI209" i="3"/>
  <c r="AG210" i="3"/>
  <c r="AH210" i="3"/>
  <c r="AI210" i="3"/>
  <c r="AG211" i="3"/>
  <c r="AH211" i="3"/>
  <c r="AI211" i="3"/>
  <c r="AG212" i="3"/>
  <c r="AH212" i="3"/>
  <c r="AI212" i="3"/>
  <c r="AG213" i="3"/>
  <c r="AH213" i="3"/>
  <c r="AI213" i="3"/>
  <c r="AG214" i="3"/>
  <c r="AH214" i="3"/>
  <c r="AI214" i="3"/>
  <c r="AG215" i="3"/>
  <c r="AH215" i="3"/>
  <c r="AI215" i="3"/>
  <c r="AG216" i="3"/>
  <c r="AH216" i="3"/>
  <c r="AI216" i="3"/>
  <c r="AG217" i="3"/>
  <c r="AH217" i="3"/>
  <c r="AI217" i="3"/>
  <c r="AG218" i="3"/>
  <c r="AH218" i="3"/>
  <c r="AI218" i="3"/>
  <c r="AG219" i="3"/>
  <c r="AH219" i="3"/>
  <c r="AI219" i="3"/>
  <c r="AG220" i="3"/>
  <c r="AH220" i="3"/>
  <c r="AI220" i="3"/>
  <c r="AG221" i="3"/>
  <c r="AH221" i="3"/>
  <c r="AI221" i="3"/>
  <c r="AG222" i="3"/>
  <c r="AH222" i="3"/>
  <c r="AI222" i="3"/>
  <c r="AG223" i="3"/>
  <c r="AH223" i="3"/>
  <c r="AI223" i="3"/>
  <c r="AG224" i="3"/>
  <c r="AH224" i="3"/>
  <c r="AI224" i="3"/>
  <c r="AG225" i="3"/>
  <c r="AH225" i="3"/>
  <c r="AI225" i="3"/>
  <c r="AG226" i="3"/>
  <c r="AH226" i="3"/>
  <c r="AI226" i="3"/>
  <c r="AG227" i="3"/>
  <c r="AH227" i="3"/>
  <c r="AI227" i="3"/>
  <c r="AG228" i="3"/>
  <c r="AH228" i="3"/>
  <c r="AI228" i="3"/>
  <c r="AG229" i="3"/>
  <c r="AH229" i="3"/>
  <c r="AI229" i="3"/>
  <c r="AG230" i="3"/>
  <c r="AH230" i="3"/>
  <c r="AI230" i="3"/>
  <c r="AG231" i="3"/>
  <c r="AH231" i="3"/>
  <c r="AI231" i="3"/>
  <c r="AG232" i="3"/>
  <c r="AH232" i="3"/>
  <c r="AI232" i="3"/>
  <c r="AG233" i="3"/>
  <c r="AH233" i="3"/>
  <c r="AI233" i="3"/>
  <c r="AG234" i="3"/>
  <c r="AH234" i="3"/>
  <c r="AI234" i="3"/>
  <c r="AG235" i="3"/>
  <c r="AH235" i="3"/>
  <c r="AI235" i="3"/>
  <c r="AG236" i="3"/>
  <c r="AH236" i="3"/>
  <c r="AI236" i="3"/>
  <c r="AG237" i="3"/>
  <c r="AH237" i="3"/>
  <c r="AI237" i="3"/>
  <c r="AG238" i="3"/>
  <c r="AH238" i="3"/>
  <c r="AI238" i="3"/>
  <c r="AG239" i="3"/>
  <c r="AH239" i="3"/>
  <c r="AI239" i="3"/>
  <c r="AG240" i="3"/>
  <c r="AH240" i="3"/>
  <c r="AI240" i="3"/>
  <c r="AG241" i="3"/>
  <c r="AH241" i="3"/>
  <c r="AI241" i="3"/>
  <c r="AG242" i="3"/>
  <c r="AH242" i="3"/>
  <c r="AI242" i="3"/>
  <c r="AG243" i="3"/>
  <c r="AH243" i="3"/>
  <c r="AI243" i="3"/>
  <c r="AG244" i="3"/>
  <c r="AH244" i="3"/>
  <c r="AI244" i="3"/>
  <c r="AG245" i="3"/>
  <c r="AH245" i="3"/>
  <c r="AI245" i="3"/>
  <c r="AG246" i="3"/>
  <c r="AH246" i="3"/>
  <c r="AI246" i="3"/>
  <c r="AG247" i="3"/>
  <c r="AH247" i="3"/>
  <c r="AI247" i="3"/>
  <c r="AG248" i="3"/>
  <c r="AH248" i="3"/>
  <c r="AI248" i="3"/>
  <c r="AG249" i="3"/>
  <c r="AH249" i="3"/>
  <c r="AI249" i="3"/>
  <c r="AG250" i="3"/>
  <c r="AH250" i="3"/>
  <c r="AI250" i="3"/>
  <c r="AG251" i="3"/>
  <c r="AH251" i="3"/>
  <c r="AI251" i="3"/>
  <c r="AG252" i="3"/>
  <c r="AH252" i="3"/>
  <c r="AI252" i="3"/>
  <c r="AG253" i="3"/>
  <c r="AH253" i="3"/>
  <c r="AI253" i="3"/>
  <c r="AG254" i="3"/>
  <c r="AH254" i="3"/>
  <c r="AI254" i="3"/>
  <c r="AG255" i="3"/>
  <c r="AH255" i="3"/>
  <c r="AI255" i="3"/>
  <c r="AG256" i="3"/>
  <c r="AH256" i="3"/>
  <c r="AI256" i="3"/>
  <c r="AG257" i="3"/>
  <c r="AH257" i="3"/>
  <c r="AI257" i="3"/>
  <c r="AG258" i="3"/>
  <c r="AH258" i="3"/>
  <c r="AI258" i="3"/>
  <c r="AG259" i="3"/>
  <c r="AH259" i="3"/>
  <c r="AI259" i="3"/>
  <c r="AG260" i="3"/>
  <c r="AH260" i="3"/>
  <c r="AI260" i="3"/>
  <c r="AG261" i="3"/>
  <c r="AH261" i="3"/>
  <c r="AI261" i="3"/>
  <c r="AG262" i="3"/>
  <c r="AH262" i="3"/>
  <c r="AI262" i="3"/>
  <c r="AG263" i="3"/>
  <c r="AH263" i="3"/>
  <c r="AI263" i="3"/>
  <c r="AG264" i="3"/>
  <c r="AH264" i="3"/>
  <c r="AI264" i="3"/>
  <c r="AG265" i="3"/>
  <c r="AH265" i="3"/>
  <c r="AI265" i="3"/>
  <c r="AG266" i="3"/>
  <c r="AH266" i="3"/>
  <c r="AI266" i="3"/>
  <c r="AG267" i="3"/>
  <c r="AH267" i="3"/>
  <c r="AI267" i="3"/>
  <c r="AG268" i="3"/>
  <c r="AH268" i="3"/>
  <c r="AI268" i="3"/>
  <c r="AG269" i="3"/>
  <c r="AH269" i="3"/>
  <c r="AI269" i="3"/>
  <c r="AG270" i="3"/>
  <c r="AH270" i="3"/>
  <c r="AI270" i="3"/>
  <c r="AG271" i="3"/>
  <c r="AH271" i="3"/>
  <c r="AI271" i="3"/>
  <c r="AG272" i="3"/>
  <c r="AH272" i="3"/>
  <c r="AI272" i="3"/>
  <c r="AG273" i="3"/>
  <c r="AH273" i="3"/>
  <c r="AI273" i="3"/>
  <c r="AG274" i="3"/>
  <c r="AH274" i="3"/>
  <c r="AI274" i="3"/>
  <c r="AG275" i="3"/>
  <c r="AH275" i="3"/>
  <c r="AI275" i="3"/>
  <c r="AG276" i="3"/>
  <c r="AH276" i="3"/>
  <c r="AI276" i="3"/>
  <c r="AG277" i="3"/>
  <c r="AH277" i="3"/>
  <c r="AI277" i="3"/>
  <c r="AG278" i="3"/>
  <c r="AH278" i="3"/>
  <c r="AI278" i="3"/>
  <c r="AG279" i="3"/>
  <c r="AH279" i="3"/>
  <c r="AI279" i="3"/>
  <c r="AG280" i="3"/>
  <c r="AH280" i="3"/>
  <c r="AI280" i="3"/>
  <c r="AG281" i="3"/>
  <c r="AH281" i="3"/>
  <c r="AI281" i="3"/>
  <c r="AG282" i="3"/>
  <c r="AH282" i="3"/>
  <c r="AI282" i="3"/>
  <c r="AG283" i="3"/>
  <c r="AH283" i="3"/>
  <c r="AI283" i="3"/>
  <c r="AG284" i="3"/>
  <c r="AH284" i="3"/>
  <c r="AI284" i="3"/>
  <c r="AG285" i="3"/>
  <c r="AH285" i="3"/>
  <c r="AI285" i="3"/>
  <c r="AG286" i="3"/>
  <c r="AH286" i="3"/>
  <c r="AI286" i="3"/>
  <c r="AG287" i="3"/>
  <c r="AH287" i="3"/>
  <c r="AI287" i="3"/>
  <c r="AG288" i="3"/>
  <c r="AH288" i="3"/>
  <c r="AI288" i="3"/>
  <c r="AG289" i="3"/>
  <c r="AH289" i="3"/>
  <c r="AI289" i="3"/>
  <c r="AG290" i="3"/>
  <c r="AH290" i="3"/>
  <c r="AI290" i="3"/>
  <c r="AG291" i="3"/>
  <c r="AH291" i="3"/>
  <c r="AI291" i="3"/>
  <c r="AG292" i="3"/>
  <c r="AH292" i="3"/>
  <c r="AI292" i="3"/>
  <c r="AG293" i="3"/>
  <c r="AH293" i="3"/>
  <c r="AI293" i="3"/>
  <c r="AG294" i="3"/>
  <c r="AH294" i="3"/>
  <c r="AI294" i="3"/>
  <c r="AG295" i="3"/>
  <c r="AH295" i="3"/>
  <c r="AI295" i="3"/>
  <c r="AG296" i="3"/>
  <c r="AH296" i="3"/>
  <c r="AI296" i="3"/>
  <c r="AG297" i="3"/>
  <c r="AH297" i="3"/>
  <c r="AI297" i="3"/>
  <c r="AG298" i="3"/>
  <c r="AH298" i="3"/>
  <c r="AI298" i="3"/>
  <c r="AG299" i="3"/>
  <c r="AH299" i="3"/>
  <c r="AI299" i="3"/>
  <c r="AG300" i="3"/>
  <c r="AH300" i="3"/>
  <c r="AI300" i="3"/>
  <c r="AG301" i="3"/>
  <c r="AH301" i="3"/>
  <c r="AI301" i="3"/>
  <c r="AG302" i="3"/>
  <c r="AH302" i="3"/>
  <c r="AI302" i="3"/>
  <c r="AG303" i="3"/>
  <c r="AH303" i="3"/>
  <c r="AI303" i="3"/>
  <c r="AG304" i="3"/>
  <c r="AH304" i="3"/>
  <c r="AI304" i="3"/>
  <c r="AG305" i="3"/>
  <c r="AH305" i="3"/>
  <c r="AI305" i="3"/>
  <c r="AG306" i="3"/>
  <c r="AH306" i="3"/>
  <c r="AI306" i="3"/>
  <c r="AG307" i="3"/>
  <c r="AH307" i="3"/>
  <c r="AI307" i="3"/>
  <c r="AG308" i="3"/>
  <c r="AH308" i="3"/>
  <c r="AI308" i="3"/>
  <c r="AG309" i="3"/>
  <c r="AH309" i="3"/>
  <c r="AI309" i="3"/>
  <c r="AG310" i="3"/>
  <c r="AH310" i="3"/>
  <c r="AI310" i="3"/>
  <c r="AG311" i="3"/>
  <c r="AH311" i="3"/>
  <c r="AI311" i="3"/>
  <c r="AG312" i="3"/>
  <c r="AH312" i="3"/>
  <c r="AI312" i="3"/>
  <c r="AG313" i="3"/>
  <c r="AH313" i="3"/>
  <c r="AI313" i="3"/>
  <c r="AG314" i="3"/>
  <c r="AH314" i="3"/>
  <c r="AI314" i="3"/>
  <c r="AG315" i="3"/>
  <c r="AH315" i="3"/>
  <c r="AI315" i="3"/>
  <c r="AG316" i="3"/>
  <c r="AH316" i="3"/>
  <c r="AI316" i="3"/>
  <c r="AG317" i="3"/>
  <c r="AH317" i="3"/>
  <c r="AI317" i="3"/>
  <c r="AG318" i="3"/>
  <c r="AH318" i="3"/>
  <c r="AI318" i="3"/>
  <c r="AG319" i="3"/>
  <c r="AH319" i="3"/>
  <c r="AI319" i="3"/>
  <c r="AG320" i="3"/>
  <c r="AH320" i="3"/>
  <c r="AI320" i="3"/>
  <c r="AG321" i="3"/>
  <c r="AH321" i="3"/>
  <c r="AI321" i="3"/>
  <c r="AG322" i="3"/>
  <c r="AH322" i="3"/>
  <c r="AI322" i="3"/>
  <c r="AG323" i="3"/>
  <c r="AH323" i="3"/>
  <c r="AI323" i="3"/>
  <c r="AG324" i="3"/>
  <c r="AH324" i="3"/>
  <c r="AI324" i="3"/>
  <c r="AG325" i="3"/>
  <c r="AH325" i="3"/>
  <c r="AI325" i="3"/>
  <c r="AG326" i="3"/>
  <c r="AH326" i="3"/>
  <c r="AI326" i="3"/>
  <c r="AG327" i="3"/>
  <c r="AH327" i="3"/>
  <c r="AI327" i="3"/>
  <c r="AG328" i="3"/>
  <c r="AH328" i="3"/>
  <c r="AI328" i="3"/>
  <c r="AG329" i="3"/>
  <c r="AH329" i="3"/>
  <c r="AI329" i="3"/>
  <c r="AG330" i="3"/>
  <c r="AH330" i="3"/>
  <c r="AI330" i="3"/>
  <c r="AG331" i="3"/>
  <c r="AH331" i="3"/>
  <c r="AI331" i="3"/>
  <c r="AG332" i="3"/>
  <c r="AH332" i="3"/>
  <c r="AI332" i="3"/>
  <c r="AG333" i="3"/>
  <c r="AH333" i="3"/>
  <c r="AI333" i="3"/>
  <c r="AG334" i="3"/>
  <c r="AH334" i="3"/>
  <c r="AI334" i="3"/>
  <c r="AG335" i="3"/>
  <c r="AH335" i="3"/>
  <c r="AI335" i="3"/>
  <c r="AG336" i="3"/>
  <c r="AH336" i="3"/>
  <c r="AI336" i="3"/>
  <c r="AG337" i="3"/>
  <c r="AH337" i="3"/>
  <c r="AI337" i="3"/>
  <c r="AG338" i="3"/>
  <c r="AH338" i="3"/>
  <c r="AI338" i="3"/>
  <c r="AG339" i="3"/>
  <c r="AH339" i="3"/>
  <c r="AI339" i="3"/>
  <c r="AG340" i="3"/>
  <c r="AH340" i="3"/>
  <c r="AI340" i="3"/>
  <c r="AG341" i="3"/>
  <c r="AH341" i="3"/>
  <c r="AI341" i="3"/>
  <c r="AG342" i="3"/>
  <c r="AH342" i="3"/>
  <c r="AI342" i="3"/>
  <c r="AG343" i="3"/>
  <c r="AH343" i="3"/>
  <c r="AI343" i="3"/>
  <c r="AG344" i="3"/>
  <c r="AH344" i="3"/>
  <c r="AI344" i="3"/>
  <c r="AG345" i="3"/>
  <c r="AH345" i="3"/>
  <c r="AI345" i="3"/>
  <c r="AG346" i="3"/>
  <c r="AH346" i="3"/>
  <c r="AI346" i="3"/>
  <c r="AG347" i="3"/>
  <c r="AH347" i="3"/>
  <c r="AI347" i="3"/>
  <c r="AG348" i="3"/>
  <c r="AH348" i="3"/>
  <c r="AI348" i="3"/>
  <c r="AG349" i="3"/>
  <c r="AH349" i="3"/>
  <c r="AI349" i="3"/>
  <c r="AG350" i="3"/>
  <c r="AH350" i="3"/>
  <c r="AI350" i="3"/>
  <c r="AG351" i="3"/>
  <c r="AH351" i="3"/>
  <c r="AI351" i="3"/>
  <c r="AG352" i="3"/>
  <c r="AH352" i="3"/>
  <c r="AI352" i="3"/>
  <c r="AG353" i="3"/>
  <c r="AH353" i="3"/>
  <c r="AI353" i="3"/>
  <c r="AG354" i="3"/>
  <c r="AH354" i="3"/>
  <c r="AI354" i="3"/>
  <c r="AG355" i="3"/>
  <c r="AH355" i="3"/>
  <c r="AI355" i="3"/>
  <c r="AG356" i="3"/>
  <c r="AH356" i="3"/>
  <c r="AI356" i="3"/>
  <c r="AG357" i="3"/>
  <c r="AH357" i="3"/>
  <c r="AI357" i="3"/>
  <c r="AG358" i="3"/>
  <c r="AH358" i="3"/>
  <c r="AI358" i="3"/>
  <c r="AG359" i="3"/>
  <c r="AH359" i="3"/>
  <c r="AI359" i="3"/>
  <c r="AG360" i="3"/>
  <c r="AH360" i="3"/>
  <c r="AI360" i="3"/>
  <c r="AG361" i="3"/>
  <c r="AH361" i="3"/>
  <c r="AI361" i="3"/>
  <c r="AG362" i="3"/>
  <c r="AH362" i="3"/>
  <c r="AI362" i="3"/>
  <c r="AG363" i="3"/>
  <c r="AH363" i="3"/>
  <c r="AI363" i="3"/>
  <c r="AG364" i="3"/>
  <c r="AH364" i="3"/>
  <c r="AI364" i="3"/>
  <c r="AG365" i="3"/>
  <c r="AH365" i="3"/>
  <c r="AI365" i="3"/>
  <c r="AG366" i="3"/>
  <c r="AH366" i="3"/>
  <c r="AI366" i="3"/>
  <c r="AG367" i="3"/>
  <c r="AH367" i="3"/>
  <c r="AI367" i="3"/>
  <c r="AG368" i="3"/>
  <c r="AH368" i="3"/>
  <c r="AI368" i="3"/>
  <c r="AG369" i="3"/>
  <c r="AH369" i="3"/>
  <c r="AI369" i="3"/>
  <c r="AG370" i="3"/>
  <c r="AH370" i="3"/>
  <c r="AI370" i="3"/>
  <c r="AG371" i="3"/>
  <c r="AH371" i="3"/>
  <c r="AI371" i="3"/>
  <c r="AG372" i="3"/>
  <c r="AH372" i="3"/>
  <c r="AI372" i="3"/>
  <c r="AG373" i="3"/>
  <c r="AH373" i="3"/>
  <c r="AI373" i="3"/>
  <c r="AG374" i="3"/>
  <c r="AH374" i="3"/>
  <c r="AI374" i="3"/>
  <c r="AG375" i="3"/>
  <c r="AH375" i="3"/>
  <c r="AI375" i="3"/>
  <c r="AG376" i="3"/>
  <c r="AH376" i="3"/>
  <c r="AI376" i="3"/>
  <c r="AG377" i="3"/>
  <c r="AH377" i="3"/>
  <c r="AI377" i="3"/>
  <c r="AG378" i="3"/>
  <c r="AH378" i="3"/>
  <c r="AI378" i="3"/>
  <c r="AG379" i="3"/>
  <c r="AH379" i="3"/>
  <c r="AI379" i="3"/>
  <c r="AG380" i="3"/>
  <c r="AH380" i="3"/>
  <c r="AI380" i="3"/>
  <c r="AG381" i="3"/>
  <c r="AH381" i="3"/>
  <c r="AI381" i="3"/>
  <c r="AG382" i="3"/>
  <c r="AH382" i="3"/>
  <c r="AI382" i="3"/>
  <c r="AG383" i="3"/>
  <c r="AH383" i="3"/>
  <c r="AI383" i="3"/>
  <c r="AG384" i="3"/>
  <c r="AH384" i="3"/>
  <c r="AI384" i="3"/>
  <c r="AG385" i="3"/>
  <c r="AH385" i="3"/>
  <c r="AI385" i="3"/>
  <c r="AG386" i="3"/>
  <c r="AH386" i="3"/>
  <c r="AI386" i="3"/>
  <c r="AG387" i="3"/>
  <c r="AH387" i="3"/>
  <c r="AI387" i="3"/>
  <c r="AG388" i="3"/>
  <c r="AH388" i="3"/>
  <c r="AI388" i="3"/>
  <c r="AG389" i="3"/>
  <c r="AH389" i="3"/>
  <c r="AI389" i="3"/>
  <c r="AG390" i="3"/>
  <c r="AH390" i="3"/>
  <c r="AI390" i="3"/>
  <c r="AG391" i="3"/>
  <c r="AH391" i="3"/>
  <c r="AI391" i="3"/>
  <c r="AG392" i="3"/>
  <c r="AH392" i="3"/>
  <c r="AI392" i="3"/>
  <c r="AG393" i="3"/>
  <c r="AH393" i="3"/>
  <c r="AI393" i="3"/>
  <c r="AG394" i="3"/>
  <c r="AH394" i="3"/>
  <c r="AI394" i="3"/>
  <c r="AG395" i="3"/>
  <c r="AH395" i="3"/>
  <c r="AI395" i="3"/>
  <c r="AG396" i="3"/>
  <c r="AH396" i="3"/>
  <c r="AI396" i="3"/>
  <c r="AG397" i="3"/>
  <c r="AH397" i="3"/>
  <c r="AI397" i="3"/>
  <c r="AG398" i="3"/>
  <c r="AH398" i="3"/>
  <c r="AI398" i="3"/>
  <c r="AG399" i="3"/>
  <c r="AH399" i="3"/>
  <c r="AI399" i="3"/>
  <c r="AG400" i="3"/>
  <c r="AH400" i="3"/>
  <c r="AI400" i="3"/>
  <c r="AG401" i="3"/>
  <c r="AH401" i="3"/>
  <c r="AI401" i="3"/>
  <c r="AG402" i="3"/>
  <c r="AH402" i="3"/>
  <c r="AI402" i="3"/>
  <c r="AG403" i="3"/>
  <c r="AH403" i="3"/>
  <c r="AI403" i="3"/>
  <c r="AG404" i="3"/>
  <c r="AH404" i="3"/>
  <c r="AI404" i="3"/>
  <c r="AG405" i="3"/>
  <c r="AH405" i="3"/>
  <c r="AI405" i="3"/>
  <c r="AG406" i="3"/>
  <c r="AH406" i="3"/>
  <c r="AI406" i="3"/>
  <c r="AG407" i="3"/>
  <c r="AH407" i="3"/>
  <c r="AI407" i="3"/>
  <c r="AG408" i="3"/>
  <c r="AH408" i="3"/>
  <c r="AI408" i="3"/>
  <c r="AG409" i="3"/>
  <c r="AH409" i="3"/>
  <c r="AI409" i="3"/>
  <c r="AG410" i="3"/>
  <c r="AH410" i="3"/>
  <c r="AI410" i="3"/>
  <c r="AG411" i="3"/>
  <c r="AH411" i="3"/>
  <c r="AI411" i="3"/>
  <c r="AG412" i="3"/>
  <c r="AH412" i="3"/>
  <c r="AI412" i="3"/>
  <c r="AG413" i="3"/>
  <c r="AH413" i="3"/>
  <c r="AI413" i="3"/>
  <c r="AG414" i="3"/>
  <c r="AH414" i="3"/>
  <c r="AI414" i="3"/>
  <c r="AG415" i="3"/>
  <c r="AH415" i="3"/>
  <c r="AI415" i="3"/>
  <c r="AG416" i="3"/>
  <c r="AH416" i="3"/>
  <c r="AI416" i="3"/>
  <c r="AG417" i="3"/>
  <c r="AH417" i="3"/>
  <c r="AI417" i="3"/>
  <c r="AG418" i="3"/>
  <c r="AH418" i="3"/>
  <c r="AI418" i="3"/>
  <c r="AG419" i="3"/>
  <c r="AH419" i="3"/>
  <c r="AI419" i="3"/>
  <c r="AG420" i="3"/>
  <c r="AH420" i="3"/>
  <c r="AI420" i="3"/>
  <c r="AG421" i="3"/>
  <c r="AH421" i="3"/>
  <c r="AI421" i="3"/>
  <c r="AG422" i="3"/>
  <c r="AH422" i="3"/>
  <c r="AI422" i="3"/>
  <c r="AG423" i="3"/>
  <c r="AH423" i="3"/>
  <c r="AI423" i="3"/>
  <c r="AG424" i="3"/>
  <c r="AH424" i="3"/>
  <c r="AI424" i="3"/>
  <c r="AG425" i="3"/>
  <c r="AH425" i="3"/>
  <c r="AI425" i="3"/>
  <c r="AG426" i="3"/>
  <c r="AH426" i="3"/>
  <c r="AI426" i="3"/>
  <c r="AG427" i="3"/>
  <c r="AH427" i="3"/>
  <c r="AI427" i="3"/>
  <c r="AG428" i="3"/>
  <c r="AH428" i="3"/>
  <c r="AI428" i="3"/>
  <c r="AG429" i="3"/>
  <c r="AH429" i="3"/>
  <c r="AI429" i="3"/>
  <c r="AG430" i="3"/>
  <c r="AH430" i="3"/>
  <c r="AI430" i="3"/>
  <c r="AG431" i="3"/>
  <c r="AH431" i="3"/>
  <c r="AI431" i="3"/>
  <c r="AG432" i="3"/>
  <c r="AH432" i="3"/>
  <c r="AI432" i="3"/>
  <c r="AG433" i="3"/>
  <c r="AH433" i="3"/>
  <c r="AI433" i="3"/>
  <c r="AG434" i="3"/>
  <c r="AH434" i="3"/>
  <c r="AI434" i="3"/>
  <c r="AG435" i="3"/>
  <c r="AH435" i="3"/>
  <c r="AI435" i="3"/>
  <c r="AG436" i="3"/>
  <c r="AH436" i="3"/>
  <c r="AI436" i="3"/>
  <c r="AG437" i="3"/>
  <c r="AH437" i="3"/>
  <c r="AI437" i="3"/>
  <c r="AG438" i="3"/>
  <c r="AH438" i="3"/>
  <c r="AI438" i="3"/>
  <c r="AG439" i="3"/>
  <c r="AH439" i="3"/>
  <c r="AI439" i="3"/>
  <c r="AG440" i="3"/>
  <c r="AH440" i="3"/>
  <c r="AI440" i="3"/>
  <c r="AG441" i="3"/>
  <c r="AH441" i="3"/>
  <c r="AI441" i="3"/>
  <c r="AG442" i="3"/>
  <c r="AH442" i="3"/>
  <c r="AI442" i="3"/>
  <c r="AG443" i="3"/>
  <c r="AH443" i="3"/>
  <c r="AI443" i="3"/>
  <c r="AG444" i="3"/>
  <c r="AH444" i="3"/>
  <c r="AI444" i="3"/>
  <c r="AG445" i="3"/>
  <c r="AH445" i="3"/>
  <c r="AI445" i="3"/>
  <c r="AG446" i="3"/>
  <c r="AH446" i="3"/>
  <c r="AI446" i="3"/>
  <c r="AG447" i="3"/>
  <c r="AH447" i="3"/>
  <c r="AI447" i="3"/>
  <c r="AG448" i="3"/>
  <c r="AH448" i="3"/>
  <c r="AI448" i="3"/>
  <c r="AG449" i="3"/>
  <c r="AH449" i="3"/>
  <c r="AI449" i="3"/>
  <c r="AG450" i="3"/>
  <c r="AH450" i="3"/>
  <c r="AI450" i="3"/>
  <c r="AG451" i="3"/>
  <c r="AH451" i="3"/>
  <c r="AI451" i="3"/>
  <c r="AG452" i="3"/>
  <c r="AH452" i="3"/>
  <c r="AI452" i="3"/>
  <c r="AG453" i="3"/>
  <c r="AH453" i="3"/>
  <c r="AI453" i="3"/>
  <c r="AG454" i="3"/>
  <c r="AH454" i="3"/>
  <c r="AI454" i="3"/>
  <c r="AG455" i="3"/>
  <c r="AH455" i="3"/>
  <c r="AI455" i="3"/>
  <c r="AG456" i="3"/>
  <c r="AH456" i="3"/>
  <c r="AI456" i="3"/>
  <c r="AG457" i="3"/>
  <c r="AH457" i="3"/>
  <c r="AI457" i="3"/>
  <c r="AG458" i="3"/>
  <c r="AH458" i="3"/>
  <c r="AI458" i="3"/>
  <c r="AG459" i="3"/>
  <c r="AH459" i="3"/>
  <c r="AI459" i="3"/>
  <c r="AG460" i="3"/>
  <c r="AH460" i="3"/>
  <c r="AI460" i="3"/>
  <c r="AG461" i="3"/>
  <c r="AH461" i="3"/>
  <c r="AI461" i="3"/>
  <c r="AG462" i="3"/>
  <c r="AH462" i="3"/>
  <c r="AI462" i="3"/>
  <c r="AG463" i="3"/>
  <c r="AH463" i="3"/>
  <c r="AI463" i="3"/>
  <c r="AG464" i="3"/>
  <c r="AH464" i="3"/>
  <c r="AI464" i="3"/>
  <c r="AG465" i="3"/>
  <c r="AH465" i="3"/>
  <c r="AI465" i="3"/>
  <c r="AG466" i="3"/>
  <c r="AH466" i="3"/>
  <c r="AI466" i="3"/>
  <c r="AG467" i="3"/>
  <c r="AH467" i="3"/>
  <c r="AI467" i="3"/>
  <c r="AG468" i="3"/>
  <c r="AH468" i="3"/>
  <c r="AI468" i="3"/>
  <c r="AG469" i="3"/>
  <c r="AH469" i="3"/>
  <c r="AI469" i="3"/>
  <c r="AG470" i="3"/>
  <c r="AH470" i="3"/>
  <c r="AI470" i="3"/>
  <c r="AG471" i="3"/>
  <c r="AH471" i="3"/>
  <c r="AI471" i="3"/>
  <c r="AG472" i="3"/>
  <c r="AH472" i="3"/>
  <c r="AI472" i="3"/>
  <c r="AG473" i="3"/>
  <c r="AH473" i="3"/>
  <c r="AI473" i="3"/>
  <c r="AG474" i="3"/>
  <c r="AH474" i="3"/>
  <c r="AI474" i="3"/>
  <c r="AG475" i="3"/>
  <c r="AH475" i="3"/>
  <c r="AI475" i="3"/>
  <c r="AG476" i="3"/>
  <c r="AH476" i="3"/>
  <c r="AI476" i="3"/>
  <c r="AG477" i="3"/>
  <c r="AH477" i="3"/>
  <c r="AI477" i="3"/>
  <c r="AG478" i="3"/>
  <c r="AH478" i="3"/>
  <c r="AI478" i="3"/>
  <c r="AG479" i="3"/>
  <c r="AH479" i="3"/>
  <c r="AI479" i="3"/>
  <c r="AG480" i="3"/>
  <c r="AH480" i="3"/>
  <c r="AI480" i="3"/>
  <c r="AG481" i="3"/>
  <c r="AH481" i="3"/>
  <c r="AI481" i="3"/>
  <c r="AG482" i="3"/>
  <c r="AH482" i="3"/>
  <c r="AI482" i="3"/>
  <c r="AG483" i="3"/>
  <c r="AH483" i="3"/>
  <c r="AI483" i="3"/>
  <c r="AG484" i="3"/>
  <c r="AH484" i="3"/>
  <c r="AI484" i="3"/>
  <c r="AG485" i="3"/>
  <c r="AH485" i="3"/>
  <c r="AI485" i="3"/>
  <c r="AG486" i="3"/>
  <c r="AH486" i="3"/>
  <c r="AI486" i="3"/>
  <c r="AG487" i="3"/>
  <c r="AH487" i="3"/>
  <c r="AI487" i="3"/>
  <c r="AG488" i="3"/>
  <c r="AH488" i="3"/>
  <c r="AI488" i="3"/>
  <c r="AG489" i="3"/>
  <c r="AH489" i="3"/>
  <c r="AI489" i="3"/>
  <c r="AG490" i="3"/>
  <c r="AH490" i="3"/>
  <c r="AI490" i="3"/>
  <c r="AG491" i="3"/>
  <c r="AH491" i="3"/>
  <c r="AI491" i="3"/>
  <c r="AG492" i="3"/>
  <c r="AH492" i="3"/>
  <c r="AI492" i="3"/>
  <c r="AG493" i="3"/>
  <c r="AH493" i="3"/>
  <c r="AI493" i="3"/>
  <c r="AG494" i="3"/>
  <c r="AH494" i="3"/>
  <c r="AI494" i="3"/>
  <c r="AG495" i="3"/>
  <c r="AH495" i="3"/>
  <c r="AI495" i="3"/>
  <c r="AG496" i="3"/>
  <c r="AH496" i="3"/>
  <c r="AI496" i="3"/>
  <c r="AG497" i="3"/>
  <c r="AH497" i="3"/>
  <c r="AI497" i="3"/>
  <c r="AG498" i="3"/>
  <c r="AH498" i="3"/>
  <c r="AI498" i="3"/>
  <c r="AG499" i="3"/>
  <c r="AH499" i="3"/>
  <c r="AI499" i="3"/>
  <c r="AG500" i="3"/>
  <c r="AH500" i="3"/>
  <c r="AI500" i="3"/>
  <c r="AG501" i="3"/>
  <c r="AH501" i="3"/>
  <c r="AI501" i="3"/>
  <c r="AG502" i="3"/>
  <c r="AH502" i="3"/>
  <c r="AI502" i="3"/>
  <c r="AG503" i="3"/>
  <c r="AH503" i="3"/>
  <c r="AI503" i="3"/>
  <c r="AG504" i="3"/>
  <c r="AH504" i="3"/>
  <c r="AI504" i="3"/>
  <c r="AG505" i="3"/>
  <c r="AH505" i="3"/>
  <c r="AI505" i="3"/>
  <c r="AG506" i="3"/>
  <c r="AH506" i="3"/>
  <c r="AI506" i="3"/>
  <c r="AG507" i="3"/>
  <c r="AH507" i="3"/>
  <c r="AI507" i="3"/>
  <c r="AG508" i="3"/>
  <c r="AH508" i="3"/>
  <c r="AI508" i="3"/>
  <c r="AG509" i="3"/>
  <c r="AH509" i="3"/>
  <c r="AI509" i="3"/>
  <c r="AG510" i="3"/>
  <c r="AH510" i="3"/>
  <c r="AI510" i="3"/>
  <c r="AG511" i="3"/>
  <c r="AH511" i="3"/>
  <c r="AI511" i="3"/>
  <c r="AG512" i="3"/>
  <c r="AH512" i="3"/>
  <c r="AI512" i="3"/>
  <c r="AG513" i="3"/>
  <c r="AH513" i="3"/>
  <c r="AI513" i="3"/>
  <c r="AG514" i="3"/>
  <c r="AH514" i="3"/>
  <c r="AI514" i="3"/>
  <c r="AG515" i="3"/>
  <c r="AH515" i="3"/>
  <c r="AI515" i="3"/>
  <c r="AG516" i="3"/>
  <c r="AH516" i="3"/>
  <c r="AI516" i="3"/>
  <c r="AG517" i="3"/>
  <c r="AH517" i="3"/>
  <c r="AI517" i="3"/>
  <c r="AG518" i="3"/>
  <c r="AH518" i="3"/>
  <c r="AI518" i="3"/>
  <c r="AG519" i="3"/>
  <c r="AH519" i="3"/>
  <c r="AI519" i="3"/>
  <c r="AG520" i="3"/>
  <c r="AH520" i="3"/>
  <c r="AI520" i="3"/>
  <c r="AG521" i="3"/>
  <c r="AH521" i="3"/>
  <c r="AI521" i="3"/>
  <c r="AG522" i="3"/>
  <c r="AH522" i="3"/>
  <c r="AI522" i="3"/>
  <c r="AG523" i="3"/>
  <c r="AH523" i="3"/>
  <c r="AI523" i="3"/>
  <c r="AG524" i="3"/>
  <c r="AH524" i="3"/>
  <c r="AI524" i="3"/>
  <c r="AG525" i="3"/>
  <c r="AH525" i="3"/>
  <c r="AI525" i="3"/>
  <c r="AG526" i="3"/>
  <c r="AH526" i="3"/>
  <c r="AI526" i="3"/>
  <c r="AG527" i="3"/>
  <c r="AH527" i="3"/>
  <c r="AI527" i="3"/>
  <c r="AG528" i="3"/>
  <c r="AH528" i="3"/>
  <c r="AI528" i="3"/>
  <c r="AG529" i="3"/>
  <c r="AH529" i="3"/>
  <c r="AI529" i="3"/>
  <c r="AG530" i="3"/>
  <c r="AH530" i="3"/>
  <c r="AI530" i="3"/>
  <c r="AG531" i="3"/>
  <c r="AH531" i="3"/>
  <c r="AI531" i="3"/>
  <c r="AG532" i="3"/>
  <c r="AH532" i="3"/>
  <c r="AI532" i="3"/>
  <c r="AG533" i="3"/>
  <c r="AH533" i="3"/>
  <c r="AI533" i="3"/>
  <c r="AG534" i="3"/>
  <c r="AH534" i="3"/>
  <c r="AI534" i="3"/>
  <c r="AG535" i="3"/>
  <c r="AH535" i="3"/>
  <c r="AI535" i="3"/>
  <c r="AG536" i="3"/>
  <c r="AH536" i="3"/>
  <c r="AI536" i="3"/>
  <c r="AG537" i="3"/>
  <c r="AH537" i="3"/>
  <c r="AI537" i="3"/>
  <c r="AG538" i="3"/>
  <c r="AH538" i="3"/>
  <c r="AI538" i="3"/>
  <c r="AG539" i="3"/>
  <c r="AH539" i="3"/>
  <c r="AI539" i="3"/>
  <c r="AG540" i="3"/>
  <c r="AH540" i="3"/>
  <c r="AI540" i="3"/>
  <c r="AG541" i="3"/>
  <c r="AH541" i="3"/>
  <c r="AI541" i="3"/>
  <c r="AG542" i="3"/>
  <c r="AH542" i="3"/>
  <c r="AI542" i="3"/>
  <c r="AG543" i="3"/>
  <c r="AH543" i="3"/>
  <c r="AI543" i="3"/>
  <c r="AG544" i="3"/>
  <c r="AH544" i="3"/>
  <c r="AI544" i="3"/>
  <c r="AG545" i="3"/>
  <c r="AH545" i="3"/>
  <c r="AI545" i="3"/>
  <c r="AG546" i="3"/>
  <c r="AH546" i="3"/>
  <c r="AI546" i="3"/>
  <c r="AG547" i="3"/>
  <c r="AH547" i="3"/>
  <c r="AI547" i="3"/>
  <c r="AG548" i="3"/>
  <c r="AH548" i="3"/>
  <c r="AI548" i="3"/>
  <c r="AG549" i="3"/>
  <c r="AH549" i="3"/>
  <c r="AI549" i="3"/>
  <c r="AG550" i="3"/>
  <c r="AH550" i="3"/>
  <c r="AI550" i="3"/>
  <c r="AG551" i="3"/>
  <c r="AH551" i="3"/>
  <c r="AI551" i="3"/>
  <c r="AG552" i="3"/>
  <c r="AH552" i="3"/>
  <c r="AI552" i="3"/>
  <c r="AG553" i="3"/>
  <c r="AH553" i="3"/>
  <c r="AI553" i="3"/>
  <c r="AG554" i="3"/>
  <c r="AH554" i="3"/>
  <c r="AI554" i="3"/>
  <c r="AG555" i="3"/>
  <c r="AH555" i="3"/>
  <c r="AI555" i="3"/>
  <c r="AG556" i="3"/>
  <c r="AH556" i="3"/>
  <c r="AI556" i="3"/>
  <c r="AG557" i="3"/>
  <c r="AH557" i="3"/>
  <c r="AI557" i="3"/>
  <c r="AG558" i="3"/>
  <c r="AH558" i="3"/>
  <c r="AI558" i="3"/>
  <c r="AG559" i="3"/>
  <c r="AH559" i="3"/>
  <c r="AI559" i="3"/>
  <c r="AG560" i="3"/>
  <c r="AH560" i="3"/>
  <c r="AI560" i="3"/>
  <c r="AG561" i="3"/>
  <c r="AH561" i="3"/>
  <c r="AI561" i="3"/>
  <c r="AG562" i="3"/>
  <c r="AH562" i="3"/>
  <c r="AI562" i="3"/>
  <c r="AG563" i="3"/>
  <c r="AH563" i="3"/>
  <c r="AI563" i="3"/>
  <c r="AG564" i="3"/>
  <c r="AH564" i="3"/>
  <c r="AI564" i="3"/>
  <c r="AG565" i="3"/>
  <c r="AH565" i="3"/>
  <c r="AI565" i="3"/>
  <c r="AG566" i="3"/>
  <c r="AH566" i="3"/>
  <c r="AI566" i="3"/>
  <c r="AG567" i="3"/>
  <c r="AH567" i="3"/>
  <c r="AI567" i="3"/>
  <c r="AG568" i="3"/>
  <c r="AH568" i="3"/>
  <c r="AI568" i="3"/>
  <c r="AG569" i="3"/>
  <c r="AH569" i="3"/>
  <c r="AI569" i="3"/>
  <c r="AG570" i="3"/>
  <c r="AH570" i="3"/>
  <c r="AI570" i="3"/>
  <c r="AG571" i="3"/>
  <c r="AH571" i="3"/>
  <c r="AI571" i="3"/>
  <c r="AG572" i="3"/>
  <c r="AH572" i="3"/>
  <c r="AI572" i="3"/>
  <c r="AG573" i="3"/>
  <c r="AH573" i="3"/>
  <c r="AI573" i="3"/>
  <c r="AG574" i="3"/>
  <c r="AH574" i="3"/>
  <c r="AI574" i="3"/>
  <c r="AG575" i="3"/>
  <c r="AH575" i="3"/>
  <c r="AI575" i="3"/>
  <c r="AG576" i="3"/>
  <c r="AH576" i="3"/>
  <c r="AI576" i="3"/>
  <c r="AG577" i="3"/>
  <c r="AH577" i="3"/>
  <c r="AI577" i="3"/>
  <c r="AG578" i="3"/>
  <c r="AH578" i="3"/>
  <c r="AI578" i="3"/>
  <c r="AG579" i="3"/>
  <c r="AH579" i="3"/>
  <c r="AI579" i="3"/>
  <c r="AG580" i="3"/>
  <c r="AH580" i="3"/>
  <c r="AI580" i="3"/>
  <c r="AG581" i="3"/>
  <c r="AH581" i="3"/>
  <c r="AI581" i="3"/>
  <c r="AG582" i="3"/>
  <c r="AH582" i="3"/>
  <c r="AI582" i="3"/>
  <c r="AG583" i="3"/>
  <c r="AH583" i="3"/>
  <c r="AI583" i="3"/>
  <c r="AG584" i="3"/>
  <c r="AH584" i="3"/>
  <c r="AI584" i="3"/>
  <c r="AG585" i="3"/>
  <c r="AH585" i="3"/>
  <c r="AI585" i="3"/>
  <c r="AG586" i="3"/>
  <c r="AH586" i="3"/>
  <c r="AI586" i="3"/>
  <c r="AG587" i="3"/>
  <c r="AH587" i="3"/>
  <c r="AI587" i="3"/>
  <c r="AG588" i="3"/>
  <c r="AH588" i="3"/>
  <c r="AI588" i="3"/>
  <c r="AG589" i="3"/>
  <c r="AH589" i="3"/>
  <c r="AI589" i="3"/>
  <c r="AG590" i="3"/>
  <c r="AH590" i="3"/>
  <c r="AI590" i="3"/>
  <c r="AG591" i="3"/>
  <c r="AH591" i="3"/>
  <c r="AI591" i="3"/>
  <c r="AG592" i="3"/>
  <c r="AH592" i="3"/>
  <c r="AI592" i="3"/>
  <c r="AG593" i="3"/>
  <c r="AH593" i="3"/>
  <c r="AI593" i="3"/>
  <c r="AG594" i="3"/>
  <c r="AH594" i="3"/>
  <c r="AI594" i="3"/>
  <c r="AG595" i="3"/>
  <c r="AH595" i="3"/>
  <c r="AI595" i="3"/>
  <c r="AG596" i="3"/>
  <c r="AH596" i="3"/>
  <c r="AI596" i="3"/>
  <c r="AG597" i="3"/>
  <c r="AH597" i="3"/>
  <c r="AI597" i="3"/>
  <c r="AG598" i="3"/>
  <c r="AH598" i="3"/>
  <c r="AI598" i="3"/>
  <c r="AG599" i="3"/>
  <c r="AH599" i="3"/>
  <c r="AI599" i="3"/>
  <c r="AG600" i="3"/>
  <c r="AH600" i="3"/>
  <c r="AI600" i="3"/>
  <c r="AG601" i="3"/>
  <c r="AH601" i="3"/>
  <c r="AI601" i="3"/>
  <c r="AG602" i="3"/>
  <c r="AH602" i="3"/>
  <c r="AI602" i="3"/>
  <c r="AG603" i="3"/>
  <c r="AH603" i="3"/>
  <c r="AI603" i="3"/>
  <c r="AG604" i="3"/>
  <c r="AH604" i="3"/>
  <c r="AI604" i="3"/>
  <c r="AG605" i="3"/>
  <c r="AH605" i="3"/>
  <c r="AI605" i="3"/>
  <c r="AG606" i="3"/>
  <c r="AH606" i="3"/>
  <c r="AI606" i="3"/>
  <c r="AG607" i="3"/>
  <c r="AH607" i="3"/>
  <c r="AI607" i="3"/>
  <c r="AG608" i="3"/>
  <c r="AH608" i="3"/>
  <c r="AI608" i="3"/>
  <c r="AG609" i="3"/>
  <c r="AH609" i="3"/>
  <c r="AI609" i="3"/>
  <c r="AG610" i="3"/>
  <c r="AH610" i="3"/>
  <c r="AI610" i="3"/>
  <c r="AG611" i="3"/>
  <c r="AH611" i="3"/>
  <c r="AI611" i="3"/>
  <c r="AG612" i="3"/>
  <c r="AH612" i="3"/>
  <c r="AI612" i="3"/>
  <c r="AL612" i="3"/>
  <c r="O612" i="3"/>
  <c r="AJ612" i="3"/>
  <c r="P612" i="3"/>
  <c r="AM22" i="3"/>
  <c r="AN22" i="3"/>
  <c r="AP22" i="3"/>
  <c r="AM23" i="3"/>
  <c r="AN23" i="3"/>
  <c r="AP23" i="3"/>
  <c r="AM24" i="3"/>
  <c r="AN24" i="3"/>
  <c r="AP24" i="3"/>
  <c r="AM25" i="3"/>
  <c r="AN25" i="3"/>
  <c r="AP25" i="3"/>
  <c r="AM26" i="3"/>
  <c r="AN26" i="3"/>
  <c r="AP26" i="3"/>
  <c r="AM27" i="3"/>
  <c r="AN27" i="3"/>
  <c r="AP27" i="3"/>
  <c r="AM28" i="3"/>
  <c r="AN28" i="3"/>
  <c r="AP28" i="3"/>
  <c r="AM29" i="3"/>
  <c r="AN29" i="3"/>
  <c r="AP29" i="3"/>
  <c r="AM30" i="3"/>
  <c r="AN30" i="3"/>
  <c r="AP30" i="3"/>
  <c r="AM31" i="3"/>
  <c r="AN31" i="3"/>
  <c r="AP31" i="3"/>
  <c r="AM32" i="3"/>
  <c r="AN32" i="3"/>
  <c r="AP32" i="3"/>
  <c r="AM33" i="3"/>
  <c r="AN33" i="3"/>
  <c r="AP33" i="3"/>
  <c r="AM34" i="3"/>
  <c r="AN34" i="3"/>
  <c r="AP34" i="3"/>
  <c r="AM35" i="3"/>
  <c r="AN35" i="3"/>
  <c r="AP35" i="3"/>
  <c r="AM36" i="3"/>
  <c r="AN36" i="3"/>
  <c r="AP36" i="3"/>
  <c r="AM37" i="3"/>
  <c r="AN37" i="3"/>
  <c r="AP37" i="3"/>
  <c r="AM38" i="3"/>
  <c r="AN38" i="3"/>
  <c r="AP38" i="3"/>
  <c r="AM39" i="3"/>
  <c r="AN39" i="3"/>
  <c r="AP39" i="3"/>
  <c r="AM40" i="3"/>
  <c r="AN40" i="3"/>
  <c r="AP40" i="3"/>
  <c r="AM41" i="3"/>
  <c r="AN41" i="3"/>
  <c r="AP41" i="3"/>
  <c r="AM42" i="3"/>
  <c r="AN42" i="3"/>
  <c r="AP42" i="3"/>
  <c r="AM43" i="3"/>
  <c r="AN43" i="3"/>
  <c r="AP43" i="3"/>
  <c r="AM44" i="3"/>
  <c r="AN44" i="3"/>
  <c r="AP44" i="3"/>
  <c r="AM45" i="3"/>
  <c r="AN45" i="3"/>
  <c r="AP45" i="3"/>
  <c r="AM46" i="3"/>
  <c r="AN46" i="3"/>
  <c r="AP46" i="3"/>
  <c r="AM47" i="3"/>
  <c r="AN47" i="3"/>
  <c r="AP47" i="3"/>
  <c r="AM48" i="3"/>
  <c r="AN48" i="3"/>
  <c r="AP48" i="3"/>
  <c r="AM49" i="3"/>
  <c r="AN49" i="3"/>
  <c r="AP49" i="3"/>
  <c r="AM50" i="3"/>
  <c r="AN50" i="3"/>
  <c r="AP50" i="3"/>
  <c r="AM51" i="3"/>
  <c r="AN51" i="3"/>
  <c r="AP51" i="3"/>
  <c r="AM52" i="3"/>
  <c r="AN52" i="3"/>
  <c r="AP52" i="3"/>
  <c r="AM53" i="3"/>
  <c r="AN53" i="3"/>
  <c r="AP53" i="3"/>
  <c r="AM54" i="3"/>
  <c r="AN54" i="3"/>
  <c r="AP54" i="3"/>
  <c r="AM55" i="3"/>
  <c r="AN55" i="3"/>
  <c r="AP55" i="3"/>
  <c r="AM56" i="3"/>
  <c r="AN56" i="3"/>
  <c r="AP56" i="3"/>
  <c r="AM57" i="3"/>
  <c r="AN57" i="3"/>
  <c r="AP57" i="3"/>
  <c r="AM58" i="3"/>
  <c r="AN58" i="3"/>
  <c r="AP58" i="3"/>
  <c r="AM59" i="3"/>
  <c r="AN59" i="3"/>
  <c r="AP59" i="3"/>
  <c r="AM60" i="3"/>
  <c r="AN60" i="3"/>
  <c r="AP60" i="3"/>
  <c r="AM61" i="3"/>
  <c r="AN61" i="3"/>
  <c r="AP61" i="3"/>
  <c r="AM62" i="3"/>
  <c r="AN62" i="3"/>
  <c r="AP62" i="3"/>
  <c r="AM63" i="3"/>
  <c r="AN63" i="3"/>
  <c r="AP63" i="3"/>
  <c r="AM64" i="3"/>
  <c r="AN64" i="3"/>
  <c r="AP64" i="3"/>
  <c r="AM65" i="3"/>
  <c r="AN65" i="3"/>
  <c r="AP65" i="3"/>
  <c r="AM66" i="3"/>
  <c r="AN66" i="3"/>
  <c r="AP66" i="3"/>
  <c r="AM67" i="3"/>
  <c r="AN67" i="3"/>
  <c r="AP67" i="3"/>
  <c r="AM68" i="3"/>
  <c r="AN68" i="3"/>
  <c r="AP68" i="3"/>
  <c r="AM69" i="3"/>
  <c r="AN69" i="3"/>
  <c r="AP69" i="3"/>
  <c r="AM70" i="3"/>
  <c r="AN70" i="3"/>
  <c r="AP70" i="3"/>
  <c r="AM71" i="3"/>
  <c r="AN71" i="3"/>
  <c r="AP71" i="3"/>
  <c r="AM72" i="3"/>
  <c r="AN72" i="3"/>
  <c r="AP72" i="3"/>
  <c r="AM73" i="3"/>
  <c r="AN73" i="3"/>
  <c r="AP73" i="3"/>
  <c r="AM74" i="3"/>
  <c r="AN74" i="3"/>
  <c r="AP74" i="3"/>
  <c r="AM75" i="3"/>
  <c r="AN75" i="3"/>
  <c r="AP75" i="3"/>
  <c r="AM76" i="3"/>
  <c r="AN76" i="3"/>
  <c r="AP76" i="3"/>
  <c r="AM77" i="3"/>
  <c r="AN77" i="3"/>
  <c r="AP77" i="3"/>
  <c r="AM78" i="3"/>
  <c r="AN78" i="3"/>
  <c r="AP78" i="3"/>
  <c r="AM79" i="3"/>
  <c r="AN79" i="3"/>
  <c r="AP79" i="3"/>
  <c r="AM80" i="3"/>
  <c r="AN80" i="3"/>
  <c r="AP80" i="3"/>
  <c r="AM81" i="3"/>
  <c r="AN81" i="3"/>
  <c r="AP81" i="3"/>
  <c r="AM82" i="3"/>
  <c r="AN82" i="3"/>
  <c r="AP82" i="3"/>
  <c r="AM83" i="3"/>
  <c r="AN83" i="3"/>
  <c r="AP83" i="3"/>
  <c r="AM84" i="3"/>
  <c r="AN84" i="3"/>
  <c r="AP84" i="3"/>
  <c r="AM85" i="3"/>
  <c r="AN85" i="3"/>
  <c r="AP85" i="3"/>
  <c r="AM86" i="3"/>
  <c r="AN86" i="3"/>
  <c r="AP86" i="3"/>
  <c r="AM87" i="3"/>
  <c r="AN87" i="3"/>
  <c r="AP87" i="3"/>
  <c r="AM88" i="3"/>
  <c r="AN88" i="3"/>
  <c r="AP88" i="3"/>
  <c r="AM89" i="3"/>
  <c r="AN89" i="3"/>
  <c r="AP89" i="3"/>
  <c r="AM90" i="3"/>
  <c r="AN90" i="3"/>
  <c r="AP90" i="3"/>
  <c r="AM91" i="3"/>
  <c r="AN91" i="3"/>
  <c r="AP91" i="3"/>
  <c r="AM92" i="3"/>
  <c r="AN92" i="3"/>
  <c r="AP92" i="3"/>
  <c r="AM93" i="3"/>
  <c r="AN93" i="3"/>
  <c r="AP93" i="3"/>
  <c r="AM94" i="3"/>
  <c r="AN94" i="3"/>
  <c r="AP94" i="3"/>
  <c r="AM95" i="3"/>
  <c r="AN95" i="3"/>
  <c r="AP95" i="3"/>
  <c r="AM96" i="3"/>
  <c r="AN96" i="3"/>
  <c r="AP96" i="3"/>
  <c r="AM97" i="3"/>
  <c r="AN97" i="3"/>
  <c r="AP97" i="3"/>
  <c r="AM98" i="3"/>
  <c r="AN98" i="3"/>
  <c r="AP98" i="3"/>
  <c r="AM99" i="3"/>
  <c r="AN99" i="3"/>
  <c r="AP99" i="3"/>
  <c r="AM100" i="3"/>
  <c r="AN100" i="3"/>
  <c r="AP100" i="3"/>
  <c r="AM101" i="3"/>
  <c r="AN101" i="3"/>
  <c r="AP101" i="3"/>
  <c r="AM102" i="3"/>
  <c r="AN102" i="3"/>
  <c r="AP102" i="3"/>
  <c r="AM103" i="3"/>
  <c r="AN103" i="3"/>
  <c r="AP103" i="3"/>
  <c r="AM104" i="3"/>
  <c r="AN104" i="3"/>
  <c r="AP104" i="3"/>
  <c r="AM105" i="3"/>
  <c r="AN105" i="3"/>
  <c r="AP105" i="3"/>
  <c r="AM106" i="3"/>
  <c r="AN106" i="3"/>
  <c r="AP106" i="3"/>
  <c r="AM107" i="3"/>
  <c r="AN107" i="3"/>
  <c r="AP107" i="3"/>
  <c r="AM108" i="3"/>
  <c r="AN108" i="3"/>
  <c r="AP108" i="3"/>
  <c r="AM109" i="3"/>
  <c r="AN109" i="3"/>
  <c r="AP109" i="3"/>
  <c r="AM110" i="3"/>
  <c r="AN110" i="3"/>
  <c r="AP110" i="3"/>
  <c r="AM111" i="3"/>
  <c r="AN111" i="3"/>
  <c r="AP111" i="3"/>
  <c r="AM112" i="3"/>
  <c r="AN112" i="3"/>
  <c r="AP112" i="3"/>
  <c r="AM113" i="3"/>
  <c r="AN113" i="3"/>
  <c r="AP113" i="3"/>
  <c r="AM114" i="3"/>
  <c r="AN114" i="3"/>
  <c r="AP114" i="3"/>
  <c r="AM115" i="3"/>
  <c r="AN115" i="3"/>
  <c r="AP115" i="3"/>
  <c r="AM116" i="3"/>
  <c r="AN116" i="3"/>
  <c r="AP116" i="3"/>
  <c r="AM117" i="3"/>
  <c r="AN117" i="3"/>
  <c r="AP117" i="3"/>
  <c r="AM118" i="3"/>
  <c r="AN118" i="3"/>
  <c r="AP118" i="3"/>
  <c r="AM119" i="3"/>
  <c r="AN119" i="3"/>
  <c r="AP119" i="3"/>
  <c r="AM120" i="3"/>
  <c r="AN120" i="3"/>
  <c r="AP120" i="3"/>
  <c r="AM121" i="3"/>
  <c r="AN121" i="3"/>
  <c r="AP121" i="3"/>
  <c r="AM122" i="3"/>
  <c r="AN122" i="3"/>
  <c r="AP122" i="3"/>
  <c r="AM123" i="3"/>
  <c r="AN123" i="3"/>
  <c r="AP123" i="3"/>
  <c r="AM124" i="3"/>
  <c r="AN124" i="3"/>
  <c r="AP124" i="3"/>
  <c r="AM125" i="3"/>
  <c r="AN125" i="3"/>
  <c r="AP125" i="3"/>
  <c r="AM126" i="3"/>
  <c r="AN126" i="3"/>
  <c r="AP126" i="3"/>
  <c r="AM127" i="3"/>
  <c r="AN127" i="3"/>
  <c r="AP127" i="3"/>
  <c r="AM128" i="3"/>
  <c r="AN128" i="3"/>
  <c r="AP128" i="3"/>
  <c r="AM129" i="3"/>
  <c r="AN129" i="3"/>
  <c r="AP129" i="3"/>
  <c r="AM130" i="3"/>
  <c r="AN130" i="3"/>
  <c r="AP130" i="3"/>
  <c r="AM131" i="3"/>
  <c r="AN131" i="3"/>
  <c r="AP131" i="3"/>
  <c r="AM132" i="3"/>
  <c r="AN132" i="3"/>
  <c r="AP132" i="3"/>
  <c r="AM133" i="3"/>
  <c r="AN133" i="3"/>
  <c r="AP133" i="3"/>
  <c r="AM134" i="3"/>
  <c r="AN134" i="3"/>
  <c r="AP134" i="3"/>
  <c r="AM135" i="3"/>
  <c r="AN135" i="3"/>
  <c r="AP135" i="3"/>
  <c r="AM136" i="3"/>
  <c r="AN136" i="3"/>
  <c r="AP136" i="3"/>
  <c r="AM137" i="3"/>
  <c r="AN137" i="3"/>
  <c r="AP137" i="3"/>
  <c r="AM138" i="3"/>
  <c r="AN138" i="3"/>
  <c r="AP138" i="3"/>
  <c r="AM139" i="3"/>
  <c r="AN139" i="3"/>
  <c r="AP139" i="3"/>
  <c r="AM140" i="3"/>
  <c r="AN140" i="3"/>
  <c r="AP140" i="3"/>
  <c r="AM141" i="3"/>
  <c r="AN141" i="3"/>
  <c r="AP141" i="3"/>
  <c r="AM142" i="3"/>
  <c r="AN142" i="3"/>
  <c r="AP142" i="3"/>
  <c r="AM143" i="3"/>
  <c r="AN143" i="3"/>
  <c r="AP143" i="3"/>
  <c r="AM144" i="3"/>
  <c r="AN144" i="3"/>
  <c r="AP144" i="3"/>
  <c r="AM145" i="3"/>
  <c r="AN145" i="3"/>
  <c r="AP145" i="3"/>
  <c r="AM146" i="3"/>
  <c r="AN146" i="3"/>
  <c r="AP146" i="3"/>
  <c r="AM147" i="3"/>
  <c r="AN147" i="3"/>
  <c r="AP147" i="3"/>
  <c r="AM148" i="3"/>
  <c r="AN148" i="3"/>
  <c r="AP148" i="3"/>
  <c r="AM149" i="3"/>
  <c r="AN149" i="3"/>
  <c r="AP149" i="3"/>
  <c r="AM150" i="3"/>
  <c r="AN150" i="3"/>
  <c r="AP150" i="3"/>
  <c r="AM151" i="3"/>
  <c r="AN151" i="3"/>
  <c r="AP151" i="3"/>
  <c r="AM152" i="3"/>
  <c r="AN152" i="3"/>
  <c r="AP152" i="3"/>
  <c r="AM153" i="3"/>
  <c r="AN153" i="3"/>
  <c r="AP153" i="3"/>
  <c r="AM154" i="3"/>
  <c r="AN154" i="3"/>
  <c r="AP154" i="3"/>
  <c r="AM155" i="3"/>
  <c r="AN155" i="3"/>
  <c r="AP155" i="3"/>
  <c r="AM156" i="3"/>
  <c r="AN156" i="3"/>
  <c r="AP156" i="3"/>
  <c r="AM157" i="3"/>
  <c r="AN157" i="3"/>
  <c r="AP157" i="3"/>
  <c r="AM158" i="3"/>
  <c r="AN158" i="3"/>
  <c r="AP158" i="3"/>
  <c r="AM159" i="3"/>
  <c r="AN159" i="3"/>
  <c r="AP159" i="3"/>
  <c r="AM160" i="3"/>
  <c r="AN160" i="3"/>
  <c r="AP160" i="3"/>
  <c r="AM161" i="3"/>
  <c r="AN161" i="3"/>
  <c r="AP161" i="3"/>
  <c r="AM162" i="3"/>
  <c r="AN162" i="3"/>
  <c r="AP162" i="3"/>
  <c r="AM163" i="3"/>
  <c r="AN163" i="3"/>
  <c r="AP163" i="3"/>
  <c r="AM164" i="3"/>
  <c r="AN164" i="3"/>
  <c r="AP164" i="3"/>
  <c r="AM165" i="3"/>
  <c r="AN165" i="3"/>
  <c r="AP165" i="3"/>
  <c r="AM166" i="3"/>
  <c r="AN166" i="3"/>
  <c r="AP166" i="3"/>
  <c r="AM167" i="3"/>
  <c r="AN167" i="3"/>
  <c r="AP167" i="3"/>
  <c r="AM168" i="3"/>
  <c r="AN168" i="3"/>
  <c r="AP168" i="3"/>
  <c r="AM169" i="3"/>
  <c r="AN169" i="3"/>
  <c r="AP169" i="3"/>
  <c r="AM170" i="3"/>
  <c r="AN170" i="3"/>
  <c r="AP170" i="3"/>
  <c r="AM171" i="3"/>
  <c r="AN171" i="3"/>
  <c r="AP171" i="3"/>
  <c r="AM172" i="3"/>
  <c r="AN172" i="3"/>
  <c r="AP172" i="3"/>
  <c r="AM173" i="3"/>
  <c r="AN173" i="3"/>
  <c r="AP173" i="3"/>
  <c r="AM174" i="3"/>
  <c r="AN174" i="3"/>
  <c r="AP174" i="3"/>
  <c r="AM175" i="3"/>
  <c r="AN175" i="3"/>
  <c r="AP175" i="3"/>
  <c r="AM176" i="3"/>
  <c r="AN176" i="3"/>
  <c r="AP176" i="3"/>
  <c r="AM177" i="3"/>
  <c r="AN177" i="3"/>
  <c r="AP177" i="3"/>
  <c r="AM178" i="3"/>
  <c r="AN178" i="3"/>
  <c r="AP178" i="3"/>
  <c r="AM179" i="3"/>
  <c r="AN179" i="3"/>
  <c r="AP179" i="3"/>
  <c r="AM180" i="3"/>
  <c r="AN180" i="3"/>
  <c r="AP180" i="3"/>
  <c r="AM181" i="3"/>
  <c r="AN181" i="3"/>
  <c r="AP181" i="3"/>
  <c r="AM182" i="3"/>
  <c r="AN182" i="3"/>
  <c r="AP182" i="3"/>
  <c r="AM183" i="3"/>
  <c r="AN183" i="3"/>
  <c r="AP183" i="3"/>
  <c r="AM184" i="3"/>
  <c r="AN184" i="3"/>
  <c r="AP184" i="3"/>
  <c r="AM185" i="3"/>
  <c r="AN185" i="3"/>
  <c r="AP185" i="3"/>
  <c r="AM186" i="3"/>
  <c r="AN186" i="3"/>
  <c r="AP186" i="3"/>
  <c r="AM187" i="3"/>
  <c r="AN187" i="3"/>
  <c r="AP187" i="3"/>
  <c r="AM188" i="3"/>
  <c r="AN188" i="3"/>
  <c r="AP188" i="3"/>
  <c r="AM189" i="3"/>
  <c r="AN189" i="3"/>
  <c r="AP189" i="3"/>
  <c r="AM190" i="3"/>
  <c r="AN190" i="3"/>
  <c r="AP190" i="3"/>
  <c r="AM191" i="3"/>
  <c r="AN191" i="3"/>
  <c r="AP191" i="3"/>
  <c r="AM192" i="3"/>
  <c r="AN192" i="3"/>
  <c r="AP192" i="3"/>
  <c r="AM193" i="3"/>
  <c r="AN193" i="3"/>
  <c r="AP193" i="3"/>
  <c r="AM194" i="3"/>
  <c r="AN194" i="3"/>
  <c r="AP194" i="3"/>
  <c r="AM195" i="3"/>
  <c r="AN195" i="3"/>
  <c r="AP195" i="3"/>
  <c r="AM196" i="3"/>
  <c r="AN196" i="3"/>
  <c r="AP196" i="3"/>
  <c r="AM197" i="3"/>
  <c r="AN197" i="3"/>
  <c r="AP197" i="3"/>
  <c r="AM198" i="3"/>
  <c r="AN198" i="3"/>
  <c r="AP198" i="3"/>
  <c r="AM199" i="3"/>
  <c r="AN199" i="3"/>
  <c r="AP199" i="3"/>
  <c r="AM200" i="3"/>
  <c r="AN200" i="3"/>
  <c r="AP200" i="3"/>
  <c r="AM201" i="3"/>
  <c r="AN201" i="3"/>
  <c r="AP201" i="3"/>
  <c r="AM202" i="3"/>
  <c r="AN202" i="3"/>
  <c r="AP202" i="3"/>
  <c r="AM203" i="3"/>
  <c r="AN203" i="3"/>
  <c r="AP203" i="3"/>
  <c r="AM204" i="3"/>
  <c r="AN204" i="3"/>
  <c r="AP204" i="3"/>
  <c r="AM205" i="3"/>
  <c r="AN205" i="3"/>
  <c r="AP205" i="3"/>
  <c r="AM206" i="3"/>
  <c r="AN206" i="3"/>
  <c r="AP206" i="3"/>
  <c r="AM207" i="3"/>
  <c r="AN207" i="3"/>
  <c r="AP207" i="3"/>
  <c r="AM208" i="3"/>
  <c r="AN208" i="3"/>
  <c r="AP208" i="3"/>
  <c r="AM209" i="3"/>
  <c r="AN209" i="3"/>
  <c r="AP209" i="3"/>
  <c r="AM210" i="3"/>
  <c r="AN210" i="3"/>
  <c r="AP210" i="3"/>
  <c r="AM211" i="3"/>
  <c r="AN211" i="3"/>
  <c r="AP211" i="3"/>
  <c r="AM212" i="3"/>
  <c r="AN212" i="3"/>
  <c r="AP212" i="3"/>
  <c r="AM213" i="3"/>
  <c r="AN213" i="3"/>
  <c r="AP213" i="3"/>
  <c r="AM214" i="3"/>
  <c r="AN214" i="3"/>
  <c r="AP214" i="3"/>
  <c r="AM215" i="3"/>
  <c r="AN215" i="3"/>
  <c r="AP215" i="3"/>
  <c r="AM216" i="3"/>
  <c r="AN216" i="3"/>
  <c r="AP216" i="3"/>
  <c r="AM217" i="3"/>
  <c r="AN217" i="3"/>
  <c r="AP217" i="3"/>
  <c r="AM218" i="3"/>
  <c r="AN218" i="3"/>
  <c r="AP218" i="3"/>
  <c r="AM219" i="3"/>
  <c r="AN219" i="3"/>
  <c r="AP219" i="3"/>
  <c r="AM220" i="3"/>
  <c r="AN220" i="3"/>
  <c r="AP220" i="3"/>
  <c r="AM221" i="3"/>
  <c r="AN221" i="3"/>
  <c r="AP221" i="3"/>
  <c r="AM222" i="3"/>
  <c r="AN222" i="3"/>
  <c r="AP222" i="3"/>
  <c r="AM223" i="3"/>
  <c r="AN223" i="3"/>
  <c r="AP223" i="3"/>
  <c r="AM224" i="3"/>
  <c r="AN224" i="3"/>
  <c r="AP224" i="3"/>
  <c r="AM225" i="3"/>
  <c r="AN225" i="3"/>
  <c r="AP225" i="3"/>
  <c r="AM226" i="3"/>
  <c r="AN226" i="3"/>
  <c r="AP226" i="3"/>
  <c r="AM227" i="3"/>
  <c r="AN227" i="3"/>
  <c r="AP227" i="3"/>
  <c r="AM228" i="3"/>
  <c r="AN228" i="3"/>
  <c r="AP228" i="3"/>
  <c r="AM229" i="3"/>
  <c r="AN229" i="3"/>
  <c r="AP229" i="3"/>
  <c r="AM230" i="3"/>
  <c r="AN230" i="3"/>
  <c r="AP230" i="3"/>
  <c r="AM231" i="3"/>
  <c r="AN231" i="3"/>
  <c r="AP231" i="3"/>
  <c r="AM232" i="3"/>
  <c r="AN232" i="3"/>
  <c r="AP232" i="3"/>
  <c r="AM233" i="3"/>
  <c r="AN233" i="3"/>
  <c r="AP233" i="3"/>
  <c r="AM234" i="3"/>
  <c r="AN234" i="3"/>
  <c r="AP234" i="3"/>
  <c r="AM235" i="3"/>
  <c r="AN235" i="3"/>
  <c r="AP235" i="3"/>
  <c r="AM236" i="3"/>
  <c r="AN236" i="3"/>
  <c r="AP236" i="3"/>
  <c r="AM237" i="3"/>
  <c r="AN237" i="3"/>
  <c r="AP237" i="3"/>
  <c r="AM238" i="3"/>
  <c r="AN238" i="3"/>
  <c r="AP238" i="3"/>
  <c r="AM239" i="3"/>
  <c r="AN239" i="3"/>
  <c r="AP239" i="3"/>
  <c r="AM240" i="3"/>
  <c r="AN240" i="3"/>
  <c r="AP240" i="3"/>
  <c r="AM241" i="3"/>
  <c r="AN241" i="3"/>
  <c r="AP241" i="3"/>
  <c r="AM242" i="3"/>
  <c r="AN242" i="3"/>
  <c r="AP242" i="3"/>
  <c r="AM243" i="3"/>
  <c r="AN243" i="3"/>
  <c r="AP243" i="3"/>
  <c r="AM244" i="3"/>
  <c r="AN244" i="3"/>
  <c r="AP244" i="3"/>
  <c r="AM245" i="3"/>
  <c r="AN245" i="3"/>
  <c r="AP245" i="3"/>
  <c r="AM246" i="3"/>
  <c r="AN246" i="3"/>
  <c r="AP246" i="3"/>
  <c r="AM247" i="3"/>
  <c r="AN247" i="3"/>
  <c r="AP247" i="3"/>
  <c r="AM248" i="3"/>
  <c r="AN248" i="3"/>
  <c r="AP248" i="3"/>
  <c r="AM249" i="3"/>
  <c r="AN249" i="3"/>
  <c r="AP249" i="3"/>
  <c r="AM250" i="3"/>
  <c r="AN250" i="3"/>
  <c r="AP250" i="3"/>
  <c r="AM251" i="3"/>
  <c r="AN251" i="3"/>
  <c r="AP251" i="3"/>
  <c r="AM252" i="3"/>
  <c r="AN252" i="3"/>
  <c r="AP252" i="3"/>
  <c r="AM253" i="3"/>
  <c r="AN253" i="3"/>
  <c r="AP253" i="3"/>
  <c r="AM254" i="3"/>
  <c r="AN254" i="3"/>
  <c r="AP254" i="3"/>
  <c r="AM255" i="3"/>
  <c r="AN255" i="3"/>
  <c r="AP255" i="3"/>
  <c r="AM256" i="3"/>
  <c r="AN256" i="3"/>
  <c r="AP256" i="3"/>
  <c r="AM257" i="3"/>
  <c r="AN257" i="3"/>
  <c r="AP257" i="3"/>
  <c r="AM258" i="3"/>
  <c r="AN258" i="3"/>
  <c r="AP258" i="3"/>
  <c r="AM259" i="3"/>
  <c r="AN259" i="3"/>
  <c r="AP259" i="3"/>
  <c r="AM260" i="3"/>
  <c r="AN260" i="3"/>
  <c r="AP260" i="3"/>
  <c r="AM261" i="3"/>
  <c r="AN261" i="3"/>
  <c r="AP261" i="3"/>
  <c r="AM262" i="3"/>
  <c r="AN262" i="3"/>
  <c r="AP262" i="3"/>
  <c r="AM263" i="3"/>
  <c r="AN263" i="3"/>
  <c r="AP263" i="3"/>
  <c r="AM264" i="3"/>
  <c r="AN264" i="3"/>
  <c r="AP264" i="3"/>
  <c r="AM265" i="3"/>
  <c r="AN265" i="3"/>
  <c r="AP265" i="3"/>
  <c r="AM266" i="3"/>
  <c r="AN266" i="3"/>
  <c r="AP266" i="3"/>
  <c r="AM267" i="3"/>
  <c r="AN267" i="3"/>
  <c r="AP267" i="3"/>
  <c r="AM268" i="3"/>
  <c r="AN268" i="3"/>
  <c r="AP268" i="3"/>
  <c r="AM269" i="3"/>
  <c r="AN269" i="3"/>
  <c r="AP269" i="3"/>
  <c r="AM270" i="3"/>
  <c r="AN270" i="3"/>
  <c r="AP270" i="3"/>
  <c r="AM271" i="3"/>
  <c r="AN271" i="3"/>
  <c r="AP271" i="3"/>
  <c r="AM272" i="3"/>
  <c r="AN272" i="3"/>
  <c r="AP272" i="3"/>
  <c r="AM273" i="3"/>
  <c r="AN273" i="3"/>
  <c r="AP273" i="3"/>
  <c r="AM274" i="3"/>
  <c r="AN274" i="3"/>
  <c r="AP274" i="3"/>
  <c r="AM275" i="3"/>
  <c r="AN275" i="3"/>
  <c r="AP275" i="3"/>
  <c r="AM276" i="3"/>
  <c r="AN276" i="3"/>
  <c r="AP276" i="3"/>
  <c r="AM277" i="3"/>
  <c r="AN277" i="3"/>
  <c r="AP277" i="3"/>
  <c r="AM278" i="3"/>
  <c r="AN278" i="3"/>
  <c r="AP278" i="3"/>
  <c r="AM279" i="3"/>
  <c r="AN279" i="3"/>
  <c r="AP279" i="3"/>
  <c r="AM280" i="3"/>
  <c r="AN280" i="3"/>
  <c r="AP280" i="3"/>
  <c r="AM281" i="3"/>
  <c r="AN281" i="3"/>
  <c r="AP281" i="3"/>
  <c r="AM282" i="3"/>
  <c r="AN282" i="3"/>
  <c r="AP282" i="3"/>
  <c r="AM283" i="3"/>
  <c r="AN283" i="3"/>
  <c r="AP283" i="3"/>
  <c r="AM284" i="3"/>
  <c r="AN284" i="3"/>
  <c r="AP284" i="3"/>
  <c r="AM285" i="3"/>
  <c r="AN285" i="3"/>
  <c r="AP285" i="3"/>
  <c r="AM286" i="3"/>
  <c r="AN286" i="3"/>
  <c r="AP286" i="3"/>
  <c r="AM287" i="3"/>
  <c r="AN287" i="3"/>
  <c r="AP287" i="3"/>
  <c r="AM288" i="3"/>
  <c r="AN288" i="3"/>
  <c r="AP288" i="3"/>
  <c r="AM289" i="3"/>
  <c r="AN289" i="3"/>
  <c r="AP289" i="3"/>
  <c r="AM290" i="3"/>
  <c r="AN290" i="3"/>
  <c r="AP290" i="3"/>
  <c r="AM291" i="3"/>
  <c r="AN291" i="3"/>
  <c r="AP291" i="3"/>
  <c r="AM292" i="3"/>
  <c r="AN292" i="3"/>
  <c r="AP292" i="3"/>
  <c r="AM293" i="3"/>
  <c r="AN293" i="3"/>
  <c r="AP293" i="3"/>
  <c r="AM294" i="3"/>
  <c r="AN294" i="3"/>
  <c r="AP294" i="3"/>
  <c r="AM295" i="3"/>
  <c r="AN295" i="3"/>
  <c r="AP295" i="3"/>
  <c r="AM296" i="3"/>
  <c r="AN296" i="3"/>
  <c r="AP296" i="3"/>
  <c r="AM297" i="3"/>
  <c r="AN297" i="3"/>
  <c r="AP297" i="3"/>
  <c r="AM298" i="3"/>
  <c r="AN298" i="3"/>
  <c r="AP298" i="3"/>
  <c r="AM299" i="3"/>
  <c r="AN299" i="3"/>
  <c r="AP299" i="3"/>
  <c r="AM300" i="3"/>
  <c r="AN300" i="3"/>
  <c r="AP300" i="3"/>
  <c r="AM301" i="3"/>
  <c r="AN301" i="3"/>
  <c r="AP301" i="3"/>
  <c r="AM302" i="3"/>
  <c r="AN302" i="3"/>
  <c r="AP302" i="3"/>
  <c r="AM303" i="3"/>
  <c r="AN303" i="3"/>
  <c r="AP303" i="3"/>
  <c r="AM304" i="3"/>
  <c r="AN304" i="3"/>
  <c r="AP304" i="3"/>
  <c r="AM305" i="3"/>
  <c r="AN305" i="3"/>
  <c r="AP305" i="3"/>
  <c r="AM306" i="3"/>
  <c r="AN306" i="3"/>
  <c r="AP306" i="3"/>
  <c r="AM307" i="3"/>
  <c r="AN307" i="3"/>
  <c r="AP307" i="3"/>
  <c r="AM308" i="3"/>
  <c r="AN308" i="3"/>
  <c r="AP308" i="3"/>
  <c r="AM309" i="3"/>
  <c r="AN309" i="3"/>
  <c r="AP309" i="3"/>
  <c r="AM310" i="3"/>
  <c r="AN310" i="3"/>
  <c r="AP310" i="3"/>
  <c r="AM311" i="3"/>
  <c r="AN311" i="3"/>
  <c r="AP311" i="3"/>
  <c r="AM312" i="3"/>
  <c r="AN312" i="3"/>
  <c r="AP312" i="3"/>
  <c r="AM313" i="3"/>
  <c r="AN313" i="3"/>
  <c r="AP313" i="3"/>
  <c r="AM314" i="3"/>
  <c r="AN314" i="3"/>
  <c r="AP314" i="3"/>
  <c r="AM315" i="3"/>
  <c r="AN315" i="3"/>
  <c r="AP315" i="3"/>
  <c r="AM316" i="3"/>
  <c r="AN316" i="3"/>
  <c r="AP316" i="3"/>
  <c r="AM317" i="3"/>
  <c r="AN317" i="3"/>
  <c r="AP317" i="3"/>
  <c r="AM318" i="3"/>
  <c r="AN318" i="3"/>
  <c r="AP318" i="3"/>
  <c r="AM319" i="3"/>
  <c r="AN319" i="3"/>
  <c r="AP319" i="3"/>
  <c r="AM320" i="3"/>
  <c r="AN320" i="3"/>
  <c r="AP320" i="3"/>
  <c r="AM321" i="3"/>
  <c r="AN321" i="3"/>
  <c r="AP321" i="3"/>
  <c r="AM322" i="3"/>
  <c r="AN322" i="3"/>
  <c r="AP322" i="3"/>
  <c r="AM323" i="3"/>
  <c r="AN323" i="3"/>
  <c r="AP323" i="3"/>
  <c r="AM324" i="3"/>
  <c r="AN324" i="3"/>
  <c r="AP324" i="3"/>
  <c r="AM325" i="3"/>
  <c r="AN325" i="3"/>
  <c r="AP325" i="3"/>
  <c r="AM326" i="3"/>
  <c r="AN326" i="3"/>
  <c r="AP326" i="3"/>
  <c r="AM327" i="3"/>
  <c r="AN327" i="3"/>
  <c r="AP327" i="3"/>
  <c r="AM328" i="3"/>
  <c r="AN328" i="3"/>
  <c r="AP328" i="3"/>
  <c r="AM329" i="3"/>
  <c r="AN329" i="3"/>
  <c r="AP329" i="3"/>
  <c r="AM330" i="3"/>
  <c r="AN330" i="3"/>
  <c r="AP330" i="3"/>
  <c r="AM331" i="3"/>
  <c r="AN331" i="3"/>
  <c r="AP331" i="3"/>
  <c r="AM332" i="3"/>
  <c r="AN332" i="3"/>
  <c r="AP332" i="3"/>
  <c r="AM333" i="3"/>
  <c r="AN333" i="3"/>
  <c r="AP333" i="3"/>
  <c r="AM334" i="3"/>
  <c r="AN334" i="3"/>
  <c r="AP334" i="3"/>
  <c r="AM335" i="3"/>
  <c r="AN335" i="3"/>
  <c r="AP335" i="3"/>
  <c r="AM336" i="3"/>
  <c r="AN336" i="3"/>
  <c r="AP336" i="3"/>
  <c r="AM337" i="3"/>
  <c r="AN337" i="3"/>
  <c r="AP337" i="3"/>
  <c r="AM338" i="3"/>
  <c r="AN338" i="3"/>
  <c r="AP338" i="3"/>
  <c r="AM339" i="3"/>
  <c r="AN339" i="3"/>
  <c r="AP339" i="3"/>
  <c r="AM340" i="3"/>
  <c r="AN340" i="3"/>
  <c r="AP340" i="3"/>
  <c r="AM341" i="3"/>
  <c r="AN341" i="3"/>
  <c r="AP341" i="3"/>
  <c r="AM342" i="3"/>
  <c r="AN342" i="3"/>
  <c r="AP342" i="3"/>
  <c r="AM343" i="3"/>
  <c r="AN343" i="3"/>
  <c r="AP343" i="3"/>
  <c r="AM344" i="3"/>
  <c r="AN344" i="3"/>
  <c r="AP344" i="3"/>
  <c r="AM345" i="3"/>
  <c r="AN345" i="3"/>
  <c r="AP345" i="3"/>
  <c r="AM346" i="3"/>
  <c r="AN346" i="3"/>
  <c r="AP346" i="3"/>
  <c r="AM347" i="3"/>
  <c r="AN347" i="3"/>
  <c r="AP347" i="3"/>
  <c r="AM348" i="3"/>
  <c r="AN348" i="3"/>
  <c r="AP348" i="3"/>
  <c r="AM349" i="3"/>
  <c r="AN349" i="3"/>
  <c r="AP349" i="3"/>
  <c r="AM350" i="3"/>
  <c r="AN350" i="3"/>
  <c r="AP350" i="3"/>
  <c r="AM351" i="3"/>
  <c r="AN351" i="3"/>
  <c r="AP351" i="3"/>
  <c r="AM352" i="3"/>
  <c r="AN352" i="3"/>
  <c r="AP352" i="3"/>
  <c r="AM353" i="3"/>
  <c r="AN353" i="3"/>
  <c r="AP353" i="3"/>
  <c r="AM354" i="3"/>
  <c r="AN354" i="3"/>
  <c r="AP354" i="3"/>
  <c r="AM355" i="3"/>
  <c r="AN355" i="3"/>
  <c r="AP355" i="3"/>
  <c r="AM356" i="3"/>
  <c r="AN356" i="3"/>
  <c r="AP356" i="3"/>
  <c r="AM357" i="3"/>
  <c r="AN357" i="3"/>
  <c r="AP357" i="3"/>
  <c r="AM358" i="3"/>
  <c r="AN358" i="3"/>
  <c r="AP358" i="3"/>
  <c r="AM359" i="3"/>
  <c r="AN359" i="3"/>
  <c r="AP359" i="3"/>
  <c r="AM360" i="3"/>
  <c r="AN360" i="3"/>
  <c r="AP360" i="3"/>
  <c r="AM361" i="3"/>
  <c r="AN361" i="3"/>
  <c r="AP361" i="3"/>
  <c r="AM362" i="3"/>
  <c r="AN362" i="3"/>
  <c r="AP362" i="3"/>
  <c r="AM363" i="3"/>
  <c r="AN363" i="3"/>
  <c r="AP363" i="3"/>
  <c r="AM364" i="3"/>
  <c r="AN364" i="3"/>
  <c r="AP364" i="3"/>
  <c r="AM365" i="3"/>
  <c r="AN365" i="3"/>
  <c r="AP365" i="3"/>
  <c r="AM366" i="3"/>
  <c r="AN366" i="3"/>
  <c r="AP366" i="3"/>
  <c r="AM367" i="3"/>
  <c r="AN367" i="3"/>
  <c r="AP367" i="3"/>
  <c r="AM368" i="3"/>
  <c r="AN368" i="3"/>
  <c r="AP368" i="3"/>
  <c r="AM369" i="3"/>
  <c r="AN369" i="3"/>
  <c r="AP369" i="3"/>
  <c r="AM370" i="3"/>
  <c r="AN370" i="3"/>
  <c r="AP370" i="3"/>
  <c r="AM371" i="3"/>
  <c r="AN371" i="3"/>
  <c r="AP371" i="3"/>
  <c r="AM372" i="3"/>
  <c r="AN372" i="3"/>
  <c r="AP372" i="3"/>
  <c r="AM373" i="3"/>
  <c r="AN373" i="3"/>
  <c r="AP373" i="3"/>
  <c r="AM374" i="3"/>
  <c r="AN374" i="3"/>
  <c r="AP374" i="3"/>
  <c r="AM375" i="3"/>
  <c r="AN375" i="3"/>
  <c r="AP375" i="3"/>
  <c r="AM376" i="3"/>
  <c r="AN376" i="3"/>
  <c r="AP376" i="3"/>
  <c r="AM377" i="3"/>
  <c r="AN377" i="3"/>
  <c r="AP377" i="3"/>
  <c r="AM378" i="3"/>
  <c r="AN378" i="3"/>
  <c r="AP378" i="3"/>
  <c r="AM379" i="3"/>
  <c r="AN379" i="3"/>
  <c r="AP379" i="3"/>
  <c r="AM380" i="3"/>
  <c r="AN380" i="3"/>
  <c r="AP380" i="3"/>
  <c r="AM381" i="3"/>
  <c r="AN381" i="3"/>
  <c r="AP381" i="3"/>
  <c r="AM382" i="3"/>
  <c r="AN382" i="3"/>
  <c r="AP382" i="3"/>
  <c r="AM383" i="3"/>
  <c r="AN383" i="3"/>
  <c r="AP383" i="3"/>
  <c r="AM384" i="3"/>
  <c r="AN384" i="3"/>
  <c r="AP384" i="3"/>
  <c r="AM385" i="3"/>
  <c r="AN385" i="3"/>
  <c r="AP385" i="3"/>
  <c r="AM386" i="3"/>
  <c r="AN386" i="3"/>
  <c r="AP386" i="3"/>
  <c r="AM387" i="3"/>
  <c r="AN387" i="3"/>
  <c r="AP387" i="3"/>
  <c r="AM388" i="3"/>
  <c r="AN388" i="3"/>
  <c r="AP388" i="3"/>
  <c r="AM389" i="3"/>
  <c r="AN389" i="3"/>
  <c r="AP389" i="3"/>
  <c r="AM390" i="3"/>
  <c r="AN390" i="3"/>
  <c r="AP390" i="3"/>
  <c r="AM391" i="3"/>
  <c r="AN391" i="3"/>
  <c r="AP391" i="3"/>
  <c r="AM392" i="3"/>
  <c r="AN392" i="3"/>
  <c r="AP392" i="3"/>
  <c r="AM393" i="3"/>
  <c r="AN393" i="3"/>
  <c r="AP393" i="3"/>
  <c r="AM394" i="3"/>
  <c r="AN394" i="3"/>
  <c r="AP394" i="3"/>
  <c r="AM395" i="3"/>
  <c r="AN395" i="3"/>
  <c r="AP395" i="3"/>
  <c r="AM396" i="3"/>
  <c r="AN396" i="3"/>
  <c r="AP396" i="3"/>
  <c r="AM397" i="3"/>
  <c r="AN397" i="3"/>
  <c r="AP397" i="3"/>
  <c r="AM398" i="3"/>
  <c r="AN398" i="3"/>
  <c r="AP398" i="3"/>
  <c r="AM399" i="3"/>
  <c r="AN399" i="3"/>
  <c r="AP399" i="3"/>
  <c r="AM400" i="3"/>
  <c r="AN400" i="3"/>
  <c r="AP400" i="3"/>
  <c r="AM401" i="3"/>
  <c r="AN401" i="3"/>
  <c r="AP401" i="3"/>
  <c r="AM402" i="3"/>
  <c r="AN402" i="3"/>
  <c r="AP402" i="3"/>
  <c r="AM403" i="3"/>
  <c r="AN403" i="3"/>
  <c r="AP403" i="3"/>
  <c r="AM404" i="3"/>
  <c r="AN404" i="3"/>
  <c r="AP404" i="3"/>
  <c r="AM405" i="3"/>
  <c r="AN405" i="3"/>
  <c r="AP405" i="3"/>
  <c r="AM406" i="3"/>
  <c r="AN406" i="3"/>
  <c r="AP406" i="3"/>
  <c r="AM407" i="3"/>
  <c r="AN407" i="3"/>
  <c r="AP407" i="3"/>
  <c r="AM408" i="3"/>
  <c r="AN408" i="3"/>
  <c r="AP408" i="3"/>
  <c r="AM409" i="3"/>
  <c r="AN409" i="3"/>
  <c r="AP409" i="3"/>
  <c r="AM410" i="3"/>
  <c r="AN410" i="3"/>
  <c r="AP410" i="3"/>
  <c r="AM411" i="3"/>
  <c r="AN411" i="3"/>
  <c r="AP411" i="3"/>
  <c r="AM412" i="3"/>
  <c r="AN412" i="3"/>
  <c r="AP412" i="3"/>
  <c r="AM413" i="3"/>
  <c r="AN413" i="3"/>
  <c r="AP413" i="3"/>
  <c r="AM414" i="3"/>
  <c r="AN414" i="3"/>
  <c r="AP414" i="3"/>
  <c r="AM415" i="3"/>
  <c r="AN415" i="3"/>
  <c r="AP415" i="3"/>
  <c r="AM416" i="3"/>
  <c r="AN416" i="3"/>
  <c r="AP416" i="3"/>
  <c r="AM417" i="3"/>
  <c r="AN417" i="3"/>
  <c r="AP417" i="3"/>
  <c r="AM418" i="3"/>
  <c r="AN418" i="3"/>
  <c r="AP418" i="3"/>
  <c r="AM419" i="3"/>
  <c r="AN419" i="3"/>
  <c r="AP419" i="3"/>
  <c r="AM420" i="3"/>
  <c r="AN420" i="3"/>
  <c r="AP420" i="3"/>
  <c r="AM421" i="3"/>
  <c r="AN421" i="3"/>
  <c r="AP421" i="3"/>
  <c r="AM422" i="3"/>
  <c r="AN422" i="3"/>
  <c r="AP422" i="3"/>
  <c r="AM423" i="3"/>
  <c r="AN423" i="3"/>
  <c r="AP423" i="3"/>
  <c r="AM424" i="3"/>
  <c r="AN424" i="3"/>
  <c r="AP424" i="3"/>
  <c r="AM425" i="3"/>
  <c r="AN425" i="3"/>
  <c r="AP425" i="3"/>
  <c r="AM426" i="3"/>
  <c r="AN426" i="3"/>
  <c r="AP426" i="3"/>
  <c r="AM427" i="3"/>
  <c r="AN427" i="3"/>
  <c r="AP427" i="3"/>
  <c r="AM428" i="3"/>
  <c r="AN428" i="3"/>
  <c r="AP428" i="3"/>
  <c r="AM429" i="3"/>
  <c r="AN429" i="3"/>
  <c r="AP429" i="3"/>
  <c r="AM430" i="3"/>
  <c r="AN430" i="3"/>
  <c r="AP430" i="3"/>
  <c r="AM431" i="3"/>
  <c r="AN431" i="3"/>
  <c r="AP431" i="3"/>
  <c r="AM432" i="3"/>
  <c r="AN432" i="3"/>
  <c r="AP432" i="3"/>
  <c r="AM433" i="3"/>
  <c r="AN433" i="3"/>
  <c r="AP433" i="3"/>
  <c r="AM434" i="3"/>
  <c r="AN434" i="3"/>
  <c r="AP434" i="3"/>
  <c r="AM435" i="3"/>
  <c r="AN435" i="3"/>
  <c r="AP435" i="3"/>
  <c r="AM436" i="3"/>
  <c r="AN436" i="3"/>
  <c r="AP436" i="3"/>
  <c r="AM437" i="3"/>
  <c r="AN437" i="3"/>
  <c r="AP437" i="3"/>
  <c r="AM438" i="3"/>
  <c r="AN438" i="3"/>
  <c r="AP438" i="3"/>
  <c r="AM439" i="3"/>
  <c r="AN439" i="3"/>
  <c r="AP439" i="3"/>
  <c r="AM440" i="3"/>
  <c r="AN440" i="3"/>
  <c r="AP440" i="3"/>
  <c r="AM441" i="3"/>
  <c r="AN441" i="3"/>
  <c r="AP441" i="3"/>
  <c r="AM442" i="3"/>
  <c r="AN442" i="3"/>
  <c r="AP442" i="3"/>
  <c r="AM443" i="3"/>
  <c r="AN443" i="3"/>
  <c r="AP443" i="3"/>
  <c r="AM444" i="3"/>
  <c r="AN444" i="3"/>
  <c r="AP444" i="3"/>
  <c r="AM445" i="3"/>
  <c r="AN445" i="3"/>
  <c r="AP445" i="3"/>
  <c r="AM446" i="3"/>
  <c r="AN446" i="3"/>
  <c r="AP446" i="3"/>
  <c r="AM447" i="3"/>
  <c r="AN447" i="3"/>
  <c r="AP447" i="3"/>
  <c r="AM448" i="3"/>
  <c r="AN448" i="3"/>
  <c r="AP448" i="3"/>
  <c r="AM449" i="3"/>
  <c r="AN449" i="3"/>
  <c r="AP449" i="3"/>
  <c r="AM450" i="3"/>
  <c r="AN450" i="3"/>
  <c r="AP450" i="3"/>
  <c r="AM451" i="3"/>
  <c r="AN451" i="3"/>
  <c r="AP451" i="3"/>
  <c r="AM452" i="3"/>
  <c r="AN452" i="3"/>
  <c r="AP452" i="3"/>
  <c r="AM453" i="3"/>
  <c r="AN453" i="3"/>
  <c r="AP453" i="3"/>
  <c r="AM454" i="3"/>
  <c r="AN454" i="3"/>
  <c r="AP454" i="3"/>
  <c r="AM455" i="3"/>
  <c r="AN455" i="3"/>
  <c r="AP455" i="3"/>
  <c r="AM456" i="3"/>
  <c r="AN456" i="3"/>
  <c r="AP456" i="3"/>
  <c r="AM457" i="3"/>
  <c r="AN457" i="3"/>
  <c r="AP457" i="3"/>
  <c r="AM458" i="3"/>
  <c r="AN458" i="3"/>
  <c r="AP458" i="3"/>
  <c r="AM459" i="3"/>
  <c r="AN459" i="3"/>
  <c r="AP459" i="3"/>
  <c r="AM460" i="3"/>
  <c r="AN460" i="3"/>
  <c r="AP460" i="3"/>
  <c r="AM461" i="3"/>
  <c r="AN461" i="3"/>
  <c r="AP461" i="3"/>
  <c r="AM462" i="3"/>
  <c r="AN462" i="3"/>
  <c r="AP462" i="3"/>
  <c r="AM463" i="3"/>
  <c r="AN463" i="3"/>
  <c r="AP463" i="3"/>
  <c r="AM464" i="3"/>
  <c r="AN464" i="3"/>
  <c r="AP464" i="3"/>
  <c r="AM465" i="3"/>
  <c r="AN465" i="3"/>
  <c r="AP465" i="3"/>
  <c r="AM466" i="3"/>
  <c r="AN466" i="3"/>
  <c r="AP466" i="3"/>
  <c r="AM467" i="3"/>
  <c r="AN467" i="3"/>
  <c r="AP467" i="3"/>
  <c r="AM468" i="3"/>
  <c r="AN468" i="3"/>
  <c r="AP468" i="3"/>
  <c r="AM469" i="3"/>
  <c r="AN469" i="3"/>
  <c r="AP469" i="3"/>
  <c r="AM470" i="3"/>
  <c r="AN470" i="3"/>
  <c r="AP470" i="3"/>
  <c r="AM471" i="3"/>
  <c r="AN471" i="3"/>
  <c r="AP471" i="3"/>
  <c r="AM472" i="3"/>
  <c r="AN472" i="3"/>
  <c r="AP472" i="3"/>
  <c r="AM473" i="3"/>
  <c r="AN473" i="3"/>
  <c r="AP473" i="3"/>
  <c r="AM474" i="3"/>
  <c r="AN474" i="3"/>
  <c r="AP474" i="3"/>
  <c r="AM475" i="3"/>
  <c r="AN475" i="3"/>
  <c r="AP475" i="3"/>
  <c r="AM476" i="3"/>
  <c r="AN476" i="3"/>
  <c r="AP476" i="3"/>
  <c r="AM477" i="3"/>
  <c r="AN477" i="3"/>
  <c r="AP477" i="3"/>
  <c r="AM478" i="3"/>
  <c r="AN478" i="3"/>
  <c r="AP478" i="3"/>
  <c r="AM479" i="3"/>
  <c r="AN479" i="3"/>
  <c r="AP479" i="3"/>
  <c r="AM480" i="3"/>
  <c r="AN480" i="3"/>
  <c r="AP480" i="3"/>
  <c r="AM481" i="3"/>
  <c r="AN481" i="3"/>
  <c r="AP481" i="3"/>
  <c r="AM482" i="3"/>
  <c r="AN482" i="3"/>
  <c r="AP482" i="3"/>
  <c r="AM483" i="3"/>
  <c r="AN483" i="3"/>
  <c r="AP483" i="3"/>
  <c r="AM484" i="3"/>
  <c r="AN484" i="3"/>
  <c r="AP484" i="3"/>
  <c r="AM485" i="3"/>
  <c r="AN485" i="3"/>
  <c r="AP485" i="3"/>
  <c r="AM486" i="3"/>
  <c r="AN486" i="3"/>
  <c r="AP486" i="3"/>
  <c r="AM487" i="3"/>
  <c r="AN487" i="3"/>
  <c r="AP487" i="3"/>
  <c r="AM488" i="3"/>
  <c r="AN488" i="3"/>
  <c r="AP488" i="3"/>
  <c r="AM489" i="3"/>
  <c r="AN489" i="3"/>
  <c r="AP489" i="3"/>
  <c r="AM490" i="3"/>
  <c r="AN490" i="3"/>
  <c r="AP490" i="3"/>
  <c r="AM491" i="3"/>
  <c r="AN491" i="3"/>
  <c r="AP491" i="3"/>
  <c r="AM492" i="3"/>
  <c r="AN492" i="3"/>
  <c r="AP492" i="3"/>
  <c r="AM493" i="3"/>
  <c r="AN493" i="3"/>
  <c r="AP493" i="3"/>
  <c r="AM494" i="3"/>
  <c r="AN494" i="3"/>
  <c r="AP494" i="3"/>
  <c r="AM495" i="3"/>
  <c r="AN495" i="3"/>
  <c r="AP495" i="3"/>
  <c r="AM496" i="3"/>
  <c r="AN496" i="3"/>
  <c r="AP496" i="3"/>
  <c r="AM497" i="3"/>
  <c r="AN497" i="3"/>
  <c r="AP497" i="3"/>
  <c r="AM498" i="3"/>
  <c r="AN498" i="3"/>
  <c r="AP498" i="3"/>
  <c r="AM499" i="3"/>
  <c r="AN499" i="3"/>
  <c r="AP499" i="3"/>
  <c r="AM500" i="3"/>
  <c r="AN500" i="3"/>
  <c r="AP500" i="3"/>
  <c r="AM501" i="3"/>
  <c r="AN501" i="3"/>
  <c r="AP501" i="3"/>
  <c r="AM502" i="3"/>
  <c r="AN502" i="3"/>
  <c r="AP502" i="3"/>
  <c r="AM503" i="3"/>
  <c r="AN503" i="3"/>
  <c r="AP503" i="3"/>
  <c r="AM504" i="3"/>
  <c r="AN504" i="3"/>
  <c r="AP504" i="3"/>
  <c r="AM505" i="3"/>
  <c r="AN505" i="3"/>
  <c r="AP505" i="3"/>
  <c r="AM506" i="3"/>
  <c r="AN506" i="3"/>
  <c r="AP506" i="3"/>
  <c r="AM507" i="3"/>
  <c r="AN507" i="3"/>
  <c r="AP507" i="3"/>
  <c r="AM508" i="3"/>
  <c r="AN508" i="3"/>
  <c r="AP508" i="3"/>
  <c r="AM509" i="3"/>
  <c r="AN509" i="3"/>
  <c r="AP509" i="3"/>
  <c r="AM510" i="3"/>
  <c r="AN510" i="3"/>
  <c r="AP510" i="3"/>
  <c r="AM511" i="3"/>
  <c r="AN511" i="3"/>
  <c r="AP511" i="3"/>
  <c r="AM512" i="3"/>
  <c r="AN512" i="3"/>
  <c r="AP512" i="3"/>
  <c r="AM513" i="3"/>
  <c r="AN513" i="3"/>
  <c r="AP513" i="3"/>
  <c r="AM514" i="3"/>
  <c r="AN514" i="3"/>
  <c r="AP514" i="3"/>
  <c r="AM515" i="3"/>
  <c r="AN515" i="3"/>
  <c r="AP515" i="3"/>
  <c r="AM516" i="3"/>
  <c r="AN516" i="3"/>
  <c r="AP516" i="3"/>
  <c r="AM517" i="3"/>
  <c r="AN517" i="3"/>
  <c r="AP517" i="3"/>
  <c r="AM518" i="3"/>
  <c r="AN518" i="3"/>
  <c r="AP518" i="3"/>
  <c r="AM519" i="3"/>
  <c r="AN519" i="3"/>
  <c r="AP519" i="3"/>
  <c r="AM520" i="3"/>
  <c r="AN520" i="3"/>
  <c r="AP520" i="3"/>
  <c r="AM521" i="3"/>
  <c r="AN521" i="3"/>
  <c r="AP521" i="3"/>
  <c r="AM522" i="3"/>
  <c r="AN522" i="3"/>
  <c r="AP522" i="3"/>
  <c r="AM523" i="3"/>
  <c r="AN523" i="3"/>
  <c r="AP523" i="3"/>
  <c r="AM524" i="3"/>
  <c r="AN524" i="3"/>
  <c r="AP524" i="3"/>
  <c r="AM525" i="3"/>
  <c r="AN525" i="3"/>
  <c r="AP525" i="3"/>
  <c r="AM526" i="3"/>
  <c r="AN526" i="3"/>
  <c r="AP526" i="3"/>
  <c r="AM527" i="3"/>
  <c r="AN527" i="3"/>
  <c r="AP527" i="3"/>
  <c r="AM528" i="3"/>
  <c r="AN528" i="3"/>
  <c r="AP528" i="3"/>
  <c r="AM529" i="3"/>
  <c r="AN529" i="3"/>
  <c r="AP529" i="3"/>
  <c r="AM530" i="3"/>
  <c r="AN530" i="3"/>
  <c r="AP530" i="3"/>
  <c r="AM531" i="3"/>
  <c r="AN531" i="3"/>
  <c r="AP531" i="3"/>
  <c r="AM532" i="3"/>
  <c r="AN532" i="3"/>
  <c r="AP532" i="3"/>
  <c r="AM533" i="3"/>
  <c r="AN533" i="3"/>
  <c r="AP533" i="3"/>
  <c r="AM534" i="3"/>
  <c r="AN534" i="3"/>
  <c r="AP534" i="3"/>
  <c r="AM535" i="3"/>
  <c r="AN535" i="3"/>
  <c r="AP535" i="3"/>
  <c r="AM536" i="3"/>
  <c r="AN536" i="3"/>
  <c r="AP536" i="3"/>
  <c r="AM537" i="3"/>
  <c r="AN537" i="3"/>
  <c r="AP537" i="3"/>
  <c r="AM538" i="3"/>
  <c r="AN538" i="3"/>
  <c r="AP538" i="3"/>
  <c r="AM539" i="3"/>
  <c r="AN539" i="3"/>
  <c r="AP539" i="3"/>
  <c r="AM540" i="3"/>
  <c r="AN540" i="3"/>
  <c r="AP540" i="3"/>
  <c r="AM541" i="3"/>
  <c r="AN541" i="3"/>
  <c r="AP541" i="3"/>
  <c r="AM542" i="3"/>
  <c r="AN542" i="3"/>
  <c r="AP542" i="3"/>
  <c r="AM543" i="3"/>
  <c r="AN543" i="3"/>
  <c r="AP543" i="3"/>
  <c r="AM544" i="3"/>
  <c r="AN544" i="3"/>
  <c r="AP544" i="3"/>
  <c r="AM545" i="3"/>
  <c r="AN545" i="3"/>
  <c r="AP545" i="3"/>
  <c r="AM546" i="3"/>
  <c r="AN546" i="3"/>
  <c r="AP546" i="3"/>
  <c r="AM547" i="3"/>
  <c r="AN547" i="3"/>
  <c r="AP547" i="3"/>
  <c r="AM548" i="3"/>
  <c r="AN548" i="3"/>
  <c r="AP548" i="3"/>
  <c r="AM549" i="3"/>
  <c r="AN549" i="3"/>
  <c r="AP549" i="3"/>
  <c r="AM550" i="3"/>
  <c r="AN550" i="3"/>
  <c r="AP550" i="3"/>
  <c r="AM551" i="3"/>
  <c r="AN551" i="3"/>
  <c r="AP551" i="3"/>
  <c r="AM552" i="3"/>
  <c r="AN552" i="3"/>
  <c r="AP552" i="3"/>
  <c r="AM553" i="3"/>
  <c r="AN553" i="3"/>
  <c r="AP553" i="3"/>
  <c r="AM554" i="3"/>
  <c r="AN554" i="3"/>
  <c r="AP554" i="3"/>
  <c r="AM555" i="3"/>
  <c r="AN555" i="3"/>
  <c r="AP555" i="3"/>
  <c r="AM556" i="3"/>
  <c r="AN556" i="3"/>
  <c r="AP556" i="3"/>
  <c r="AM557" i="3"/>
  <c r="AN557" i="3"/>
  <c r="AP557" i="3"/>
  <c r="AM558" i="3"/>
  <c r="AN558" i="3"/>
  <c r="AP558" i="3"/>
  <c r="AM559" i="3"/>
  <c r="AN559" i="3"/>
  <c r="AP559" i="3"/>
  <c r="AM560" i="3"/>
  <c r="AN560" i="3"/>
  <c r="AP560" i="3"/>
  <c r="AM561" i="3"/>
  <c r="AN561" i="3"/>
  <c r="AP561" i="3"/>
  <c r="AM562" i="3"/>
  <c r="AN562" i="3"/>
  <c r="AP562" i="3"/>
  <c r="AM563" i="3"/>
  <c r="AN563" i="3"/>
  <c r="AP563" i="3"/>
  <c r="AM564" i="3"/>
  <c r="AN564" i="3"/>
  <c r="AP564" i="3"/>
  <c r="AM565" i="3"/>
  <c r="AN565" i="3"/>
  <c r="AP565" i="3"/>
  <c r="AM566" i="3"/>
  <c r="AN566" i="3"/>
  <c r="AP566" i="3"/>
  <c r="AM567" i="3"/>
  <c r="AN567" i="3"/>
  <c r="AP567" i="3"/>
  <c r="AM568" i="3"/>
  <c r="AN568" i="3"/>
  <c r="AP568" i="3"/>
  <c r="AM569" i="3"/>
  <c r="AN569" i="3"/>
  <c r="AP569" i="3"/>
  <c r="AM570" i="3"/>
  <c r="AN570" i="3"/>
  <c r="AP570" i="3"/>
  <c r="AM571" i="3"/>
  <c r="AN571" i="3"/>
  <c r="AP571" i="3"/>
  <c r="AM572" i="3"/>
  <c r="AN572" i="3"/>
  <c r="AP572" i="3"/>
  <c r="AM573" i="3"/>
  <c r="AN573" i="3"/>
  <c r="AP573" i="3"/>
  <c r="AM574" i="3"/>
  <c r="AN574" i="3"/>
  <c r="AP574" i="3"/>
  <c r="AM575" i="3"/>
  <c r="AN575" i="3"/>
  <c r="AP575" i="3"/>
  <c r="AM576" i="3"/>
  <c r="AN576" i="3"/>
  <c r="AP576" i="3"/>
  <c r="AM577" i="3"/>
  <c r="AN577" i="3"/>
  <c r="AP577" i="3"/>
  <c r="AM578" i="3"/>
  <c r="AN578" i="3"/>
  <c r="AP578" i="3"/>
  <c r="AM579" i="3"/>
  <c r="AN579" i="3"/>
  <c r="AP579" i="3"/>
  <c r="AM580" i="3"/>
  <c r="AN580" i="3"/>
  <c r="AP580" i="3"/>
  <c r="AM581" i="3"/>
  <c r="AN581" i="3"/>
  <c r="AP581" i="3"/>
  <c r="AM582" i="3"/>
  <c r="AN582" i="3"/>
  <c r="AP582" i="3"/>
  <c r="AM583" i="3"/>
  <c r="AN583" i="3"/>
  <c r="AP583" i="3"/>
  <c r="AM584" i="3"/>
  <c r="AN584" i="3"/>
  <c r="AP584" i="3"/>
  <c r="AM585" i="3"/>
  <c r="AN585" i="3"/>
  <c r="AP585" i="3"/>
  <c r="AM586" i="3"/>
  <c r="AN586" i="3"/>
  <c r="AP586" i="3"/>
  <c r="AM587" i="3"/>
  <c r="AN587" i="3"/>
  <c r="AP587" i="3"/>
  <c r="AM588" i="3"/>
  <c r="AN588" i="3"/>
  <c r="AP588" i="3"/>
  <c r="AM589" i="3"/>
  <c r="AN589" i="3"/>
  <c r="AP589" i="3"/>
  <c r="AM590" i="3"/>
  <c r="AN590" i="3"/>
  <c r="AP590" i="3"/>
  <c r="AM591" i="3"/>
  <c r="AN591" i="3"/>
  <c r="AP591" i="3"/>
  <c r="AM592" i="3"/>
  <c r="AN592" i="3"/>
  <c r="AP592" i="3"/>
  <c r="AM593" i="3"/>
  <c r="AN593" i="3"/>
  <c r="AP593" i="3"/>
  <c r="AM594" i="3"/>
  <c r="AN594" i="3"/>
  <c r="AP594" i="3"/>
  <c r="AM595" i="3"/>
  <c r="AN595" i="3"/>
  <c r="AP595" i="3"/>
  <c r="AM596" i="3"/>
  <c r="AN596" i="3"/>
  <c r="AP596" i="3"/>
  <c r="AM597" i="3"/>
  <c r="AN597" i="3"/>
  <c r="AP597" i="3"/>
  <c r="AM598" i="3"/>
  <c r="AN598" i="3"/>
  <c r="AP598" i="3"/>
  <c r="AM599" i="3"/>
  <c r="AN599" i="3"/>
  <c r="AP599" i="3"/>
  <c r="AM600" i="3"/>
  <c r="AN600" i="3"/>
  <c r="AP600" i="3"/>
  <c r="AM601" i="3"/>
  <c r="AN601" i="3"/>
  <c r="AP601" i="3"/>
  <c r="AM602" i="3"/>
  <c r="AN602" i="3"/>
  <c r="AP602" i="3"/>
  <c r="AM603" i="3"/>
  <c r="AN603" i="3"/>
  <c r="AP603" i="3"/>
  <c r="AM604" i="3"/>
  <c r="AN604" i="3"/>
  <c r="AP604" i="3"/>
  <c r="AM605" i="3"/>
  <c r="AN605" i="3"/>
  <c r="AP605" i="3"/>
  <c r="AM606" i="3"/>
  <c r="AN606" i="3"/>
  <c r="AP606" i="3"/>
  <c r="AM607" i="3"/>
  <c r="AN607" i="3"/>
  <c r="AP607" i="3"/>
  <c r="AM608" i="3"/>
  <c r="AN608" i="3"/>
  <c r="AP608" i="3"/>
  <c r="AM609" i="3"/>
  <c r="AN609" i="3"/>
  <c r="AP609" i="3"/>
  <c r="AM610" i="3"/>
  <c r="AN610" i="3"/>
  <c r="AP610" i="3"/>
  <c r="AM611" i="3"/>
  <c r="AN611" i="3"/>
  <c r="AP611" i="3"/>
  <c r="AM612" i="3"/>
  <c r="AN612" i="3"/>
  <c r="AP612" i="3"/>
  <c r="Q612" i="3"/>
  <c r="Y612" i="3"/>
  <c r="AC612" i="3"/>
  <c r="AO612" i="3"/>
  <c r="D613" i="3"/>
  <c r="H613" i="3"/>
  <c r="I613" i="3"/>
  <c r="J613" i="3"/>
  <c r="K613" i="3"/>
  <c r="L613" i="3"/>
  <c r="T613" i="3"/>
  <c r="U613" i="3"/>
  <c r="S613" i="3"/>
  <c r="W613" i="3"/>
  <c r="X613" i="3"/>
  <c r="Z613" i="3"/>
  <c r="AA613" i="3"/>
  <c r="AB613" i="3"/>
  <c r="AF613" i="3"/>
  <c r="M613" i="3"/>
  <c r="V613" i="3"/>
  <c r="AD613" i="3"/>
  <c r="N613" i="3"/>
  <c r="AG613" i="3"/>
  <c r="AH613" i="3"/>
  <c r="AI613" i="3"/>
  <c r="AL613" i="3"/>
  <c r="O613" i="3"/>
  <c r="AJ613" i="3"/>
  <c r="P613" i="3"/>
  <c r="AM613" i="3"/>
  <c r="AN613" i="3"/>
  <c r="AP613" i="3"/>
  <c r="Q613" i="3"/>
  <c r="Y613" i="3"/>
  <c r="AC613" i="3"/>
  <c r="AO613" i="3"/>
  <c r="D614" i="3"/>
  <c r="H614" i="3"/>
  <c r="I614" i="3"/>
  <c r="J614" i="3"/>
  <c r="K614" i="3"/>
  <c r="L614" i="3"/>
  <c r="T614" i="3"/>
  <c r="U614" i="3"/>
  <c r="S614" i="3"/>
  <c r="W614" i="3"/>
  <c r="X614" i="3"/>
  <c r="Z614" i="3"/>
  <c r="AA614" i="3"/>
  <c r="AB614" i="3"/>
  <c r="AF614" i="3"/>
  <c r="M614" i="3"/>
  <c r="V614" i="3"/>
  <c r="AD614" i="3"/>
  <c r="N614" i="3"/>
  <c r="AG614" i="3"/>
  <c r="AH614" i="3"/>
  <c r="AI614" i="3"/>
  <c r="AL614" i="3"/>
  <c r="O614" i="3"/>
  <c r="AJ614" i="3"/>
  <c r="P614" i="3"/>
  <c r="AM614" i="3"/>
  <c r="AN614" i="3"/>
  <c r="AP614" i="3"/>
  <c r="Q614" i="3"/>
  <c r="Y614" i="3"/>
  <c r="AC614" i="3"/>
  <c r="AO614" i="3"/>
  <c r="D615" i="3"/>
  <c r="H615" i="3"/>
  <c r="I615" i="3"/>
  <c r="J615" i="3"/>
  <c r="K615" i="3"/>
  <c r="L615" i="3"/>
  <c r="T615" i="3"/>
  <c r="U615" i="3"/>
  <c r="S615" i="3"/>
  <c r="W615" i="3"/>
  <c r="X615" i="3"/>
  <c r="Z615" i="3"/>
  <c r="AA615" i="3"/>
  <c r="AB615" i="3"/>
  <c r="AF615" i="3"/>
  <c r="M615" i="3"/>
  <c r="V615" i="3"/>
  <c r="AD615" i="3"/>
  <c r="N615" i="3"/>
  <c r="AG615" i="3"/>
  <c r="AH615" i="3"/>
  <c r="AI615" i="3"/>
  <c r="AL615" i="3"/>
  <c r="O615" i="3"/>
  <c r="AJ615" i="3"/>
  <c r="P615" i="3"/>
  <c r="AM615" i="3"/>
  <c r="AN615" i="3"/>
  <c r="AP615" i="3"/>
  <c r="Q615" i="3"/>
  <c r="Y615" i="3"/>
  <c r="AC615" i="3"/>
  <c r="AO615" i="3"/>
  <c r="D616" i="3"/>
  <c r="H616" i="3"/>
  <c r="I616" i="3"/>
  <c r="J616" i="3"/>
  <c r="K616" i="3"/>
  <c r="L616" i="3"/>
  <c r="T616" i="3"/>
  <c r="U616" i="3"/>
  <c r="S616" i="3"/>
  <c r="W616" i="3"/>
  <c r="X616" i="3"/>
  <c r="Z616" i="3"/>
  <c r="AA616" i="3"/>
  <c r="AB616" i="3"/>
  <c r="AF616" i="3"/>
  <c r="M616" i="3"/>
  <c r="V616" i="3"/>
  <c r="AD616" i="3"/>
  <c r="N616" i="3"/>
  <c r="AG616" i="3"/>
  <c r="AH616" i="3"/>
  <c r="AI616" i="3"/>
  <c r="AL616" i="3"/>
  <c r="O616" i="3"/>
  <c r="AJ616" i="3"/>
  <c r="P616" i="3"/>
  <c r="AM616" i="3"/>
  <c r="AN616" i="3"/>
  <c r="AP616" i="3"/>
  <c r="Q616" i="3"/>
  <c r="Y616" i="3"/>
  <c r="AC616" i="3"/>
  <c r="AO616" i="3"/>
  <c r="D617" i="3"/>
  <c r="H617" i="3"/>
  <c r="I617" i="3"/>
  <c r="J617" i="3"/>
  <c r="K617" i="3"/>
  <c r="L617" i="3"/>
  <c r="T617" i="3"/>
  <c r="U617" i="3"/>
  <c r="S617" i="3"/>
  <c r="W617" i="3"/>
  <c r="X617" i="3"/>
  <c r="Z617" i="3"/>
  <c r="AA617" i="3"/>
  <c r="AB617" i="3"/>
  <c r="AF617" i="3"/>
  <c r="M617" i="3"/>
  <c r="V617" i="3"/>
  <c r="AD617" i="3"/>
  <c r="N617" i="3"/>
  <c r="AG617" i="3"/>
  <c r="AH617" i="3"/>
  <c r="AI617" i="3"/>
  <c r="AL617" i="3"/>
  <c r="O617" i="3"/>
  <c r="AJ617" i="3"/>
  <c r="P617" i="3"/>
  <c r="AM617" i="3"/>
  <c r="AN617" i="3"/>
  <c r="AP617" i="3"/>
  <c r="Q617" i="3"/>
  <c r="Y617" i="3"/>
  <c r="AC617" i="3"/>
  <c r="AO617" i="3"/>
  <c r="D618" i="3"/>
  <c r="H618" i="3"/>
  <c r="I618" i="3"/>
  <c r="J618" i="3"/>
  <c r="K618" i="3"/>
  <c r="L618" i="3"/>
  <c r="T618" i="3"/>
  <c r="U618" i="3"/>
  <c r="S618" i="3"/>
  <c r="W618" i="3"/>
  <c r="X618" i="3"/>
  <c r="Z618" i="3"/>
  <c r="AA618" i="3"/>
  <c r="AB618" i="3"/>
  <c r="AF618" i="3"/>
  <c r="M618" i="3"/>
  <c r="V618" i="3"/>
  <c r="AD618" i="3"/>
  <c r="N618" i="3"/>
  <c r="AG618" i="3"/>
  <c r="AH618" i="3"/>
  <c r="AI618" i="3"/>
  <c r="AL618" i="3"/>
  <c r="O618" i="3"/>
  <c r="AJ618" i="3"/>
  <c r="P618" i="3"/>
  <c r="AM618" i="3"/>
  <c r="AN618" i="3"/>
  <c r="AP618" i="3"/>
  <c r="Q618" i="3"/>
  <c r="Y618" i="3"/>
  <c r="AC618" i="3"/>
  <c r="AO618" i="3"/>
  <c r="D619" i="3"/>
  <c r="H619" i="3"/>
  <c r="I619" i="3"/>
  <c r="J619" i="3"/>
  <c r="K619" i="3"/>
  <c r="L619" i="3"/>
  <c r="T619" i="3"/>
  <c r="U619" i="3"/>
  <c r="S619" i="3"/>
  <c r="W619" i="3"/>
  <c r="X619" i="3"/>
  <c r="Z619" i="3"/>
  <c r="AA619" i="3"/>
  <c r="AB619" i="3"/>
  <c r="AF619" i="3"/>
  <c r="M619" i="3"/>
  <c r="V619" i="3"/>
  <c r="AD619" i="3"/>
  <c r="N619" i="3"/>
  <c r="AG619" i="3"/>
  <c r="AH619" i="3"/>
  <c r="AI619" i="3"/>
  <c r="AL619" i="3"/>
  <c r="O619" i="3"/>
  <c r="AJ619" i="3"/>
  <c r="P619" i="3"/>
  <c r="AM619" i="3"/>
  <c r="AN619" i="3"/>
  <c r="AP619" i="3"/>
  <c r="Q619" i="3"/>
  <c r="Y619" i="3"/>
  <c r="AC619" i="3"/>
  <c r="AO619" i="3"/>
  <c r="D620" i="3"/>
  <c r="H620" i="3"/>
  <c r="I620" i="3"/>
  <c r="J620" i="3"/>
  <c r="K620" i="3"/>
  <c r="L620" i="3"/>
  <c r="T620" i="3"/>
  <c r="U620" i="3"/>
  <c r="S620" i="3"/>
  <c r="W620" i="3"/>
  <c r="X620" i="3"/>
  <c r="Z620" i="3"/>
  <c r="AA620" i="3"/>
  <c r="AB620" i="3"/>
  <c r="AF620" i="3"/>
  <c r="M620" i="3"/>
  <c r="V620" i="3"/>
  <c r="AD620" i="3"/>
  <c r="N620" i="3"/>
  <c r="AG620" i="3"/>
  <c r="AH620" i="3"/>
  <c r="AI620" i="3"/>
  <c r="AL620" i="3"/>
  <c r="O620" i="3"/>
  <c r="AJ620" i="3"/>
  <c r="P620" i="3"/>
  <c r="AM620" i="3"/>
  <c r="AN620" i="3"/>
  <c r="AP620" i="3"/>
  <c r="Q620" i="3"/>
  <c r="Y620" i="3"/>
  <c r="AC620" i="3"/>
  <c r="AO620" i="3"/>
  <c r="D621" i="3"/>
  <c r="H621" i="3"/>
  <c r="I621" i="3"/>
  <c r="J621" i="3"/>
  <c r="K621" i="3"/>
  <c r="L621" i="3"/>
  <c r="T621" i="3"/>
  <c r="U621" i="3"/>
  <c r="S621" i="3"/>
  <c r="W621" i="3"/>
  <c r="X621" i="3"/>
  <c r="Z621" i="3"/>
  <c r="AA621" i="3"/>
  <c r="AB621" i="3"/>
  <c r="AF621" i="3"/>
  <c r="M621" i="3"/>
  <c r="V621" i="3"/>
  <c r="AD621" i="3"/>
  <c r="N621" i="3"/>
  <c r="AG621" i="3"/>
  <c r="AH621" i="3"/>
  <c r="AI621" i="3"/>
  <c r="AL621" i="3"/>
  <c r="O621" i="3"/>
  <c r="AJ621" i="3"/>
  <c r="P621" i="3"/>
  <c r="AM621" i="3"/>
  <c r="AN621" i="3"/>
  <c r="AP621" i="3"/>
  <c r="Q621" i="3"/>
  <c r="Y621" i="3"/>
  <c r="AC621" i="3"/>
  <c r="AO621" i="3"/>
  <c r="K382" i="3"/>
  <c r="L382" i="3"/>
  <c r="V382" i="3"/>
  <c r="AD382" i="3"/>
  <c r="AF382" i="3"/>
  <c r="M382" i="3"/>
  <c r="N382" i="3"/>
  <c r="AJ382" i="3"/>
  <c r="AL382" i="3"/>
  <c r="O382" i="3"/>
  <c r="P382" i="3"/>
  <c r="Q382" i="3"/>
  <c r="Y382" i="3"/>
  <c r="AO382" i="3"/>
  <c r="K383" i="3"/>
  <c r="L383" i="3"/>
  <c r="V383" i="3"/>
  <c r="AD383" i="3"/>
  <c r="AF383" i="3"/>
  <c r="M383" i="3"/>
  <c r="N383" i="3"/>
  <c r="AJ383" i="3"/>
  <c r="AL383" i="3"/>
  <c r="O383" i="3"/>
  <c r="P383" i="3"/>
  <c r="Q383" i="3"/>
  <c r="Y383" i="3"/>
  <c r="AO383" i="3"/>
  <c r="K384" i="3"/>
  <c r="L384" i="3"/>
  <c r="V384" i="3"/>
  <c r="AD384" i="3"/>
  <c r="AF384" i="3"/>
  <c r="M384" i="3"/>
  <c r="N384" i="3"/>
  <c r="AJ384" i="3"/>
  <c r="AL384" i="3"/>
  <c r="O384" i="3"/>
  <c r="P384" i="3"/>
  <c r="Q384" i="3"/>
  <c r="Y384" i="3"/>
  <c r="AO384" i="3"/>
  <c r="K385" i="3"/>
  <c r="L385" i="3"/>
  <c r="V385" i="3"/>
  <c r="AD385" i="3"/>
  <c r="AF385" i="3"/>
  <c r="M385" i="3"/>
  <c r="N385" i="3"/>
  <c r="AJ385" i="3"/>
  <c r="AL385" i="3"/>
  <c r="O385" i="3"/>
  <c r="P385" i="3"/>
  <c r="Q385" i="3"/>
  <c r="Y385" i="3"/>
  <c r="AO385" i="3"/>
  <c r="K386" i="3"/>
  <c r="L386" i="3"/>
  <c r="V386" i="3"/>
  <c r="AD386" i="3"/>
  <c r="AF386" i="3"/>
  <c r="M386" i="3"/>
  <c r="N386" i="3"/>
  <c r="AJ386" i="3"/>
  <c r="AL386" i="3"/>
  <c r="O386" i="3"/>
  <c r="P386" i="3"/>
  <c r="Q386" i="3"/>
  <c r="Y386" i="3"/>
  <c r="AO386" i="3"/>
  <c r="K387" i="3"/>
  <c r="L387" i="3"/>
  <c r="V387" i="3"/>
  <c r="AD387" i="3"/>
  <c r="AF387" i="3"/>
  <c r="M387" i="3"/>
  <c r="N387" i="3"/>
  <c r="AJ387" i="3"/>
  <c r="AL387" i="3"/>
  <c r="O387" i="3"/>
  <c r="P387" i="3"/>
  <c r="Q387" i="3"/>
  <c r="Y387" i="3"/>
  <c r="AO387" i="3"/>
  <c r="K388" i="3"/>
  <c r="L388" i="3"/>
  <c r="V388" i="3"/>
  <c r="AD388" i="3"/>
  <c r="AF388" i="3"/>
  <c r="M388" i="3"/>
  <c r="N388" i="3"/>
  <c r="AJ388" i="3"/>
  <c r="AL388" i="3"/>
  <c r="O388" i="3"/>
  <c r="P388" i="3"/>
  <c r="Q388" i="3"/>
  <c r="Y388" i="3"/>
  <c r="AO388" i="3"/>
  <c r="K389" i="3"/>
  <c r="L389" i="3"/>
  <c r="V389" i="3"/>
  <c r="AD389" i="3"/>
  <c r="AF389" i="3"/>
  <c r="M389" i="3"/>
  <c r="N389" i="3"/>
  <c r="AJ389" i="3"/>
  <c r="AL389" i="3"/>
  <c r="O389" i="3"/>
  <c r="P389" i="3"/>
  <c r="Q389" i="3"/>
  <c r="Y389" i="3"/>
  <c r="AO389" i="3"/>
  <c r="K390" i="3"/>
  <c r="L390" i="3"/>
  <c r="V390" i="3"/>
  <c r="AD390" i="3"/>
  <c r="AF390" i="3"/>
  <c r="M390" i="3"/>
  <c r="N390" i="3"/>
  <c r="AJ390" i="3"/>
  <c r="AL390" i="3"/>
  <c r="O390" i="3"/>
  <c r="P390" i="3"/>
  <c r="Q390" i="3"/>
  <c r="Y390" i="3"/>
  <c r="AO390" i="3"/>
  <c r="K391" i="3"/>
  <c r="L391" i="3"/>
  <c r="V391" i="3"/>
  <c r="AD391" i="3"/>
  <c r="AF391" i="3"/>
  <c r="M391" i="3"/>
  <c r="N391" i="3"/>
  <c r="AJ391" i="3"/>
  <c r="AL391" i="3"/>
  <c r="O391" i="3"/>
  <c r="P391" i="3"/>
  <c r="Q391" i="3"/>
  <c r="Y391" i="3"/>
  <c r="AO391" i="3"/>
  <c r="K392" i="3"/>
  <c r="L392" i="3"/>
  <c r="V392" i="3"/>
  <c r="AD392" i="3"/>
  <c r="AF392" i="3"/>
  <c r="M392" i="3"/>
  <c r="N392" i="3"/>
  <c r="AJ392" i="3"/>
  <c r="AL392" i="3"/>
  <c r="O392" i="3"/>
  <c r="P392" i="3"/>
  <c r="Q392" i="3"/>
  <c r="Y392" i="3"/>
  <c r="AO392" i="3"/>
  <c r="K393" i="3"/>
  <c r="L393" i="3"/>
  <c r="V393" i="3"/>
  <c r="AD393" i="3"/>
  <c r="AF393" i="3"/>
  <c r="M393" i="3"/>
  <c r="N393" i="3"/>
  <c r="AJ393" i="3"/>
  <c r="AL393" i="3"/>
  <c r="O393" i="3"/>
  <c r="P393" i="3"/>
  <c r="Q393" i="3"/>
  <c r="Y393" i="3"/>
  <c r="AO393" i="3"/>
  <c r="K394" i="3"/>
  <c r="L394" i="3"/>
  <c r="V394" i="3"/>
  <c r="AD394" i="3"/>
  <c r="AF394" i="3"/>
  <c r="M394" i="3"/>
  <c r="N394" i="3"/>
  <c r="AJ394" i="3"/>
  <c r="AL394" i="3"/>
  <c r="O394" i="3"/>
  <c r="P394" i="3"/>
  <c r="Q394" i="3"/>
  <c r="Y394" i="3"/>
  <c r="AO394" i="3"/>
  <c r="K395" i="3"/>
  <c r="L395" i="3"/>
  <c r="V395" i="3"/>
  <c r="AD395" i="3"/>
  <c r="AF395" i="3"/>
  <c r="M395" i="3"/>
  <c r="N395" i="3"/>
  <c r="AJ395" i="3"/>
  <c r="AL395" i="3"/>
  <c r="O395" i="3"/>
  <c r="P395" i="3"/>
  <c r="Q395" i="3"/>
  <c r="Y395" i="3"/>
  <c r="AO395" i="3"/>
  <c r="K396" i="3"/>
  <c r="L396" i="3"/>
  <c r="V396" i="3"/>
  <c r="AD396" i="3"/>
  <c r="AF396" i="3"/>
  <c r="M396" i="3"/>
  <c r="N396" i="3"/>
  <c r="AJ396" i="3"/>
  <c r="AL396" i="3"/>
  <c r="O396" i="3"/>
  <c r="P396" i="3"/>
  <c r="Q396" i="3"/>
  <c r="Y396" i="3"/>
  <c r="AO396" i="3"/>
  <c r="K397" i="3"/>
  <c r="L397" i="3"/>
  <c r="V397" i="3"/>
  <c r="AD397" i="3"/>
  <c r="AF397" i="3"/>
  <c r="M397" i="3"/>
  <c r="N397" i="3"/>
  <c r="AJ397" i="3"/>
  <c r="AL397" i="3"/>
  <c r="O397" i="3"/>
  <c r="P397" i="3"/>
  <c r="Q397" i="3"/>
  <c r="Y397" i="3"/>
  <c r="AO397" i="3"/>
  <c r="K398" i="3"/>
  <c r="L398" i="3"/>
  <c r="V398" i="3"/>
  <c r="AD398" i="3"/>
  <c r="AF398" i="3"/>
  <c r="M398" i="3"/>
  <c r="N398" i="3"/>
  <c r="AJ398" i="3"/>
  <c r="AL398" i="3"/>
  <c r="O398" i="3"/>
  <c r="P398" i="3"/>
  <c r="Q398" i="3"/>
  <c r="Y398" i="3"/>
  <c r="AO398" i="3"/>
  <c r="K399" i="3"/>
  <c r="L399" i="3"/>
  <c r="V399" i="3"/>
  <c r="AD399" i="3"/>
  <c r="AF399" i="3"/>
  <c r="M399" i="3"/>
  <c r="N399" i="3"/>
  <c r="AJ399" i="3"/>
  <c r="AL399" i="3"/>
  <c r="O399" i="3"/>
  <c r="P399" i="3"/>
  <c r="Q399" i="3"/>
  <c r="Y399" i="3"/>
  <c r="AO399" i="3"/>
  <c r="K400" i="3"/>
  <c r="L400" i="3"/>
  <c r="V400" i="3"/>
  <c r="AD400" i="3"/>
  <c r="AF400" i="3"/>
  <c r="M400" i="3"/>
  <c r="N400" i="3"/>
  <c r="AJ400" i="3"/>
  <c r="AL400" i="3"/>
  <c r="O400" i="3"/>
  <c r="P400" i="3"/>
  <c r="Q400" i="3"/>
  <c r="Y400" i="3"/>
  <c r="AO400" i="3"/>
  <c r="K401" i="3"/>
  <c r="L401" i="3"/>
  <c r="V401" i="3"/>
  <c r="AD401" i="3"/>
  <c r="AF401" i="3"/>
  <c r="M401" i="3"/>
  <c r="N401" i="3"/>
  <c r="AJ401" i="3"/>
  <c r="AL401" i="3"/>
  <c r="O401" i="3"/>
  <c r="P401" i="3"/>
  <c r="Q401" i="3"/>
  <c r="Y401" i="3"/>
  <c r="AO401" i="3"/>
  <c r="K402" i="3"/>
  <c r="L402" i="3"/>
  <c r="V402" i="3"/>
  <c r="AD402" i="3"/>
  <c r="AF402" i="3"/>
  <c r="M402" i="3"/>
  <c r="N402" i="3"/>
  <c r="AJ402" i="3"/>
  <c r="AL402" i="3"/>
  <c r="O402" i="3"/>
  <c r="P402" i="3"/>
  <c r="Q402" i="3"/>
  <c r="Y402" i="3"/>
  <c r="AO402" i="3"/>
  <c r="K403" i="3"/>
  <c r="L403" i="3"/>
  <c r="V403" i="3"/>
  <c r="AD403" i="3"/>
  <c r="AF403" i="3"/>
  <c r="M403" i="3"/>
  <c r="N403" i="3"/>
  <c r="AJ403" i="3"/>
  <c r="AL403" i="3"/>
  <c r="O403" i="3"/>
  <c r="P403" i="3"/>
  <c r="Q403" i="3"/>
  <c r="Y403" i="3"/>
  <c r="AO403" i="3"/>
  <c r="K404" i="3"/>
  <c r="L404" i="3"/>
  <c r="V404" i="3"/>
  <c r="AD404" i="3"/>
  <c r="AF404" i="3"/>
  <c r="M404" i="3"/>
  <c r="N404" i="3"/>
  <c r="AJ404" i="3"/>
  <c r="AL404" i="3"/>
  <c r="O404" i="3"/>
  <c r="P404" i="3"/>
  <c r="Q404" i="3"/>
  <c r="Y404" i="3"/>
  <c r="AO404" i="3"/>
  <c r="K405" i="3"/>
  <c r="L405" i="3"/>
  <c r="V405" i="3"/>
  <c r="AD405" i="3"/>
  <c r="AF405" i="3"/>
  <c r="M405" i="3"/>
  <c r="N405" i="3"/>
  <c r="AJ405" i="3"/>
  <c r="AL405" i="3"/>
  <c r="O405" i="3"/>
  <c r="P405" i="3"/>
  <c r="Q405" i="3"/>
  <c r="Y405" i="3"/>
  <c r="AO405" i="3"/>
  <c r="K406" i="3"/>
  <c r="L406" i="3"/>
  <c r="V406" i="3"/>
  <c r="AD406" i="3"/>
  <c r="AF406" i="3"/>
  <c r="M406" i="3"/>
  <c r="N406" i="3"/>
  <c r="AJ406" i="3"/>
  <c r="AL406" i="3"/>
  <c r="O406" i="3"/>
  <c r="P406" i="3"/>
  <c r="Q406" i="3"/>
  <c r="Y406" i="3"/>
  <c r="AO406" i="3"/>
  <c r="K407" i="3"/>
  <c r="L407" i="3"/>
  <c r="V407" i="3"/>
  <c r="AD407" i="3"/>
  <c r="AF407" i="3"/>
  <c r="M407" i="3"/>
  <c r="N407" i="3"/>
  <c r="AJ407" i="3"/>
  <c r="AL407" i="3"/>
  <c r="O407" i="3"/>
  <c r="P407" i="3"/>
  <c r="Q407" i="3"/>
  <c r="Y407" i="3"/>
  <c r="AO407" i="3"/>
  <c r="K408" i="3"/>
  <c r="L408" i="3"/>
  <c r="V408" i="3"/>
  <c r="AD408" i="3"/>
  <c r="AF408" i="3"/>
  <c r="M408" i="3"/>
  <c r="N408" i="3"/>
  <c r="AJ408" i="3"/>
  <c r="AL408" i="3"/>
  <c r="O408" i="3"/>
  <c r="P408" i="3"/>
  <c r="Q408" i="3"/>
  <c r="Y408" i="3"/>
  <c r="AO408" i="3"/>
  <c r="K409" i="3"/>
  <c r="L409" i="3"/>
  <c r="V409" i="3"/>
  <c r="AD409" i="3"/>
  <c r="AF409" i="3"/>
  <c r="M409" i="3"/>
  <c r="N409" i="3"/>
  <c r="AJ409" i="3"/>
  <c r="AL409" i="3"/>
  <c r="O409" i="3"/>
  <c r="P409" i="3"/>
  <c r="Q409" i="3"/>
  <c r="Y409" i="3"/>
  <c r="AO409" i="3"/>
  <c r="K410" i="3"/>
  <c r="L410" i="3"/>
  <c r="V410" i="3"/>
  <c r="AD410" i="3"/>
  <c r="AF410" i="3"/>
  <c r="M410" i="3"/>
  <c r="N410" i="3"/>
  <c r="AJ410" i="3"/>
  <c r="AL410" i="3"/>
  <c r="O410" i="3"/>
  <c r="P410" i="3"/>
  <c r="Q410" i="3"/>
  <c r="Y410" i="3"/>
  <c r="AO410" i="3"/>
  <c r="K411" i="3"/>
  <c r="L411" i="3"/>
  <c r="V411" i="3"/>
  <c r="AD411" i="3"/>
  <c r="AF411" i="3"/>
  <c r="M411" i="3"/>
  <c r="N411" i="3"/>
  <c r="AJ411" i="3"/>
  <c r="AL411" i="3"/>
  <c r="O411" i="3"/>
  <c r="P411" i="3"/>
  <c r="Q411" i="3"/>
  <c r="Y411" i="3"/>
  <c r="AO411" i="3"/>
  <c r="K412" i="3"/>
  <c r="L412" i="3"/>
  <c r="V412" i="3"/>
  <c r="AD412" i="3"/>
  <c r="AF412" i="3"/>
  <c r="M412" i="3"/>
  <c r="N412" i="3"/>
  <c r="AJ412" i="3"/>
  <c r="AL412" i="3"/>
  <c r="O412" i="3"/>
  <c r="P412" i="3"/>
  <c r="Q412" i="3"/>
  <c r="Y412" i="3"/>
  <c r="AO412" i="3"/>
  <c r="K413" i="3"/>
  <c r="L413" i="3"/>
  <c r="V413" i="3"/>
  <c r="AD413" i="3"/>
  <c r="AF413" i="3"/>
  <c r="M413" i="3"/>
  <c r="N413" i="3"/>
  <c r="AJ413" i="3"/>
  <c r="AL413" i="3"/>
  <c r="O413" i="3"/>
  <c r="P413" i="3"/>
  <c r="Q413" i="3"/>
  <c r="Y413" i="3"/>
  <c r="AO413" i="3"/>
  <c r="K414" i="3"/>
  <c r="L414" i="3"/>
  <c r="V414" i="3"/>
  <c r="AD414" i="3"/>
  <c r="AF414" i="3"/>
  <c r="M414" i="3"/>
  <c r="N414" i="3"/>
  <c r="AJ414" i="3"/>
  <c r="AL414" i="3"/>
  <c r="O414" i="3"/>
  <c r="P414" i="3"/>
  <c r="Q414" i="3"/>
  <c r="Y414" i="3"/>
  <c r="AO414" i="3"/>
  <c r="K415" i="3"/>
  <c r="L415" i="3"/>
  <c r="V415" i="3"/>
  <c r="AD415" i="3"/>
  <c r="AF415" i="3"/>
  <c r="M415" i="3"/>
  <c r="N415" i="3"/>
  <c r="AJ415" i="3"/>
  <c r="AL415" i="3"/>
  <c r="O415" i="3"/>
  <c r="P415" i="3"/>
  <c r="Q415" i="3"/>
  <c r="Y415" i="3"/>
  <c r="AO415" i="3"/>
  <c r="K416" i="3"/>
  <c r="L416" i="3"/>
  <c r="V416" i="3"/>
  <c r="AD416" i="3"/>
  <c r="AF416" i="3"/>
  <c r="M416" i="3"/>
  <c r="N416" i="3"/>
  <c r="AJ416" i="3"/>
  <c r="AL416" i="3"/>
  <c r="O416" i="3"/>
  <c r="P416" i="3"/>
  <c r="Q416" i="3"/>
  <c r="Y416" i="3"/>
  <c r="AO416" i="3"/>
  <c r="K417" i="3"/>
  <c r="L417" i="3"/>
  <c r="V417" i="3"/>
  <c r="AD417" i="3"/>
  <c r="AF417" i="3"/>
  <c r="M417" i="3"/>
  <c r="N417" i="3"/>
  <c r="AJ417" i="3"/>
  <c r="AL417" i="3"/>
  <c r="O417" i="3"/>
  <c r="P417" i="3"/>
  <c r="Q417" i="3"/>
  <c r="Y417" i="3"/>
  <c r="AO417" i="3"/>
  <c r="K418" i="3"/>
  <c r="L418" i="3"/>
  <c r="V418" i="3"/>
  <c r="AD418" i="3"/>
  <c r="AF418" i="3"/>
  <c r="M418" i="3"/>
  <c r="N418" i="3"/>
  <c r="AJ418" i="3"/>
  <c r="AL418" i="3"/>
  <c r="O418" i="3"/>
  <c r="P418" i="3"/>
  <c r="Q418" i="3"/>
  <c r="Y418" i="3"/>
  <c r="AO418" i="3"/>
  <c r="K419" i="3"/>
  <c r="L419" i="3"/>
  <c r="V419" i="3"/>
  <c r="AD419" i="3"/>
  <c r="AF419" i="3"/>
  <c r="M419" i="3"/>
  <c r="N419" i="3"/>
  <c r="AJ419" i="3"/>
  <c r="AL419" i="3"/>
  <c r="O419" i="3"/>
  <c r="P419" i="3"/>
  <c r="Q419" i="3"/>
  <c r="Y419" i="3"/>
  <c r="AO419" i="3"/>
  <c r="K420" i="3"/>
  <c r="L420" i="3"/>
  <c r="V420" i="3"/>
  <c r="AD420" i="3"/>
  <c r="AF420" i="3"/>
  <c r="M420" i="3"/>
  <c r="N420" i="3"/>
  <c r="AJ420" i="3"/>
  <c r="AL420" i="3"/>
  <c r="O420" i="3"/>
  <c r="P420" i="3"/>
  <c r="Q420" i="3"/>
  <c r="Y420" i="3"/>
  <c r="AO420" i="3"/>
  <c r="K421" i="3"/>
  <c r="L421" i="3"/>
  <c r="V421" i="3"/>
  <c r="AD421" i="3"/>
  <c r="AF421" i="3"/>
  <c r="M421" i="3"/>
  <c r="N421" i="3"/>
  <c r="AJ421" i="3"/>
  <c r="AL421" i="3"/>
  <c r="O421" i="3"/>
  <c r="P421" i="3"/>
  <c r="Q421" i="3"/>
  <c r="Y421" i="3"/>
  <c r="AO421" i="3"/>
  <c r="K422" i="3"/>
  <c r="L422" i="3"/>
  <c r="V422" i="3"/>
  <c r="AD422" i="3"/>
  <c r="AF422" i="3"/>
  <c r="M422" i="3"/>
  <c r="N422" i="3"/>
  <c r="AJ422" i="3"/>
  <c r="AL422" i="3"/>
  <c r="O422" i="3"/>
  <c r="P422" i="3"/>
  <c r="Q422" i="3"/>
  <c r="Y422" i="3"/>
  <c r="AO422" i="3"/>
  <c r="K423" i="3"/>
  <c r="L423" i="3"/>
  <c r="V423" i="3"/>
  <c r="AD423" i="3"/>
  <c r="AF423" i="3"/>
  <c r="M423" i="3"/>
  <c r="N423" i="3"/>
  <c r="AJ423" i="3"/>
  <c r="AL423" i="3"/>
  <c r="O423" i="3"/>
  <c r="P423" i="3"/>
  <c r="Q423" i="3"/>
  <c r="Y423" i="3"/>
  <c r="AO423" i="3"/>
  <c r="K424" i="3"/>
  <c r="L424" i="3"/>
  <c r="V424" i="3"/>
  <c r="AD424" i="3"/>
  <c r="AF424" i="3"/>
  <c r="M424" i="3"/>
  <c r="N424" i="3"/>
  <c r="AJ424" i="3"/>
  <c r="AL424" i="3"/>
  <c r="O424" i="3"/>
  <c r="P424" i="3"/>
  <c r="Q424" i="3"/>
  <c r="Y424" i="3"/>
  <c r="AO424" i="3"/>
  <c r="K425" i="3"/>
  <c r="L425" i="3"/>
  <c r="V425" i="3"/>
  <c r="AD425" i="3"/>
  <c r="AF425" i="3"/>
  <c r="M425" i="3"/>
  <c r="N425" i="3"/>
  <c r="AJ425" i="3"/>
  <c r="AL425" i="3"/>
  <c r="O425" i="3"/>
  <c r="P425" i="3"/>
  <c r="Q425" i="3"/>
  <c r="Y425" i="3"/>
  <c r="AO425" i="3"/>
  <c r="K426" i="3"/>
  <c r="L426" i="3"/>
  <c r="V426" i="3"/>
  <c r="AD426" i="3"/>
  <c r="AF426" i="3"/>
  <c r="M426" i="3"/>
  <c r="N426" i="3"/>
  <c r="AJ426" i="3"/>
  <c r="AL426" i="3"/>
  <c r="O426" i="3"/>
  <c r="P426" i="3"/>
  <c r="Q426" i="3"/>
  <c r="Y426" i="3"/>
  <c r="AO426" i="3"/>
  <c r="K427" i="3"/>
  <c r="L427" i="3"/>
  <c r="V427" i="3"/>
  <c r="AD427" i="3"/>
  <c r="AF427" i="3"/>
  <c r="M427" i="3"/>
  <c r="N427" i="3"/>
  <c r="AJ427" i="3"/>
  <c r="AL427" i="3"/>
  <c r="O427" i="3"/>
  <c r="P427" i="3"/>
  <c r="Q427" i="3"/>
  <c r="Y427" i="3"/>
  <c r="AO427" i="3"/>
  <c r="K428" i="3"/>
  <c r="L428" i="3"/>
  <c r="V428" i="3"/>
  <c r="AD428" i="3"/>
  <c r="AF428" i="3"/>
  <c r="M428" i="3"/>
  <c r="N428" i="3"/>
  <c r="AJ428" i="3"/>
  <c r="AL428" i="3"/>
  <c r="O428" i="3"/>
  <c r="P428" i="3"/>
  <c r="Q428" i="3"/>
  <c r="Y428" i="3"/>
  <c r="AO428" i="3"/>
  <c r="K429" i="3"/>
  <c r="L429" i="3"/>
  <c r="V429" i="3"/>
  <c r="AD429" i="3"/>
  <c r="AF429" i="3"/>
  <c r="M429" i="3"/>
  <c r="N429" i="3"/>
  <c r="AJ429" i="3"/>
  <c r="AL429" i="3"/>
  <c r="O429" i="3"/>
  <c r="P429" i="3"/>
  <c r="Q429" i="3"/>
  <c r="Y429" i="3"/>
  <c r="AO429" i="3"/>
  <c r="K430" i="3"/>
  <c r="L430" i="3"/>
  <c r="V430" i="3"/>
  <c r="AD430" i="3"/>
  <c r="AF430" i="3"/>
  <c r="M430" i="3"/>
  <c r="N430" i="3"/>
  <c r="AJ430" i="3"/>
  <c r="AL430" i="3"/>
  <c r="O430" i="3"/>
  <c r="P430" i="3"/>
  <c r="Q430" i="3"/>
  <c r="Y430" i="3"/>
  <c r="AO430" i="3"/>
  <c r="K431" i="3"/>
  <c r="L431" i="3"/>
  <c r="V431" i="3"/>
  <c r="AD431" i="3"/>
  <c r="AF431" i="3"/>
  <c r="M431" i="3"/>
  <c r="N431" i="3"/>
  <c r="AJ431" i="3"/>
  <c r="AL431" i="3"/>
  <c r="O431" i="3"/>
  <c r="P431" i="3"/>
  <c r="Q431" i="3"/>
  <c r="Y431" i="3"/>
  <c r="AO431" i="3"/>
  <c r="K432" i="3"/>
  <c r="L432" i="3"/>
  <c r="V432" i="3"/>
  <c r="AD432" i="3"/>
  <c r="AF432" i="3"/>
  <c r="M432" i="3"/>
  <c r="N432" i="3"/>
  <c r="AJ432" i="3"/>
  <c r="AL432" i="3"/>
  <c r="O432" i="3"/>
  <c r="P432" i="3"/>
  <c r="Q432" i="3"/>
  <c r="Y432" i="3"/>
  <c r="AO432" i="3"/>
  <c r="K433" i="3"/>
  <c r="L433" i="3"/>
  <c r="V433" i="3"/>
  <c r="AD433" i="3"/>
  <c r="AF433" i="3"/>
  <c r="M433" i="3"/>
  <c r="N433" i="3"/>
  <c r="AJ433" i="3"/>
  <c r="AL433" i="3"/>
  <c r="O433" i="3"/>
  <c r="P433" i="3"/>
  <c r="Q433" i="3"/>
  <c r="Y433" i="3"/>
  <c r="AO433" i="3"/>
  <c r="K434" i="3"/>
  <c r="L434" i="3"/>
  <c r="V434" i="3"/>
  <c r="AD434" i="3"/>
  <c r="AF434" i="3"/>
  <c r="M434" i="3"/>
  <c r="N434" i="3"/>
  <c r="AJ434" i="3"/>
  <c r="AL434" i="3"/>
  <c r="O434" i="3"/>
  <c r="P434" i="3"/>
  <c r="Q434" i="3"/>
  <c r="Y434" i="3"/>
  <c r="AO434" i="3"/>
  <c r="K435" i="3"/>
  <c r="L435" i="3"/>
  <c r="V435" i="3"/>
  <c r="AD435" i="3"/>
  <c r="AF435" i="3"/>
  <c r="M435" i="3"/>
  <c r="N435" i="3"/>
  <c r="AJ435" i="3"/>
  <c r="AL435" i="3"/>
  <c r="O435" i="3"/>
  <c r="P435" i="3"/>
  <c r="Q435" i="3"/>
  <c r="Y435" i="3"/>
  <c r="AO435" i="3"/>
  <c r="K436" i="3"/>
  <c r="L436" i="3"/>
  <c r="V436" i="3"/>
  <c r="AD436" i="3"/>
  <c r="AF436" i="3"/>
  <c r="M436" i="3"/>
  <c r="N436" i="3"/>
  <c r="AJ436" i="3"/>
  <c r="AL436" i="3"/>
  <c r="O436" i="3"/>
  <c r="P436" i="3"/>
  <c r="Q436" i="3"/>
  <c r="Y436" i="3"/>
  <c r="AO436" i="3"/>
  <c r="K437" i="3"/>
  <c r="L437" i="3"/>
  <c r="V437" i="3"/>
  <c r="AD437" i="3"/>
  <c r="AF437" i="3"/>
  <c r="M437" i="3"/>
  <c r="N437" i="3"/>
  <c r="AJ437" i="3"/>
  <c r="AL437" i="3"/>
  <c r="O437" i="3"/>
  <c r="P437" i="3"/>
  <c r="Q437" i="3"/>
  <c r="Y437" i="3"/>
  <c r="AO437" i="3"/>
  <c r="K438" i="3"/>
  <c r="L438" i="3"/>
  <c r="V438" i="3"/>
  <c r="AD438" i="3"/>
  <c r="AF438" i="3"/>
  <c r="M438" i="3"/>
  <c r="N438" i="3"/>
  <c r="AJ438" i="3"/>
  <c r="AL438" i="3"/>
  <c r="O438" i="3"/>
  <c r="P438" i="3"/>
  <c r="Q438" i="3"/>
  <c r="Y438" i="3"/>
  <c r="AO438" i="3"/>
  <c r="K439" i="3"/>
  <c r="L439" i="3"/>
  <c r="V439" i="3"/>
  <c r="AD439" i="3"/>
  <c r="AF439" i="3"/>
  <c r="M439" i="3"/>
  <c r="N439" i="3"/>
  <c r="AJ439" i="3"/>
  <c r="AL439" i="3"/>
  <c r="O439" i="3"/>
  <c r="P439" i="3"/>
  <c r="Q439" i="3"/>
  <c r="Y439" i="3"/>
  <c r="AO439" i="3"/>
  <c r="K440" i="3"/>
  <c r="L440" i="3"/>
  <c r="V440" i="3"/>
  <c r="AD440" i="3"/>
  <c r="AF440" i="3"/>
  <c r="M440" i="3"/>
  <c r="N440" i="3"/>
  <c r="AJ440" i="3"/>
  <c r="AL440" i="3"/>
  <c r="O440" i="3"/>
  <c r="P440" i="3"/>
  <c r="Q440" i="3"/>
  <c r="Y440" i="3"/>
  <c r="AO440" i="3"/>
  <c r="K441" i="3"/>
  <c r="L441" i="3"/>
  <c r="V441" i="3"/>
  <c r="AD441" i="3"/>
  <c r="AF441" i="3"/>
  <c r="M441" i="3"/>
  <c r="N441" i="3"/>
  <c r="AJ441" i="3"/>
  <c r="AL441" i="3"/>
  <c r="O441" i="3"/>
  <c r="P441" i="3"/>
  <c r="Q441" i="3"/>
  <c r="Y441" i="3"/>
  <c r="AO441" i="3"/>
  <c r="K442" i="3"/>
  <c r="L442" i="3"/>
  <c r="V442" i="3"/>
  <c r="AD442" i="3"/>
  <c r="AF442" i="3"/>
  <c r="M442" i="3"/>
  <c r="N442" i="3"/>
  <c r="AJ442" i="3"/>
  <c r="AL442" i="3"/>
  <c r="O442" i="3"/>
  <c r="P442" i="3"/>
  <c r="Q442" i="3"/>
  <c r="Y442" i="3"/>
  <c r="AO442" i="3"/>
  <c r="K443" i="3"/>
  <c r="L443" i="3"/>
  <c r="V443" i="3"/>
  <c r="AD443" i="3"/>
  <c r="AF443" i="3"/>
  <c r="M443" i="3"/>
  <c r="N443" i="3"/>
  <c r="AJ443" i="3"/>
  <c r="AL443" i="3"/>
  <c r="O443" i="3"/>
  <c r="P443" i="3"/>
  <c r="Q443" i="3"/>
  <c r="Y443" i="3"/>
  <c r="AO443" i="3"/>
  <c r="K444" i="3"/>
  <c r="L444" i="3"/>
  <c r="V444" i="3"/>
  <c r="AD444" i="3"/>
  <c r="AF444" i="3"/>
  <c r="M444" i="3"/>
  <c r="N444" i="3"/>
  <c r="AJ444" i="3"/>
  <c r="AL444" i="3"/>
  <c r="O444" i="3"/>
  <c r="P444" i="3"/>
  <c r="Q444" i="3"/>
  <c r="Y444" i="3"/>
  <c r="AO444" i="3"/>
  <c r="K445" i="3"/>
  <c r="L445" i="3"/>
  <c r="V445" i="3"/>
  <c r="AD445" i="3"/>
  <c r="AF445" i="3"/>
  <c r="M445" i="3"/>
  <c r="N445" i="3"/>
  <c r="AJ445" i="3"/>
  <c r="AL445" i="3"/>
  <c r="O445" i="3"/>
  <c r="P445" i="3"/>
  <c r="Q445" i="3"/>
  <c r="Y445" i="3"/>
  <c r="AO445" i="3"/>
  <c r="K446" i="3"/>
  <c r="L446" i="3"/>
  <c r="V446" i="3"/>
  <c r="AD446" i="3"/>
  <c r="AF446" i="3"/>
  <c r="M446" i="3"/>
  <c r="N446" i="3"/>
  <c r="AJ446" i="3"/>
  <c r="AL446" i="3"/>
  <c r="O446" i="3"/>
  <c r="P446" i="3"/>
  <c r="Q446" i="3"/>
  <c r="Y446" i="3"/>
  <c r="AO446" i="3"/>
  <c r="K447" i="3"/>
  <c r="L447" i="3"/>
  <c r="V447" i="3"/>
  <c r="AD447" i="3"/>
  <c r="AF447" i="3"/>
  <c r="M447" i="3"/>
  <c r="N447" i="3"/>
  <c r="AJ447" i="3"/>
  <c r="AL447" i="3"/>
  <c r="O447" i="3"/>
  <c r="P447" i="3"/>
  <c r="Q447" i="3"/>
  <c r="Y447" i="3"/>
  <c r="AO447" i="3"/>
  <c r="K448" i="3"/>
  <c r="L448" i="3"/>
  <c r="V448" i="3"/>
  <c r="AD448" i="3"/>
  <c r="AF448" i="3"/>
  <c r="M448" i="3"/>
  <c r="N448" i="3"/>
  <c r="AJ448" i="3"/>
  <c r="AL448" i="3"/>
  <c r="O448" i="3"/>
  <c r="P448" i="3"/>
  <c r="Q448" i="3"/>
  <c r="Y448" i="3"/>
  <c r="AO448" i="3"/>
  <c r="K449" i="3"/>
  <c r="L449" i="3"/>
  <c r="V449" i="3"/>
  <c r="AD449" i="3"/>
  <c r="AF449" i="3"/>
  <c r="M449" i="3"/>
  <c r="N449" i="3"/>
  <c r="AJ449" i="3"/>
  <c r="AL449" i="3"/>
  <c r="O449" i="3"/>
  <c r="P449" i="3"/>
  <c r="Q449" i="3"/>
  <c r="Y449" i="3"/>
  <c r="AO449" i="3"/>
  <c r="K450" i="3"/>
  <c r="L450" i="3"/>
  <c r="V450" i="3"/>
  <c r="AD450" i="3"/>
  <c r="AF450" i="3"/>
  <c r="M450" i="3"/>
  <c r="N450" i="3"/>
  <c r="AJ450" i="3"/>
  <c r="AL450" i="3"/>
  <c r="O450" i="3"/>
  <c r="P450" i="3"/>
  <c r="Q450" i="3"/>
  <c r="Y450" i="3"/>
  <c r="AO450" i="3"/>
  <c r="K451" i="3"/>
  <c r="L451" i="3"/>
  <c r="V451" i="3"/>
  <c r="AD451" i="3"/>
  <c r="AF451" i="3"/>
  <c r="M451" i="3"/>
  <c r="N451" i="3"/>
  <c r="AJ451" i="3"/>
  <c r="AL451" i="3"/>
  <c r="O451" i="3"/>
  <c r="P451" i="3"/>
  <c r="Q451" i="3"/>
  <c r="Y451" i="3"/>
  <c r="AO451" i="3"/>
  <c r="K452" i="3"/>
  <c r="L452" i="3"/>
  <c r="V452" i="3"/>
  <c r="AD452" i="3"/>
  <c r="AF452" i="3"/>
  <c r="M452" i="3"/>
  <c r="N452" i="3"/>
  <c r="AJ452" i="3"/>
  <c r="AL452" i="3"/>
  <c r="O452" i="3"/>
  <c r="P452" i="3"/>
  <c r="Q452" i="3"/>
  <c r="Y452" i="3"/>
  <c r="AO452" i="3"/>
  <c r="K453" i="3"/>
  <c r="L453" i="3"/>
  <c r="V453" i="3"/>
  <c r="AD453" i="3"/>
  <c r="AF453" i="3"/>
  <c r="M453" i="3"/>
  <c r="N453" i="3"/>
  <c r="AJ453" i="3"/>
  <c r="AL453" i="3"/>
  <c r="O453" i="3"/>
  <c r="P453" i="3"/>
  <c r="Q453" i="3"/>
  <c r="Y453" i="3"/>
  <c r="AO453" i="3"/>
  <c r="K454" i="3"/>
  <c r="L454" i="3"/>
  <c r="V454" i="3"/>
  <c r="AD454" i="3"/>
  <c r="AF454" i="3"/>
  <c r="M454" i="3"/>
  <c r="N454" i="3"/>
  <c r="AJ454" i="3"/>
  <c r="AL454" i="3"/>
  <c r="O454" i="3"/>
  <c r="P454" i="3"/>
  <c r="Q454" i="3"/>
  <c r="Y454" i="3"/>
  <c r="AO454" i="3"/>
  <c r="K455" i="3"/>
  <c r="L455" i="3"/>
  <c r="V455" i="3"/>
  <c r="AD455" i="3"/>
  <c r="AF455" i="3"/>
  <c r="M455" i="3"/>
  <c r="N455" i="3"/>
  <c r="AJ455" i="3"/>
  <c r="AL455" i="3"/>
  <c r="O455" i="3"/>
  <c r="P455" i="3"/>
  <c r="Q455" i="3"/>
  <c r="Y455" i="3"/>
  <c r="AO455" i="3"/>
  <c r="K456" i="3"/>
  <c r="L456" i="3"/>
  <c r="V456" i="3"/>
  <c r="AD456" i="3"/>
  <c r="AF456" i="3"/>
  <c r="M456" i="3"/>
  <c r="N456" i="3"/>
  <c r="AJ456" i="3"/>
  <c r="AL456" i="3"/>
  <c r="O456" i="3"/>
  <c r="P456" i="3"/>
  <c r="Q456" i="3"/>
  <c r="Y456" i="3"/>
  <c r="AO456" i="3"/>
  <c r="K457" i="3"/>
  <c r="L457" i="3"/>
  <c r="V457" i="3"/>
  <c r="AD457" i="3"/>
  <c r="AF457" i="3"/>
  <c r="M457" i="3"/>
  <c r="N457" i="3"/>
  <c r="AJ457" i="3"/>
  <c r="AL457" i="3"/>
  <c r="O457" i="3"/>
  <c r="P457" i="3"/>
  <c r="Q457" i="3"/>
  <c r="Y457" i="3"/>
  <c r="AO457" i="3"/>
  <c r="K458" i="3"/>
  <c r="L458" i="3"/>
  <c r="V458" i="3"/>
  <c r="AD458" i="3"/>
  <c r="AF458" i="3"/>
  <c r="M458" i="3"/>
  <c r="N458" i="3"/>
  <c r="AJ458" i="3"/>
  <c r="AL458" i="3"/>
  <c r="O458" i="3"/>
  <c r="P458" i="3"/>
  <c r="Q458" i="3"/>
  <c r="Y458" i="3"/>
  <c r="AO458" i="3"/>
  <c r="K459" i="3"/>
  <c r="L459" i="3"/>
  <c r="V459" i="3"/>
  <c r="AD459" i="3"/>
  <c r="AF459" i="3"/>
  <c r="M459" i="3"/>
  <c r="N459" i="3"/>
  <c r="AJ459" i="3"/>
  <c r="AL459" i="3"/>
  <c r="O459" i="3"/>
  <c r="P459" i="3"/>
  <c r="Q459" i="3"/>
  <c r="Y459" i="3"/>
  <c r="AO459" i="3"/>
  <c r="K460" i="3"/>
  <c r="L460" i="3"/>
  <c r="V460" i="3"/>
  <c r="AD460" i="3"/>
  <c r="AF460" i="3"/>
  <c r="M460" i="3"/>
  <c r="N460" i="3"/>
  <c r="AJ460" i="3"/>
  <c r="AL460" i="3"/>
  <c r="O460" i="3"/>
  <c r="P460" i="3"/>
  <c r="Q460" i="3"/>
  <c r="Y460" i="3"/>
  <c r="AO460" i="3"/>
  <c r="K461" i="3"/>
  <c r="L461" i="3"/>
  <c r="V461" i="3"/>
  <c r="AD461" i="3"/>
  <c r="AF461" i="3"/>
  <c r="M461" i="3"/>
  <c r="N461" i="3"/>
  <c r="AJ461" i="3"/>
  <c r="AL461" i="3"/>
  <c r="O461" i="3"/>
  <c r="P461" i="3"/>
  <c r="Q461" i="3"/>
  <c r="Y461" i="3"/>
  <c r="AO461" i="3"/>
  <c r="K462" i="3"/>
  <c r="L462" i="3"/>
  <c r="V462" i="3"/>
  <c r="AD462" i="3"/>
  <c r="AF462" i="3"/>
  <c r="M462" i="3"/>
  <c r="N462" i="3"/>
  <c r="AJ462" i="3"/>
  <c r="AL462" i="3"/>
  <c r="O462" i="3"/>
  <c r="P462" i="3"/>
  <c r="Q462" i="3"/>
  <c r="Y462" i="3"/>
  <c r="AO462" i="3"/>
  <c r="K463" i="3"/>
  <c r="L463" i="3"/>
  <c r="V463" i="3"/>
  <c r="AD463" i="3"/>
  <c r="AF463" i="3"/>
  <c r="M463" i="3"/>
  <c r="N463" i="3"/>
  <c r="AJ463" i="3"/>
  <c r="AL463" i="3"/>
  <c r="O463" i="3"/>
  <c r="P463" i="3"/>
  <c r="Q463" i="3"/>
  <c r="Y463" i="3"/>
  <c r="AO463" i="3"/>
  <c r="K464" i="3"/>
  <c r="L464" i="3"/>
  <c r="V464" i="3"/>
  <c r="AD464" i="3"/>
  <c r="AF464" i="3"/>
  <c r="M464" i="3"/>
  <c r="N464" i="3"/>
  <c r="AJ464" i="3"/>
  <c r="AL464" i="3"/>
  <c r="O464" i="3"/>
  <c r="P464" i="3"/>
  <c r="Q464" i="3"/>
  <c r="Y464" i="3"/>
  <c r="AO464" i="3"/>
  <c r="K465" i="3"/>
  <c r="L465" i="3"/>
  <c r="V465" i="3"/>
  <c r="AD465" i="3"/>
  <c r="AF465" i="3"/>
  <c r="M465" i="3"/>
  <c r="N465" i="3"/>
  <c r="AJ465" i="3"/>
  <c r="AL465" i="3"/>
  <c r="O465" i="3"/>
  <c r="P465" i="3"/>
  <c r="Q465" i="3"/>
  <c r="Y465" i="3"/>
  <c r="AO465" i="3"/>
  <c r="K466" i="3"/>
  <c r="L466" i="3"/>
  <c r="V466" i="3"/>
  <c r="AD466" i="3"/>
  <c r="AF466" i="3"/>
  <c r="M466" i="3"/>
  <c r="N466" i="3"/>
  <c r="AJ466" i="3"/>
  <c r="AL466" i="3"/>
  <c r="O466" i="3"/>
  <c r="P466" i="3"/>
  <c r="Q466" i="3"/>
  <c r="Y466" i="3"/>
  <c r="AO466" i="3"/>
  <c r="K467" i="3"/>
  <c r="L467" i="3"/>
  <c r="V467" i="3"/>
  <c r="AD467" i="3"/>
  <c r="AF467" i="3"/>
  <c r="M467" i="3"/>
  <c r="N467" i="3"/>
  <c r="AJ467" i="3"/>
  <c r="AL467" i="3"/>
  <c r="O467" i="3"/>
  <c r="P467" i="3"/>
  <c r="Q467" i="3"/>
  <c r="Y467" i="3"/>
  <c r="AO467" i="3"/>
  <c r="K468" i="3"/>
  <c r="L468" i="3"/>
  <c r="V468" i="3"/>
  <c r="AD468" i="3"/>
  <c r="AF468" i="3"/>
  <c r="M468" i="3"/>
  <c r="N468" i="3"/>
  <c r="AJ468" i="3"/>
  <c r="AL468" i="3"/>
  <c r="O468" i="3"/>
  <c r="P468" i="3"/>
  <c r="Q468" i="3"/>
  <c r="Y468" i="3"/>
  <c r="AO468" i="3"/>
  <c r="K469" i="3"/>
  <c r="L469" i="3"/>
  <c r="V469" i="3"/>
  <c r="AD469" i="3"/>
  <c r="AF469" i="3"/>
  <c r="M469" i="3"/>
  <c r="N469" i="3"/>
  <c r="AJ469" i="3"/>
  <c r="AL469" i="3"/>
  <c r="O469" i="3"/>
  <c r="P469" i="3"/>
  <c r="Q469" i="3"/>
  <c r="Y469" i="3"/>
  <c r="AO469" i="3"/>
  <c r="K470" i="3"/>
  <c r="L470" i="3"/>
  <c r="V470" i="3"/>
  <c r="AD470" i="3"/>
  <c r="AF470" i="3"/>
  <c r="M470" i="3"/>
  <c r="N470" i="3"/>
  <c r="AJ470" i="3"/>
  <c r="AL470" i="3"/>
  <c r="O470" i="3"/>
  <c r="P470" i="3"/>
  <c r="Q470" i="3"/>
  <c r="Y470" i="3"/>
  <c r="AO470" i="3"/>
  <c r="K471" i="3"/>
  <c r="L471" i="3"/>
  <c r="V471" i="3"/>
  <c r="AD471" i="3"/>
  <c r="AF471" i="3"/>
  <c r="M471" i="3"/>
  <c r="N471" i="3"/>
  <c r="AJ471" i="3"/>
  <c r="AL471" i="3"/>
  <c r="O471" i="3"/>
  <c r="P471" i="3"/>
  <c r="Q471" i="3"/>
  <c r="Y471" i="3"/>
  <c r="AO471" i="3"/>
  <c r="K472" i="3"/>
  <c r="L472" i="3"/>
  <c r="V472" i="3"/>
  <c r="AD472" i="3"/>
  <c r="AF472" i="3"/>
  <c r="M472" i="3"/>
  <c r="N472" i="3"/>
  <c r="AJ472" i="3"/>
  <c r="AL472" i="3"/>
  <c r="O472" i="3"/>
  <c r="P472" i="3"/>
  <c r="Q472" i="3"/>
  <c r="Y472" i="3"/>
  <c r="AO472" i="3"/>
  <c r="K473" i="3"/>
  <c r="L473" i="3"/>
  <c r="V473" i="3"/>
  <c r="AD473" i="3"/>
  <c r="AF473" i="3"/>
  <c r="M473" i="3"/>
  <c r="N473" i="3"/>
  <c r="AJ473" i="3"/>
  <c r="AL473" i="3"/>
  <c r="O473" i="3"/>
  <c r="P473" i="3"/>
  <c r="Q473" i="3"/>
  <c r="Y473" i="3"/>
  <c r="AO473" i="3"/>
  <c r="K474" i="3"/>
  <c r="L474" i="3"/>
  <c r="V474" i="3"/>
  <c r="AD474" i="3"/>
  <c r="AF474" i="3"/>
  <c r="M474" i="3"/>
  <c r="N474" i="3"/>
  <c r="AJ474" i="3"/>
  <c r="AL474" i="3"/>
  <c r="O474" i="3"/>
  <c r="P474" i="3"/>
  <c r="Q474" i="3"/>
  <c r="Y474" i="3"/>
  <c r="AO474" i="3"/>
  <c r="K475" i="3"/>
  <c r="L475" i="3"/>
  <c r="V475" i="3"/>
  <c r="AD475" i="3"/>
  <c r="AF475" i="3"/>
  <c r="M475" i="3"/>
  <c r="N475" i="3"/>
  <c r="AJ475" i="3"/>
  <c r="AL475" i="3"/>
  <c r="O475" i="3"/>
  <c r="P475" i="3"/>
  <c r="Q475" i="3"/>
  <c r="Y475" i="3"/>
  <c r="AO475" i="3"/>
  <c r="K476" i="3"/>
  <c r="L476" i="3"/>
  <c r="V476" i="3"/>
  <c r="AD476" i="3"/>
  <c r="AF476" i="3"/>
  <c r="M476" i="3"/>
  <c r="N476" i="3"/>
  <c r="AJ476" i="3"/>
  <c r="AL476" i="3"/>
  <c r="O476" i="3"/>
  <c r="P476" i="3"/>
  <c r="Q476" i="3"/>
  <c r="Y476" i="3"/>
  <c r="AO476" i="3"/>
  <c r="K477" i="3"/>
  <c r="L477" i="3"/>
  <c r="V477" i="3"/>
  <c r="AD477" i="3"/>
  <c r="AF477" i="3"/>
  <c r="M477" i="3"/>
  <c r="N477" i="3"/>
  <c r="AJ477" i="3"/>
  <c r="AL477" i="3"/>
  <c r="O477" i="3"/>
  <c r="P477" i="3"/>
  <c r="Q477" i="3"/>
  <c r="Y477" i="3"/>
  <c r="AO477" i="3"/>
  <c r="K478" i="3"/>
  <c r="L478" i="3"/>
  <c r="V478" i="3"/>
  <c r="AD478" i="3"/>
  <c r="AF478" i="3"/>
  <c r="M478" i="3"/>
  <c r="N478" i="3"/>
  <c r="AJ478" i="3"/>
  <c r="AL478" i="3"/>
  <c r="O478" i="3"/>
  <c r="P478" i="3"/>
  <c r="Q478" i="3"/>
  <c r="Y478" i="3"/>
  <c r="AO478" i="3"/>
  <c r="K479" i="3"/>
  <c r="L479" i="3"/>
  <c r="V479" i="3"/>
  <c r="AD479" i="3"/>
  <c r="AF479" i="3"/>
  <c r="M479" i="3"/>
  <c r="N479" i="3"/>
  <c r="AJ479" i="3"/>
  <c r="AL479" i="3"/>
  <c r="O479" i="3"/>
  <c r="P479" i="3"/>
  <c r="Q479" i="3"/>
  <c r="Y479" i="3"/>
  <c r="AO479" i="3"/>
  <c r="K480" i="3"/>
  <c r="L480" i="3"/>
  <c r="V480" i="3"/>
  <c r="AD480" i="3"/>
  <c r="AF480" i="3"/>
  <c r="M480" i="3"/>
  <c r="N480" i="3"/>
  <c r="AJ480" i="3"/>
  <c r="AL480" i="3"/>
  <c r="O480" i="3"/>
  <c r="P480" i="3"/>
  <c r="Q480" i="3"/>
  <c r="Y480" i="3"/>
  <c r="AO480" i="3"/>
  <c r="K481" i="3"/>
  <c r="L481" i="3"/>
  <c r="V481" i="3"/>
  <c r="AD481" i="3"/>
  <c r="AF481" i="3"/>
  <c r="M481" i="3"/>
  <c r="N481" i="3"/>
  <c r="AJ481" i="3"/>
  <c r="AL481" i="3"/>
  <c r="O481" i="3"/>
  <c r="P481" i="3"/>
  <c r="Q481" i="3"/>
  <c r="Y481" i="3"/>
  <c r="AO481" i="3"/>
  <c r="K482" i="3"/>
  <c r="L482" i="3"/>
  <c r="V482" i="3"/>
  <c r="AD482" i="3"/>
  <c r="AF482" i="3"/>
  <c r="M482" i="3"/>
  <c r="N482" i="3"/>
  <c r="AJ482" i="3"/>
  <c r="AL482" i="3"/>
  <c r="O482" i="3"/>
  <c r="P482" i="3"/>
  <c r="Q482" i="3"/>
  <c r="Y482" i="3"/>
  <c r="AO482" i="3"/>
  <c r="K483" i="3"/>
  <c r="L483" i="3"/>
  <c r="V483" i="3"/>
  <c r="AD483" i="3"/>
  <c r="AF483" i="3"/>
  <c r="M483" i="3"/>
  <c r="N483" i="3"/>
  <c r="AJ483" i="3"/>
  <c r="AL483" i="3"/>
  <c r="O483" i="3"/>
  <c r="P483" i="3"/>
  <c r="Q483" i="3"/>
  <c r="Y483" i="3"/>
  <c r="AO483" i="3"/>
  <c r="K484" i="3"/>
  <c r="L484" i="3"/>
  <c r="V484" i="3"/>
  <c r="AD484" i="3"/>
  <c r="AF484" i="3"/>
  <c r="M484" i="3"/>
  <c r="N484" i="3"/>
  <c r="AJ484" i="3"/>
  <c r="AL484" i="3"/>
  <c r="O484" i="3"/>
  <c r="P484" i="3"/>
  <c r="Q484" i="3"/>
  <c r="Y484" i="3"/>
  <c r="AO484" i="3"/>
  <c r="K485" i="3"/>
  <c r="L485" i="3"/>
  <c r="V485" i="3"/>
  <c r="AD485" i="3"/>
  <c r="AF485" i="3"/>
  <c r="M485" i="3"/>
  <c r="N485" i="3"/>
  <c r="AJ485" i="3"/>
  <c r="AL485" i="3"/>
  <c r="O485" i="3"/>
  <c r="P485" i="3"/>
  <c r="Q485" i="3"/>
  <c r="Y485" i="3"/>
  <c r="AO485" i="3"/>
  <c r="K486" i="3"/>
  <c r="L486" i="3"/>
  <c r="V486" i="3"/>
  <c r="AD486" i="3"/>
  <c r="AF486" i="3"/>
  <c r="M486" i="3"/>
  <c r="N486" i="3"/>
  <c r="AJ486" i="3"/>
  <c r="AL486" i="3"/>
  <c r="O486" i="3"/>
  <c r="P486" i="3"/>
  <c r="Q486" i="3"/>
  <c r="Y486" i="3"/>
  <c r="AO486" i="3"/>
  <c r="K487" i="3"/>
  <c r="L487" i="3"/>
  <c r="V487" i="3"/>
  <c r="AD487" i="3"/>
  <c r="AF487" i="3"/>
  <c r="M487" i="3"/>
  <c r="N487" i="3"/>
  <c r="AJ487" i="3"/>
  <c r="AL487" i="3"/>
  <c r="O487" i="3"/>
  <c r="P487" i="3"/>
  <c r="Q487" i="3"/>
  <c r="Y487" i="3"/>
  <c r="AO487" i="3"/>
  <c r="K488" i="3"/>
  <c r="L488" i="3"/>
  <c r="V488" i="3"/>
  <c r="AD488" i="3"/>
  <c r="AF488" i="3"/>
  <c r="M488" i="3"/>
  <c r="N488" i="3"/>
  <c r="AJ488" i="3"/>
  <c r="AL488" i="3"/>
  <c r="O488" i="3"/>
  <c r="P488" i="3"/>
  <c r="Q488" i="3"/>
  <c r="Y488" i="3"/>
  <c r="AO488" i="3"/>
  <c r="K489" i="3"/>
  <c r="L489" i="3"/>
  <c r="V489" i="3"/>
  <c r="AD489" i="3"/>
  <c r="AF489" i="3"/>
  <c r="M489" i="3"/>
  <c r="N489" i="3"/>
  <c r="AJ489" i="3"/>
  <c r="AL489" i="3"/>
  <c r="O489" i="3"/>
  <c r="P489" i="3"/>
  <c r="Q489" i="3"/>
  <c r="Y489" i="3"/>
  <c r="AO489" i="3"/>
  <c r="K490" i="3"/>
  <c r="L490" i="3"/>
  <c r="V490" i="3"/>
  <c r="AD490" i="3"/>
  <c r="AF490" i="3"/>
  <c r="M490" i="3"/>
  <c r="N490" i="3"/>
  <c r="AJ490" i="3"/>
  <c r="AL490" i="3"/>
  <c r="O490" i="3"/>
  <c r="P490" i="3"/>
  <c r="Q490" i="3"/>
  <c r="Y490" i="3"/>
  <c r="AO490" i="3"/>
  <c r="K491" i="3"/>
  <c r="L491" i="3"/>
  <c r="V491" i="3"/>
  <c r="AD491" i="3"/>
  <c r="AF491" i="3"/>
  <c r="M491" i="3"/>
  <c r="N491" i="3"/>
  <c r="AJ491" i="3"/>
  <c r="AL491" i="3"/>
  <c r="O491" i="3"/>
  <c r="P491" i="3"/>
  <c r="Q491" i="3"/>
  <c r="Y491" i="3"/>
  <c r="AO491" i="3"/>
  <c r="K492" i="3"/>
  <c r="L492" i="3"/>
  <c r="V492" i="3"/>
  <c r="AD492" i="3"/>
  <c r="AF492" i="3"/>
  <c r="M492" i="3"/>
  <c r="N492" i="3"/>
  <c r="AJ492" i="3"/>
  <c r="AL492" i="3"/>
  <c r="O492" i="3"/>
  <c r="P492" i="3"/>
  <c r="Q492" i="3"/>
  <c r="Y492" i="3"/>
  <c r="AO492" i="3"/>
  <c r="K493" i="3"/>
  <c r="L493" i="3"/>
  <c r="V493" i="3"/>
  <c r="AD493" i="3"/>
  <c r="AF493" i="3"/>
  <c r="M493" i="3"/>
  <c r="N493" i="3"/>
  <c r="AJ493" i="3"/>
  <c r="AL493" i="3"/>
  <c r="O493" i="3"/>
  <c r="P493" i="3"/>
  <c r="Q493" i="3"/>
  <c r="Y493" i="3"/>
  <c r="AO493" i="3"/>
  <c r="K494" i="3"/>
  <c r="L494" i="3"/>
  <c r="V494" i="3"/>
  <c r="AD494" i="3"/>
  <c r="AF494" i="3"/>
  <c r="M494" i="3"/>
  <c r="N494" i="3"/>
  <c r="AJ494" i="3"/>
  <c r="AL494" i="3"/>
  <c r="O494" i="3"/>
  <c r="P494" i="3"/>
  <c r="Q494" i="3"/>
  <c r="Y494" i="3"/>
  <c r="AO494" i="3"/>
  <c r="K495" i="3"/>
  <c r="L495" i="3"/>
  <c r="V495" i="3"/>
  <c r="AD495" i="3"/>
  <c r="AF495" i="3"/>
  <c r="M495" i="3"/>
  <c r="N495" i="3"/>
  <c r="AJ495" i="3"/>
  <c r="AL495" i="3"/>
  <c r="O495" i="3"/>
  <c r="P495" i="3"/>
  <c r="Q495" i="3"/>
  <c r="Y495" i="3"/>
  <c r="AO495" i="3"/>
  <c r="K496" i="3"/>
  <c r="L496" i="3"/>
  <c r="V496" i="3"/>
  <c r="AD496" i="3"/>
  <c r="AF496" i="3"/>
  <c r="M496" i="3"/>
  <c r="N496" i="3"/>
  <c r="AJ496" i="3"/>
  <c r="AL496" i="3"/>
  <c r="O496" i="3"/>
  <c r="P496" i="3"/>
  <c r="Q496" i="3"/>
  <c r="Y496" i="3"/>
  <c r="AO496" i="3"/>
  <c r="K497" i="3"/>
  <c r="L497" i="3"/>
  <c r="V497" i="3"/>
  <c r="AD497" i="3"/>
  <c r="AF497" i="3"/>
  <c r="M497" i="3"/>
  <c r="N497" i="3"/>
  <c r="AJ497" i="3"/>
  <c r="AL497" i="3"/>
  <c r="O497" i="3"/>
  <c r="P497" i="3"/>
  <c r="Q497" i="3"/>
  <c r="Y497" i="3"/>
  <c r="AO497" i="3"/>
  <c r="K498" i="3"/>
  <c r="L498" i="3"/>
  <c r="V498" i="3"/>
  <c r="AD498" i="3"/>
  <c r="AF498" i="3"/>
  <c r="M498" i="3"/>
  <c r="N498" i="3"/>
  <c r="AJ498" i="3"/>
  <c r="AL498" i="3"/>
  <c r="O498" i="3"/>
  <c r="P498" i="3"/>
  <c r="Q498" i="3"/>
  <c r="Y498" i="3"/>
  <c r="AO498" i="3"/>
  <c r="K499" i="3"/>
  <c r="L499" i="3"/>
  <c r="V499" i="3"/>
  <c r="AD499" i="3"/>
  <c r="AF499" i="3"/>
  <c r="M499" i="3"/>
  <c r="N499" i="3"/>
  <c r="AJ499" i="3"/>
  <c r="AL499" i="3"/>
  <c r="O499" i="3"/>
  <c r="P499" i="3"/>
  <c r="Q499" i="3"/>
  <c r="Y499" i="3"/>
  <c r="AO499" i="3"/>
  <c r="K500" i="3"/>
  <c r="L500" i="3"/>
  <c r="V500" i="3"/>
  <c r="AD500" i="3"/>
  <c r="AF500" i="3"/>
  <c r="M500" i="3"/>
  <c r="N500" i="3"/>
  <c r="AJ500" i="3"/>
  <c r="AL500" i="3"/>
  <c r="O500" i="3"/>
  <c r="P500" i="3"/>
  <c r="Q500" i="3"/>
  <c r="Y500" i="3"/>
  <c r="AO500" i="3"/>
  <c r="K501" i="3"/>
  <c r="L501" i="3"/>
  <c r="V501" i="3"/>
  <c r="AD501" i="3"/>
  <c r="AF501" i="3"/>
  <c r="M501" i="3"/>
  <c r="N501" i="3"/>
  <c r="AL501" i="3"/>
  <c r="O501" i="3"/>
  <c r="AJ501" i="3"/>
  <c r="P501" i="3"/>
  <c r="Q501" i="3"/>
  <c r="Y501" i="3"/>
  <c r="AO501" i="3"/>
  <c r="K502" i="3"/>
  <c r="L502" i="3"/>
  <c r="V502" i="3"/>
  <c r="AD502" i="3"/>
  <c r="AF502" i="3"/>
  <c r="M502" i="3"/>
  <c r="N502" i="3"/>
  <c r="AL502" i="3"/>
  <c r="O502" i="3"/>
  <c r="AJ502" i="3"/>
  <c r="P502" i="3"/>
  <c r="Q502" i="3"/>
  <c r="Y502" i="3"/>
  <c r="AO502" i="3"/>
  <c r="K503" i="3"/>
  <c r="L503" i="3"/>
  <c r="V503" i="3"/>
  <c r="AD503" i="3"/>
  <c r="AF503" i="3"/>
  <c r="M503" i="3"/>
  <c r="N503" i="3"/>
  <c r="AL503" i="3"/>
  <c r="O503" i="3"/>
  <c r="AJ503" i="3"/>
  <c r="P503" i="3"/>
  <c r="Q503" i="3"/>
  <c r="Y503" i="3"/>
  <c r="AO503" i="3"/>
  <c r="K504" i="3"/>
  <c r="L504" i="3"/>
  <c r="V504" i="3"/>
  <c r="AD504" i="3"/>
  <c r="AF504" i="3"/>
  <c r="M504" i="3"/>
  <c r="N504" i="3"/>
  <c r="AL504" i="3"/>
  <c r="O504" i="3"/>
  <c r="AJ504" i="3"/>
  <c r="P504" i="3"/>
  <c r="Q504" i="3"/>
  <c r="Y504" i="3"/>
  <c r="AO504" i="3"/>
  <c r="K505" i="3"/>
  <c r="L505" i="3"/>
  <c r="V505" i="3"/>
  <c r="AD505" i="3"/>
  <c r="AF505" i="3"/>
  <c r="M505" i="3"/>
  <c r="N505" i="3"/>
  <c r="AL505" i="3"/>
  <c r="O505" i="3"/>
  <c r="AJ505" i="3"/>
  <c r="P505" i="3"/>
  <c r="Q505" i="3"/>
  <c r="Y505" i="3"/>
  <c r="AO505" i="3"/>
  <c r="K506" i="3"/>
  <c r="L506" i="3"/>
  <c r="V506" i="3"/>
  <c r="AD506" i="3"/>
  <c r="AF506" i="3"/>
  <c r="M506" i="3"/>
  <c r="N506" i="3"/>
  <c r="AL506" i="3"/>
  <c r="O506" i="3"/>
  <c r="AJ506" i="3"/>
  <c r="P506" i="3"/>
  <c r="Q506" i="3"/>
  <c r="Y506" i="3"/>
  <c r="AO506" i="3"/>
  <c r="K507" i="3"/>
  <c r="L507" i="3"/>
  <c r="V507" i="3"/>
  <c r="AD507" i="3"/>
  <c r="AF507" i="3"/>
  <c r="M507" i="3"/>
  <c r="N507" i="3"/>
  <c r="AL507" i="3"/>
  <c r="O507" i="3"/>
  <c r="AJ507" i="3"/>
  <c r="P507" i="3"/>
  <c r="Q507" i="3"/>
  <c r="Y507" i="3"/>
  <c r="AO507" i="3"/>
  <c r="K508" i="3"/>
  <c r="L508" i="3"/>
  <c r="V508" i="3"/>
  <c r="AD508" i="3"/>
  <c r="AF508" i="3"/>
  <c r="M508" i="3"/>
  <c r="N508" i="3"/>
  <c r="AL508" i="3"/>
  <c r="O508" i="3"/>
  <c r="AJ508" i="3"/>
  <c r="P508" i="3"/>
  <c r="Q508" i="3"/>
  <c r="Y508" i="3"/>
  <c r="AO508" i="3"/>
  <c r="K509" i="3"/>
  <c r="L509" i="3"/>
  <c r="V509" i="3"/>
  <c r="AD509" i="3"/>
  <c r="AF509" i="3"/>
  <c r="M509" i="3"/>
  <c r="N509" i="3"/>
  <c r="AL509" i="3"/>
  <c r="O509" i="3"/>
  <c r="AJ509" i="3"/>
  <c r="P509" i="3"/>
  <c r="Q509" i="3"/>
  <c r="Y509" i="3"/>
  <c r="AO509" i="3"/>
  <c r="K510" i="3"/>
  <c r="L510" i="3"/>
  <c r="V510" i="3"/>
  <c r="AD510" i="3"/>
  <c r="AF510" i="3"/>
  <c r="M510" i="3"/>
  <c r="N510" i="3"/>
  <c r="AL510" i="3"/>
  <c r="O510" i="3"/>
  <c r="AJ510" i="3"/>
  <c r="P510" i="3"/>
  <c r="Q510" i="3"/>
  <c r="Y510" i="3"/>
  <c r="AO510" i="3"/>
  <c r="K511" i="3"/>
  <c r="L511" i="3"/>
  <c r="V511" i="3"/>
  <c r="AD511" i="3"/>
  <c r="AF511" i="3"/>
  <c r="M511" i="3"/>
  <c r="N511" i="3"/>
  <c r="AL511" i="3"/>
  <c r="O511" i="3"/>
  <c r="AJ511" i="3"/>
  <c r="P511" i="3"/>
  <c r="Q511" i="3"/>
  <c r="Y511" i="3"/>
  <c r="AO511" i="3"/>
  <c r="K512" i="3"/>
  <c r="L512" i="3"/>
  <c r="V512" i="3"/>
  <c r="AD512" i="3"/>
  <c r="AF512" i="3"/>
  <c r="M512" i="3"/>
  <c r="N512" i="3"/>
  <c r="AL512" i="3"/>
  <c r="O512" i="3"/>
  <c r="AJ512" i="3"/>
  <c r="P512" i="3"/>
  <c r="Q512" i="3"/>
  <c r="Y512" i="3"/>
  <c r="AO512" i="3"/>
  <c r="K513" i="3"/>
  <c r="L513" i="3"/>
  <c r="V513" i="3"/>
  <c r="AD513" i="3"/>
  <c r="AF513" i="3"/>
  <c r="M513" i="3"/>
  <c r="N513" i="3"/>
  <c r="AL513" i="3"/>
  <c r="O513" i="3"/>
  <c r="AJ513" i="3"/>
  <c r="P513" i="3"/>
  <c r="Q513" i="3"/>
  <c r="Y513" i="3"/>
  <c r="AO513" i="3"/>
  <c r="K514" i="3"/>
  <c r="L514" i="3"/>
  <c r="V514" i="3"/>
  <c r="AD514" i="3"/>
  <c r="AF514" i="3"/>
  <c r="M514" i="3"/>
  <c r="N514" i="3"/>
  <c r="AL514" i="3"/>
  <c r="O514" i="3"/>
  <c r="AJ514" i="3"/>
  <c r="P514" i="3"/>
  <c r="Q514" i="3"/>
  <c r="Y514" i="3"/>
  <c r="AO514" i="3"/>
  <c r="K515" i="3"/>
  <c r="L515" i="3"/>
  <c r="V515" i="3"/>
  <c r="AD515" i="3"/>
  <c r="AF515" i="3"/>
  <c r="M515" i="3"/>
  <c r="N515" i="3"/>
  <c r="AL515" i="3"/>
  <c r="O515" i="3"/>
  <c r="AJ515" i="3"/>
  <c r="P515" i="3"/>
  <c r="Q515" i="3"/>
  <c r="Y515" i="3"/>
  <c r="AO515" i="3"/>
  <c r="K516" i="3"/>
  <c r="L516" i="3"/>
  <c r="V516" i="3"/>
  <c r="AD516" i="3"/>
  <c r="AF516" i="3"/>
  <c r="M516" i="3"/>
  <c r="N516" i="3"/>
  <c r="AL516" i="3"/>
  <c r="O516" i="3"/>
  <c r="AJ516" i="3"/>
  <c r="P516" i="3"/>
  <c r="Q516" i="3"/>
  <c r="Y516" i="3"/>
  <c r="AO516" i="3"/>
  <c r="K517" i="3"/>
  <c r="L517" i="3"/>
  <c r="V517" i="3"/>
  <c r="AD517" i="3"/>
  <c r="AF517" i="3"/>
  <c r="M517" i="3"/>
  <c r="N517" i="3"/>
  <c r="AL517" i="3"/>
  <c r="O517" i="3"/>
  <c r="AJ517" i="3"/>
  <c r="P517" i="3"/>
  <c r="Q517" i="3"/>
  <c r="Y517" i="3"/>
  <c r="AO517" i="3"/>
  <c r="K518" i="3"/>
  <c r="L518" i="3"/>
  <c r="V518" i="3"/>
  <c r="AD518" i="3"/>
  <c r="AF518" i="3"/>
  <c r="M518" i="3"/>
  <c r="N518" i="3"/>
  <c r="AL518" i="3"/>
  <c r="O518" i="3"/>
  <c r="AJ518" i="3"/>
  <c r="P518" i="3"/>
  <c r="Q518" i="3"/>
  <c r="Y518" i="3"/>
  <c r="AO518" i="3"/>
  <c r="K519" i="3"/>
  <c r="L519" i="3"/>
  <c r="V519" i="3"/>
  <c r="AD519" i="3"/>
  <c r="AF519" i="3"/>
  <c r="M519" i="3"/>
  <c r="N519" i="3"/>
  <c r="AL519" i="3"/>
  <c r="O519" i="3"/>
  <c r="AJ519" i="3"/>
  <c r="P519" i="3"/>
  <c r="Q519" i="3"/>
  <c r="Y519" i="3"/>
  <c r="AO519" i="3"/>
  <c r="K520" i="3"/>
  <c r="L520" i="3"/>
  <c r="V520" i="3"/>
  <c r="AD520" i="3"/>
  <c r="AF520" i="3"/>
  <c r="M520" i="3"/>
  <c r="N520" i="3"/>
  <c r="AL520" i="3"/>
  <c r="O520" i="3"/>
  <c r="AJ520" i="3"/>
  <c r="P520" i="3"/>
  <c r="Q520" i="3"/>
  <c r="Y520" i="3"/>
  <c r="AO520" i="3"/>
  <c r="K521" i="3"/>
  <c r="L521" i="3"/>
  <c r="V521" i="3"/>
  <c r="AD521" i="3"/>
  <c r="AF521" i="3"/>
  <c r="M521" i="3"/>
  <c r="N521" i="3"/>
  <c r="AL521" i="3"/>
  <c r="O521" i="3"/>
  <c r="AJ521" i="3"/>
  <c r="P521" i="3"/>
  <c r="Q521" i="3"/>
  <c r="Y521" i="3"/>
  <c r="AO521" i="3"/>
  <c r="K522" i="3"/>
  <c r="L522" i="3"/>
  <c r="V522" i="3"/>
  <c r="AD522" i="3"/>
  <c r="AF522" i="3"/>
  <c r="M522" i="3"/>
  <c r="N522" i="3"/>
  <c r="AL522" i="3"/>
  <c r="O522" i="3"/>
  <c r="AJ522" i="3"/>
  <c r="P522" i="3"/>
  <c r="Q522" i="3"/>
  <c r="Y522" i="3"/>
  <c r="AO522" i="3"/>
  <c r="K523" i="3"/>
  <c r="L523" i="3"/>
  <c r="V523" i="3"/>
  <c r="AD523" i="3"/>
  <c r="AF523" i="3"/>
  <c r="M523" i="3"/>
  <c r="N523" i="3"/>
  <c r="AL523" i="3"/>
  <c r="O523" i="3"/>
  <c r="AJ523" i="3"/>
  <c r="P523" i="3"/>
  <c r="Q523" i="3"/>
  <c r="Y523" i="3"/>
  <c r="AO523" i="3"/>
  <c r="K524" i="3"/>
  <c r="L524" i="3"/>
  <c r="V524" i="3"/>
  <c r="AD524" i="3"/>
  <c r="AF524" i="3"/>
  <c r="M524" i="3"/>
  <c r="N524" i="3"/>
  <c r="AL524" i="3"/>
  <c r="O524" i="3"/>
  <c r="AJ524" i="3"/>
  <c r="P524" i="3"/>
  <c r="Q524" i="3"/>
  <c r="Y524" i="3"/>
  <c r="AO524" i="3"/>
  <c r="K525" i="3"/>
  <c r="L525" i="3"/>
  <c r="V525" i="3"/>
  <c r="AD525" i="3"/>
  <c r="AF525" i="3"/>
  <c r="M525" i="3"/>
  <c r="N525" i="3"/>
  <c r="AL525" i="3"/>
  <c r="O525" i="3"/>
  <c r="AJ525" i="3"/>
  <c r="P525" i="3"/>
  <c r="Q525" i="3"/>
  <c r="Y525" i="3"/>
  <c r="AO525" i="3"/>
  <c r="K526" i="3"/>
  <c r="L526" i="3"/>
  <c r="V526" i="3"/>
  <c r="AD526" i="3"/>
  <c r="AF526" i="3"/>
  <c r="M526" i="3"/>
  <c r="N526" i="3"/>
  <c r="AL526" i="3"/>
  <c r="O526" i="3"/>
  <c r="AJ526" i="3"/>
  <c r="P526" i="3"/>
  <c r="Q526" i="3"/>
  <c r="Y526" i="3"/>
  <c r="AO526" i="3"/>
  <c r="K527" i="3"/>
  <c r="L527" i="3"/>
  <c r="V527" i="3"/>
  <c r="AD527" i="3"/>
  <c r="AF527" i="3"/>
  <c r="M527" i="3"/>
  <c r="N527" i="3"/>
  <c r="AL527" i="3"/>
  <c r="O527" i="3"/>
  <c r="AJ527" i="3"/>
  <c r="P527" i="3"/>
  <c r="Q527" i="3"/>
  <c r="Y527" i="3"/>
  <c r="AO527" i="3"/>
  <c r="K528" i="3"/>
  <c r="L528" i="3"/>
  <c r="V528" i="3"/>
  <c r="AD528" i="3"/>
  <c r="AF528" i="3"/>
  <c r="M528" i="3"/>
  <c r="N528" i="3"/>
  <c r="AL528" i="3"/>
  <c r="O528" i="3"/>
  <c r="AJ528" i="3"/>
  <c r="P528" i="3"/>
  <c r="Q528" i="3"/>
  <c r="Y528" i="3"/>
  <c r="AO528" i="3"/>
  <c r="K529" i="3"/>
  <c r="L529" i="3"/>
  <c r="V529" i="3"/>
  <c r="AD529" i="3"/>
  <c r="AF529" i="3"/>
  <c r="M529" i="3"/>
  <c r="N529" i="3"/>
  <c r="AL529" i="3"/>
  <c r="O529" i="3"/>
  <c r="AJ529" i="3"/>
  <c r="P529" i="3"/>
  <c r="Q529" i="3"/>
  <c r="Y529" i="3"/>
  <c r="AO529" i="3"/>
  <c r="K530" i="3"/>
  <c r="L530" i="3"/>
  <c r="V530" i="3"/>
  <c r="AD530" i="3"/>
  <c r="AF530" i="3"/>
  <c r="M530" i="3"/>
  <c r="N530" i="3"/>
  <c r="AL530" i="3"/>
  <c r="O530" i="3"/>
  <c r="AJ530" i="3"/>
  <c r="P530" i="3"/>
  <c r="Q530" i="3"/>
  <c r="Y530" i="3"/>
  <c r="AO530" i="3"/>
  <c r="K531" i="3"/>
  <c r="L531" i="3"/>
  <c r="V531" i="3"/>
  <c r="AD531" i="3"/>
  <c r="AF531" i="3"/>
  <c r="M531" i="3"/>
  <c r="N531" i="3"/>
  <c r="AL531" i="3"/>
  <c r="O531" i="3"/>
  <c r="AJ531" i="3"/>
  <c r="P531" i="3"/>
  <c r="Q531" i="3"/>
  <c r="Y531" i="3"/>
  <c r="AO531" i="3"/>
  <c r="K532" i="3"/>
  <c r="L532" i="3"/>
  <c r="V532" i="3"/>
  <c r="AD532" i="3"/>
  <c r="AF532" i="3"/>
  <c r="M532" i="3"/>
  <c r="N532" i="3"/>
  <c r="AL532" i="3"/>
  <c r="O532" i="3"/>
  <c r="AJ532" i="3"/>
  <c r="P532" i="3"/>
  <c r="Q532" i="3"/>
  <c r="Y532" i="3"/>
  <c r="AO532" i="3"/>
  <c r="K533" i="3"/>
  <c r="L533" i="3"/>
  <c r="V533" i="3"/>
  <c r="AD533" i="3"/>
  <c r="AF533" i="3"/>
  <c r="M533" i="3"/>
  <c r="N533" i="3"/>
  <c r="AL533" i="3"/>
  <c r="O533" i="3"/>
  <c r="AJ533" i="3"/>
  <c r="P533" i="3"/>
  <c r="Q533" i="3"/>
  <c r="Y533" i="3"/>
  <c r="AO533" i="3"/>
  <c r="K534" i="3"/>
  <c r="L534" i="3"/>
  <c r="V534" i="3"/>
  <c r="AD534" i="3"/>
  <c r="AF534" i="3"/>
  <c r="M534" i="3"/>
  <c r="N534" i="3"/>
  <c r="AL534" i="3"/>
  <c r="O534" i="3"/>
  <c r="AJ534" i="3"/>
  <c r="P534" i="3"/>
  <c r="Q534" i="3"/>
  <c r="Y534" i="3"/>
  <c r="AO534" i="3"/>
  <c r="K535" i="3"/>
  <c r="L535" i="3"/>
  <c r="V535" i="3"/>
  <c r="AD535" i="3"/>
  <c r="AF535" i="3"/>
  <c r="M535" i="3"/>
  <c r="N535" i="3"/>
  <c r="AL535" i="3"/>
  <c r="O535" i="3"/>
  <c r="AJ535" i="3"/>
  <c r="P535" i="3"/>
  <c r="Q535" i="3"/>
  <c r="Y535" i="3"/>
  <c r="AO535" i="3"/>
  <c r="K536" i="3"/>
  <c r="L536" i="3"/>
  <c r="V536" i="3"/>
  <c r="AD536" i="3"/>
  <c r="AF536" i="3"/>
  <c r="M536" i="3"/>
  <c r="N536" i="3"/>
  <c r="AL536" i="3"/>
  <c r="O536" i="3"/>
  <c r="AJ536" i="3"/>
  <c r="P536" i="3"/>
  <c r="Q536" i="3"/>
  <c r="Y536" i="3"/>
  <c r="AO536" i="3"/>
  <c r="K537" i="3"/>
  <c r="L537" i="3"/>
  <c r="V537" i="3"/>
  <c r="AD537" i="3"/>
  <c r="AF537" i="3"/>
  <c r="M537" i="3"/>
  <c r="N537" i="3"/>
  <c r="AL537" i="3"/>
  <c r="O537" i="3"/>
  <c r="AJ537" i="3"/>
  <c r="P537" i="3"/>
  <c r="Q537" i="3"/>
  <c r="Y537" i="3"/>
  <c r="AO537" i="3"/>
  <c r="K538" i="3"/>
  <c r="L538" i="3"/>
  <c r="V538" i="3"/>
  <c r="AD538" i="3"/>
  <c r="AF538" i="3"/>
  <c r="M538" i="3"/>
  <c r="N538" i="3"/>
  <c r="AL538" i="3"/>
  <c r="O538" i="3"/>
  <c r="AJ538" i="3"/>
  <c r="P538" i="3"/>
  <c r="Q538" i="3"/>
  <c r="Y538" i="3"/>
  <c r="AO538" i="3"/>
  <c r="K539" i="3"/>
  <c r="L539" i="3"/>
  <c r="V539" i="3"/>
  <c r="AD539" i="3"/>
  <c r="AF539" i="3"/>
  <c r="M539" i="3"/>
  <c r="N539" i="3"/>
  <c r="AL539" i="3"/>
  <c r="O539" i="3"/>
  <c r="AJ539" i="3"/>
  <c r="P539" i="3"/>
  <c r="Q539" i="3"/>
  <c r="Y539" i="3"/>
  <c r="AO539" i="3"/>
  <c r="K540" i="3"/>
  <c r="L540" i="3"/>
  <c r="V540" i="3"/>
  <c r="AD540" i="3"/>
  <c r="AF540" i="3"/>
  <c r="M540" i="3"/>
  <c r="N540" i="3"/>
  <c r="AL540" i="3"/>
  <c r="O540" i="3"/>
  <c r="AJ540" i="3"/>
  <c r="P540" i="3"/>
  <c r="Q540" i="3"/>
  <c r="Y540" i="3"/>
  <c r="AO540" i="3"/>
  <c r="K541" i="3"/>
  <c r="L541" i="3"/>
  <c r="V541" i="3"/>
  <c r="AD541" i="3"/>
  <c r="AF541" i="3"/>
  <c r="M541" i="3"/>
  <c r="N541" i="3"/>
  <c r="AL541" i="3"/>
  <c r="O541" i="3"/>
  <c r="AJ541" i="3"/>
  <c r="P541" i="3"/>
  <c r="Q541" i="3"/>
  <c r="Y541" i="3"/>
  <c r="AO541" i="3"/>
  <c r="K542" i="3"/>
  <c r="L542" i="3"/>
  <c r="V542" i="3"/>
  <c r="AD542" i="3"/>
  <c r="AF542" i="3"/>
  <c r="M542" i="3"/>
  <c r="N542" i="3"/>
  <c r="AL542" i="3"/>
  <c r="O542" i="3"/>
  <c r="AJ542" i="3"/>
  <c r="P542" i="3"/>
  <c r="Q542" i="3"/>
  <c r="Y542" i="3"/>
  <c r="AO542" i="3"/>
  <c r="K543" i="3"/>
  <c r="L543" i="3"/>
  <c r="V543" i="3"/>
  <c r="AD543" i="3"/>
  <c r="AF543" i="3"/>
  <c r="M543" i="3"/>
  <c r="N543" i="3"/>
  <c r="AL543" i="3"/>
  <c r="O543" i="3"/>
  <c r="AJ543" i="3"/>
  <c r="P543" i="3"/>
  <c r="Q543" i="3"/>
  <c r="Y543" i="3"/>
  <c r="AO543" i="3"/>
  <c r="K544" i="3"/>
  <c r="L544" i="3"/>
  <c r="V544" i="3"/>
  <c r="AD544" i="3"/>
  <c r="AF544" i="3"/>
  <c r="M544" i="3"/>
  <c r="N544" i="3"/>
  <c r="AL544" i="3"/>
  <c r="O544" i="3"/>
  <c r="AJ544" i="3"/>
  <c r="P544" i="3"/>
  <c r="Q544" i="3"/>
  <c r="Y544" i="3"/>
  <c r="AO544" i="3"/>
  <c r="K545" i="3"/>
  <c r="L545" i="3"/>
  <c r="V545" i="3"/>
  <c r="AD545" i="3"/>
  <c r="AF545" i="3"/>
  <c r="M545" i="3"/>
  <c r="N545" i="3"/>
  <c r="AL545" i="3"/>
  <c r="O545" i="3"/>
  <c r="AJ545" i="3"/>
  <c r="P545" i="3"/>
  <c r="Q545" i="3"/>
  <c r="Y545" i="3"/>
  <c r="AO545" i="3"/>
  <c r="K546" i="3"/>
  <c r="L546" i="3"/>
  <c r="V546" i="3"/>
  <c r="AD546" i="3"/>
  <c r="AF546" i="3"/>
  <c r="M546" i="3"/>
  <c r="N546" i="3"/>
  <c r="AL546" i="3"/>
  <c r="O546" i="3"/>
  <c r="AJ546" i="3"/>
  <c r="P546" i="3"/>
  <c r="Q546" i="3"/>
  <c r="Y546" i="3"/>
  <c r="AO546" i="3"/>
  <c r="K547" i="3"/>
  <c r="L547" i="3"/>
  <c r="V547" i="3"/>
  <c r="AD547" i="3"/>
  <c r="AF547" i="3"/>
  <c r="M547" i="3"/>
  <c r="N547" i="3"/>
  <c r="AL547" i="3"/>
  <c r="O547" i="3"/>
  <c r="AJ547" i="3"/>
  <c r="P547" i="3"/>
  <c r="Q547" i="3"/>
  <c r="Y547" i="3"/>
  <c r="AO547" i="3"/>
  <c r="K548" i="3"/>
  <c r="L548" i="3"/>
  <c r="V548" i="3"/>
  <c r="AD548" i="3"/>
  <c r="AF548" i="3"/>
  <c r="M548" i="3"/>
  <c r="N548" i="3"/>
  <c r="AL548" i="3"/>
  <c r="O548" i="3"/>
  <c r="AJ548" i="3"/>
  <c r="P548" i="3"/>
  <c r="Q548" i="3"/>
  <c r="Y548" i="3"/>
  <c r="AO548" i="3"/>
  <c r="K549" i="3"/>
  <c r="L549" i="3"/>
  <c r="V549" i="3"/>
  <c r="AD549" i="3"/>
  <c r="AF549" i="3"/>
  <c r="M549" i="3"/>
  <c r="N549" i="3"/>
  <c r="AL549" i="3"/>
  <c r="O549" i="3"/>
  <c r="AJ549" i="3"/>
  <c r="P549" i="3"/>
  <c r="Q549" i="3"/>
  <c r="Y549" i="3"/>
  <c r="AO549" i="3"/>
  <c r="K550" i="3"/>
  <c r="L550" i="3"/>
  <c r="V550" i="3"/>
  <c r="AD550" i="3"/>
  <c r="AF550" i="3"/>
  <c r="M550" i="3"/>
  <c r="N550" i="3"/>
  <c r="AL550" i="3"/>
  <c r="O550" i="3"/>
  <c r="AJ550" i="3"/>
  <c r="P550" i="3"/>
  <c r="Q550" i="3"/>
  <c r="Y550" i="3"/>
  <c r="AO550" i="3"/>
  <c r="K551" i="3"/>
  <c r="L551" i="3"/>
  <c r="V551" i="3"/>
  <c r="AD551" i="3"/>
  <c r="AF551" i="3"/>
  <c r="M551" i="3"/>
  <c r="N551" i="3"/>
  <c r="AL551" i="3"/>
  <c r="O551" i="3"/>
  <c r="AJ551" i="3"/>
  <c r="P551" i="3"/>
  <c r="Q551" i="3"/>
  <c r="Y551" i="3"/>
  <c r="AO551" i="3"/>
  <c r="K552" i="3"/>
  <c r="L552" i="3"/>
  <c r="V552" i="3"/>
  <c r="AD552" i="3"/>
  <c r="AF552" i="3"/>
  <c r="M552" i="3"/>
  <c r="N552" i="3"/>
  <c r="AL552" i="3"/>
  <c r="O552" i="3"/>
  <c r="AJ552" i="3"/>
  <c r="P552" i="3"/>
  <c r="Q552" i="3"/>
  <c r="Y552" i="3"/>
  <c r="AO552" i="3"/>
  <c r="K553" i="3"/>
  <c r="L553" i="3"/>
  <c r="V553" i="3"/>
  <c r="AD553" i="3"/>
  <c r="AF553" i="3"/>
  <c r="M553" i="3"/>
  <c r="N553" i="3"/>
  <c r="AL553" i="3"/>
  <c r="O553" i="3"/>
  <c r="AJ553" i="3"/>
  <c r="P553" i="3"/>
  <c r="Q553" i="3"/>
  <c r="Y553" i="3"/>
  <c r="AO553" i="3"/>
  <c r="K554" i="3"/>
  <c r="L554" i="3"/>
  <c r="V554" i="3"/>
  <c r="AD554" i="3"/>
  <c r="AF554" i="3"/>
  <c r="M554" i="3"/>
  <c r="N554" i="3"/>
  <c r="AL554" i="3"/>
  <c r="O554" i="3"/>
  <c r="AJ554" i="3"/>
  <c r="P554" i="3"/>
  <c r="Q554" i="3"/>
  <c r="Y554" i="3"/>
  <c r="AO554" i="3"/>
  <c r="K555" i="3"/>
  <c r="L555" i="3"/>
  <c r="V555" i="3"/>
  <c r="AD555" i="3"/>
  <c r="AF555" i="3"/>
  <c r="M555" i="3"/>
  <c r="N555" i="3"/>
  <c r="AL555" i="3"/>
  <c r="O555" i="3"/>
  <c r="AJ555" i="3"/>
  <c r="P555" i="3"/>
  <c r="Q555" i="3"/>
  <c r="Y555" i="3"/>
  <c r="AO555" i="3"/>
  <c r="K556" i="3"/>
  <c r="L556" i="3"/>
  <c r="V556" i="3"/>
  <c r="AD556" i="3"/>
  <c r="AF556" i="3"/>
  <c r="M556" i="3"/>
  <c r="N556" i="3"/>
  <c r="AL556" i="3"/>
  <c r="O556" i="3"/>
  <c r="AJ556" i="3"/>
  <c r="P556" i="3"/>
  <c r="Q556" i="3"/>
  <c r="Y556" i="3"/>
  <c r="AO556" i="3"/>
  <c r="K557" i="3"/>
  <c r="L557" i="3"/>
  <c r="V557" i="3"/>
  <c r="AD557" i="3"/>
  <c r="AF557" i="3"/>
  <c r="M557" i="3"/>
  <c r="N557" i="3"/>
  <c r="AL557" i="3"/>
  <c r="O557" i="3"/>
  <c r="AJ557" i="3"/>
  <c r="P557" i="3"/>
  <c r="Q557" i="3"/>
  <c r="Y557" i="3"/>
  <c r="AO557" i="3"/>
  <c r="K558" i="3"/>
  <c r="L558" i="3"/>
  <c r="V558" i="3"/>
  <c r="AD558" i="3"/>
  <c r="AF558" i="3"/>
  <c r="M558" i="3"/>
  <c r="N558" i="3"/>
  <c r="AL558" i="3"/>
  <c r="O558" i="3"/>
  <c r="AJ558" i="3"/>
  <c r="P558" i="3"/>
  <c r="Q558" i="3"/>
  <c r="Y558" i="3"/>
  <c r="AO558" i="3"/>
  <c r="K559" i="3"/>
  <c r="L559" i="3"/>
  <c r="V559" i="3"/>
  <c r="AD559" i="3"/>
  <c r="AF559" i="3"/>
  <c r="M559" i="3"/>
  <c r="N559" i="3"/>
  <c r="AL559" i="3"/>
  <c r="O559" i="3"/>
  <c r="AJ559" i="3"/>
  <c r="P559" i="3"/>
  <c r="Q559" i="3"/>
  <c r="Y559" i="3"/>
  <c r="AO559" i="3"/>
  <c r="K560" i="3"/>
  <c r="L560" i="3"/>
  <c r="V560" i="3"/>
  <c r="AD560" i="3"/>
  <c r="AF560" i="3"/>
  <c r="M560" i="3"/>
  <c r="N560" i="3"/>
  <c r="AL560" i="3"/>
  <c r="O560" i="3"/>
  <c r="AJ560" i="3"/>
  <c r="P560" i="3"/>
  <c r="Q560" i="3"/>
  <c r="Y560" i="3"/>
  <c r="AO560" i="3"/>
  <c r="K561" i="3"/>
  <c r="L561" i="3"/>
  <c r="AF561" i="3"/>
  <c r="M561" i="3"/>
  <c r="V561" i="3"/>
  <c r="AD561" i="3"/>
  <c r="N561" i="3"/>
  <c r="AL561" i="3"/>
  <c r="O561" i="3"/>
  <c r="AJ561" i="3"/>
  <c r="P561" i="3"/>
  <c r="Q561" i="3"/>
  <c r="Y561" i="3"/>
  <c r="AO561" i="3"/>
  <c r="K562" i="3"/>
  <c r="L562" i="3"/>
  <c r="AF562" i="3"/>
  <c r="M562" i="3"/>
  <c r="V562" i="3"/>
  <c r="AD562" i="3"/>
  <c r="N562" i="3"/>
  <c r="AL562" i="3"/>
  <c r="O562" i="3"/>
  <c r="AJ562" i="3"/>
  <c r="P562" i="3"/>
  <c r="Q562" i="3"/>
  <c r="Y562" i="3"/>
  <c r="AO562" i="3"/>
  <c r="K563" i="3"/>
  <c r="L563" i="3"/>
  <c r="AF563" i="3"/>
  <c r="M563" i="3"/>
  <c r="V563" i="3"/>
  <c r="AD563" i="3"/>
  <c r="N563" i="3"/>
  <c r="AL563" i="3"/>
  <c r="O563" i="3"/>
  <c r="AJ563" i="3"/>
  <c r="P563" i="3"/>
  <c r="Q563" i="3"/>
  <c r="Y563" i="3"/>
  <c r="AO563" i="3"/>
  <c r="K564" i="3"/>
  <c r="L564" i="3"/>
  <c r="AF564" i="3"/>
  <c r="M564" i="3"/>
  <c r="V564" i="3"/>
  <c r="AD564" i="3"/>
  <c r="N564" i="3"/>
  <c r="AL564" i="3"/>
  <c r="O564" i="3"/>
  <c r="AJ564" i="3"/>
  <c r="P564" i="3"/>
  <c r="Q564" i="3"/>
  <c r="Y564" i="3"/>
  <c r="AO564" i="3"/>
  <c r="K565" i="3"/>
  <c r="L565" i="3"/>
  <c r="AF565" i="3"/>
  <c r="M565" i="3"/>
  <c r="V565" i="3"/>
  <c r="AD565" i="3"/>
  <c r="N565" i="3"/>
  <c r="AL565" i="3"/>
  <c r="O565" i="3"/>
  <c r="AJ565" i="3"/>
  <c r="P565" i="3"/>
  <c r="Q565" i="3"/>
  <c r="Y565" i="3"/>
  <c r="AO565" i="3"/>
  <c r="K566" i="3"/>
  <c r="L566" i="3"/>
  <c r="AF566" i="3"/>
  <c r="M566" i="3"/>
  <c r="V566" i="3"/>
  <c r="AD566" i="3"/>
  <c r="N566" i="3"/>
  <c r="AL566" i="3"/>
  <c r="O566" i="3"/>
  <c r="AJ566" i="3"/>
  <c r="P566" i="3"/>
  <c r="Q566" i="3"/>
  <c r="Y566" i="3"/>
  <c r="AO566" i="3"/>
  <c r="K567" i="3"/>
  <c r="L567" i="3"/>
  <c r="AF567" i="3"/>
  <c r="M567" i="3"/>
  <c r="V567" i="3"/>
  <c r="AD567" i="3"/>
  <c r="N567" i="3"/>
  <c r="AL567" i="3"/>
  <c r="O567" i="3"/>
  <c r="AJ567" i="3"/>
  <c r="P567" i="3"/>
  <c r="Q567" i="3"/>
  <c r="Y567" i="3"/>
  <c r="AO567" i="3"/>
  <c r="K568" i="3"/>
  <c r="L568" i="3"/>
  <c r="AF568" i="3"/>
  <c r="M568" i="3"/>
  <c r="V568" i="3"/>
  <c r="AD568" i="3"/>
  <c r="N568" i="3"/>
  <c r="AL568" i="3"/>
  <c r="O568" i="3"/>
  <c r="AJ568" i="3"/>
  <c r="P568" i="3"/>
  <c r="Q568" i="3"/>
  <c r="Y568" i="3"/>
  <c r="AO568" i="3"/>
  <c r="K569" i="3"/>
  <c r="L569" i="3"/>
  <c r="AF569" i="3"/>
  <c r="M569" i="3"/>
  <c r="V569" i="3"/>
  <c r="AD569" i="3"/>
  <c r="N569" i="3"/>
  <c r="AL569" i="3"/>
  <c r="O569" i="3"/>
  <c r="AJ569" i="3"/>
  <c r="P569" i="3"/>
  <c r="Q569" i="3"/>
  <c r="Y569" i="3"/>
  <c r="AO569" i="3"/>
  <c r="K570" i="3"/>
  <c r="L570" i="3"/>
  <c r="AF570" i="3"/>
  <c r="M570" i="3"/>
  <c r="V570" i="3"/>
  <c r="AD570" i="3"/>
  <c r="N570" i="3"/>
  <c r="AL570" i="3"/>
  <c r="O570" i="3"/>
  <c r="AJ570" i="3"/>
  <c r="P570" i="3"/>
  <c r="Q570" i="3"/>
  <c r="Y570" i="3"/>
  <c r="AO570" i="3"/>
  <c r="K571" i="3"/>
  <c r="L571" i="3"/>
  <c r="AF571" i="3"/>
  <c r="M571" i="3"/>
  <c r="V571" i="3"/>
  <c r="AD571" i="3"/>
  <c r="N571" i="3"/>
  <c r="AL571" i="3"/>
  <c r="O571" i="3"/>
  <c r="AJ571" i="3"/>
  <c r="P571" i="3"/>
  <c r="Q571" i="3"/>
  <c r="Y571" i="3"/>
  <c r="AO571" i="3"/>
  <c r="K572" i="3"/>
  <c r="L572" i="3"/>
  <c r="AF572" i="3"/>
  <c r="M572" i="3"/>
  <c r="V572" i="3"/>
  <c r="AD572" i="3"/>
  <c r="N572" i="3"/>
  <c r="AL572" i="3"/>
  <c r="O572" i="3"/>
  <c r="AJ572" i="3"/>
  <c r="P572" i="3"/>
  <c r="Q572" i="3"/>
  <c r="Y572" i="3"/>
  <c r="AO572" i="3"/>
  <c r="K573" i="3"/>
  <c r="L573" i="3"/>
  <c r="AF573" i="3"/>
  <c r="M573" i="3"/>
  <c r="V573" i="3"/>
  <c r="AD573" i="3"/>
  <c r="N573" i="3"/>
  <c r="AL573" i="3"/>
  <c r="O573" i="3"/>
  <c r="AJ573" i="3"/>
  <c r="P573" i="3"/>
  <c r="Q573" i="3"/>
  <c r="Y573" i="3"/>
  <c r="AO573" i="3"/>
  <c r="K574" i="3"/>
  <c r="L574" i="3"/>
  <c r="AF574" i="3"/>
  <c r="M574" i="3"/>
  <c r="V574" i="3"/>
  <c r="AD574" i="3"/>
  <c r="N574" i="3"/>
  <c r="AL574" i="3"/>
  <c r="O574" i="3"/>
  <c r="AJ574" i="3"/>
  <c r="P574" i="3"/>
  <c r="Q574" i="3"/>
  <c r="Y574" i="3"/>
  <c r="AO574" i="3"/>
  <c r="K575" i="3"/>
  <c r="L575" i="3"/>
  <c r="AF575" i="3"/>
  <c r="M575" i="3"/>
  <c r="V575" i="3"/>
  <c r="AD575" i="3"/>
  <c r="N575" i="3"/>
  <c r="AL575" i="3"/>
  <c r="O575" i="3"/>
  <c r="AJ575" i="3"/>
  <c r="P575" i="3"/>
  <c r="Q575" i="3"/>
  <c r="Y575" i="3"/>
  <c r="AO575" i="3"/>
  <c r="K576" i="3"/>
  <c r="L576" i="3"/>
  <c r="AF576" i="3"/>
  <c r="M576" i="3"/>
  <c r="V576" i="3"/>
  <c r="AD576" i="3"/>
  <c r="N576" i="3"/>
  <c r="AL576" i="3"/>
  <c r="O576" i="3"/>
  <c r="AJ576" i="3"/>
  <c r="P576" i="3"/>
  <c r="Q576" i="3"/>
  <c r="Y576" i="3"/>
  <c r="AO576" i="3"/>
  <c r="K577" i="3"/>
  <c r="L577" i="3"/>
  <c r="AF577" i="3"/>
  <c r="M577" i="3"/>
  <c r="V577" i="3"/>
  <c r="AD577" i="3"/>
  <c r="N577" i="3"/>
  <c r="AL577" i="3"/>
  <c r="O577" i="3"/>
  <c r="AJ577" i="3"/>
  <c r="P577" i="3"/>
  <c r="Q577" i="3"/>
  <c r="Y577" i="3"/>
  <c r="AO577" i="3"/>
  <c r="K578" i="3"/>
  <c r="L578" i="3"/>
  <c r="AF578" i="3"/>
  <c r="M578" i="3"/>
  <c r="V578" i="3"/>
  <c r="AD578" i="3"/>
  <c r="N578" i="3"/>
  <c r="AL578" i="3"/>
  <c r="O578" i="3"/>
  <c r="AJ578" i="3"/>
  <c r="P578" i="3"/>
  <c r="Q578" i="3"/>
  <c r="Y578" i="3"/>
  <c r="AO578" i="3"/>
  <c r="K579" i="3"/>
  <c r="L579" i="3"/>
  <c r="AF579" i="3"/>
  <c r="M579" i="3"/>
  <c r="V579" i="3"/>
  <c r="AD579" i="3"/>
  <c r="N579" i="3"/>
  <c r="AL579" i="3"/>
  <c r="O579" i="3"/>
  <c r="AJ579" i="3"/>
  <c r="P579" i="3"/>
  <c r="Q579" i="3"/>
  <c r="Y579" i="3"/>
  <c r="AO579" i="3"/>
  <c r="K580" i="3"/>
  <c r="L580" i="3"/>
  <c r="AF580" i="3"/>
  <c r="M580" i="3"/>
  <c r="V580" i="3"/>
  <c r="AD580" i="3"/>
  <c r="N580" i="3"/>
  <c r="AL580" i="3"/>
  <c r="O580" i="3"/>
  <c r="AJ580" i="3"/>
  <c r="P580" i="3"/>
  <c r="Q580" i="3"/>
  <c r="Y580" i="3"/>
  <c r="AO580" i="3"/>
  <c r="K581" i="3"/>
  <c r="L581" i="3"/>
  <c r="AF581" i="3"/>
  <c r="M581" i="3"/>
  <c r="V581" i="3"/>
  <c r="AD581" i="3"/>
  <c r="N581" i="3"/>
  <c r="AL581" i="3"/>
  <c r="O581" i="3"/>
  <c r="AJ581" i="3"/>
  <c r="P581" i="3"/>
  <c r="Q581" i="3"/>
  <c r="Y581" i="3"/>
  <c r="AO581" i="3"/>
  <c r="K582" i="3"/>
  <c r="L582" i="3"/>
  <c r="AF582" i="3"/>
  <c r="M582" i="3"/>
  <c r="V582" i="3"/>
  <c r="AD582" i="3"/>
  <c r="N582" i="3"/>
  <c r="AL582" i="3"/>
  <c r="O582" i="3"/>
  <c r="AJ582" i="3"/>
  <c r="P582" i="3"/>
  <c r="Q582" i="3"/>
  <c r="Y582" i="3"/>
  <c r="AO582" i="3"/>
  <c r="K583" i="3"/>
  <c r="L583" i="3"/>
  <c r="AF583" i="3"/>
  <c r="M583" i="3"/>
  <c r="V583" i="3"/>
  <c r="AD583" i="3"/>
  <c r="N583" i="3"/>
  <c r="AL583" i="3"/>
  <c r="O583" i="3"/>
  <c r="AJ583" i="3"/>
  <c r="P583" i="3"/>
  <c r="Q583" i="3"/>
  <c r="Y583" i="3"/>
  <c r="AO583" i="3"/>
  <c r="K584" i="3"/>
  <c r="L584" i="3"/>
  <c r="AF584" i="3"/>
  <c r="M584" i="3"/>
  <c r="V584" i="3"/>
  <c r="AD584" i="3"/>
  <c r="N584" i="3"/>
  <c r="AL584" i="3"/>
  <c r="O584" i="3"/>
  <c r="AJ584" i="3"/>
  <c r="P584" i="3"/>
  <c r="Q584" i="3"/>
  <c r="Y584" i="3"/>
  <c r="AO584" i="3"/>
  <c r="K585" i="3"/>
  <c r="L585" i="3"/>
  <c r="AF585" i="3"/>
  <c r="M585" i="3"/>
  <c r="V585" i="3"/>
  <c r="AD585" i="3"/>
  <c r="N585" i="3"/>
  <c r="AL585" i="3"/>
  <c r="O585" i="3"/>
  <c r="AJ585" i="3"/>
  <c r="P585" i="3"/>
  <c r="Q585" i="3"/>
  <c r="Y585" i="3"/>
  <c r="AO585" i="3"/>
  <c r="K586" i="3"/>
  <c r="L586" i="3"/>
  <c r="AF586" i="3"/>
  <c r="M586" i="3"/>
  <c r="V586" i="3"/>
  <c r="AD586" i="3"/>
  <c r="N586" i="3"/>
  <c r="AL586" i="3"/>
  <c r="O586" i="3"/>
  <c r="AJ586" i="3"/>
  <c r="P586" i="3"/>
  <c r="Q586" i="3"/>
  <c r="Y586" i="3"/>
  <c r="AO586" i="3"/>
  <c r="K587" i="3"/>
  <c r="L587" i="3"/>
  <c r="AF587" i="3"/>
  <c r="M587" i="3"/>
  <c r="V587" i="3"/>
  <c r="AD587" i="3"/>
  <c r="N587" i="3"/>
  <c r="AL587" i="3"/>
  <c r="O587" i="3"/>
  <c r="AJ587" i="3"/>
  <c r="P587" i="3"/>
  <c r="Q587" i="3"/>
  <c r="Y587" i="3"/>
  <c r="AO587" i="3"/>
  <c r="K588" i="3"/>
  <c r="L588" i="3"/>
  <c r="AF588" i="3"/>
  <c r="M588" i="3"/>
  <c r="V588" i="3"/>
  <c r="AD588" i="3"/>
  <c r="N588" i="3"/>
  <c r="AL588" i="3"/>
  <c r="O588" i="3"/>
  <c r="AJ588" i="3"/>
  <c r="P588" i="3"/>
  <c r="Q588" i="3"/>
  <c r="Y588" i="3"/>
  <c r="AO588" i="3"/>
  <c r="K589" i="3"/>
  <c r="L589" i="3"/>
  <c r="AF589" i="3"/>
  <c r="M589" i="3"/>
  <c r="V589" i="3"/>
  <c r="AD589" i="3"/>
  <c r="N589" i="3"/>
  <c r="AL589" i="3"/>
  <c r="O589" i="3"/>
  <c r="AJ589" i="3"/>
  <c r="P589" i="3"/>
  <c r="Q589" i="3"/>
  <c r="Y589" i="3"/>
  <c r="AO589" i="3"/>
  <c r="K590" i="3"/>
  <c r="L590" i="3"/>
  <c r="AF590" i="3"/>
  <c r="M590" i="3"/>
  <c r="V590" i="3"/>
  <c r="AD590" i="3"/>
  <c r="N590" i="3"/>
  <c r="AL590" i="3"/>
  <c r="O590" i="3"/>
  <c r="AJ590" i="3"/>
  <c r="P590" i="3"/>
  <c r="Q590" i="3"/>
  <c r="Y590" i="3"/>
  <c r="AO590" i="3"/>
  <c r="K591" i="3"/>
  <c r="L591" i="3"/>
  <c r="AF591" i="3"/>
  <c r="M591" i="3"/>
  <c r="V591" i="3"/>
  <c r="AD591" i="3"/>
  <c r="N591" i="3"/>
  <c r="AL591" i="3"/>
  <c r="O591" i="3"/>
  <c r="AJ591" i="3"/>
  <c r="P591" i="3"/>
  <c r="Q591" i="3"/>
  <c r="Y591" i="3"/>
  <c r="AO591" i="3"/>
  <c r="K592" i="3"/>
  <c r="L592" i="3"/>
  <c r="AF592" i="3"/>
  <c r="M592" i="3"/>
  <c r="V592" i="3"/>
  <c r="AD592" i="3"/>
  <c r="N592" i="3"/>
  <c r="AL592" i="3"/>
  <c r="O592" i="3"/>
  <c r="AJ592" i="3"/>
  <c r="P592" i="3"/>
  <c r="Q592" i="3"/>
  <c r="Y592" i="3"/>
  <c r="AO592" i="3"/>
  <c r="K593" i="3"/>
  <c r="L593" i="3"/>
  <c r="AF593" i="3"/>
  <c r="M593" i="3"/>
  <c r="V593" i="3"/>
  <c r="AD593" i="3"/>
  <c r="N593" i="3"/>
  <c r="AL593" i="3"/>
  <c r="O593" i="3"/>
  <c r="AJ593" i="3"/>
  <c r="P593" i="3"/>
  <c r="Q593" i="3"/>
  <c r="Y593" i="3"/>
  <c r="AO593" i="3"/>
  <c r="K594" i="3"/>
  <c r="L594" i="3"/>
  <c r="AF594" i="3"/>
  <c r="M594" i="3"/>
  <c r="V594" i="3"/>
  <c r="AD594" i="3"/>
  <c r="N594" i="3"/>
  <c r="AL594" i="3"/>
  <c r="O594" i="3"/>
  <c r="AJ594" i="3"/>
  <c r="P594" i="3"/>
  <c r="Q594" i="3"/>
  <c r="Y594" i="3"/>
  <c r="AO594" i="3"/>
  <c r="K595" i="3"/>
  <c r="L595" i="3"/>
  <c r="AF595" i="3"/>
  <c r="M595" i="3"/>
  <c r="V595" i="3"/>
  <c r="AD595" i="3"/>
  <c r="N595" i="3"/>
  <c r="AL595" i="3"/>
  <c r="O595" i="3"/>
  <c r="AJ595" i="3"/>
  <c r="P595" i="3"/>
  <c r="Q595" i="3"/>
  <c r="Y595" i="3"/>
  <c r="AO595" i="3"/>
  <c r="K596" i="3"/>
  <c r="L596" i="3"/>
  <c r="AF596" i="3"/>
  <c r="M596" i="3"/>
  <c r="V596" i="3"/>
  <c r="AD596" i="3"/>
  <c r="N596" i="3"/>
  <c r="AL596" i="3"/>
  <c r="O596" i="3"/>
  <c r="AJ596" i="3"/>
  <c r="P596" i="3"/>
  <c r="Q596" i="3"/>
  <c r="Y596" i="3"/>
  <c r="AO596" i="3"/>
  <c r="K597" i="3"/>
  <c r="L597" i="3"/>
  <c r="AF597" i="3"/>
  <c r="M597" i="3"/>
  <c r="V597" i="3"/>
  <c r="AD597" i="3"/>
  <c r="N597" i="3"/>
  <c r="AL597" i="3"/>
  <c r="O597" i="3"/>
  <c r="AJ597" i="3"/>
  <c r="P597" i="3"/>
  <c r="Q597" i="3"/>
  <c r="Y597" i="3"/>
  <c r="AO597" i="3"/>
  <c r="K598" i="3"/>
  <c r="L598" i="3"/>
  <c r="AF598" i="3"/>
  <c r="M598" i="3"/>
  <c r="V598" i="3"/>
  <c r="AD598" i="3"/>
  <c r="N598" i="3"/>
  <c r="AL598" i="3"/>
  <c r="O598" i="3"/>
  <c r="AJ598" i="3"/>
  <c r="P598" i="3"/>
  <c r="Q598" i="3"/>
  <c r="Y598" i="3"/>
  <c r="AO598" i="3"/>
  <c r="K599" i="3"/>
  <c r="L599" i="3"/>
  <c r="AF599" i="3"/>
  <c r="M599" i="3"/>
  <c r="V599" i="3"/>
  <c r="AD599" i="3"/>
  <c r="N599" i="3"/>
  <c r="AL599" i="3"/>
  <c r="O599" i="3"/>
  <c r="AJ599" i="3"/>
  <c r="P599" i="3"/>
  <c r="Q599" i="3"/>
  <c r="Y599" i="3"/>
  <c r="AO599" i="3"/>
  <c r="K600" i="3"/>
  <c r="L600" i="3"/>
  <c r="AF600" i="3"/>
  <c r="M600" i="3"/>
  <c r="V600" i="3"/>
  <c r="AD600" i="3"/>
  <c r="N600" i="3"/>
  <c r="AL600" i="3"/>
  <c r="O600" i="3"/>
  <c r="AJ600" i="3"/>
  <c r="P600" i="3"/>
  <c r="Q600" i="3"/>
  <c r="Y600" i="3"/>
  <c r="AO600" i="3"/>
  <c r="K601" i="3"/>
  <c r="L601" i="3"/>
  <c r="AF601" i="3"/>
  <c r="M601" i="3"/>
  <c r="V601" i="3"/>
  <c r="AD601" i="3"/>
  <c r="N601" i="3"/>
  <c r="AL601" i="3"/>
  <c r="O601" i="3"/>
  <c r="AJ601" i="3"/>
  <c r="P601" i="3"/>
  <c r="Q601" i="3"/>
  <c r="Y601" i="3"/>
  <c r="AO601" i="3"/>
  <c r="K602" i="3"/>
  <c r="L602" i="3"/>
  <c r="AF602" i="3"/>
  <c r="M602" i="3"/>
  <c r="V602" i="3"/>
  <c r="AD602" i="3"/>
  <c r="N602" i="3"/>
  <c r="AL602" i="3"/>
  <c r="O602" i="3"/>
  <c r="AJ602" i="3"/>
  <c r="P602" i="3"/>
  <c r="Q602" i="3"/>
  <c r="Y602" i="3"/>
  <c r="AO602" i="3"/>
  <c r="K603" i="3"/>
  <c r="L603" i="3"/>
  <c r="AF603" i="3"/>
  <c r="M603" i="3"/>
  <c r="V603" i="3"/>
  <c r="AD603" i="3"/>
  <c r="N603" i="3"/>
  <c r="AL603" i="3"/>
  <c r="O603" i="3"/>
  <c r="AJ603" i="3"/>
  <c r="P603" i="3"/>
  <c r="Q603" i="3"/>
  <c r="Y603" i="3"/>
  <c r="AO603" i="3"/>
  <c r="K604" i="3"/>
  <c r="L604" i="3"/>
  <c r="AF604" i="3"/>
  <c r="M604" i="3"/>
  <c r="V604" i="3"/>
  <c r="AD604" i="3"/>
  <c r="N604" i="3"/>
  <c r="AL604" i="3"/>
  <c r="O604" i="3"/>
  <c r="AJ604" i="3"/>
  <c r="P604" i="3"/>
  <c r="Q604" i="3"/>
  <c r="Y604" i="3"/>
  <c r="AO604" i="3"/>
  <c r="K605" i="3"/>
  <c r="L605" i="3"/>
  <c r="AF605" i="3"/>
  <c r="M605" i="3"/>
  <c r="V605" i="3"/>
  <c r="AD605" i="3"/>
  <c r="N605" i="3"/>
  <c r="AL605" i="3"/>
  <c r="O605" i="3"/>
  <c r="AJ605" i="3"/>
  <c r="P605" i="3"/>
  <c r="Q605" i="3"/>
  <c r="Y605" i="3"/>
  <c r="AO605" i="3"/>
  <c r="K606" i="3"/>
  <c r="L606" i="3"/>
  <c r="AF606" i="3"/>
  <c r="M606" i="3"/>
  <c r="V606" i="3"/>
  <c r="AD606" i="3"/>
  <c r="N606" i="3"/>
  <c r="AL606" i="3"/>
  <c r="O606" i="3"/>
  <c r="AJ606" i="3"/>
  <c r="P606" i="3"/>
  <c r="Q606" i="3"/>
  <c r="Y606" i="3"/>
  <c r="AO606" i="3"/>
  <c r="K607" i="3"/>
  <c r="L607" i="3"/>
  <c r="AF607" i="3"/>
  <c r="M607" i="3"/>
  <c r="V607" i="3"/>
  <c r="AD607" i="3"/>
  <c r="N607" i="3"/>
  <c r="AL607" i="3"/>
  <c r="O607" i="3"/>
  <c r="AJ607" i="3"/>
  <c r="P607" i="3"/>
  <c r="Q607" i="3"/>
  <c r="Y607" i="3"/>
  <c r="AO607" i="3"/>
  <c r="K608" i="3"/>
  <c r="L608" i="3"/>
  <c r="AF608" i="3"/>
  <c r="M608" i="3"/>
  <c r="V608" i="3"/>
  <c r="AD608" i="3"/>
  <c r="N608" i="3"/>
  <c r="AL608" i="3"/>
  <c r="O608" i="3"/>
  <c r="AJ608" i="3"/>
  <c r="P608" i="3"/>
  <c r="Q608" i="3"/>
  <c r="Y608" i="3"/>
  <c r="AO608" i="3"/>
  <c r="K609" i="3"/>
  <c r="L609" i="3"/>
  <c r="AF609" i="3"/>
  <c r="M609" i="3"/>
  <c r="V609" i="3"/>
  <c r="AD609" i="3"/>
  <c r="N609" i="3"/>
  <c r="AL609" i="3"/>
  <c r="O609" i="3"/>
  <c r="AJ609" i="3"/>
  <c r="P609" i="3"/>
  <c r="Q609" i="3"/>
  <c r="Y609" i="3"/>
  <c r="AO609" i="3"/>
  <c r="K610" i="3"/>
  <c r="L610" i="3"/>
  <c r="AF610" i="3"/>
  <c r="M610" i="3"/>
  <c r="V610" i="3"/>
  <c r="AD610" i="3"/>
  <c r="N610" i="3"/>
  <c r="AL610" i="3"/>
  <c r="O610" i="3"/>
  <c r="AJ610" i="3"/>
  <c r="P610" i="3"/>
  <c r="Q610" i="3"/>
  <c r="Y610" i="3"/>
  <c r="AO610" i="3"/>
  <c r="K611" i="3"/>
  <c r="L611" i="3"/>
  <c r="AF611" i="3"/>
  <c r="M611" i="3"/>
  <c r="V611" i="3"/>
  <c r="AD611" i="3"/>
  <c r="N611" i="3"/>
  <c r="AL611" i="3"/>
  <c r="O611" i="3"/>
  <c r="AJ611" i="3"/>
  <c r="P611" i="3"/>
  <c r="Q611" i="3"/>
  <c r="Y611" i="3"/>
  <c r="AO611" i="3"/>
  <c r="D741" i="3"/>
  <c r="AE741" i="3"/>
  <c r="M7" i="3"/>
  <c r="N7" i="3"/>
  <c r="N6" i="3"/>
  <c r="N5" i="3"/>
  <c r="N4" i="3"/>
  <c r="N3" i="3"/>
  <c r="E22" i="3"/>
  <c r="F22" i="3"/>
  <c r="F4" i="3"/>
  <c r="K22" i="3"/>
  <c r="L22" i="3"/>
  <c r="J22" i="3"/>
  <c r="V22" i="3"/>
  <c r="AD22" i="3"/>
  <c r="AF22" i="3"/>
  <c r="M22" i="3"/>
  <c r="N22" i="3"/>
  <c r="AJ22" i="3"/>
  <c r="AL22" i="3"/>
  <c r="O22" i="3"/>
  <c r="P22" i="3"/>
  <c r="Q22" i="3"/>
  <c r="K23" i="3"/>
  <c r="L23" i="3"/>
  <c r="V23" i="3"/>
  <c r="AD23" i="3"/>
  <c r="AF23" i="3"/>
  <c r="M23" i="3"/>
  <c r="N23" i="3"/>
  <c r="AJ23" i="3"/>
  <c r="AL23" i="3"/>
  <c r="O23" i="3"/>
  <c r="P23" i="3"/>
  <c r="Q23" i="3"/>
  <c r="L24" i="3"/>
  <c r="V24" i="3"/>
  <c r="AD24" i="3"/>
  <c r="AF24" i="3"/>
  <c r="M24" i="3"/>
  <c r="N24" i="3"/>
  <c r="AJ24" i="3"/>
  <c r="AL24" i="3"/>
  <c r="O24" i="3"/>
  <c r="P24" i="3"/>
  <c r="Q24" i="3"/>
  <c r="K25" i="3"/>
  <c r="L25" i="3"/>
  <c r="V25" i="3"/>
  <c r="AD25" i="3"/>
  <c r="AF25" i="3"/>
  <c r="M25" i="3"/>
  <c r="N25" i="3"/>
  <c r="AJ25" i="3"/>
  <c r="AL25" i="3"/>
  <c r="O25" i="3"/>
  <c r="P25" i="3"/>
  <c r="Q25" i="3"/>
  <c r="K26" i="3"/>
  <c r="L26" i="3"/>
  <c r="V26" i="3"/>
  <c r="AD26" i="3"/>
  <c r="AF26" i="3"/>
  <c r="M26" i="3"/>
  <c r="N26" i="3"/>
  <c r="AJ26" i="3"/>
  <c r="AL26" i="3"/>
  <c r="O26" i="3"/>
  <c r="P26" i="3"/>
  <c r="Q26" i="3"/>
  <c r="K27" i="3"/>
  <c r="L27" i="3"/>
  <c r="V27" i="3"/>
  <c r="AD27" i="3"/>
  <c r="AF27" i="3"/>
  <c r="M27" i="3"/>
  <c r="N27" i="3"/>
  <c r="AJ27" i="3"/>
  <c r="AL27" i="3"/>
  <c r="O27" i="3"/>
  <c r="P27" i="3"/>
  <c r="Q27" i="3"/>
  <c r="K28" i="3"/>
  <c r="L28" i="3"/>
  <c r="V28" i="3"/>
  <c r="AD28" i="3"/>
  <c r="AF28" i="3"/>
  <c r="M28" i="3"/>
  <c r="N28" i="3"/>
  <c r="AJ28" i="3"/>
  <c r="AL28" i="3"/>
  <c r="O28" i="3"/>
  <c r="P28" i="3"/>
  <c r="Q28" i="3"/>
  <c r="K29" i="3"/>
  <c r="L29" i="3"/>
  <c r="V29" i="3"/>
  <c r="AD29" i="3"/>
  <c r="AF29" i="3"/>
  <c r="M29" i="3"/>
  <c r="N29" i="3"/>
  <c r="AJ29" i="3"/>
  <c r="AL29" i="3"/>
  <c r="O29" i="3"/>
  <c r="P29" i="3"/>
  <c r="Q29" i="3"/>
  <c r="K30" i="3"/>
  <c r="L30" i="3"/>
  <c r="V30" i="3"/>
  <c r="AD30" i="3"/>
  <c r="AF30" i="3"/>
  <c r="M30" i="3"/>
  <c r="N30" i="3"/>
  <c r="AJ30" i="3"/>
  <c r="AL30" i="3"/>
  <c r="O30" i="3"/>
  <c r="P30" i="3"/>
  <c r="Q30" i="3"/>
  <c r="K31" i="3"/>
  <c r="L31" i="3"/>
  <c r="V31" i="3"/>
  <c r="AD31" i="3"/>
  <c r="AF31" i="3"/>
  <c r="M31" i="3"/>
  <c r="N31" i="3"/>
  <c r="AJ31" i="3"/>
  <c r="AL31" i="3"/>
  <c r="O31" i="3"/>
  <c r="P31" i="3"/>
  <c r="Q31" i="3"/>
  <c r="K32" i="3"/>
  <c r="L32" i="3"/>
  <c r="V32" i="3"/>
  <c r="AD32" i="3"/>
  <c r="AF32" i="3"/>
  <c r="M32" i="3"/>
  <c r="N32" i="3"/>
  <c r="AJ32" i="3"/>
  <c r="AL32" i="3"/>
  <c r="O32" i="3"/>
  <c r="P32" i="3"/>
  <c r="Q32" i="3"/>
  <c r="K33" i="3"/>
  <c r="L33" i="3"/>
  <c r="V33" i="3"/>
  <c r="AD33" i="3"/>
  <c r="AF33" i="3"/>
  <c r="M33" i="3"/>
  <c r="N33" i="3"/>
  <c r="AJ33" i="3"/>
  <c r="AL33" i="3"/>
  <c r="O33" i="3"/>
  <c r="P33" i="3"/>
  <c r="Q33" i="3"/>
  <c r="K34" i="3"/>
  <c r="L34" i="3"/>
  <c r="V34" i="3"/>
  <c r="AD34" i="3"/>
  <c r="AF34" i="3"/>
  <c r="M34" i="3"/>
  <c r="N34" i="3"/>
  <c r="AJ34" i="3"/>
  <c r="AL34" i="3"/>
  <c r="O34" i="3"/>
  <c r="P34" i="3"/>
  <c r="Q34" i="3"/>
  <c r="K35" i="3"/>
  <c r="L35" i="3"/>
  <c r="V35" i="3"/>
  <c r="AD35" i="3"/>
  <c r="AF35" i="3"/>
  <c r="M35" i="3"/>
  <c r="N35" i="3"/>
  <c r="AJ35" i="3"/>
  <c r="AL35" i="3"/>
  <c r="O35" i="3"/>
  <c r="P35" i="3"/>
  <c r="Q35" i="3"/>
  <c r="K36" i="3"/>
  <c r="L36" i="3"/>
  <c r="V36" i="3"/>
  <c r="AD36" i="3"/>
  <c r="AF36" i="3"/>
  <c r="M36" i="3"/>
  <c r="N36" i="3"/>
  <c r="AJ36" i="3"/>
  <c r="AL36" i="3"/>
  <c r="O36" i="3"/>
  <c r="P36" i="3"/>
  <c r="Q36" i="3"/>
  <c r="K37" i="3"/>
  <c r="L37" i="3"/>
  <c r="V37" i="3"/>
  <c r="AD37" i="3"/>
  <c r="AF37" i="3"/>
  <c r="M37" i="3"/>
  <c r="N37" i="3"/>
  <c r="AJ37" i="3"/>
  <c r="AL37" i="3"/>
  <c r="O37" i="3"/>
  <c r="P37" i="3"/>
  <c r="Q37" i="3"/>
  <c r="K38" i="3"/>
  <c r="L38" i="3"/>
  <c r="V38" i="3"/>
  <c r="AD38" i="3"/>
  <c r="AF38" i="3"/>
  <c r="M38" i="3"/>
  <c r="N38" i="3"/>
  <c r="AJ38" i="3"/>
  <c r="AL38" i="3"/>
  <c r="O38" i="3"/>
  <c r="P38" i="3"/>
  <c r="Q38" i="3"/>
  <c r="K39" i="3"/>
  <c r="L39" i="3"/>
  <c r="V39" i="3"/>
  <c r="AD39" i="3"/>
  <c r="AF39" i="3"/>
  <c r="M39" i="3"/>
  <c r="N39" i="3"/>
  <c r="AJ39" i="3"/>
  <c r="AL39" i="3"/>
  <c r="O39" i="3"/>
  <c r="P39" i="3"/>
  <c r="Q39" i="3"/>
  <c r="K40" i="3"/>
  <c r="L40" i="3"/>
  <c r="V40" i="3"/>
  <c r="AD40" i="3"/>
  <c r="AF40" i="3"/>
  <c r="M40" i="3"/>
  <c r="N40" i="3"/>
  <c r="AJ40" i="3"/>
  <c r="AL40" i="3"/>
  <c r="O40" i="3"/>
  <c r="P40" i="3"/>
  <c r="Q40" i="3"/>
  <c r="K41" i="3"/>
  <c r="L41" i="3"/>
  <c r="V41" i="3"/>
  <c r="AD41" i="3"/>
  <c r="AF41" i="3"/>
  <c r="M41" i="3"/>
  <c r="N41" i="3"/>
  <c r="AJ41" i="3"/>
  <c r="AL41" i="3"/>
  <c r="O41" i="3"/>
  <c r="P41" i="3"/>
  <c r="Q41" i="3"/>
  <c r="K42" i="3"/>
  <c r="L42" i="3"/>
  <c r="V42" i="3"/>
  <c r="AD42" i="3"/>
  <c r="AF42" i="3"/>
  <c r="M42" i="3"/>
  <c r="N42" i="3"/>
  <c r="AJ42" i="3"/>
  <c r="AL42" i="3"/>
  <c r="O42" i="3"/>
  <c r="P42" i="3"/>
  <c r="Q42" i="3"/>
  <c r="K43" i="3"/>
  <c r="L43" i="3"/>
  <c r="V43" i="3"/>
  <c r="AD43" i="3"/>
  <c r="AF43" i="3"/>
  <c r="M43" i="3"/>
  <c r="N43" i="3"/>
  <c r="AJ43" i="3"/>
  <c r="AL43" i="3"/>
  <c r="O43" i="3"/>
  <c r="P43" i="3"/>
  <c r="Q43" i="3"/>
  <c r="K44" i="3"/>
  <c r="L44" i="3"/>
  <c r="V44" i="3"/>
  <c r="AD44" i="3"/>
  <c r="AF44" i="3"/>
  <c r="M44" i="3"/>
  <c r="N44" i="3"/>
  <c r="AJ44" i="3"/>
  <c r="AL44" i="3"/>
  <c r="O44" i="3"/>
  <c r="P44" i="3"/>
  <c r="Q44" i="3"/>
  <c r="K45" i="3"/>
  <c r="L45" i="3"/>
  <c r="V45" i="3"/>
  <c r="AD45" i="3"/>
  <c r="AF45" i="3"/>
  <c r="M45" i="3"/>
  <c r="N45" i="3"/>
  <c r="AJ45" i="3"/>
  <c r="AL45" i="3"/>
  <c r="O45" i="3"/>
  <c r="P45" i="3"/>
  <c r="Q45" i="3"/>
  <c r="K46" i="3"/>
  <c r="L46" i="3"/>
  <c r="V46" i="3"/>
  <c r="AD46" i="3"/>
  <c r="AF46" i="3"/>
  <c r="M46" i="3"/>
  <c r="N46" i="3"/>
  <c r="AJ46" i="3"/>
  <c r="AL46" i="3"/>
  <c r="O46" i="3"/>
  <c r="P46" i="3"/>
  <c r="Q46" i="3"/>
  <c r="K47" i="3"/>
  <c r="L47" i="3"/>
  <c r="V47" i="3"/>
  <c r="AD47" i="3"/>
  <c r="AF47" i="3"/>
  <c r="M47" i="3"/>
  <c r="N47" i="3"/>
  <c r="AJ47" i="3"/>
  <c r="AL47" i="3"/>
  <c r="O47" i="3"/>
  <c r="P47" i="3"/>
  <c r="Q47" i="3"/>
  <c r="K48" i="3"/>
  <c r="L48" i="3"/>
  <c r="V48" i="3"/>
  <c r="AD48" i="3"/>
  <c r="AF48" i="3"/>
  <c r="M48" i="3"/>
  <c r="N48" i="3"/>
  <c r="AJ48" i="3"/>
  <c r="AL48" i="3"/>
  <c r="O48" i="3"/>
  <c r="P48" i="3"/>
  <c r="Q48" i="3"/>
  <c r="K49" i="3"/>
  <c r="L49" i="3"/>
  <c r="V49" i="3"/>
  <c r="AD49" i="3"/>
  <c r="AF49" i="3"/>
  <c r="M49" i="3"/>
  <c r="N49" i="3"/>
  <c r="AJ49" i="3"/>
  <c r="AL49" i="3"/>
  <c r="O49" i="3"/>
  <c r="P49" i="3"/>
  <c r="Q49" i="3"/>
  <c r="K50" i="3"/>
  <c r="L50" i="3"/>
  <c r="V50" i="3"/>
  <c r="AD50" i="3"/>
  <c r="AF50" i="3"/>
  <c r="M50" i="3"/>
  <c r="N50" i="3"/>
  <c r="AJ50" i="3"/>
  <c r="AL50" i="3"/>
  <c r="O50" i="3"/>
  <c r="P50" i="3"/>
  <c r="Q50" i="3"/>
  <c r="K51" i="3"/>
  <c r="L51" i="3"/>
  <c r="V51" i="3"/>
  <c r="AD51" i="3"/>
  <c r="AF51" i="3"/>
  <c r="M51" i="3"/>
  <c r="N51" i="3"/>
  <c r="AJ51" i="3"/>
  <c r="AL51" i="3"/>
  <c r="O51" i="3"/>
  <c r="P51" i="3"/>
  <c r="Q51" i="3"/>
  <c r="K52" i="3"/>
  <c r="L52" i="3"/>
  <c r="V52" i="3"/>
  <c r="AD52" i="3"/>
  <c r="AF52" i="3"/>
  <c r="M52" i="3"/>
  <c r="N52" i="3"/>
  <c r="AJ52" i="3"/>
  <c r="AL52" i="3"/>
  <c r="O52" i="3"/>
  <c r="P52" i="3"/>
  <c r="Q52" i="3"/>
  <c r="K53" i="3"/>
  <c r="L53" i="3"/>
  <c r="V53" i="3"/>
  <c r="AD53" i="3"/>
  <c r="AF53" i="3"/>
  <c r="M53" i="3"/>
  <c r="N53" i="3"/>
  <c r="AJ53" i="3"/>
  <c r="AL53" i="3"/>
  <c r="O53" i="3"/>
  <c r="P53" i="3"/>
  <c r="Q53" i="3"/>
  <c r="K54" i="3"/>
  <c r="L54" i="3"/>
  <c r="V54" i="3"/>
  <c r="AD54" i="3"/>
  <c r="AF54" i="3"/>
  <c r="M54" i="3"/>
  <c r="N54" i="3"/>
  <c r="AJ54" i="3"/>
  <c r="AL54" i="3"/>
  <c r="O54" i="3"/>
  <c r="P54" i="3"/>
  <c r="Q54" i="3"/>
  <c r="K55" i="3"/>
  <c r="L55" i="3"/>
  <c r="V55" i="3"/>
  <c r="AD55" i="3"/>
  <c r="AF55" i="3"/>
  <c r="M55" i="3"/>
  <c r="N55" i="3"/>
  <c r="AJ55" i="3"/>
  <c r="AL55" i="3"/>
  <c r="O55" i="3"/>
  <c r="P55" i="3"/>
  <c r="Q55" i="3"/>
  <c r="K56" i="3"/>
  <c r="L56" i="3"/>
  <c r="V56" i="3"/>
  <c r="AD56" i="3"/>
  <c r="AF56" i="3"/>
  <c r="M56" i="3"/>
  <c r="N56" i="3"/>
  <c r="AJ56" i="3"/>
  <c r="AL56" i="3"/>
  <c r="O56" i="3"/>
  <c r="P56" i="3"/>
  <c r="Q56" i="3"/>
  <c r="K57" i="3"/>
  <c r="L57" i="3"/>
  <c r="V57" i="3"/>
  <c r="AD57" i="3"/>
  <c r="AF57" i="3"/>
  <c r="M57" i="3"/>
  <c r="N57" i="3"/>
  <c r="AJ57" i="3"/>
  <c r="AL57" i="3"/>
  <c r="O57" i="3"/>
  <c r="P57" i="3"/>
  <c r="Q57" i="3"/>
  <c r="K58" i="3"/>
  <c r="L58" i="3"/>
  <c r="V58" i="3"/>
  <c r="AD58" i="3"/>
  <c r="AF58" i="3"/>
  <c r="M58" i="3"/>
  <c r="N58" i="3"/>
  <c r="AJ58" i="3"/>
  <c r="AL58" i="3"/>
  <c r="O58" i="3"/>
  <c r="P58" i="3"/>
  <c r="Q58" i="3"/>
  <c r="K59" i="3"/>
  <c r="L59" i="3"/>
  <c r="V59" i="3"/>
  <c r="AD59" i="3"/>
  <c r="AF59" i="3"/>
  <c r="M59" i="3"/>
  <c r="N59" i="3"/>
  <c r="AJ59" i="3"/>
  <c r="AL59" i="3"/>
  <c r="O59" i="3"/>
  <c r="P59" i="3"/>
  <c r="Q59" i="3"/>
  <c r="K60" i="3"/>
  <c r="L60" i="3"/>
  <c r="V60" i="3"/>
  <c r="AD60" i="3"/>
  <c r="AF60" i="3"/>
  <c r="M60" i="3"/>
  <c r="N60" i="3"/>
  <c r="AJ60" i="3"/>
  <c r="AL60" i="3"/>
  <c r="O60" i="3"/>
  <c r="P60" i="3"/>
  <c r="Q60" i="3"/>
  <c r="K61" i="3"/>
  <c r="L61" i="3"/>
  <c r="V61" i="3"/>
  <c r="AD61" i="3"/>
  <c r="AF61" i="3"/>
  <c r="M61" i="3"/>
  <c r="N61" i="3"/>
  <c r="AJ61" i="3"/>
  <c r="AL61" i="3"/>
  <c r="O61" i="3"/>
  <c r="P61" i="3"/>
  <c r="Q61" i="3"/>
  <c r="K62" i="3"/>
  <c r="L62" i="3"/>
  <c r="V62" i="3"/>
  <c r="AD62" i="3"/>
  <c r="AF62" i="3"/>
  <c r="M62" i="3"/>
  <c r="N62" i="3"/>
  <c r="AJ62" i="3"/>
  <c r="AL62" i="3"/>
  <c r="O62" i="3"/>
  <c r="P62" i="3"/>
  <c r="Q62" i="3"/>
  <c r="K63" i="3"/>
  <c r="L63" i="3"/>
  <c r="V63" i="3"/>
  <c r="AD63" i="3"/>
  <c r="AF63" i="3"/>
  <c r="M63" i="3"/>
  <c r="N63" i="3"/>
  <c r="AJ63" i="3"/>
  <c r="AL63" i="3"/>
  <c r="O63" i="3"/>
  <c r="P63" i="3"/>
  <c r="Q63" i="3"/>
  <c r="K64" i="3"/>
  <c r="L64" i="3"/>
  <c r="V64" i="3"/>
  <c r="AD64" i="3"/>
  <c r="AF64" i="3"/>
  <c r="M64" i="3"/>
  <c r="N64" i="3"/>
  <c r="AJ64" i="3"/>
  <c r="AL64" i="3"/>
  <c r="O64" i="3"/>
  <c r="P64" i="3"/>
  <c r="Q64" i="3"/>
  <c r="K65" i="3"/>
  <c r="L65" i="3"/>
  <c r="V65" i="3"/>
  <c r="AD65" i="3"/>
  <c r="AF65" i="3"/>
  <c r="M65" i="3"/>
  <c r="N65" i="3"/>
  <c r="AJ65" i="3"/>
  <c r="AL65" i="3"/>
  <c r="O65" i="3"/>
  <c r="P65" i="3"/>
  <c r="Q65" i="3"/>
  <c r="K66" i="3"/>
  <c r="L66" i="3"/>
  <c r="V66" i="3"/>
  <c r="AD66" i="3"/>
  <c r="AF66" i="3"/>
  <c r="M66" i="3"/>
  <c r="N66" i="3"/>
  <c r="AJ66" i="3"/>
  <c r="AL66" i="3"/>
  <c r="O66" i="3"/>
  <c r="P66" i="3"/>
  <c r="Q66" i="3"/>
  <c r="K67" i="3"/>
  <c r="L67" i="3"/>
  <c r="V67" i="3"/>
  <c r="AD67" i="3"/>
  <c r="AF67" i="3"/>
  <c r="M67" i="3"/>
  <c r="N67" i="3"/>
  <c r="AJ67" i="3"/>
  <c r="AL67" i="3"/>
  <c r="O67" i="3"/>
  <c r="P67" i="3"/>
  <c r="Q67" i="3"/>
  <c r="K68" i="3"/>
  <c r="L68" i="3"/>
  <c r="V68" i="3"/>
  <c r="AD68" i="3"/>
  <c r="AF68" i="3"/>
  <c r="M68" i="3"/>
  <c r="N68" i="3"/>
  <c r="AJ68" i="3"/>
  <c r="AL68" i="3"/>
  <c r="O68" i="3"/>
  <c r="P68" i="3"/>
  <c r="Q68" i="3"/>
  <c r="K69" i="3"/>
  <c r="L69" i="3"/>
  <c r="V69" i="3"/>
  <c r="AD69" i="3"/>
  <c r="AF69" i="3"/>
  <c r="M69" i="3"/>
  <c r="N69" i="3"/>
  <c r="AJ69" i="3"/>
  <c r="AL69" i="3"/>
  <c r="O69" i="3"/>
  <c r="P69" i="3"/>
  <c r="Q69" i="3"/>
  <c r="K70" i="3"/>
  <c r="L70" i="3"/>
  <c r="V70" i="3"/>
  <c r="AD70" i="3"/>
  <c r="AF70" i="3"/>
  <c r="M70" i="3"/>
  <c r="N70" i="3"/>
  <c r="AJ70" i="3"/>
  <c r="AL70" i="3"/>
  <c r="O70" i="3"/>
  <c r="P70" i="3"/>
  <c r="Q70" i="3"/>
  <c r="K71" i="3"/>
  <c r="L71" i="3"/>
  <c r="V71" i="3"/>
  <c r="AD71" i="3"/>
  <c r="AF71" i="3"/>
  <c r="M71" i="3"/>
  <c r="N71" i="3"/>
  <c r="AJ71" i="3"/>
  <c r="AL71" i="3"/>
  <c r="O71" i="3"/>
  <c r="P71" i="3"/>
  <c r="Q71" i="3"/>
  <c r="K72" i="3"/>
  <c r="L72" i="3"/>
  <c r="V72" i="3"/>
  <c r="AD72" i="3"/>
  <c r="AF72" i="3"/>
  <c r="M72" i="3"/>
  <c r="N72" i="3"/>
  <c r="AJ72" i="3"/>
  <c r="AL72" i="3"/>
  <c r="O72" i="3"/>
  <c r="P72" i="3"/>
  <c r="Q72" i="3"/>
  <c r="K73" i="3"/>
  <c r="L73" i="3"/>
  <c r="V73" i="3"/>
  <c r="AD73" i="3"/>
  <c r="AF73" i="3"/>
  <c r="M73" i="3"/>
  <c r="N73" i="3"/>
  <c r="AJ73" i="3"/>
  <c r="AL73" i="3"/>
  <c r="O73" i="3"/>
  <c r="P73" i="3"/>
  <c r="Q73" i="3"/>
  <c r="K74" i="3"/>
  <c r="L74" i="3"/>
  <c r="V74" i="3"/>
  <c r="AD74" i="3"/>
  <c r="AF74" i="3"/>
  <c r="M74" i="3"/>
  <c r="N74" i="3"/>
  <c r="AJ74" i="3"/>
  <c r="AL74" i="3"/>
  <c r="O74" i="3"/>
  <c r="P74" i="3"/>
  <c r="Q74" i="3"/>
  <c r="K75" i="3"/>
  <c r="L75" i="3"/>
  <c r="V75" i="3"/>
  <c r="AD75" i="3"/>
  <c r="AF75" i="3"/>
  <c r="M75" i="3"/>
  <c r="N75" i="3"/>
  <c r="AJ75" i="3"/>
  <c r="AL75" i="3"/>
  <c r="O75" i="3"/>
  <c r="P75" i="3"/>
  <c r="Q75" i="3"/>
  <c r="K76" i="3"/>
  <c r="L76" i="3"/>
  <c r="V76" i="3"/>
  <c r="AD76" i="3"/>
  <c r="AF76" i="3"/>
  <c r="M76" i="3"/>
  <c r="N76" i="3"/>
  <c r="AJ76" i="3"/>
  <c r="AL76" i="3"/>
  <c r="O76" i="3"/>
  <c r="P76" i="3"/>
  <c r="Q76" i="3"/>
  <c r="K77" i="3"/>
  <c r="L77" i="3"/>
  <c r="V77" i="3"/>
  <c r="AD77" i="3"/>
  <c r="AF77" i="3"/>
  <c r="M77" i="3"/>
  <c r="N77" i="3"/>
  <c r="AJ77" i="3"/>
  <c r="AL77" i="3"/>
  <c r="O77" i="3"/>
  <c r="P77" i="3"/>
  <c r="Q77" i="3"/>
  <c r="K78" i="3"/>
  <c r="L78" i="3"/>
  <c r="V78" i="3"/>
  <c r="AD78" i="3"/>
  <c r="AF78" i="3"/>
  <c r="M78" i="3"/>
  <c r="N78" i="3"/>
  <c r="AJ78" i="3"/>
  <c r="AL78" i="3"/>
  <c r="O78" i="3"/>
  <c r="P78" i="3"/>
  <c r="Q78" i="3"/>
  <c r="K79" i="3"/>
  <c r="L79" i="3"/>
  <c r="V79" i="3"/>
  <c r="AD79" i="3"/>
  <c r="AF79" i="3"/>
  <c r="M79" i="3"/>
  <c r="N79" i="3"/>
  <c r="AJ79" i="3"/>
  <c r="AL79" i="3"/>
  <c r="O79" i="3"/>
  <c r="P79" i="3"/>
  <c r="Q79" i="3"/>
  <c r="K80" i="3"/>
  <c r="L80" i="3"/>
  <c r="V80" i="3"/>
  <c r="AD80" i="3"/>
  <c r="AF80" i="3"/>
  <c r="M80" i="3"/>
  <c r="N80" i="3"/>
  <c r="AJ80" i="3"/>
  <c r="AL80" i="3"/>
  <c r="O80" i="3"/>
  <c r="P80" i="3"/>
  <c r="Q80" i="3"/>
  <c r="K81" i="3"/>
  <c r="L81" i="3"/>
  <c r="V81" i="3"/>
  <c r="AD81" i="3"/>
  <c r="AF81" i="3"/>
  <c r="M81" i="3"/>
  <c r="N81" i="3"/>
  <c r="AJ81" i="3"/>
  <c r="AL81" i="3"/>
  <c r="O81" i="3"/>
  <c r="P81" i="3"/>
  <c r="Q81" i="3"/>
  <c r="K82" i="3"/>
  <c r="L82" i="3"/>
  <c r="V82" i="3"/>
  <c r="AD82" i="3"/>
  <c r="AF82" i="3"/>
  <c r="M82" i="3"/>
  <c r="N82" i="3"/>
  <c r="AJ82" i="3"/>
  <c r="AL82" i="3"/>
  <c r="O82" i="3"/>
  <c r="P82" i="3"/>
  <c r="Q82" i="3"/>
  <c r="K83" i="3"/>
  <c r="L83" i="3"/>
  <c r="V83" i="3"/>
  <c r="AD83" i="3"/>
  <c r="AF83" i="3"/>
  <c r="M83" i="3"/>
  <c r="N83" i="3"/>
  <c r="AJ83" i="3"/>
  <c r="AL83" i="3"/>
  <c r="O83" i="3"/>
  <c r="P83" i="3"/>
  <c r="Q83" i="3"/>
  <c r="K84" i="3"/>
  <c r="L84" i="3"/>
  <c r="V84" i="3"/>
  <c r="AD84" i="3"/>
  <c r="AF84" i="3"/>
  <c r="M84" i="3"/>
  <c r="N84" i="3"/>
  <c r="AJ84" i="3"/>
  <c r="AL84" i="3"/>
  <c r="O84" i="3"/>
  <c r="P84" i="3"/>
  <c r="Q84" i="3"/>
  <c r="K85" i="3"/>
  <c r="L85" i="3"/>
  <c r="V85" i="3"/>
  <c r="AD85" i="3"/>
  <c r="AF85" i="3"/>
  <c r="M85" i="3"/>
  <c r="N85" i="3"/>
  <c r="AJ85" i="3"/>
  <c r="AL85" i="3"/>
  <c r="O85" i="3"/>
  <c r="P85" i="3"/>
  <c r="Q85" i="3"/>
  <c r="K86" i="3"/>
  <c r="L86" i="3"/>
  <c r="V86" i="3"/>
  <c r="AD86" i="3"/>
  <c r="AF86" i="3"/>
  <c r="M86" i="3"/>
  <c r="N86" i="3"/>
  <c r="AJ86" i="3"/>
  <c r="AL86" i="3"/>
  <c r="O86" i="3"/>
  <c r="P86" i="3"/>
  <c r="Q86" i="3"/>
  <c r="K87" i="3"/>
  <c r="L87" i="3"/>
  <c r="V87" i="3"/>
  <c r="AD87" i="3"/>
  <c r="AF87" i="3"/>
  <c r="M87" i="3"/>
  <c r="N87" i="3"/>
  <c r="AJ87" i="3"/>
  <c r="AL87" i="3"/>
  <c r="O87" i="3"/>
  <c r="P87" i="3"/>
  <c r="Q87" i="3"/>
  <c r="K88" i="3"/>
  <c r="L88" i="3"/>
  <c r="V88" i="3"/>
  <c r="AD88" i="3"/>
  <c r="AF88" i="3"/>
  <c r="M88" i="3"/>
  <c r="N88" i="3"/>
  <c r="AJ88" i="3"/>
  <c r="AL88" i="3"/>
  <c r="O88" i="3"/>
  <c r="P88" i="3"/>
  <c r="Q88" i="3"/>
  <c r="K89" i="3"/>
  <c r="L89" i="3"/>
  <c r="V89" i="3"/>
  <c r="AD89" i="3"/>
  <c r="AF89" i="3"/>
  <c r="M89" i="3"/>
  <c r="N89" i="3"/>
  <c r="AJ89" i="3"/>
  <c r="AL89" i="3"/>
  <c r="O89" i="3"/>
  <c r="P89" i="3"/>
  <c r="Q89" i="3"/>
  <c r="K90" i="3"/>
  <c r="L90" i="3"/>
  <c r="V90" i="3"/>
  <c r="AD90" i="3"/>
  <c r="AF90" i="3"/>
  <c r="M90" i="3"/>
  <c r="N90" i="3"/>
  <c r="AJ90" i="3"/>
  <c r="AL90" i="3"/>
  <c r="O90" i="3"/>
  <c r="P90" i="3"/>
  <c r="Q90" i="3"/>
  <c r="K91" i="3"/>
  <c r="L91" i="3"/>
  <c r="V91" i="3"/>
  <c r="AD91" i="3"/>
  <c r="AF91" i="3"/>
  <c r="M91" i="3"/>
  <c r="N91" i="3"/>
  <c r="AJ91" i="3"/>
  <c r="AL91" i="3"/>
  <c r="O91" i="3"/>
  <c r="P91" i="3"/>
  <c r="Q91" i="3"/>
  <c r="K92" i="3"/>
  <c r="L92" i="3"/>
  <c r="V92" i="3"/>
  <c r="AD92" i="3"/>
  <c r="AF92" i="3"/>
  <c r="M92" i="3"/>
  <c r="N92" i="3"/>
  <c r="AJ92" i="3"/>
  <c r="AL92" i="3"/>
  <c r="O92" i="3"/>
  <c r="P92" i="3"/>
  <c r="Q92" i="3"/>
  <c r="K93" i="3"/>
  <c r="L93" i="3"/>
  <c r="V93" i="3"/>
  <c r="AD93" i="3"/>
  <c r="AF93" i="3"/>
  <c r="M93" i="3"/>
  <c r="N93" i="3"/>
  <c r="AJ93" i="3"/>
  <c r="AL93" i="3"/>
  <c r="O93" i="3"/>
  <c r="P93" i="3"/>
  <c r="Q93" i="3"/>
  <c r="K94" i="3"/>
  <c r="L94" i="3"/>
  <c r="V94" i="3"/>
  <c r="AD94" i="3"/>
  <c r="AF94" i="3"/>
  <c r="M94" i="3"/>
  <c r="N94" i="3"/>
  <c r="AJ94" i="3"/>
  <c r="AL94" i="3"/>
  <c r="O94" i="3"/>
  <c r="P94" i="3"/>
  <c r="Q94" i="3"/>
  <c r="K95" i="3"/>
  <c r="L95" i="3"/>
  <c r="V95" i="3"/>
  <c r="AD95" i="3"/>
  <c r="AF95" i="3"/>
  <c r="M95" i="3"/>
  <c r="N95" i="3"/>
  <c r="AJ95" i="3"/>
  <c r="AL95" i="3"/>
  <c r="O95" i="3"/>
  <c r="P95" i="3"/>
  <c r="Q95" i="3"/>
  <c r="K96" i="3"/>
  <c r="L96" i="3"/>
  <c r="V96" i="3"/>
  <c r="AD96" i="3"/>
  <c r="AF96" i="3"/>
  <c r="M96" i="3"/>
  <c r="N96" i="3"/>
  <c r="AJ96" i="3"/>
  <c r="AL96" i="3"/>
  <c r="O96" i="3"/>
  <c r="P96" i="3"/>
  <c r="Q96" i="3"/>
  <c r="K97" i="3"/>
  <c r="L97" i="3"/>
  <c r="V97" i="3"/>
  <c r="AD97" i="3"/>
  <c r="AF97" i="3"/>
  <c r="M97" i="3"/>
  <c r="N97" i="3"/>
  <c r="AJ97" i="3"/>
  <c r="AL97" i="3"/>
  <c r="O97" i="3"/>
  <c r="P97" i="3"/>
  <c r="Q97" i="3"/>
  <c r="K98" i="3"/>
  <c r="L98" i="3"/>
  <c r="V98" i="3"/>
  <c r="AD98" i="3"/>
  <c r="AF98" i="3"/>
  <c r="M98" i="3"/>
  <c r="N98" i="3"/>
  <c r="AJ98" i="3"/>
  <c r="AL98" i="3"/>
  <c r="O98" i="3"/>
  <c r="P98" i="3"/>
  <c r="Q98" i="3"/>
  <c r="K99" i="3"/>
  <c r="L99" i="3"/>
  <c r="V99" i="3"/>
  <c r="AD99" i="3"/>
  <c r="AF99" i="3"/>
  <c r="M99" i="3"/>
  <c r="N99" i="3"/>
  <c r="AJ99" i="3"/>
  <c r="AL99" i="3"/>
  <c r="O99" i="3"/>
  <c r="P99" i="3"/>
  <c r="Q99" i="3"/>
  <c r="K100" i="3"/>
  <c r="L100" i="3"/>
  <c r="V100" i="3"/>
  <c r="AD100" i="3"/>
  <c r="AF100" i="3"/>
  <c r="M100" i="3"/>
  <c r="N100" i="3"/>
  <c r="AJ100" i="3"/>
  <c r="AL100" i="3"/>
  <c r="O100" i="3"/>
  <c r="P100" i="3"/>
  <c r="Q100" i="3"/>
  <c r="K101" i="3"/>
  <c r="L101" i="3"/>
  <c r="V101" i="3"/>
  <c r="AD101" i="3"/>
  <c r="AF101" i="3"/>
  <c r="M101" i="3"/>
  <c r="N101" i="3"/>
  <c r="AJ101" i="3"/>
  <c r="AL101" i="3"/>
  <c r="O101" i="3"/>
  <c r="P101" i="3"/>
  <c r="Q101" i="3"/>
  <c r="K102" i="3"/>
  <c r="L102" i="3"/>
  <c r="V102" i="3"/>
  <c r="AD102" i="3"/>
  <c r="AF102" i="3"/>
  <c r="M102" i="3"/>
  <c r="N102" i="3"/>
  <c r="AJ102" i="3"/>
  <c r="AL102" i="3"/>
  <c r="O102" i="3"/>
  <c r="P102" i="3"/>
  <c r="Q102" i="3"/>
  <c r="K103" i="3"/>
  <c r="L103" i="3"/>
  <c r="V103" i="3"/>
  <c r="AD103" i="3"/>
  <c r="AF103" i="3"/>
  <c r="M103" i="3"/>
  <c r="N103" i="3"/>
  <c r="AJ103" i="3"/>
  <c r="AL103" i="3"/>
  <c r="O103" i="3"/>
  <c r="P103" i="3"/>
  <c r="Q103" i="3"/>
  <c r="K104" i="3"/>
  <c r="L104" i="3"/>
  <c r="V104" i="3"/>
  <c r="AD104" i="3"/>
  <c r="AF104" i="3"/>
  <c r="M104" i="3"/>
  <c r="N104" i="3"/>
  <c r="AJ104" i="3"/>
  <c r="AL104" i="3"/>
  <c r="O104" i="3"/>
  <c r="P104" i="3"/>
  <c r="Q104" i="3"/>
  <c r="K105" i="3"/>
  <c r="L105" i="3"/>
  <c r="V105" i="3"/>
  <c r="AD105" i="3"/>
  <c r="AF105" i="3"/>
  <c r="M105" i="3"/>
  <c r="N105" i="3"/>
  <c r="AJ105" i="3"/>
  <c r="AL105" i="3"/>
  <c r="O105" i="3"/>
  <c r="P105" i="3"/>
  <c r="Q105" i="3"/>
  <c r="K106" i="3"/>
  <c r="L106" i="3"/>
  <c r="V106" i="3"/>
  <c r="AD106" i="3"/>
  <c r="AF106" i="3"/>
  <c r="M106" i="3"/>
  <c r="N106" i="3"/>
  <c r="AJ106" i="3"/>
  <c r="AL106" i="3"/>
  <c r="O106" i="3"/>
  <c r="P106" i="3"/>
  <c r="Q106" i="3"/>
  <c r="K107" i="3"/>
  <c r="L107" i="3"/>
  <c r="V107" i="3"/>
  <c r="AD107" i="3"/>
  <c r="AF107" i="3"/>
  <c r="M107" i="3"/>
  <c r="N107" i="3"/>
  <c r="AJ107" i="3"/>
  <c r="AL107" i="3"/>
  <c r="O107" i="3"/>
  <c r="P107" i="3"/>
  <c r="Q107" i="3"/>
  <c r="K108" i="3"/>
  <c r="L108" i="3"/>
  <c r="V108" i="3"/>
  <c r="AD108" i="3"/>
  <c r="AF108" i="3"/>
  <c r="M108" i="3"/>
  <c r="N108" i="3"/>
  <c r="AJ108" i="3"/>
  <c r="AL108" i="3"/>
  <c r="O108" i="3"/>
  <c r="P108" i="3"/>
  <c r="Q108" i="3"/>
  <c r="K109" i="3"/>
  <c r="L109" i="3"/>
  <c r="V109" i="3"/>
  <c r="AD109" i="3"/>
  <c r="AF109" i="3"/>
  <c r="M109" i="3"/>
  <c r="N109" i="3"/>
  <c r="AJ109" i="3"/>
  <c r="AL109" i="3"/>
  <c r="O109" i="3"/>
  <c r="P109" i="3"/>
  <c r="Q109" i="3"/>
  <c r="K110" i="3"/>
  <c r="L110" i="3"/>
  <c r="V110" i="3"/>
  <c r="AD110" i="3"/>
  <c r="AF110" i="3"/>
  <c r="M110" i="3"/>
  <c r="N110" i="3"/>
  <c r="AJ110" i="3"/>
  <c r="AL110" i="3"/>
  <c r="O110" i="3"/>
  <c r="P110" i="3"/>
  <c r="Q110" i="3"/>
  <c r="K111" i="3"/>
  <c r="L111" i="3"/>
  <c r="V111" i="3"/>
  <c r="AD111" i="3"/>
  <c r="AF111" i="3"/>
  <c r="M111" i="3"/>
  <c r="N111" i="3"/>
  <c r="AJ111" i="3"/>
  <c r="AL111" i="3"/>
  <c r="O111" i="3"/>
  <c r="P111" i="3"/>
  <c r="Q111" i="3"/>
  <c r="K112" i="3"/>
  <c r="L112" i="3"/>
  <c r="V112" i="3"/>
  <c r="AD112" i="3"/>
  <c r="AF112" i="3"/>
  <c r="M112" i="3"/>
  <c r="N112" i="3"/>
  <c r="AJ112" i="3"/>
  <c r="AL112" i="3"/>
  <c r="O112" i="3"/>
  <c r="P112" i="3"/>
  <c r="Q112" i="3"/>
  <c r="K113" i="3"/>
  <c r="L113" i="3"/>
  <c r="V113" i="3"/>
  <c r="AD113" i="3"/>
  <c r="AF113" i="3"/>
  <c r="M113" i="3"/>
  <c r="N113" i="3"/>
  <c r="AJ113" i="3"/>
  <c r="AL113" i="3"/>
  <c r="O113" i="3"/>
  <c r="P113" i="3"/>
  <c r="Q113" i="3"/>
  <c r="K114" i="3"/>
  <c r="L114" i="3"/>
  <c r="V114" i="3"/>
  <c r="AD114" i="3"/>
  <c r="AF114" i="3"/>
  <c r="M114" i="3"/>
  <c r="N114" i="3"/>
  <c r="AJ114" i="3"/>
  <c r="AL114" i="3"/>
  <c r="O114" i="3"/>
  <c r="P114" i="3"/>
  <c r="Q114" i="3"/>
  <c r="K115" i="3"/>
  <c r="L115" i="3"/>
  <c r="V115" i="3"/>
  <c r="AD115" i="3"/>
  <c r="AF115" i="3"/>
  <c r="M115" i="3"/>
  <c r="N115" i="3"/>
  <c r="AJ115" i="3"/>
  <c r="AL115" i="3"/>
  <c r="O115" i="3"/>
  <c r="P115" i="3"/>
  <c r="Q115" i="3"/>
  <c r="K116" i="3"/>
  <c r="L116" i="3"/>
  <c r="V116" i="3"/>
  <c r="AD116" i="3"/>
  <c r="AF116" i="3"/>
  <c r="M116" i="3"/>
  <c r="N116" i="3"/>
  <c r="AJ116" i="3"/>
  <c r="AL116" i="3"/>
  <c r="O116" i="3"/>
  <c r="P116" i="3"/>
  <c r="Q116" i="3"/>
  <c r="K117" i="3"/>
  <c r="L117" i="3"/>
  <c r="V117" i="3"/>
  <c r="AD117" i="3"/>
  <c r="AF117" i="3"/>
  <c r="M117" i="3"/>
  <c r="N117" i="3"/>
  <c r="AJ117" i="3"/>
  <c r="AL117" i="3"/>
  <c r="O117" i="3"/>
  <c r="P117" i="3"/>
  <c r="Q117" i="3"/>
  <c r="K118" i="3"/>
  <c r="L118" i="3"/>
  <c r="V118" i="3"/>
  <c r="AD118" i="3"/>
  <c r="AF118" i="3"/>
  <c r="M118" i="3"/>
  <c r="N118" i="3"/>
  <c r="AJ118" i="3"/>
  <c r="AL118" i="3"/>
  <c r="O118" i="3"/>
  <c r="P118" i="3"/>
  <c r="Q118" i="3"/>
  <c r="K119" i="3"/>
  <c r="L119" i="3"/>
  <c r="V119" i="3"/>
  <c r="AD119" i="3"/>
  <c r="AF119" i="3"/>
  <c r="M119" i="3"/>
  <c r="N119" i="3"/>
  <c r="AJ119" i="3"/>
  <c r="AL119" i="3"/>
  <c r="O119" i="3"/>
  <c r="P119" i="3"/>
  <c r="Q119" i="3"/>
  <c r="K120" i="3"/>
  <c r="L120" i="3"/>
  <c r="V120" i="3"/>
  <c r="AD120" i="3"/>
  <c r="AF120" i="3"/>
  <c r="M120" i="3"/>
  <c r="N120" i="3"/>
  <c r="AJ120" i="3"/>
  <c r="AL120" i="3"/>
  <c r="O120" i="3"/>
  <c r="P120" i="3"/>
  <c r="Q120" i="3"/>
  <c r="K121" i="3"/>
  <c r="L121" i="3"/>
  <c r="V121" i="3"/>
  <c r="AD121" i="3"/>
  <c r="AF121" i="3"/>
  <c r="M121" i="3"/>
  <c r="N121" i="3"/>
  <c r="AJ121" i="3"/>
  <c r="AL121" i="3"/>
  <c r="O121" i="3"/>
  <c r="P121" i="3"/>
  <c r="Q121" i="3"/>
  <c r="K122" i="3"/>
  <c r="L122" i="3"/>
  <c r="V122" i="3"/>
  <c r="AD122" i="3"/>
  <c r="AF122" i="3"/>
  <c r="M122" i="3"/>
  <c r="N122" i="3"/>
  <c r="AJ122" i="3"/>
  <c r="AL122" i="3"/>
  <c r="O122" i="3"/>
  <c r="P122" i="3"/>
  <c r="Q122" i="3"/>
  <c r="K123" i="3"/>
  <c r="L123" i="3"/>
  <c r="V123" i="3"/>
  <c r="AD123" i="3"/>
  <c r="AF123" i="3"/>
  <c r="M123" i="3"/>
  <c r="N123" i="3"/>
  <c r="AJ123" i="3"/>
  <c r="AL123" i="3"/>
  <c r="O123" i="3"/>
  <c r="P123" i="3"/>
  <c r="Q123" i="3"/>
  <c r="K124" i="3"/>
  <c r="L124" i="3"/>
  <c r="V124" i="3"/>
  <c r="AD124" i="3"/>
  <c r="AF124" i="3"/>
  <c r="M124" i="3"/>
  <c r="N124" i="3"/>
  <c r="AJ124" i="3"/>
  <c r="AL124" i="3"/>
  <c r="O124" i="3"/>
  <c r="P124" i="3"/>
  <c r="Q124" i="3"/>
  <c r="K125" i="3"/>
  <c r="L125" i="3"/>
  <c r="V125" i="3"/>
  <c r="AD125" i="3"/>
  <c r="AF125" i="3"/>
  <c r="M125" i="3"/>
  <c r="N125" i="3"/>
  <c r="AJ125" i="3"/>
  <c r="AL125" i="3"/>
  <c r="O125" i="3"/>
  <c r="P125" i="3"/>
  <c r="Q125" i="3"/>
  <c r="K126" i="3"/>
  <c r="L126" i="3"/>
  <c r="V126" i="3"/>
  <c r="AD126" i="3"/>
  <c r="AF126" i="3"/>
  <c r="M126" i="3"/>
  <c r="N126" i="3"/>
  <c r="AJ126" i="3"/>
  <c r="AL126" i="3"/>
  <c r="O126" i="3"/>
  <c r="P126" i="3"/>
  <c r="Q126" i="3"/>
  <c r="K127" i="3"/>
  <c r="L127" i="3"/>
  <c r="V127" i="3"/>
  <c r="AD127" i="3"/>
  <c r="AF127" i="3"/>
  <c r="M127" i="3"/>
  <c r="N127" i="3"/>
  <c r="AJ127" i="3"/>
  <c r="AL127" i="3"/>
  <c r="O127" i="3"/>
  <c r="P127" i="3"/>
  <c r="Q127" i="3"/>
  <c r="K128" i="3"/>
  <c r="L128" i="3"/>
  <c r="V128" i="3"/>
  <c r="AD128" i="3"/>
  <c r="AF128" i="3"/>
  <c r="M128" i="3"/>
  <c r="N128" i="3"/>
  <c r="AJ128" i="3"/>
  <c r="AL128" i="3"/>
  <c r="O128" i="3"/>
  <c r="P128" i="3"/>
  <c r="Q128" i="3"/>
  <c r="K129" i="3"/>
  <c r="L129" i="3"/>
  <c r="V129" i="3"/>
  <c r="AD129" i="3"/>
  <c r="AF129" i="3"/>
  <c r="M129" i="3"/>
  <c r="N129" i="3"/>
  <c r="AJ129" i="3"/>
  <c r="AL129" i="3"/>
  <c r="O129" i="3"/>
  <c r="P129" i="3"/>
  <c r="Q129" i="3"/>
  <c r="K130" i="3"/>
  <c r="L130" i="3"/>
  <c r="V130" i="3"/>
  <c r="AD130" i="3"/>
  <c r="AF130" i="3"/>
  <c r="M130" i="3"/>
  <c r="N130" i="3"/>
  <c r="AJ130" i="3"/>
  <c r="AL130" i="3"/>
  <c r="O130" i="3"/>
  <c r="P130" i="3"/>
  <c r="Q130" i="3"/>
  <c r="K131" i="3"/>
  <c r="L131" i="3"/>
  <c r="V131" i="3"/>
  <c r="AD131" i="3"/>
  <c r="AF131" i="3"/>
  <c r="M131" i="3"/>
  <c r="N131" i="3"/>
  <c r="AJ131" i="3"/>
  <c r="AL131" i="3"/>
  <c r="O131" i="3"/>
  <c r="P131" i="3"/>
  <c r="Q131" i="3"/>
  <c r="K132" i="3"/>
  <c r="L132" i="3"/>
  <c r="V132" i="3"/>
  <c r="AD132" i="3"/>
  <c r="AF132" i="3"/>
  <c r="M132" i="3"/>
  <c r="N132" i="3"/>
  <c r="AJ132" i="3"/>
  <c r="AL132" i="3"/>
  <c r="O132" i="3"/>
  <c r="P132" i="3"/>
  <c r="Q132" i="3"/>
  <c r="K133" i="3"/>
  <c r="L133" i="3"/>
  <c r="V133" i="3"/>
  <c r="AD133" i="3"/>
  <c r="AF133" i="3"/>
  <c r="M133" i="3"/>
  <c r="N133" i="3"/>
  <c r="AJ133" i="3"/>
  <c r="AL133" i="3"/>
  <c r="O133" i="3"/>
  <c r="P133" i="3"/>
  <c r="Q133" i="3"/>
  <c r="K134" i="3"/>
  <c r="L134" i="3"/>
  <c r="V134" i="3"/>
  <c r="AD134" i="3"/>
  <c r="AF134" i="3"/>
  <c r="M134" i="3"/>
  <c r="N134" i="3"/>
  <c r="AJ134" i="3"/>
  <c r="AL134" i="3"/>
  <c r="O134" i="3"/>
  <c r="P134" i="3"/>
  <c r="Q134" i="3"/>
  <c r="K135" i="3"/>
  <c r="L135" i="3"/>
  <c r="V135" i="3"/>
  <c r="AD135" i="3"/>
  <c r="AF135" i="3"/>
  <c r="M135" i="3"/>
  <c r="N135" i="3"/>
  <c r="AJ135" i="3"/>
  <c r="AL135" i="3"/>
  <c r="O135" i="3"/>
  <c r="P135" i="3"/>
  <c r="Q135" i="3"/>
  <c r="K136" i="3"/>
  <c r="L136" i="3"/>
  <c r="V136" i="3"/>
  <c r="AD136" i="3"/>
  <c r="AF136" i="3"/>
  <c r="M136" i="3"/>
  <c r="N136" i="3"/>
  <c r="AJ136" i="3"/>
  <c r="AL136" i="3"/>
  <c r="O136" i="3"/>
  <c r="P136" i="3"/>
  <c r="Q136" i="3"/>
  <c r="K137" i="3"/>
  <c r="L137" i="3"/>
  <c r="V137" i="3"/>
  <c r="AD137" i="3"/>
  <c r="AF137" i="3"/>
  <c r="M137" i="3"/>
  <c r="N137" i="3"/>
  <c r="AJ137" i="3"/>
  <c r="AL137" i="3"/>
  <c r="O137" i="3"/>
  <c r="P137" i="3"/>
  <c r="Q137" i="3"/>
  <c r="K138" i="3"/>
  <c r="L138" i="3"/>
  <c r="V138" i="3"/>
  <c r="AD138" i="3"/>
  <c r="AF138" i="3"/>
  <c r="M138" i="3"/>
  <c r="N138" i="3"/>
  <c r="AJ138" i="3"/>
  <c r="AL138" i="3"/>
  <c r="O138" i="3"/>
  <c r="P138" i="3"/>
  <c r="Q138" i="3"/>
  <c r="K139" i="3"/>
  <c r="L139" i="3"/>
  <c r="V139" i="3"/>
  <c r="AD139" i="3"/>
  <c r="AF139" i="3"/>
  <c r="M139" i="3"/>
  <c r="N139" i="3"/>
  <c r="AJ139" i="3"/>
  <c r="AL139" i="3"/>
  <c r="O139" i="3"/>
  <c r="P139" i="3"/>
  <c r="Q139" i="3"/>
  <c r="K140" i="3"/>
  <c r="L140" i="3"/>
  <c r="V140" i="3"/>
  <c r="AD140" i="3"/>
  <c r="AF140" i="3"/>
  <c r="M140" i="3"/>
  <c r="N140" i="3"/>
  <c r="AJ140" i="3"/>
  <c r="AL140" i="3"/>
  <c r="O140" i="3"/>
  <c r="P140" i="3"/>
  <c r="Q140" i="3"/>
  <c r="K141" i="3"/>
  <c r="L141" i="3"/>
  <c r="V141" i="3"/>
  <c r="AD141" i="3"/>
  <c r="AF141" i="3"/>
  <c r="M141" i="3"/>
  <c r="N141" i="3"/>
  <c r="AJ141" i="3"/>
  <c r="AL141" i="3"/>
  <c r="O141" i="3"/>
  <c r="P141" i="3"/>
  <c r="Q141" i="3"/>
  <c r="K142" i="3"/>
  <c r="L142" i="3"/>
  <c r="V142" i="3"/>
  <c r="AD142" i="3"/>
  <c r="AF142" i="3"/>
  <c r="M142" i="3"/>
  <c r="N142" i="3"/>
  <c r="AJ142" i="3"/>
  <c r="AL142" i="3"/>
  <c r="O142" i="3"/>
  <c r="P142" i="3"/>
  <c r="Q142" i="3"/>
  <c r="K143" i="3"/>
  <c r="L143" i="3"/>
  <c r="V143" i="3"/>
  <c r="AD143" i="3"/>
  <c r="AF143" i="3"/>
  <c r="M143" i="3"/>
  <c r="N143" i="3"/>
  <c r="AJ143" i="3"/>
  <c r="AL143" i="3"/>
  <c r="O143" i="3"/>
  <c r="P143" i="3"/>
  <c r="Q143" i="3"/>
  <c r="K144" i="3"/>
  <c r="L144" i="3"/>
  <c r="V144" i="3"/>
  <c r="AD144" i="3"/>
  <c r="AF144" i="3"/>
  <c r="M144" i="3"/>
  <c r="N144" i="3"/>
  <c r="AJ144" i="3"/>
  <c r="AL144" i="3"/>
  <c r="O144" i="3"/>
  <c r="P144" i="3"/>
  <c r="Q144" i="3"/>
  <c r="K145" i="3"/>
  <c r="L145" i="3"/>
  <c r="V145" i="3"/>
  <c r="AD145" i="3"/>
  <c r="AF145" i="3"/>
  <c r="M145" i="3"/>
  <c r="N145" i="3"/>
  <c r="AJ145" i="3"/>
  <c r="AL145" i="3"/>
  <c r="O145" i="3"/>
  <c r="P145" i="3"/>
  <c r="Q145" i="3"/>
  <c r="K146" i="3"/>
  <c r="L146" i="3"/>
  <c r="V146" i="3"/>
  <c r="AD146" i="3"/>
  <c r="AF146" i="3"/>
  <c r="M146" i="3"/>
  <c r="N146" i="3"/>
  <c r="AJ146" i="3"/>
  <c r="AL146" i="3"/>
  <c r="O146" i="3"/>
  <c r="P146" i="3"/>
  <c r="Q146" i="3"/>
  <c r="K147" i="3"/>
  <c r="L147" i="3"/>
  <c r="V147" i="3"/>
  <c r="AD147" i="3"/>
  <c r="AF147" i="3"/>
  <c r="M147" i="3"/>
  <c r="N147" i="3"/>
  <c r="AJ147" i="3"/>
  <c r="AL147" i="3"/>
  <c r="O147" i="3"/>
  <c r="P147" i="3"/>
  <c r="Q147" i="3"/>
  <c r="K148" i="3"/>
  <c r="L148" i="3"/>
  <c r="V148" i="3"/>
  <c r="AD148" i="3"/>
  <c r="AF148" i="3"/>
  <c r="M148" i="3"/>
  <c r="N148" i="3"/>
  <c r="AJ148" i="3"/>
  <c r="AL148" i="3"/>
  <c r="O148" i="3"/>
  <c r="P148" i="3"/>
  <c r="Q148" i="3"/>
  <c r="K149" i="3"/>
  <c r="L149" i="3"/>
  <c r="V149" i="3"/>
  <c r="AD149" i="3"/>
  <c r="AF149" i="3"/>
  <c r="M149" i="3"/>
  <c r="N149" i="3"/>
  <c r="AJ149" i="3"/>
  <c r="AL149" i="3"/>
  <c r="O149" i="3"/>
  <c r="P149" i="3"/>
  <c r="Q149" i="3"/>
  <c r="K150" i="3"/>
  <c r="L150" i="3"/>
  <c r="V150" i="3"/>
  <c r="AD150" i="3"/>
  <c r="AF150" i="3"/>
  <c r="M150" i="3"/>
  <c r="N150" i="3"/>
  <c r="AJ150" i="3"/>
  <c r="AL150" i="3"/>
  <c r="O150" i="3"/>
  <c r="P150" i="3"/>
  <c r="Q150" i="3"/>
  <c r="K151" i="3"/>
  <c r="L151" i="3"/>
  <c r="V151" i="3"/>
  <c r="AD151" i="3"/>
  <c r="AF151" i="3"/>
  <c r="M151" i="3"/>
  <c r="N151" i="3"/>
  <c r="AJ151" i="3"/>
  <c r="AL151" i="3"/>
  <c r="O151" i="3"/>
  <c r="P151" i="3"/>
  <c r="Q151" i="3"/>
  <c r="K152" i="3"/>
  <c r="L152" i="3"/>
  <c r="V152" i="3"/>
  <c r="AD152" i="3"/>
  <c r="AF152" i="3"/>
  <c r="M152" i="3"/>
  <c r="N152" i="3"/>
  <c r="AJ152" i="3"/>
  <c r="AL152" i="3"/>
  <c r="O152" i="3"/>
  <c r="P152" i="3"/>
  <c r="Q152" i="3"/>
  <c r="K153" i="3"/>
  <c r="L153" i="3"/>
  <c r="V153" i="3"/>
  <c r="AD153" i="3"/>
  <c r="AF153" i="3"/>
  <c r="M153" i="3"/>
  <c r="N153" i="3"/>
  <c r="AJ153" i="3"/>
  <c r="AL153" i="3"/>
  <c r="O153" i="3"/>
  <c r="P153" i="3"/>
  <c r="Q153" i="3"/>
  <c r="K154" i="3"/>
  <c r="L154" i="3"/>
  <c r="V154" i="3"/>
  <c r="AD154" i="3"/>
  <c r="AF154" i="3"/>
  <c r="M154" i="3"/>
  <c r="N154" i="3"/>
  <c r="AJ154" i="3"/>
  <c r="AL154" i="3"/>
  <c r="O154" i="3"/>
  <c r="P154" i="3"/>
  <c r="Q154" i="3"/>
  <c r="K155" i="3"/>
  <c r="L155" i="3"/>
  <c r="V155" i="3"/>
  <c r="AD155" i="3"/>
  <c r="AF155" i="3"/>
  <c r="M155" i="3"/>
  <c r="N155" i="3"/>
  <c r="AJ155" i="3"/>
  <c r="AL155" i="3"/>
  <c r="O155" i="3"/>
  <c r="P155" i="3"/>
  <c r="Q155" i="3"/>
  <c r="K156" i="3"/>
  <c r="L156" i="3"/>
  <c r="V156" i="3"/>
  <c r="AD156" i="3"/>
  <c r="AF156" i="3"/>
  <c r="M156" i="3"/>
  <c r="N156" i="3"/>
  <c r="AJ156" i="3"/>
  <c r="AL156" i="3"/>
  <c r="O156" i="3"/>
  <c r="P156" i="3"/>
  <c r="Q156" i="3"/>
  <c r="K157" i="3"/>
  <c r="L157" i="3"/>
  <c r="V157" i="3"/>
  <c r="AD157" i="3"/>
  <c r="AF157" i="3"/>
  <c r="M157" i="3"/>
  <c r="N157" i="3"/>
  <c r="AJ157" i="3"/>
  <c r="AL157" i="3"/>
  <c r="O157" i="3"/>
  <c r="P157" i="3"/>
  <c r="Q157" i="3"/>
  <c r="K158" i="3"/>
  <c r="L158" i="3"/>
  <c r="V158" i="3"/>
  <c r="AD158" i="3"/>
  <c r="AF158" i="3"/>
  <c r="M158" i="3"/>
  <c r="N158" i="3"/>
  <c r="AJ158" i="3"/>
  <c r="AL158" i="3"/>
  <c r="O158" i="3"/>
  <c r="P158" i="3"/>
  <c r="Q158" i="3"/>
  <c r="K159" i="3"/>
  <c r="L159" i="3"/>
  <c r="V159" i="3"/>
  <c r="AD159" i="3"/>
  <c r="AF159" i="3"/>
  <c r="M159" i="3"/>
  <c r="N159" i="3"/>
  <c r="AJ159" i="3"/>
  <c r="AL159" i="3"/>
  <c r="O159" i="3"/>
  <c r="P159" i="3"/>
  <c r="Q159" i="3"/>
  <c r="K160" i="3"/>
  <c r="L160" i="3"/>
  <c r="V160" i="3"/>
  <c r="AD160" i="3"/>
  <c r="AF160" i="3"/>
  <c r="M160" i="3"/>
  <c r="N160" i="3"/>
  <c r="AJ160" i="3"/>
  <c r="AL160" i="3"/>
  <c r="O160" i="3"/>
  <c r="P160" i="3"/>
  <c r="Q160" i="3"/>
  <c r="K161" i="3"/>
  <c r="L161" i="3"/>
  <c r="V161" i="3"/>
  <c r="AD161" i="3"/>
  <c r="AF161" i="3"/>
  <c r="M161" i="3"/>
  <c r="N161" i="3"/>
  <c r="AJ161" i="3"/>
  <c r="AL161" i="3"/>
  <c r="O161" i="3"/>
  <c r="P161" i="3"/>
  <c r="Q161" i="3"/>
  <c r="K162" i="3"/>
  <c r="L162" i="3"/>
  <c r="V162" i="3"/>
  <c r="AD162" i="3"/>
  <c r="AF162" i="3"/>
  <c r="M162" i="3"/>
  <c r="N162" i="3"/>
  <c r="AJ162" i="3"/>
  <c r="AL162" i="3"/>
  <c r="O162" i="3"/>
  <c r="P162" i="3"/>
  <c r="Q162" i="3"/>
  <c r="K163" i="3"/>
  <c r="L163" i="3"/>
  <c r="V163" i="3"/>
  <c r="AD163" i="3"/>
  <c r="AF163" i="3"/>
  <c r="M163" i="3"/>
  <c r="N163" i="3"/>
  <c r="AJ163" i="3"/>
  <c r="AL163" i="3"/>
  <c r="O163" i="3"/>
  <c r="P163" i="3"/>
  <c r="Q163" i="3"/>
  <c r="K164" i="3"/>
  <c r="L164" i="3"/>
  <c r="V164" i="3"/>
  <c r="AD164" i="3"/>
  <c r="AF164" i="3"/>
  <c r="M164" i="3"/>
  <c r="N164" i="3"/>
  <c r="AJ164" i="3"/>
  <c r="AL164" i="3"/>
  <c r="O164" i="3"/>
  <c r="P164" i="3"/>
  <c r="Q164" i="3"/>
  <c r="K165" i="3"/>
  <c r="L165" i="3"/>
  <c r="V165" i="3"/>
  <c r="AD165" i="3"/>
  <c r="AF165" i="3"/>
  <c r="M165" i="3"/>
  <c r="N165" i="3"/>
  <c r="AJ165" i="3"/>
  <c r="AL165" i="3"/>
  <c r="O165" i="3"/>
  <c r="P165" i="3"/>
  <c r="Q165" i="3"/>
  <c r="K166" i="3"/>
  <c r="L166" i="3"/>
  <c r="V166" i="3"/>
  <c r="AD166" i="3"/>
  <c r="AF166" i="3"/>
  <c r="M166" i="3"/>
  <c r="N166" i="3"/>
  <c r="AJ166" i="3"/>
  <c r="AL166" i="3"/>
  <c r="O166" i="3"/>
  <c r="P166" i="3"/>
  <c r="Q166" i="3"/>
  <c r="K167" i="3"/>
  <c r="L167" i="3"/>
  <c r="V167" i="3"/>
  <c r="AD167" i="3"/>
  <c r="AF167" i="3"/>
  <c r="M167" i="3"/>
  <c r="N167" i="3"/>
  <c r="AJ167" i="3"/>
  <c r="AL167" i="3"/>
  <c r="O167" i="3"/>
  <c r="P167" i="3"/>
  <c r="Q167" i="3"/>
  <c r="K168" i="3"/>
  <c r="L168" i="3"/>
  <c r="V168" i="3"/>
  <c r="AD168" i="3"/>
  <c r="AF168" i="3"/>
  <c r="M168" i="3"/>
  <c r="N168" i="3"/>
  <c r="AJ168" i="3"/>
  <c r="AL168" i="3"/>
  <c r="O168" i="3"/>
  <c r="P168" i="3"/>
  <c r="Q168" i="3"/>
  <c r="K169" i="3"/>
  <c r="L169" i="3"/>
  <c r="V169" i="3"/>
  <c r="AD169" i="3"/>
  <c r="AF169" i="3"/>
  <c r="M169" i="3"/>
  <c r="N169" i="3"/>
  <c r="AJ169" i="3"/>
  <c r="AL169" i="3"/>
  <c r="O169" i="3"/>
  <c r="P169" i="3"/>
  <c r="Q169" i="3"/>
  <c r="K170" i="3"/>
  <c r="L170" i="3"/>
  <c r="V170" i="3"/>
  <c r="AD170" i="3"/>
  <c r="AF170" i="3"/>
  <c r="M170" i="3"/>
  <c r="N170" i="3"/>
  <c r="AJ170" i="3"/>
  <c r="AL170" i="3"/>
  <c r="O170" i="3"/>
  <c r="P170" i="3"/>
  <c r="Q170" i="3"/>
  <c r="K171" i="3"/>
  <c r="L171" i="3"/>
  <c r="V171" i="3"/>
  <c r="AD171" i="3"/>
  <c r="AF171" i="3"/>
  <c r="M171" i="3"/>
  <c r="N171" i="3"/>
  <c r="AJ171" i="3"/>
  <c r="AL171" i="3"/>
  <c r="O171" i="3"/>
  <c r="P171" i="3"/>
  <c r="Q171" i="3"/>
  <c r="K172" i="3"/>
  <c r="L172" i="3"/>
  <c r="V172" i="3"/>
  <c r="AD172" i="3"/>
  <c r="AF172" i="3"/>
  <c r="M172" i="3"/>
  <c r="N172" i="3"/>
  <c r="AJ172" i="3"/>
  <c r="AL172" i="3"/>
  <c r="O172" i="3"/>
  <c r="P172" i="3"/>
  <c r="Q172" i="3"/>
  <c r="K173" i="3"/>
  <c r="L173" i="3"/>
  <c r="V173" i="3"/>
  <c r="AD173" i="3"/>
  <c r="AF173" i="3"/>
  <c r="M173" i="3"/>
  <c r="N173" i="3"/>
  <c r="AJ173" i="3"/>
  <c r="AL173" i="3"/>
  <c r="O173" i="3"/>
  <c r="P173" i="3"/>
  <c r="Q173" i="3"/>
  <c r="K174" i="3"/>
  <c r="L174" i="3"/>
  <c r="V174" i="3"/>
  <c r="AD174" i="3"/>
  <c r="AF174" i="3"/>
  <c r="M174" i="3"/>
  <c r="N174" i="3"/>
  <c r="AJ174" i="3"/>
  <c r="AL174" i="3"/>
  <c r="O174" i="3"/>
  <c r="P174" i="3"/>
  <c r="Q174" i="3"/>
  <c r="K175" i="3"/>
  <c r="L175" i="3"/>
  <c r="V175" i="3"/>
  <c r="AD175" i="3"/>
  <c r="AF175" i="3"/>
  <c r="M175" i="3"/>
  <c r="N175" i="3"/>
  <c r="AJ175" i="3"/>
  <c r="AL175" i="3"/>
  <c r="O175" i="3"/>
  <c r="P175" i="3"/>
  <c r="Q175" i="3"/>
  <c r="K176" i="3"/>
  <c r="L176" i="3"/>
  <c r="V176" i="3"/>
  <c r="AD176" i="3"/>
  <c r="AF176" i="3"/>
  <c r="M176" i="3"/>
  <c r="N176" i="3"/>
  <c r="AJ176" i="3"/>
  <c r="AL176" i="3"/>
  <c r="O176" i="3"/>
  <c r="P176" i="3"/>
  <c r="Q176" i="3"/>
  <c r="K177" i="3"/>
  <c r="L177" i="3"/>
  <c r="V177" i="3"/>
  <c r="AD177" i="3"/>
  <c r="AF177" i="3"/>
  <c r="M177" i="3"/>
  <c r="N177" i="3"/>
  <c r="AJ177" i="3"/>
  <c r="AL177" i="3"/>
  <c r="O177" i="3"/>
  <c r="P177" i="3"/>
  <c r="Q177" i="3"/>
  <c r="K178" i="3"/>
  <c r="L178" i="3"/>
  <c r="V178" i="3"/>
  <c r="AD178" i="3"/>
  <c r="AF178" i="3"/>
  <c r="M178" i="3"/>
  <c r="N178" i="3"/>
  <c r="AJ178" i="3"/>
  <c r="AL178" i="3"/>
  <c r="O178" i="3"/>
  <c r="P178" i="3"/>
  <c r="Q178" i="3"/>
  <c r="K179" i="3"/>
  <c r="L179" i="3"/>
  <c r="V179" i="3"/>
  <c r="AD179" i="3"/>
  <c r="AF179" i="3"/>
  <c r="M179" i="3"/>
  <c r="N179" i="3"/>
  <c r="AJ179" i="3"/>
  <c r="AL179" i="3"/>
  <c r="O179" i="3"/>
  <c r="P179" i="3"/>
  <c r="Q179" i="3"/>
  <c r="K180" i="3"/>
  <c r="L180" i="3"/>
  <c r="V180" i="3"/>
  <c r="AD180" i="3"/>
  <c r="AF180" i="3"/>
  <c r="M180" i="3"/>
  <c r="N180" i="3"/>
  <c r="AJ180" i="3"/>
  <c r="AL180" i="3"/>
  <c r="O180" i="3"/>
  <c r="P180" i="3"/>
  <c r="Q180" i="3"/>
  <c r="K181" i="3"/>
  <c r="L181" i="3"/>
  <c r="V181" i="3"/>
  <c r="AD181" i="3"/>
  <c r="AF181" i="3"/>
  <c r="M181" i="3"/>
  <c r="N181" i="3"/>
  <c r="AJ181" i="3"/>
  <c r="AL181" i="3"/>
  <c r="O181" i="3"/>
  <c r="P181" i="3"/>
  <c r="Q181" i="3"/>
  <c r="K182" i="3"/>
  <c r="L182" i="3"/>
  <c r="V182" i="3"/>
  <c r="AD182" i="3"/>
  <c r="AF182" i="3"/>
  <c r="M182" i="3"/>
  <c r="N182" i="3"/>
  <c r="AJ182" i="3"/>
  <c r="AL182" i="3"/>
  <c r="O182" i="3"/>
  <c r="P182" i="3"/>
  <c r="Q182" i="3"/>
  <c r="K183" i="3"/>
  <c r="L183" i="3"/>
  <c r="V183" i="3"/>
  <c r="AD183" i="3"/>
  <c r="AF183" i="3"/>
  <c r="M183" i="3"/>
  <c r="N183" i="3"/>
  <c r="AJ183" i="3"/>
  <c r="AL183" i="3"/>
  <c r="O183" i="3"/>
  <c r="P183" i="3"/>
  <c r="Q183" i="3"/>
  <c r="K184" i="3"/>
  <c r="L184" i="3"/>
  <c r="V184" i="3"/>
  <c r="AD184" i="3"/>
  <c r="AF184" i="3"/>
  <c r="M184" i="3"/>
  <c r="N184" i="3"/>
  <c r="AJ184" i="3"/>
  <c r="AL184" i="3"/>
  <c r="O184" i="3"/>
  <c r="P184" i="3"/>
  <c r="Q184" i="3"/>
  <c r="K185" i="3"/>
  <c r="L185" i="3"/>
  <c r="V185" i="3"/>
  <c r="AD185" i="3"/>
  <c r="AF185" i="3"/>
  <c r="M185" i="3"/>
  <c r="N185" i="3"/>
  <c r="AJ185" i="3"/>
  <c r="AL185" i="3"/>
  <c r="O185" i="3"/>
  <c r="P185" i="3"/>
  <c r="Q185" i="3"/>
  <c r="K186" i="3"/>
  <c r="L186" i="3"/>
  <c r="V186" i="3"/>
  <c r="AD186" i="3"/>
  <c r="AF186" i="3"/>
  <c r="M186" i="3"/>
  <c r="N186" i="3"/>
  <c r="AJ186" i="3"/>
  <c r="AL186" i="3"/>
  <c r="O186" i="3"/>
  <c r="P186" i="3"/>
  <c r="Q186" i="3"/>
  <c r="K187" i="3"/>
  <c r="L187" i="3"/>
  <c r="V187" i="3"/>
  <c r="AD187" i="3"/>
  <c r="AF187" i="3"/>
  <c r="M187" i="3"/>
  <c r="N187" i="3"/>
  <c r="AJ187" i="3"/>
  <c r="AL187" i="3"/>
  <c r="O187" i="3"/>
  <c r="P187" i="3"/>
  <c r="Q187" i="3"/>
  <c r="K188" i="3"/>
  <c r="L188" i="3"/>
  <c r="V188" i="3"/>
  <c r="AD188" i="3"/>
  <c r="AF188" i="3"/>
  <c r="M188" i="3"/>
  <c r="N188" i="3"/>
  <c r="AJ188" i="3"/>
  <c r="AL188" i="3"/>
  <c r="O188" i="3"/>
  <c r="P188" i="3"/>
  <c r="Q188" i="3"/>
  <c r="K189" i="3"/>
  <c r="L189" i="3"/>
  <c r="V189" i="3"/>
  <c r="AD189" i="3"/>
  <c r="AF189" i="3"/>
  <c r="M189" i="3"/>
  <c r="N189" i="3"/>
  <c r="AJ189" i="3"/>
  <c r="AL189" i="3"/>
  <c r="O189" i="3"/>
  <c r="P189" i="3"/>
  <c r="Q189" i="3"/>
  <c r="K190" i="3"/>
  <c r="L190" i="3"/>
  <c r="V190" i="3"/>
  <c r="AD190" i="3"/>
  <c r="AF190" i="3"/>
  <c r="M190" i="3"/>
  <c r="N190" i="3"/>
  <c r="AJ190" i="3"/>
  <c r="AL190" i="3"/>
  <c r="O190" i="3"/>
  <c r="P190" i="3"/>
  <c r="Q190" i="3"/>
  <c r="K191" i="3"/>
  <c r="L191" i="3"/>
  <c r="V191" i="3"/>
  <c r="AD191" i="3"/>
  <c r="AF191" i="3"/>
  <c r="M191" i="3"/>
  <c r="N191" i="3"/>
  <c r="AJ191" i="3"/>
  <c r="AL191" i="3"/>
  <c r="O191" i="3"/>
  <c r="P191" i="3"/>
  <c r="Q191" i="3"/>
  <c r="K192" i="3"/>
  <c r="L192" i="3"/>
  <c r="V192" i="3"/>
  <c r="AD192" i="3"/>
  <c r="AF192" i="3"/>
  <c r="M192" i="3"/>
  <c r="N192" i="3"/>
  <c r="AJ192" i="3"/>
  <c r="AL192" i="3"/>
  <c r="O192" i="3"/>
  <c r="P192" i="3"/>
  <c r="Q192" i="3"/>
  <c r="K193" i="3"/>
  <c r="L193" i="3"/>
  <c r="V193" i="3"/>
  <c r="AD193" i="3"/>
  <c r="AF193" i="3"/>
  <c r="M193" i="3"/>
  <c r="N193" i="3"/>
  <c r="AJ193" i="3"/>
  <c r="AL193" i="3"/>
  <c r="O193" i="3"/>
  <c r="P193" i="3"/>
  <c r="Q193" i="3"/>
  <c r="K194" i="3"/>
  <c r="L194" i="3"/>
  <c r="V194" i="3"/>
  <c r="AD194" i="3"/>
  <c r="AF194" i="3"/>
  <c r="M194" i="3"/>
  <c r="N194" i="3"/>
  <c r="AJ194" i="3"/>
  <c r="AL194" i="3"/>
  <c r="O194" i="3"/>
  <c r="P194" i="3"/>
  <c r="Q194" i="3"/>
  <c r="K195" i="3"/>
  <c r="L195" i="3"/>
  <c r="V195" i="3"/>
  <c r="AD195" i="3"/>
  <c r="AF195" i="3"/>
  <c r="M195" i="3"/>
  <c r="N195" i="3"/>
  <c r="AJ195" i="3"/>
  <c r="AL195" i="3"/>
  <c r="O195" i="3"/>
  <c r="P195" i="3"/>
  <c r="Q195" i="3"/>
  <c r="K196" i="3"/>
  <c r="L196" i="3"/>
  <c r="V196" i="3"/>
  <c r="AD196" i="3"/>
  <c r="AF196" i="3"/>
  <c r="M196" i="3"/>
  <c r="N196" i="3"/>
  <c r="AJ196" i="3"/>
  <c r="AL196" i="3"/>
  <c r="O196" i="3"/>
  <c r="P196" i="3"/>
  <c r="Q196" i="3"/>
  <c r="K197" i="3"/>
  <c r="L197" i="3"/>
  <c r="V197" i="3"/>
  <c r="AD197" i="3"/>
  <c r="AF197" i="3"/>
  <c r="M197" i="3"/>
  <c r="N197" i="3"/>
  <c r="AJ197" i="3"/>
  <c r="AL197" i="3"/>
  <c r="O197" i="3"/>
  <c r="P197" i="3"/>
  <c r="Q197" i="3"/>
  <c r="K198" i="3"/>
  <c r="L198" i="3"/>
  <c r="V198" i="3"/>
  <c r="AD198" i="3"/>
  <c r="AF198" i="3"/>
  <c r="M198" i="3"/>
  <c r="N198" i="3"/>
  <c r="AJ198" i="3"/>
  <c r="AL198" i="3"/>
  <c r="O198" i="3"/>
  <c r="P198" i="3"/>
  <c r="Q198" i="3"/>
  <c r="K199" i="3"/>
  <c r="L199" i="3"/>
  <c r="V199" i="3"/>
  <c r="AD199" i="3"/>
  <c r="AF199" i="3"/>
  <c r="M199" i="3"/>
  <c r="N199" i="3"/>
  <c r="AJ199" i="3"/>
  <c r="AL199" i="3"/>
  <c r="O199" i="3"/>
  <c r="P199" i="3"/>
  <c r="Q199" i="3"/>
  <c r="K200" i="3"/>
  <c r="L200" i="3"/>
  <c r="V200" i="3"/>
  <c r="AD200" i="3"/>
  <c r="AF200" i="3"/>
  <c r="M200" i="3"/>
  <c r="N200" i="3"/>
  <c r="AJ200" i="3"/>
  <c r="AL200" i="3"/>
  <c r="O200" i="3"/>
  <c r="P200" i="3"/>
  <c r="Q200" i="3"/>
  <c r="K201" i="3"/>
  <c r="L201" i="3"/>
  <c r="V201" i="3"/>
  <c r="AD201" i="3"/>
  <c r="AF201" i="3"/>
  <c r="M201" i="3"/>
  <c r="N201" i="3"/>
  <c r="AJ201" i="3"/>
  <c r="AL201" i="3"/>
  <c r="O201" i="3"/>
  <c r="P201" i="3"/>
  <c r="Q201" i="3"/>
  <c r="K202" i="3"/>
  <c r="L202" i="3"/>
  <c r="V202" i="3"/>
  <c r="AD202" i="3"/>
  <c r="AF202" i="3"/>
  <c r="M202" i="3"/>
  <c r="N202" i="3"/>
  <c r="AJ202" i="3"/>
  <c r="AL202" i="3"/>
  <c r="O202" i="3"/>
  <c r="P202" i="3"/>
  <c r="Q202" i="3"/>
  <c r="K203" i="3"/>
  <c r="L203" i="3"/>
  <c r="V203" i="3"/>
  <c r="AD203" i="3"/>
  <c r="AF203" i="3"/>
  <c r="M203" i="3"/>
  <c r="N203" i="3"/>
  <c r="AJ203" i="3"/>
  <c r="AL203" i="3"/>
  <c r="O203" i="3"/>
  <c r="P203" i="3"/>
  <c r="Q203" i="3"/>
  <c r="K204" i="3"/>
  <c r="L204" i="3"/>
  <c r="V204" i="3"/>
  <c r="AD204" i="3"/>
  <c r="AF204" i="3"/>
  <c r="M204" i="3"/>
  <c r="N204" i="3"/>
  <c r="AJ204" i="3"/>
  <c r="AL204" i="3"/>
  <c r="O204" i="3"/>
  <c r="P204" i="3"/>
  <c r="Q204" i="3"/>
  <c r="K205" i="3"/>
  <c r="L205" i="3"/>
  <c r="V205" i="3"/>
  <c r="AD205" i="3"/>
  <c r="AF205" i="3"/>
  <c r="M205" i="3"/>
  <c r="N205" i="3"/>
  <c r="AJ205" i="3"/>
  <c r="AL205" i="3"/>
  <c r="O205" i="3"/>
  <c r="P205" i="3"/>
  <c r="Q205" i="3"/>
  <c r="K206" i="3"/>
  <c r="L206" i="3"/>
  <c r="V206" i="3"/>
  <c r="AD206" i="3"/>
  <c r="AF206" i="3"/>
  <c r="M206" i="3"/>
  <c r="N206" i="3"/>
  <c r="AJ206" i="3"/>
  <c r="AL206" i="3"/>
  <c r="O206" i="3"/>
  <c r="P206" i="3"/>
  <c r="Q206" i="3"/>
  <c r="K207" i="3"/>
  <c r="L207" i="3"/>
  <c r="V207" i="3"/>
  <c r="AD207" i="3"/>
  <c r="AF207" i="3"/>
  <c r="M207" i="3"/>
  <c r="N207" i="3"/>
  <c r="AJ207" i="3"/>
  <c r="AL207" i="3"/>
  <c r="O207" i="3"/>
  <c r="P207" i="3"/>
  <c r="Q207" i="3"/>
  <c r="K208" i="3"/>
  <c r="L208" i="3"/>
  <c r="V208" i="3"/>
  <c r="AD208" i="3"/>
  <c r="AF208" i="3"/>
  <c r="M208" i="3"/>
  <c r="N208" i="3"/>
  <c r="AJ208" i="3"/>
  <c r="AL208" i="3"/>
  <c r="O208" i="3"/>
  <c r="P208" i="3"/>
  <c r="Q208" i="3"/>
  <c r="K209" i="3"/>
  <c r="L209" i="3"/>
  <c r="V209" i="3"/>
  <c r="AD209" i="3"/>
  <c r="AF209" i="3"/>
  <c r="M209" i="3"/>
  <c r="N209" i="3"/>
  <c r="AJ209" i="3"/>
  <c r="AL209" i="3"/>
  <c r="O209" i="3"/>
  <c r="P209" i="3"/>
  <c r="Q209" i="3"/>
  <c r="K210" i="3"/>
  <c r="L210" i="3"/>
  <c r="V210" i="3"/>
  <c r="AD210" i="3"/>
  <c r="AF210" i="3"/>
  <c r="M210" i="3"/>
  <c r="N210" i="3"/>
  <c r="AJ210" i="3"/>
  <c r="AL210" i="3"/>
  <c r="O210" i="3"/>
  <c r="P210" i="3"/>
  <c r="Q210" i="3"/>
  <c r="K211" i="3"/>
  <c r="L211" i="3"/>
  <c r="V211" i="3"/>
  <c r="AD211" i="3"/>
  <c r="AF211" i="3"/>
  <c r="M211" i="3"/>
  <c r="N211" i="3"/>
  <c r="AJ211" i="3"/>
  <c r="AL211" i="3"/>
  <c r="O211" i="3"/>
  <c r="P211" i="3"/>
  <c r="Q211" i="3"/>
  <c r="K212" i="3"/>
  <c r="L212" i="3"/>
  <c r="V212" i="3"/>
  <c r="AD212" i="3"/>
  <c r="AF212" i="3"/>
  <c r="M212" i="3"/>
  <c r="N212" i="3"/>
  <c r="AJ212" i="3"/>
  <c r="AL212" i="3"/>
  <c r="O212" i="3"/>
  <c r="P212" i="3"/>
  <c r="Q212" i="3"/>
  <c r="K213" i="3"/>
  <c r="L213" i="3"/>
  <c r="V213" i="3"/>
  <c r="AD213" i="3"/>
  <c r="AF213" i="3"/>
  <c r="M213" i="3"/>
  <c r="N213" i="3"/>
  <c r="AJ213" i="3"/>
  <c r="AL213" i="3"/>
  <c r="O213" i="3"/>
  <c r="P213" i="3"/>
  <c r="Q213" i="3"/>
  <c r="K214" i="3"/>
  <c r="L214" i="3"/>
  <c r="V214" i="3"/>
  <c r="AD214" i="3"/>
  <c r="AF214" i="3"/>
  <c r="M214" i="3"/>
  <c r="N214" i="3"/>
  <c r="AJ214" i="3"/>
  <c r="AL214" i="3"/>
  <c r="O214" i="3"/>
  <c r="P214" i="3"/>
  <c r="Q214" i="3"/>
  <c r="K215" i="3"/>
  <c r="L215" i="3"/>
  <c r="V215" i="3"/>
  <c r="AD215" i="3"/>
  <c r="AF215" i="3"/>
  <c r="M215" i="3"/>
  <c r="N215" i="3"/>
  <c r="AJ215" i="3"/>
  <c r="AL215" i="3"/>
  <c r="O215" i="3"/>
  <c r="P215" i="3"/>
  <c r="Q215" i="3"/>
  <c r="K216" i="3"/>
  <c r="L216" i="3"/>
  <c r="V216" i="3"/>
  <c r="AD216" i="3"/>
  <c r="AF216" i="3"/>
  <c r="M216" i="3"/>
  <c r="N216" i="3"/>
  <c r="AJ216" i="3"/>
  <c r="AL216" i="3"/>
  <c r="O216" i="3"/>
  <c r="P216" i="3"/>
  <c r="Q216" i="3"/>
  <c r="K217" i="3"/>
  <c r="L217" i="3"/>
  <c r="V217" i="3"/>
  <c r="AD217" i="3"/>
  <c r="AF217" i="3"/>
  <c r="M217" i="3"/>
  <c r="N217" i="3"/>
  <c r="AJ217" i="3"/>
  <c r="AL217" i="3"/>
  <c r="O217" i="3"/>
  <c r="P217" i="3"/>
  <c r="Q217" i="3"/>
  <c r="K218" i="3"/>
  <c r="L218" i="3"/>
  <c r="V218" i="3"/>
  <c r="AD218" i="3"/>
  <c r="AF218" i="3"/>
  <c r="M218" i="3"/>
  <c r="N218" i="3"/>
  <c r="AJ218" i="3"/>
  <c r="AL218" i="3"/>
  <c r="O218" i="3"/>
  <c r="P218" i="3"/>
  <c r="Q218" i="3"/>
  <c r="K219" i="3"/>
  <c r="L219" i="3"/>
  <c r="V219" i="3"/>
  <c r="AD219" i="3"/>
  <c r="AF219" i="3"/>
  <c r="M219" i="3"/>
  <c r="N219" i="3"/>
  <c r="AJ219" i="3"/>
  <c r="AL219" i="3"/>
  <c r="O219" i="3"/>
  <c r="P219" i="3"/>
  <c r="Q219" i="3"/>
  <c r="K220" i="3"/>
  <c r="L220" i="3"/>
  <c r="V220" i="3"/>
  <c r="AD220" i="3"/>
  <c r="AF220" i="3"/>
  <c r="M220" i="3"/>
  <c r="N220" i="3"/>
  <c r="AJ220" i="3"/>
  <c r="AL220" i="3"/>
  <c r="O220" i="3"/>
  <c r="P220" i="3"/>
  <c r="Q220" i="3"/>
  <c r="K221" i="3"/>
  <c r="L221" i="3"/>
  <c r="V221" i="3"/>
  <c r="AD221" i="3"/>
  <c r="AF221" i="3"/>
  <c r="M221" i="3"/>
  <c r="N221" i="3"/>
  <c r="AJ221" i="3"/>
  <c r="AL221" i="3"/>
  <c r="O221" i="3"/>
  <c r="P221" i="3"/>
  <c r="Q221" i="3"/>
  <c r="K222" i="3"/>
  <c r="L222" i="3"/>
  <c r="V222" i="3"/>
  <c r="AD222" i="3"/>
  <c r="AF222" i="3"/>
  <c r="M222" i="3"/>
  <c r="N222" i="3"/>
  <c r="AJ222" i="3"/>
  <c r="AL222" i="3"/>
  <c r="O222" i="3"/>
  <c r="P222" i="3"/>
  <c r="Q222" i="3"/>
  <c r="K223" i="3"/>
  <c r="L223" i="3"/>
  <c r="V223" i="3"/>
  <c r="AD223" i="3"/>
  <c r="AF223" i="3"/>
  <c r="M223" i="3"/>
  <c r="N223" i="3"/>
  <c r="AJ223" i="3"/>
  <c r="AL223" i="3"/>
  <c r="O223" i="3"/>
  <c r="P223" i="3"/>
  <c r="Q223" i="3"/>
  <c r="K224" i="3"/>
  <c r="L224" i="3"/>
  <c r="V224" i="3"/>
  <c r="AD224" i="3"/>
  <c r="AF224" i="3"/>
  <c r="M224" i="3"/>
  <c r="N224" i="3"/>
  <c r="AJ224" i="3"/>
  <c r="AL224" i="3"/>
  <c r="O224" i="3"/>
  <c r="P224" i="3"/>
  <c r="Q224" i="3"/>
  <c r="K225" i="3"/>
  <c r="L225" i="3"/>
  <c r="V225" i="3"/>
  <c r="AD225" i="3"/>
  <c r="AF225" i="3"/>
  <c r="M225" i="3"/>
  <c r="N225" i="3"/>
  <c r="AJ225" i="3"/>
  <c r="AL225" i="3"/>
  <c r="O225" i="3"/>
  <c r="P225" i="3"/>
  <c r="Q225" i="3"/>
  <c r="K226" i="3"/>
  <c r="L226" i="3"/>
  <c r="V226" i="3"/>
  <c r="AD226" i="3"/>
  <c r="AF226" i="3"/>
  <c r="M226" i="3"/>
  <c r="N226" i="3"/>
  <c r="AJ226" i="3"/>
  <c r="AL226" i="3"/>
  <c r="O226" i="3"/>
  <c r="P226" i="3"/>
  <c r="Q226" i="3"/>
  <c r="K227" i="3"/>
  <c r="L227" i="3"/>
  <c r="V227" i="3"/>
  <c r="AD227" i="3"/>
  <c r="AF227" i="3"/>
  <c r="M227" i="3"/>
  <c r="N227" i="3"/>
  <c r="AJ227" i="3"/>
  <c r="AL227" i="3"/>
  <c r="O227" i="3"/>
  <c r="P227" i="3"/>
  <c r="Q227" i="3"/>
  <c r="K228" i="3"/>
  <c r="L228" i="3"/>
  <c r="V228" i="3"/>
  <c r="AD228" i="3"/>
  <c r="AF228" i="3"/>
  <c r="M228" i="3"/>
  <c r="N228" i="3"/>
  <c r="AJ228" i="3"/>
  <c r="AL228" i="3"/>
  <c r="O228" i="3"/>
  <c r="P228" i="3"/>
  <c r="Q228" i="3"/>
  <c r="K229" i="3"/>
  <c r="L229" i="3"/>
  <c r="V229" i="3"/>
  <c r="AD229" i="3"/>
  <c r="AF229" i="3"/>
  <c r="M229" i="3"/>
  <c r="N229" i="3"/>
  <c r="AJ229" i="3"/>
  <c r="AL229" i="3"/>
  <c r="O229" i="3"/>
  <c r="P229" i="3"/>
  <c r="Q229" i="3"/>
  <c r="K230" i="3"/>
  <c r="L230" i="3"/>
  <c r="V230" i="3"/>
  <c r="AD230" i="3"/>
  <c r="AF230" i="3"/>
  <c r="M230" i="3"/>
  <c r="N230" i="3"/>
  <c r="AJ230" i="3"/>
  <c r="AL230" i="3"/>
  <c r="O230" i="3"/>
  <c r="P230" i="3"/>
  <c r="Q230" i="3"/>
  <c r="K231" i="3"/>
  <c r="L231" i="3"/>
  <c r="V231" i="3"/>
  <c r="AD231" i="3"/>
  <c r="AF231" i="3"/>
  <c r="M231" i="3"/>
  <c r="N231" i="3"/>
  <c r="AJ231" i="3"/>
  <c r="AL231" i="3"/>
  <c r="O231" i="3"/>
  <c r="P231" i="3"/>
  <c r="Q231" i="3"/>
  <c r="K232" i="3"/>
  <c r="L232" i="3"/>
  <c r="V232" i="3"/>
  <c r="AD232" i="3"/>
  <c r="AF232" i="3"/>
  <c r="M232" i="3"/>
  <c r="N232" i="3"/>
  <c r="AJ232" i="3"/>
  <c r="AL232" i="3"/>
  <c r="O232" i="3"/>
  <c r="P232" i="3"/>
  <c r="Q232" i="3"/>
  <c r="K233" i="3"/>
  <c r="L233" i="3"/>
  <c r="V233" i="3"/>
  <c r="AD233" i="3"/>
  <c r="AF233" i="3"/>
  <c r="M233" i="3"/>
  <c r="N233" i="3"/>
  <c r="AJ233" i="3"/>
  <c r="AL233" i="3"/>
  <c r="O233" i="3"/>
  <c r="P233" i="3"/>
  <c r="Q233" i="3"/>
  <c r="K234" i="3"/>
  <c r="L234" i="3"/>
  <c r="V234" i="3"/>
  <c r="AD234" i="3"/>
  <c r="AF234" i="3"/>
  <c r="M234" i="3"/>
  <c r="N234" i="3"/>
  <c r="AJ234" i="3"/>
  <c r="AL234" i="3"/>
  <c r="O234" i="3"/>
  <c r="P234" i="3"/>
  <c r="Q234" i="3"/>
  <c r="K235" i="3"/>
  <c r="L235" i="3"/>
  <c r="V235" i="3"/>
  <c r="AD235" i="3"/>
  <c r="AF235" i="3"/>
  <c r="M235" i="3"/>
  <c r="N235" i="3"/>
  <c r="AJ235" i="3"/>
  <c r="AL235" i="3"/>
  <c r="O235" i="3"/>
  <c r="P235" i="3"/>
  <c r="Q235" i="3"/>
  <c r="K236" i="3"/>
  <c r="L236" i="3"/>
  <c r="V236" i="3"/>
  <c r="AD236" i="3"/>
  <c r="AF236" i="3"/>
  <c r="M236" i="3"/>
  <c r="N236" i="3"/>
  <c r="AJ236" i="3"/>
  <c r="AL236" i="3"/>
  <c r="O236" i="3"/>
  <c r="P236" i="3"/>
  <c r="Q236" i="3"/>
  <c r="K237" i="3"/>
  <c r="L237" i="3"/>
  <c r="V237" i="3"/>
  <c r="AD237" i="3"/>
  <c r="AF237" i="3"/>
  <c r="M237" i="3"/>
  <c r="N237" i="3"/>
  <c r="AJ237" i="3"/>
  <c r="AL237" i="3"/>
  <c r="O237" i="3"/>
  <c r="P237" i="3"/>
  <c r="Q237" i="3"/>
  <c r="K238" i="3"/>
  <c r="L238" i="3"/>
  <c r="V238" i="3"/>
  <c r="AD238" i="3"/>
  <c r="AF238" i="3"/>
  <c r="M238" i="3"/>
  <c r="N238" i="3"/>
  <c r="AJ238" i="3"/>
  <c r="AL238" i="3"/>
  <c r="O238" i="3"/>
  <c r="P238" i="3"/>
  <c r="Q238" i="3"/>
  <c r="K239" i="3"/>
  <c r="L239" i="3"/>
  <c r="V239" i="3"/>
  <c r="AD239" i="3"/>
  <c r="AF239" i="3"/>
  <c r="M239" i="3"/>
  <c r="N239" i="3"/>
  <c r="AJ239" i="3"/>
  <c r="AL239" i="3"/>
  <c r="O239" i="3"/>
  <c r="P239" i="3"/>
  <c r="Q239" i="3"/>
  <c r="K240" i="3"/>
  <c r="L240" i="3"/>
  <c r="V240" i="3"/>
  <c r="AD240" i="3"/>
  <c r="AF240" i="3"/>
  <c r="M240" i="3"/>
  <c r="N240" i="3"/>
  <c r="AJ240" i="3"/>
  <c r="AL240" i="3"/>
  <c r="O240" i="3"/>
  <c r="P240" i="3"/>
  <c r="Q240" i="3"/>
  <c r="K241" i="3"/>
  <c r="L241" i="3"/>
  <c r="V241" i="3"/>
  <c r="AD241" i="3"/>
  <c r="AF241" i="3"/>
  <c r="M241" i="3"/>
  <c r="N241" i="3"/>
  <c r="AJ241" i="3"/>
  <c r="AL241" i="3"/>
  <c r="O241" i="3"/>
  <c r="P241" i="3"/>
  <c r="Q241" i="3"/>
  <c r="K242" i="3"/>
  <c r="L242" i="3"/>
  <c r="V242" i="3"/>
  <c r="AD242" i="3"/>
  <c r="AF242" i="3"/>
  <c r="M242" i="3"/>
  <c r="N242" i="3"/>
  <c r="AJ242" i="3"/>
  <c r="AL242" i="3"/>
  <c r="O242" i="3"/>
  <c r="P242" i="3"/>
  <c r="Q242" i="3"/>
  <c r="K243" i="3"/>
  <c r="L243" i="3"/>
  <c r="V243" i="3"/>
  <c r="AD243" i="3"/>
  <c r="AF243" i="3"/>
  <c r="M243" i="3"/>
  <c r="N243" i="3"/>
  <c r="AJ243" i="3"/>
  <c r="AL243" i="3"/>
  <c r="O243" i="3"/>
  <c r="P243" i="3"/>
  <c r="Q243" i="3"/>
  <c r="K244" i="3"/>
  <c r="L244" i="3"/>
  <c r="V244" i="3"/>
  <c r="AD244" i="3"/>
  <c r="AF244" i="3"/>
  <c r="M244" i="3"/>
  <c r="N244" i="3"/>
  <c r="AJ244" i="3"/>
  <c r="AL244" i="3"/>
  <c r="O244" i="3"/>
  <c r="P244" i="3"/>
  <c r="Q244" i="3"/>
  <c r="K245" i="3"/>
  <c r="L245" i="3"/>
  <c r="V245" i="3"/>
  <c r="AD245" i="3"/>
  <c r="AF245" i="3"/>
  <c r="M245" i="3"/>
  <c r="N245" i="3"/>
  <c r="AJ245" i="3"/>
  <c r="AL245" i="3"/>
  <c r="O245" i="3"/>
  <c r="P245" i="3"/>
  <c r="Q245" i="3"/>
  <c r="K246" i="3"/>
  <c r="L246" i="3"/>
  <c r="V246" i="3"/>
  <c r="AD246" i="3"/>
  <c r="AF246" i="3"/>
  <c r="M246" i="3"/>
  <c r="N246" i="3"/>
  <c r="AJ246" i="3"/>
  <c r="AL246" i="3"/>
  <c r="O246" i="3"/>
  <c r="P246" i="3"/>
  <c r="Q246" i="3"/>
  <c r="K247" i="3"/>
  <c r="L247" i="3"/>
  <c r="V247" i="3"/>
  <c r="AD247" i="3"/>
  <c r="AF247" i="3"/>
  <c r="M247" i="3"/>
  <c r="N247" i="3"/>
  <c r="AJ247" i="3"/>
  <c r="AL247" i="3"/>
  <c r="O247" i="3"/>
  <c r="P247" i="3"/>
  <c r="Q247" i="3"/>
  <c r="K248" i="3"/>
  <c r="L248" i="3"/>
  <c r="V248" i="3"/>
  <c r="AD248" i="3"/>
  <c r="AF248" i="3"/>
  <c r="M248" i="3"/>
  <c r="N248" i="3"/>
  <c r="AJ248" i="3"/>
  <c r="AL248" i="3"/>
  <c r="O248" i="3"/>
  <c r="P248" i="3"/>
  <c r="Q248" i="3"/>
  <c r="K249" i="3"/>
  <c r="L249" i="3"/>
  <c r="V249" i="3"/>
  <c r="AD249" i="3"/>
  <c r="AF249" i="3"/>
  <c r="M249" i="3"/>
  <c r="N249" i="3"/>
  <c r="AJ249" i="3"/>
  <c r="AL249" i="3"/>
  <c r="O249" i="3"/>
  <c r="P249" i="3"/>
  <c r="Q249" i="3"/>
  <c r="K250" i="3"/>
  <c r="L250" i="3"/>
  <c r="V250" i="3"/>
  <c r="AD250" i="3"/>
  <c r="AF250" i="3"/>
  <c r="M250" i="3"/>
  <c r="N250" i="3"/>
  <c r="AJ250" i="3"/>
  <c r="AL250" i="3"/>
  <c r="O250" i="3"/>
  <c r="P250" i="3"/>
  <c r="Q250" i="3"/>
  <c r="K251" i="3"/>
  <c r="L251" i="3"/>
  <c r="V251" i="3"/>
  <c r="AD251" i="3"/>
  <c r="AF251" i="3"/>
  <c r="M251" i="3"/>
  <c r="N251" i="3"/>
  <c r="AJ251" i="3"/>
  <c r="AL251" i="3"/>
  <c r="O251" i="3"/>
  <c r="P251" i="3"/>
  <c r="Q251" i="3"/>
  <c r="K252" i="3"/>
  <c r="L252" i="3"/>
  <c r="V252" i="3"/>
  <c r="AD252" i="3"/>
  <c r="AF252" i="3"/>
  <c r="M252" i="3"/>
  <c r="N252" i="3"/>
  <c r="AJ252" i="3"/>
  <c r="AL252" i="3"/>
  <c r="O252" i="3"/>
  <c r="P252" i="3"/>
  <c r="Q252" i="3"/>
  <c r="K253" i="3"/>
  <c r="L253" i="3"/>
  <c r="V253" i="3"/>
  <c r="AD253" i="3"/>
  <c r="AF253" i="3"/>
  <c r="M253" i="3"/>
  <c r="N253" i="3"/>
  <c r="AJ253" i="3"/>
  <c r="AL253" i="3"/>
  <c r="O253" i="3"/>
  <c r="P253" i="3"/>
  <c r="Q253" i="3"/>
  <c r="K254" i="3"/>
  <c r="L254" i="3"/>
  <c r="V254" i="3"/>
  <c r="AD254" i="3"/>
  <c r="AF254" i="3"/>
  <c r="M254" i="3"/>
  <c r="N254" i="3"/>
  <c r="AJ254" i="3"/>
  <c r="AL254" i="3"/>
  <c r="O254" i="3"/>
  <c r="P254" i="3"/>
  <c r="Q254" i="3"/>
  <c r="K255" i="3"/>
  <c r="L255" i="3"/>
  <c r="V255" i="3"/>
  <c r="AD255" i="3"/>
  <c r="AF255" i="3"/>
  <c r="M255" i="3"/>
  <c r="N255" i="3"/>
  <c r="AJ255" i="3"/>
  <c r="AL255" i="3"/>
  <c r="O255" i="3"/>
  <c r="P255" i="3"/>
  <c r="Q255" i="3"/>
  <c r="K256" i="3"/>
  <c r="L256" i="3"/>
  <c r="V256" i="3"/>
  <c r="AD256" i="3"/>
  <c r="AF256" i="3"/>
  <c r="M256" i="3"/>
  <c r="N256" i="3"/>
  <c r="AJ256" i="3"/>
  <c r="AL256" i="3"/>
  <c r="O256" i="3"/>
  <c r="P256" i="3"/>
  <c r="Q256" i="3"/>
  <c r="K257" i="3"/>
  <c r="L257" i="3"/>
  <c r="V257" i="3"/>
  <c r="AD257" i="3"/>
  <c r="AF257" i="3"/>
  <c r="M257" i="3"/>
  <c r="N257" i="3"/>
  <c r="AJ257" i="3"/>
  <c r="AL257" i="3"/>
  <c r="O257" i="3"/>
  <c r="P257" i="3"/>
  <c r="Q257" i="3"/>
  <c r="K258" i="3"/>
  <c r="L258" i="3"/>
  <c r="V258" i="3"/>
  <c r="AD258" i="3"/>
  <c r="AF258" i="3"/>
  <c r="M258" i="3"/>
  <c r="N258" i="3"/>
  <c r="AJ258" i="3"/>
  <c r="AL258" i="3"/>
  <c r="O258" i="3"/>
  <c r="P258" i="3"/>
  <c r="Q258" i="3"/>
  <c r="K259" i="3"/>
  <c r="L259" i="3"/>
  <c r="V259" i="3"/>
  <c r="AD259" i="3"/>
  <c r="AF259" i="3"/>
  <c r="M259" i="3"/>
  <c r="N259" i="3"/>
  <c r="AJ259" i="3"/>
  <c r="AL259" i="3"/>
  <c r="O259" i="3"/>
  <c r="P259" i="3"/>
  <c r="Q259" i="3"/>
  <c r="K260" i="3"/>
  <c r="L260" i="3"/>
  <c r="V260" i="3"/>
  <c r="AD260" i="3"/>
  <c r="AF260" i="3"/>
  <c r="M260" i="3"/>
  <c r="N260" i="3"/>
  <c r="AJ260" i="3"/>
  <c r="AL260" i="3"/>
  <c r="O260" i="3"/>
  <c r="P260" i="3"/>
  <c r="Q260" i="3"/>
  <c r="K261" i="3"/>
  <c r="L261" i="3"/>
  <c r="V261" i="3"/>
  <c r="AD261" i="3"/>
  <c r="AF261" i="3"/>
  <c r="M261" i="3"/>
  <c r="N261" i="3"/>
  <c r="AJ261" i="3"/>
  <c r="AL261" i="3"/>
  <c r="O261" i="3"/>
  <c r="P261" i="3"/>
  <c r="Q261" i="3"/>
  <c r="K262" i="3"/>
  <c r="L262" i="3"/>
  <c r="V262" i="3"/>
  <c r="AD262" i="3"/>
  <c r="AF262" i="3"/>
  <c r="M262" i="3"/>
  <c r="N262" i="3"/>
  <c r="AJ262" i="3"/>
  <c r="AL262" i="3"/>
  <c r="O262" i="3"/>
  <c r="P262" i="3"/>
  <c r="Q262" i="3"/>
  <c r="K263" i="3"/>
  <c r="L263" i="3"/>
  <c r="V263" i="3"/>
  <c r="AD263" i="3"/>
  <c r="AF263" i="3"/>
  <c r="M263" i="3"/>
  <c r="N263" i="3"/>
  <c r="AJ263" i="3"/>
  <c r="AL263" i="3"/>
  <c r="O263" i="3"/>
  <c r="P263" i="3"/>
  <c r="Q263" i="3"/>
  <c r="K264" i="3"/>
  <c r="L264" i="3"/>
  <c r="V264" i="3"/>
  <c r="AD264" i="3"/>
  <c r="AF264" i="3"/>
  <c r="M264" i="3"/>
  <c r="N264" i="3"/>
  <c r="AJ264" i="3"/>
  <c r="AL264" i="3"/>
  <c r="O264" i="3"/>
  <c r="P264" i="3"/>
  <c r="Q264" i="3"/>
  <c r="K265" i="3"/>
  <c r="L265" i="3"/>
  <c r="V265" i="3"/>
  <c r="AD265" i="3"/>
  <c r="AF265" i="3"/>
  <c r="M265" i="3"/>
  <c r="N265" i="3"/>
  <c r="AJ265" i="3"/>
  <c r="AL265" i="3"/>
  <c r="O265" i="3"/>
  <c r="P265" i="3"/>
  <c r="Q265" i="3"/>
  <c r="K266" i="3"/>
  <c r="L266" i="3"/>
  <c r="V266" i="3"/>
  <c r="AD266" i="3"/>
  <c r="AF266" i="3"/>
  <c r="M266" i="3"/>
  <c r="N266" i="3"/>
  <c r="AJ266" i="3"/>
  <c r="AL266" i="3"/>
  <c r="O266" i="3"/>
  <c r="P266" i="3"/>
  <c r="Q266" i="3"/>
  <c r="K267" i="3"/>
  <c r="L267" i="3"/>
  <c r="V267" i="3"/>
  <c r="AD267" i="3"/>
  <c r="AF267" i="3"/>
  <c r="M267" i="3"/>
  <c r="N267" i="3"/>
  <c r="AJ267" i="3"/>
  <c r="AL267" i="3"/>
  <c r="O267" i="3"/>
  <c r="P267" i="3"/>
  <c r="Q267" i="3"/>
  <c r="K268" i="3"/>
  <c r="L268" i="3"/>
  <c r="V268" i="3"/>
  <c r="AD268" i="3"/>
  <c r="AF268" i="3"/>
  <c r="M268" i="3"/>
  <c r="N268" i="3"/>
  <c r="AJ268" i="3"/>
  <c r="AL268" i="3"/>
  <c r="O268" i="3"/>
  <c r="P268" i="3"/>
  <c r="Q268" i="3"/>
  <c r="K269" i="3"/>
  <c r="L269" i="3"/>
  <c r="V269" i="3"/>
  <c r="AD269" i="3"/>
  <c r="AF269" i="3"/>
  <c r="M269" i="3"/>
  <c r="N269" i="3"/>
  <c r="AJ269" i="3"/>
  <c r="AL269" i="3"/>
  <c r="O269" i="3"/>
  <c r="P269" i="3"/>
  <c r="Q269" i="3"/>
  <c r="K270" i="3"/>
  <c r="L270" i="3"/>
  <c r="V270" i="3"/>
  <c r="AD270" i="3"/>
  <c r="AF270" i="3"/>
  <c r="M270" i="3"/>
  <c r="N270" i="3"/>
  <c r="AJ270" i="3"/>
  <c r="AL270" i="3"/>
  <c r="O270" i="3"/>
  <c r="P270" i="3"/>
  <c r="Q270" i="3"/>
  <c r="K271" i="3"/>
  <c r="L271" i="3"/>
  <c r="V271" i="3"/>
  <c r="AD271" i="3"/>
  <c r="AF271" i="3"/>
  <c r="M271" i="3"/>
  <c r="N271" i="3"/>
  <c r="AJ271" i="3"/>
  <c r="AL271" i="3"/>
  <c r="O271" i="3"/>
  <c r="P271" i="3"/>
  <c r="Q271" i="3"/>
  <c r="K272" i="3"/>
  <c r="L272" i="3"/>
  <c r="V272" i="3"/>
  <c r="AD272" i="3"/>
  <c r="AF272" i="3"/>
  <c r="M272" i="3"/>
  <c r="N272" i="3"/>
  <c r="AJ272" i="3"/>
  <c r="AL272" i="3"/>
  <c r="O272" i="3"/>
  <c r="P272" i="3"/>
  <c r="Q272" i="3"/>
  <c r="K273" i="3"/>
  <c r="L273" i="3"/>
  <c r="V273" i="3"/>
  <c r="AD273" i="3"/>
  <c r="AF273" i="3"/>
  <c r="M273" i="3"/>
  <c r="N273" i="3"/>
  <c r="AJ273" i="3"/>
  <c r="AL273" i="3"/>
  <c r="O273" i="3"/>
  <c r="P273" i="3"/>
  <c r="Q273" i="3"/>
  <c r="K274" i="3"/>
  <c r="L274" i="3"/>
  <c r="V274" i="3"/>
  <c r="AD274" i="3"/>
  <c r="AF274" i="3"/>
  <c r="M274" i="3"/>
  <c r="N274" i="3"/>
  <c r="AJ274" i="3"/>
  <c r="AL274" i="3"/>
  <c r="O274" i="3"/>
  <c r="P274" i="3"/>
  <c r="Q274" i="3"/>
  <c r="K275" i="3"/>
  <c r="L275" i="3"/>
  <c r="V275" i="3"/>
  <c r="AD275" i="3"/>
  <c r="AF275" i="3"/>
  <c r="M275" i="3"/>
  <c r="N275" i="3"/>
  <c r="AJ275" i="3"/>
  <c r="AL275" i="3"/>
  <c r="O275" i="3"/>
  <c r="P275" i="3"/>
  <c r="Q275" i="3"/>
  <c r="K276" i="3"/>
  <c r="L276" i="3"/>
  <c r="V276" i="3"/>
  <c r="AD276" i="3"/>
  <c r="AF276" i="3"/>
  <c r="M276" i="3"/>
  <c r="N276" i="3"/>
  <c r="AJ276" i="3"/>
  <c r="AL276" i="3"/>
  <c r="O276" i="3"/>
  <c r="P276" i="3"/>
  <c r="Q276" i="3"/>
  <c r="K277" i="3"/>
  <c r="L277" i="3"/>
  <c r="V277" i="3"/>
  <c r="AD277" i="3"/>
  <c r="AF277" i="3"/>
  <c r="M277" i="3"/>
  <c r="N277" i="3"/>
  <c r="AJ277" i="3"/>
  <c r="AL277" i="3"/>
  <c r="O277" i="3"/>
  <c r="P277" i="3"/>
  <c r="Q277" i="3"/>
  <c r="K278" i="3"/>
  <c r="L278" i="3"/>
  <c r="V278" i="3"/>
  <c r="AD278" i="3"/>
  <c r="AF278" i="3"/>
  <c r="M278" i="3"/>
  <c r="N278" i="3"/>
  <c r="AJ278" i="3"/>
  <c r="AL278" i="3"/>
  <c r="O278" i="3"/>
  <c r="P278" i="3"/>
  <c r="Q278" i="3"/>
  <c r="K279" i="3"/>
  <c r="L279" i="3"/>
  <c r="V279" i="3"/>
  <c r="AD279" i="3"/>
  <c r="AF279" i="3"/>
  <c r="M279" i="3"/>
  <c r="N279" i="3"/>
  <c r="AJ279" i="3"/>
  <c r="AL279" i="3"/>
  <c r="O279" i="3"/>
  <c r="P279" i="3"/>
  <c r="Q279" i="3"/>
  <c r="K280" i="3"/>
  <c r="L280" i="3"/>
  <c r="V280" i="3"/>
  <c r="AD280" i="3"/>
  <c r="AF280" i="3"/>
  <c r="M280" i="3"/>
  <c r="N280" i="3"/>
  <c r="AJ280" i="3"/>
  <c r="AL280" i="3"/>
  <c r="O280" i="3"/>
  <c r="P280" i="3"/>
  <c r="Q280" i="3"/>
  <c r="K281" i="3"/>
  <c r="L281" i="3"/>
  <c r="V281" i="3"/>
  <c r="AD281" i="3"/>
  <c r="AF281" i="3"/>
  <c r="M281" i="3"/>
  <c r="N281" i="3"/>
  <c r="AJ281" i="3"/>
  <c r="AL281" i="3"/>
  <c r="O281" i="3"/>
  <c r="P281" i="3"/>
  <c r="Q281" i="3"/>
  <c r="K282" i="3"/>
  <c r="L282" i="3"/>
  <c r="V282" i="3"/>
  <c r="AD282" i="3"/>
  <c r="AF282" i="3"/>
  <c r="M282" i="3"/>
  <c r="N282" i="3"/>
  <c r="AJ282" i="3"/>
  <c r="AL282" i="3"/>
  <c r="O282" i="3"/>
  <c r="P282" i="3"/>
  <c r="Q282" i="3"/>
  <c r="K283" i="3"/>
  <c r="L283" i="3"/>
  <c r="V283" i="3"/>
  <c r="AD283" i="3"/>
  <c r="AF283" i="3"/>
  <c r="M283" i="3"/>
  <c r="N283" i="3"/>
  <c r="AJ283" i="3"/>
  <c r="AL283" i="3"/>
  <c r="O283" i="3"/>
  <c r="P283" i="3"/>
  <c r="Q283" i="3"/>
  <c r="K284" i="3"/>
  <c r="L284" i="3"/>
  <c r="V284" i="3"/>
  <c r="AD284" i="3"/>
  <c r="AF284" i="3"/>
  <c r="M284" i="3"/>
  <c r="N284" i="3"/>
  <c r="AJ284" i="3"/>
  <c r="AL284" i="3"/>
  <c r="O284" i="3"/>
  <c r="P284" i="3"/>
  <c r="Q284" i="3"/>
  <c r="K285" i="3"/>
  <c r="L285" i="3"/>
  <c r="V285" i="3"/>
  <c r="AD285" i="3"/>
  <c r="AF285" i="3"/>
  <c r="M285" i="3"/>
  <c r="N285" i="3"/>
  <c r="AJ285" i="3"/>
  <c r="AL285" i="3"/>
  <c r="O285" i="3"/>
  <c r="P285" i="3"/>
  <c r="Q285" i="3"/>
  <c r="K286" i="3"/>
  <c r="L286" i="3"/>
  <c r="V286" i="3"/>
  <c r="AD286" i="3"/>
  <c r="AF286" i="3"/>
  <c r="M286" i="3"/>
  <c r="N286" i="3"/>
  <c r="AJ286" i="3"/>
  <c r="AL286" i="3"/>
  <c r="O286" i="3"/>
  <c r="P286" i="3"/>
  <c r="Q286" i="3"/>
  <c r="K287" i="3"/>
  <c r="L287" i="3"/>
  <c r="V287" i="3"/>
  <c r="AD287" i="3"/>
  <c r="AF287" i="3"/>
  <c r="M287" i="3"/>
  <c r="N287" i="3"/>
  <c r="AJ287" i="3"/>
  <c r="AL287" i="3"/>
  <c r="O287" i="3"/>
  <c r="P287" i="3"/>
  <c r="Q287" i="3"/>
  <c r="K288" i="3"/>
  <c r="L288" i="3"/>
  <c r="V288" i="3"/>
  <c r="AD288" i="3"/>
  <c r="AF288" i="3"/>
  <c r="M288" i="3"/>
  <c r="N288" i="3"/>
  <c r="AJ288" i="3"/>
  <c r="AL288" i="3"/>
  <c r="O288" i="3"/>
  <c r="P288" i="3"/>
  <c r="Q288" i="3"/>
  <c r="K289" i="3"/>
  <c r="L289" i="3"/>
  <c r="V289" i="3"/>
  <c r="AD289" i="3"/>
  <c r="AF289" i="3"/>
  <c r="M289" i="3"/>
  <c r="N289" i="3"/>
  <c r="AJ289" i="3"/>
  <c r="AL289" i="3"/>
  <c r="O289" i="3"/>
  <c r="P289" i="3"/>
  <c r="Q289" i="3"/>
  <c r="K290" i="3"/>
  <c r="L290" i="3"/>
  <c r="V290" i="3"/>
  <c r="AD290" i="3"/>
  <c r="AF290" i="3"/>
  <c r="M290" i="3"/>
  <c r="N290" i="3"/>
  <c r="AJ290" i="3"/>
  <c r="AL290" i="3"/>
  <c r="O290" i="3"/>
  <c r="P290" i="3"/>
  <c r="Q290" i="3"/>
  <c r="K291" i="3"/>
  <c r="L291" i="3"/>
  <c r="V291" i="3"/>
  <c r="AD291" i="3"/>
  <c r="AF291" i="3"/>
  <c r="M291" i="3"/>
  <c r="N291" i="3"/>
  <c r="AJ291" i="3"/>
  <c r="AL291" i="3"/>
  <c r="O291" i="3"/>
  <c r="P291" i="3"/>
  <c r="Q291" i="3"/>
  <c r="K292" i="3"/>
  <c r="L292" i="3"/>
  <c r="V292" i="3"/>
  <c r="AD292" i="3"/>
  <c r="AF292" i="3"/>
  <c r="M292" i="3"/>
  <c r="N292" i="3"/>
  <c r="AJ292" i="3"/>
  <c r="AL292" i="3"/>
  <c r="O292" i="3"/>
  <c r="P292" i="3"/>
  <c r="Q292" i="3"/>
  <c r="K293" i="3"/>
  <c r="L293" i="3"/>
  <c r="V293" i="3"/>
  <c r="AD293" i="3"/>
  <c r="AF293" i="3"/>
  <c r="M293" i="3"/>
  <c r="N293" i="3"/>
  <c r="AJ293" i="3"/>
  <c r="AL293" i="3"/>
  <c r="O293" i="3"/>
  <c r="P293" i="3"/>
  <c r="Q293" i="3"/>
  <c r="K294" i="3"/>
  <c r="L294" i="3"/>
  <c r="V294" i="3"/>
  <c r="AD294" i="3"/>
  <c r="AF294" i="3"/>
  <c r="M294" i="3"/>
  <c r="N294" i="3"/>
  <c r="AJ294" i="3"/>
  <c r="AL294" i="3"/>
  <c r="O294" i="3"/>
  <c r="P294" i="3"/>
  <c r="Q294" i="3"/>
  <c r="K295" i="3"/>
  <c r="L295" i="3"/>
  <c r="V295" i="3"/>
  <c r="AD295" i="3"/>
  <c r="AF295" i="3"/>
  <c r="M295" i="3"/>
  <c r="N295" i="3"/>
  <c r="AJ295" i="3"/>
  <c r="AL295" i="3"/>
  <c r="O295" i="3"/>
  <c r="P295" i="3"/>
  <c r="Q295" i="3"/>
  <c r="K296" i="3"/>
  <c r="L296" i="3"/>
  <c r="V296" i="3"/>
  <c r="AD296" i="3"/>
  <c r="AF296" i="3"/>
  <c r="M296" i="3"/>
  <c r="N296" i="3"/>
  <c r="AJ296" i="3"/>
  <c r="AL296" i="3"/>
  <c r="O296" i="3"/>
  <c r="P296" i="3"/>
  <c r="Q296" i="3"/>
  <c r="K297" i="3"/>
  <c r="L297" i="3"/>
  <c r="V297" i="3"/>
  <c r="AD297" i="3"/>
  <c r="AF297" i="3"/>
  <c r="M297" i="3"/>
  <c r="N297" i="3"/>
  <c r="AJ297" i="3"/>
  <c r="AL297" i="3"/>
  <c r="O297" i="3"/>
  <c r="P297" i="3"/>
  <c r="Q297" i="3"/>
  <c r="K298" i="3"/>
  <c r="L298" i="3"/>
  <c r="V298" i="3"/>
  <c r="AD298" i="3"/>
  <c r="AF298" i="3"/>
  <c r="M298" i="3"/>
  <c r="N298" i="3"/>
  <c r="AJ298" i="3"/>
  <c r="AL298" i="3"/>
  <c r="O298" i="3"/>
  <c r="P298" i="3"/>
  <c r="Q298" i="3"/>
  <c r="K299" i="3"/>
  <c r="L299" i="3"/>
  <c r="V299" i="3"/>
  <c r="AD299" i="3"/>
  <c r="AF299" i="3"/>
  <c r="M299" i="3"/>
  <c r="N299" i="3"/>
  <c r="AJ299" i="3"/>
  <c r="AL299" i="3"/>
  <c r="O299" i="3"/>
  <c r="P299" i="3"/>
  <c r="Q299" i="3"/>
  <c r="K300" i="3"/>
  <c r="L300" i="3"/>
  <c r="V300" i="3"/>
  <c r="AD300" i="3"/>
  <c r="AF300" i="3"/>
  <c r="M300" i="3"/>
  <c r="N300" i="3"/>
  <c r="AJ300" i="3"/>
  <c r="AL300" i="3"/>
  <c r="O300" i="3"/>
  <c r="P300" i="3"/>
  <c r="Q300" i="3"/>
  <c r="K301" i="3"/>
  <c r="L301" i="3"/>
  <c r="V301" i="3"/>
  <c r="AD301" i="3"/>
  <c r="AF301" i="3"/>
  <c r="M301" i="3"/>
  <c r="N301" i="3"/>
  <c r="AJ301" i="3"/>
  <c r="AL301" i="3"/>
  <c r="O301" i="3"/>
  <c r="P301" i="3"/>
  <c r="Q301" i="3"/>
  <c r="K302" i="3"/>
  <c r="L302" i="3"/>
  <c r="V302" i="3"/>
  <c r="AD302" i="3"/>
  <c r="AF302" i="3"/>
  <c r="M302" i="3"/>
  <c r="N302" i="3"/>
  <c r="AJ302" i="3"/>
  <c r="AL302" i="3"/>
  <c r="O302" i="3"/>
  <c r="P302" i="3"/>
  <c r="Q302" i="3"/>
  <c r="K303" i="3"/>
  <c r="L303" i="3"/>
  <c r="V303" i="3"/>
  <c r="AD303" i="3"/>
  <c r="AF303" i="3"/>
  <c r="M303" i="3"/>
  <c r="N303" i="3"/>
  <c r="AJ303" i="3"/>
  <c r="AL303" i="3"/>
  <c r="O303" i="3"/>
  <c r="P303" i="3"/>
  <c r="Q303" i="3"/>
  <c r="K304" i="3"/>
  <c r="L304" i="3"/>
  <c r="V304" i="3"/>
  <c r="AD304" i="3"/>
  <c r="AF304" i="3"/>
  <c r="M304" i="3"/>
  <c r="N304" i="3"/>
  <c r="AJ304" i="3"/>
  <c r="AL304" i="3"/>
  <c r="O304" i="3"/>
  <c r="P304" i="3"/>
  <c r="Q304" i="3"/>
  <c r="K305" i="3"/>
  <c r="L305" i="3"/>
  <c r="V305" i="3"/>
  <c r="AD305" i="3"/>
  <c r="AF305" i="3"/>
  <c r="M305" i="3"/>
  <c r="N305" i="3"/>
  <c r="AJ305" i="3"/>
  <c r="AL305" i="3"/>
  <c r="O305" i="3"/>
  <c r="P305" i="3"/>
  <c r="Q305" i="3"/>
  <c r="K306" i="3"/>
  <c r="L306" i="3"/>
  <c r="V306" i="3"/>
  <c r="AD306" i="3"/>
  <c r="AF306" i="3"/>
  <c r="M306" i="3"/>
  <c r="N306" i="3"/>
  <c r="AJ306" i="3"/>
  <c r="AL306" i="3"/>
  <c r="O306" i="3"/>
  <c r="P306" i="3"/>
  <c r="Q306" i="3"/>
  <c r="K307" i="3"/>
  <c r="L307" i="3"/>
  <c r="V307" i="3"/>
  <c r="AD307" i="3"/>
  <c r="AF307" i="3"/>
  <c r="M307" i="3"/>
  <c r="N307" i="3"/>
  <c r="AJ307" i="3"/>
  <c r="AL307" i="3"/>
  <c r="O307" i="3"/>
  <c r="P307" i="3"/>
  <c r="Q307" i="3"/>
  <c r="K308" i="3"/>
  <c r="L308" i="3"/>
  <c r="V308" i="3"/>
  <c r="AD308" i="3"/>
  <c r="AF308" i="3"/>
  <c r="M308" i="3"/>
  <c r="N308" i="3"/>
  <c r="AJ308" i="3"/>
  <c r="AL308" i="3"/>
  <c r="O308" i="3"/>
  <c r="P308" i="3"/>
  <c r="Q308" i="3"/>
  <c r="K309" i="3"/>
  <c r="L309" i="3"/>
  <c r="V309" i="3"/>
  <c r="AD309" i="3"/>
  <c r="AF309" i="3"/>
  <c r="M309" i="3"/>
  <c r="N309" i="3"/>
  <c r="AJ309" i="3"/>
  <c r="AL309" i="3"/>
  <c r="O309" i="3"/>
  <c r="P309" i="3"/>
  <c r="Q309" i="3"/>
  <c r="K310" i="3"/>
  <c r="L310" i="3"/>
  <c r="V310" i="3"/>
  <c r="AD310" i="3"/>
  <c r="AF310" i="3"/>
  <c r="M310" i="3"/>
  <c r="N310" i="3"/>
  <c r="AJ310" i="3"/>
  <c r="AL310" i="3"/>
  <c r="O310" i="3"/>
  <c r="P310" i="3"/>
  <c r="Q310" i="3"/>
  <c r="K311" i="3"/>
  <c r="L311" i="3"/>
  <c r="V311" i="3"/>
  <c r="AD311" i="3"/>
  <c r="AF311" i="3"/>
  <c r="M311" i="3"/>
  <c r="N311" i="3"/>
  <c r="AJ311" i="3"/>
  <c r="AL311" i="3"/>
  <c r="O311" i="3"/>
  <c r="P311" i="3"/>
  <c r="Q311" i="3"/>
  <c r="K312" i="3"/>
  <c r="L312" i="3"/>
  <c r="V312" i="3"/>
  <c r="AD312" i="3"/>
  <c r="AF312" i="3"/>
  <c r="M312" i="3"/>
  <c r="N312" i="3"/>
  <c r="AJ312" i="3"/>
  <c r="AL312" i="3"/>
  <c r="O312" i="3"/>
  <c r="P312" i="3"/>
  <c r="Q312" i="3"/>
  <c r="K313" i="3"/>
  <c r="L313" i="3"/>
  <c r="V313" i="3"/>
  <c r="AD313" i="3"/>
  <c r="AF313" i="3"/>
  <c r="M313" i="3"/>
  <c r="N313" i="3"/>
  <c r="AJ313" i="3"/>
  <c r="AL313" i="3"/>
  <c r="O313" i="3"/>
  <c r="P313" i="3"/>
  <c r="Q313" i="3"/>
  <c r="K314" i="3"/>
  <c r="L314" i="3"/>
  <c r="V314" i="3"/>
  <c r="AD314" i="3"/>
  <c r="AF314" i="3"/>
  <c r="M314" i="3"/>
  <c r="N314" i="3"/>
  <c r="AJ314" i="3"/>
  <c r="AL314" i="3"/>
  <c r="O314" i="3"/>
  <c r="P314" i="3"/>
  <c r="Q314" i="3"/>
  <c r="K315" i="3"/>
  <c r="L315" i="3"/>
  <c r="V315" i="3"/>
  <c r="AD315" i="3"/>
  <c r="AF315" i="3"/>
  <c r="M315" i="3"/>
  <c r="N315" i="3"/>
  <c r="AJ315" i="3"/>
  <c r="AL315" i="3"/>
  <c r="O315" i="3"/>
  <c r="P315" i="3"/>
  <c r="Q315" i="3"/>
  <c r="K316" i="3"/>
  <c r="L316" i="3"/>
  <c r="V316" i="3"/>
  <c r="AD316" i="3"/>
  <c r="AF316" i="3"/>
  <c r="M316" i="3"/>
  <c r="N316" i="3"/>
  <c r="AJ316" i="3"/>
  <c r="AL316" i="3"/>
  <c r="O316" i="3"/>
  <c r="P316" i="3"/>
  <c r="Q316" i="3"/>
  <c r="K317" i="3"/>
  <c r="L317" i="3"/>
  <c r="V317" i="3"/>
  <c r="AD317" i="3"/>
  <c r="AF317" i="3"/>
  <c r="M317" i="3"/>
  <c r="N317" i="3"/>
  <c r="AJ317" i="3"/>
  <c r="AL317" i="3"/>
  <c r="O317" i="3"/>
  <c r="P317" i="3"/>
  <c r="Q317" i="3"/>
  <c r="K318" i="3"/>
  <c r="L318" i="3"/>
  <c r="V318" i="3"/>
  <c r="AD318" i="3"/>
  <c r="AF318" i="3"/>
  <c r="M318" i="3"/>
  <c r="N318" i="3"/>
  <c r="AJ318" i="3"/>
  <c r="AL318" i="3"/>
  <c r="O318" i="3"/>
  <c r="P318" i="3"/>
  <c r="Q318" i="3"/>
  <c r="K319" i="3"/>
  <c r="L319" i="3"/>
  <c r="V319" i="3"/>
  <c r="AD319" i="3"/>
  <c r="AF319" i="3"/>
  <c r="M319" i="3"/>
  <c r="N319" i="3"/>
  <c r="AJ319" i="3"/>
  <c r="AL319" i="3"/>
  <c r="O319" i="3"/>
  <c r="P319" i="3"/>
  <c r="Q319" i="3"/>
  <c r="K320" i="3"/>
  <c r="L320" i="3"/>
  <c r="V320" i="3"/>
  <c r="AD320" i="3"/>
  <c r="AF320" i="3"/>
  <c r="M320" i="3"/>
  <c r="N320" i="3"/>
  <c r="AJ320" i="3"/>
  <c r="AL320" i="3"/>
  <c r="O320" i="3"/>
  <c r="P320" i="3"/>
  <c r="Q320" i="3"/>
  <c r="K321" i="3"/>
  <c r="L321" i="3"/>
  <c r="V321" i="3"/>
  <c r="AD321" i="3"/>
  <c r="AF321" i="3"/>
  <c r="M321" i="3"/>
  <c r="N321" i="3"/>
  <c r="AJ321" i="3"/>
  <c r="AL321" i="3"/>
  <c r="O321" i="3"/>
  <c r="P321" i="3"/>
  <c r="Q321" i="3"/>
  <c r="K322" i="3"/>
  <c r="L322" i="3"/>
  <c r="V322" i="3"/>
  <c r="AD322" i="3"/>
  <c r="AF322" i="3"/>
  <c r="M322" i="3"/>
  <c r="N322" i="3"/>
  <c r="AJ322" i="3"/>
  <c r="AL322" i="3"/>
  <c r="O322" i="3"/>
  <c r="P322" i="3"/>
  <c r="Q322" i="3"/>
  <c r="K323" i="3"/>
  <c r="L323" i="3"/>
  <c r="V323" i="3"/>
  <c r="AD323" i="3"/>
  <c r="AF323" i="3"/>
  <c r="M323" i="3"/>
  <c r="N323" i="3"/>
  <c r="AJ323" i="3"/>
  <c r="AL323" i="3"/>
  <c r="O323" i="3"/>
  <c r="P323" i="3"/>
  <c r="Q323" i="3"/>
  <c r="K324" i="3"/>
  <c r="L324" i="3"/>
  <c r="V324" i="3"/>
  <c r="AD324" i="3"/>
  <c r="AF324" i="3"/>
  <c r="M324" i="3"/>
  <c r="N324" i="3"/>
  <c r="AJ324" i="3"/>
  <c r="AL324" i="3"/>
  <c r="O324" i="3"/>
  <c r="P324" i="3"/>
  <c r="Q324" i="3"/>
  <c r="K325" i="3"/>
  <c r="L325" i="3"/>
  <c r="V325" i="3"/>
  <c r="AD325" i="3"/>
  <c r="AF325" i="3"/>
  <c r="M325" i="3"/>
  <c r="N325" i="3"/>
  <c r="AJ325" i="3"/>
  <c r="AL325" i="3"/>
  <c r="O325" i="3"/>
  <c r="P325" i="3"/>
  <c r="Q325" i="3"/>
  <c r="K326" i="3"/>
  <c r="L326" i="3"/>
  <c r="V326" i="3"/>
  <c r="AD326" i="3"/>
  <c r="AF326" i="3"/>
  <c r="M326" i="3"/>
  <c r="N326" i="3"/>
  <c r="AJ326" i="3"/>
  <c r="AL326" i="3"/>
  <c r="O326" i="3"/>
  <c r="P326" i="3"/>
  <c r="Q326" i="3"/>
  <c r="K327" i="3"/>
  <c r="L327" i="3"/>
  <c r="V327" i="3"/>
  <c r="AD327" i="3"/>
  <c r="AF327" i="3"/>
  <c r="M327" i="3"/>
  <c r="N327" i="3"/>
  <c r="AJ327" i="3"/>
  <c r="AL327" i="3"/>
  <c r="O327" i="3"/>
  <c r="P327" i="3"/>
  <c r="Q327" i="3"/>
  <c r="K328" i="3"/>
  <c r="L328" i="3"/>
  <c r="V328" i="3"/>
  <c r="AD328" i="3"/>
  <c r="AF328" i="3"/>
  <c r="M328" i="3"/>
  <c r="N328" i="3"/>
  <c r="AJ328" i="3"/>
  <c r="AL328" i="3"/>
  <c r="O328" i="3"/>
  <c r="P328" i="3"/>
  <c r="Q328" i="3"/>
  <c r="K329" i="3"/>
  <c r="L329" i="3"/>
  <c r="V329" i="3"/>
  <c r="AD329" i="3"/>
  <c r="AF329" i="3"/>
  <c r="M329" i="3"/>
  <c r="N329" i="3"/>
  <c r="AJ329" i="3"/>
  <c r="AL329" i="3"/>
  <c r="O329" i="3"/>
  <c r="P329" i="3"/>
  <c r="Q329" i="3"/>
  <c r="K330" i="3"/>
  <c r="L330" i="3"/>
  <c r="V330" i="3"/>
  <c r="AD330" i="3"/>
  <c r="AF330" i="3"/>
  <c r="M330" i="3"/>
  <c r="N330" i="3"/>
  <c r="AJ330" i="3"/>
  <c r="AL330" i="3"/>
  <c r="O330" i="3"/>
  <c r="P330" i="3"/>
  <c r="Q330" i="3"/>
  <c r="K331" i="3"/>
  <c r="L331" i="3"/>
  <c r="V331" i="3"/>
  <c r="AD331" i="3"/>
  <c r="AF331" i="3"/>
  <c r="M331" i="3"/>
  <c r="N331" i="3"/>
  <c r="AJ331" i="3"/>
  <c r="AL331" i="3"/>
  <c r="O331" i="3"/>
  <c r="P331" i="3"/>
  <c r="Q331" i="3"/>
  <c r="K332" i="3"/>
  <c r="L332" i="3"/>
  <c r="V332" i="3"/>
  <c r="AD332" i="3"/>
  <c r="AF332" i="3"/>
  <c r="M332" i="3"/>
  <c r="N332" i="3"/>
  <c r="AJ332" i="3"/>
  <c r="AL332" i="3"/>
  <c r="O332" i="3"/>
  <c r="P332" i="3"/>
  <c r="Q332" i="3"/>
  <c r="K333" i="3"/>
  <c r="L333" i="3"/>
  <c r="V333" i="3"/>
  <c r="AD333" i="3"/>
  <c r="AF333" i="3"/>
  <c r="M333" i="3"/>
  <c r="N333" i="3"/>
  <c r="AJ333" i="3"/>
  <c r="AL333" i="3"/>
  <c r="O333" i="3"/>
  <c r="P333" i="3"/>
  <c r="Q333" i="3"/>
  <c r="K334" i="3"/>
  <c r="L334" i="3"/>
  <c r="V334" i="3"/>
  <c r="AD334" i="3"/>
  <c r="AF334" i="3"/>
  <c r="M334" i="3"/>
  <c r="N334" i="3"/>
  <c r="AJ334" i="3"/>
  <c r="AL334" i="3"/>
  <c r="O334" i="3"/>
  <c r="P334" i="3"/>
  <c r="Q334" i="3"/>
  <c r="K335" i="3"/>
  <c r="L335" i="3"/>
  <c r="V335" i="3"/>
  <c r="AD335" i="3"/>
  <c r="AF335" i="3"/>
  <c r="M335" i="3"/>
  <c r="N335" i="3"/>
  <c r="AJ335" i="3"/>
  <c r="AL335" i="3"/>
  <c r="O335" i="3"/>
  <c r="P335" i="3"/>
  <c r="Q335" i="3"/>
  <c r="K336" i="3"/>
  <c r="L336" i="3"/>
  <c r="V336" i="3"/>
  <c r="AD336" i="3"/>
  <c r="AF336" i="3"/>
  <c r="M336" i="3"/>
  <c r="N336" i="3"/>
  <c r="AJ336" i="3"/>
  <c r="AL336" i="3"/>
  <c r="O336" i="3"/>
  <c r="P336" i="3"/>
  <c r="Q336" i="3"/>
  <c r="K337" i="3"/>
  <c r="L337" i="3"/>
  <c r="V337" i="3"/>
  <c r="AD337" i="3"/>
  <c r="AF337" i="3"/>
  <c r="M337" i="3"/>
  <c r="N337" i="3"/>
  <c r="AJ337" i="3"/>
  <c r="AL337" i="3"/>
  <c r="O337" i="3"/>
  <c r="P337" i="3"/>
  <c r="Q337" i="3"/>
  <c r="K338" i="3"/>
  <c r="L338" i="3"/>
  <c r="V338" i="3"/>
  <c r="AD338" i="3"/>
  <c r="AF338" i="3"/>
  <c r="M338" i="3"/>
  <c r="N338" i="3"/>
  <c r="AJ338" i="3"/>
  <c r="AL338" i="3"/>
  <c r="O338" i="3"/>
  <c r="P338" i="3"/>
  <c r="Q338" i="3"/>
  <c r="K339" i="3"/>
  <c r="L339" i="3"/>
  <c r="V339" i="3"/>
  <c r="AD339" i="3"/>
  <c r="AF339" i="3"/>
  <c r="M339" i="3"/>
  <c r="N339" i="3"/>
  <c r="AJ339" i="3"/>
  <c r="AL339" i="3"/>
  <c r="O339" i="3"/>
  <c r="P339" i="3"/>
  <c r="Q339" i="3"/>
  <c r="K340" i="3"/>
  <c r="L340" i="3"/>
  <c r="V340" i="3"/>
  <c r="AD340" i="3"/>
  <c r="AF340" i="3"/>
  <c r="M340" i="3"/>
  <c r="N340" i="3"/>
  <c r="AJ340" i="3"/>
  <c r="AL340" i="3"/>
  <c r="O340" i="3"/>
  <c r="P340" i="3"/>
  <c r="Q340" i="3"/>
  <c r="K341" i="3"/>
  <c r="L341" i="3"/>
  <c r="V341" i="3"/>
  <c r="AD341" i="3"/>
  <c r="AF341" i="3"/>
  <c r="M341" i="3"/>
  <c r="N341" i="3"/>
  <c r="AJ341" i="3"/>
  <c r="AL341" i="3"/>
  <c r="O341" i="3"/>
  <c r="P341" i="3"/>
  <c r="Q341" i="3"/>
  <c r="K342" i="3"/>
  <c r="L342" i="3"/>
  <c r="V342" i="3"/>
  <c r="AD342" i="3"/>
  <c r="AF342" i="3"/>
  <c r="M342" i="3"/>
  <c r="N342" i="3"/>
  <c r="AJ342" i="3"/>
  <c r="AL342" i="3"/>
  <c r="O342" i="3"/>
  <c r="P342" i="3"/>
  <c r="Q342" i="3"/>
  <c r="K343" i="3"/>
  <c r="L343" i="3"/>
  <c r="V343" i="3"/>
  <c r="AD343" i="3"/>
  <c r="AF343" i="3"/>
  <c r="M343" i="3"/>
  <c r="N343" i="3"/>
  <c r="AJ343" i="3"/>
  <c r="AL343" i="3"/>
  <c r="O343" i="3"/>
  <c r="P343" i="3"/>
  <c r="Q343" i="3"/>
  <c r="K344" i="3"/>
  <c r="L344" i="3"/>
  <c r="V344" i="3"/>
  <c r="AD344" i="3"/>
  <c r="AF344" i="3"/>
  <c r="M344" i="3"/>
  <c r="N344" i="3"/>
  <c r="AJ344" i="3"/>
  <c r="AL344" i="3"/>
  <c r="O344" i="3"/>
  <c r="P344" i="3"/>
  <c r="Q344" i="3"/>
  <c r="K345" i="3"/>
  <c r="L345" i="3"/>
  <c r="V345" i="3"/>
  <c r="AD345" i="3"/>
  <c r="AF345" i="3"/>
  <c r="M345" i="3"/>
  <c r="N345" i="3"/>
  <c r="AJ345" i="3"/>
  <c r="AL345" i="3"/>
  <c r="O345" i="3"/>
  <c r="P345" i="3"/>
  <c r="Q345" i="3"/>
  <c r="K346" i="3"/>
  <c r="L346" i="3"/>
  <c r="V346" i="3"/>
  <c r="AD346" i="3"/>
  <c r="AF346" i="3"/>
  <c r="M346" i="3"/>
  <c r="N346" i="3"/>
  <c r="AJ346" i="3"/>
  <c r="AL346" i="3"/>
  <c r="O346" i="3"/>
  <c r="P346" i="3"/>
  <c r="Q346" i="3"/>
  <c r="K347" i="3"/>
  <c r="L347" i="3"/>
  <c r="V347" i="3"/>
  <c r="AD347" i="3"/>
  <c r="AF347" i="3"/>
  <c r="M347" i="3"/>
  <c r="N347" i="3"/>
  <c r="AJ347" i="3"/>
  <c r="AL347" i="3"/>
  <c r="O347" i="3"/>
  <c r="P347" i="3"/>
  <c r="Q347" i="3"/>
  <c r="K348" i="3"/>
  <c r="L348" i="3"/>
  <c r="V348" i="3"/>
  <c r="AD348" i="3"/>
  <c r="AF348" i="3"/>
  <c r="M348" i="3"/>
  <c r="N348" i="3"/>
  <c r="AJ348" i="3"/>
  <c r="AL348" i="3"/>
  <c r="O348" i="3"/>
  <c r="P348" i="3"/>
  <c r="Q348" i="3"/>
  <c r="K349" i="3"/>
  <c r="L349" i="3"/>
  <c r="V349" i="3"/>
  <c r="AD349" i="3"/>
  <c r="AF349" i="3"/>
  <c r="M349" i="3"/>
  <c r="N349" i="3"/>
  <c r="AJ349" i="3"/>
  <c r="AL349" i="3"/>
  <c r="O349" i="3"/>
  <c r="P349" i="3"/>
  <c r="Q349" i="3"/>
  <c r="K350" i="3"/>
  <c r="L350" i="3"/>
  <c r="V350" i="3"/>
  <c r="AD350" i="3"/>
  <c r="AF350" i="3"/>
  <c r="M350" i="3"/>
  <c r="N350" i="3"/>
  <c r="AJ350" i="3"/>
  <c r="AL350" i="3"/>
  <c r="O350" i="3"/>
  <c r="P350" i="3"/>
  <c r="Q350" i="3"/>
  <c r="K351" i="3"/>
  <c r="L351" i="3"/>
  <c r="V351" i="3"/>
  <c r="AD351" i="3"/>
  <c r="AF351" i="3"/>
  <c r="M351" i="3"/>
  <c r="N351" i="3"/>
  <c r="AJ351" i="3"/>
  <c r="AL351" i="3"/>
  <c r="O351" i="3"/>
  <c r="P351" i="3"/>
  <c r="Q351" i="3"/>
  <c r="K352" i="3"/>
  <c r="L352" i="3"/>
  <c r="V352" i="3"/>
  <c r="AD352" i="3"/>
  <c r="AF352" i="3"/>
  <c r="M352" i="3"/>
  <c r="N352" i="3"/>
  <c r="AJ352" i="3"/>
  <c r="AL352" i="3"/>
  <c r="O352" i="3"/>
  <c r="P352" i="3"/>
  <c r="Q352" i="3"/>
  <c r="K353" i="3"/>
  <c r="L353" i="3"/>
  <c r="V353" i="3"/>
  <c r="AD353" i="3"/>
  <c r="AF353" i="3"/>
  <c r="M353" i="3"/>
  <c r="N353" i="3"/>
  <c r="AJ353" i="3"/>
  <c r="AL353" i="3"/>
  <c r="O353" i="3"/>
  <c r="P353" i="3"/>
  <c r="Q353" i="3"/>
  <c r="K354" i="3"/>
  <c r="L354" i="3"/>
  <c r="V354" i="3"/>
  <c r="AD354" i="3"/>
  <c r="AF354" i="3"/>
  <c r="M354" i="3"/>
  <c r="N354" i="3"/>
  <c r="AJ354" i="3"/>
  <c r="AL354" i="3"/>
  <c r="O354" i="3"/>
  <c r="P354" i="3"/>
  <c r="Q354" i="3"/>
  <c r="K355" i="3"/>
  <c r="L355" i="3"/>
  <c r="V355" i="3"/>
  <c r="AD355" i="3"/>
  <c r="AF355" i="3"/>
  <c r="M355" i="3"/>
  <c r="N355" i="3"/>
  <c r="AJ355" i="3"/>
  <c r="AL355" i="3"/>
  <c r="O355" i="3"/>
  <c r="P355" i="3"/>
  <c r="Q355" i="3"/>
  <c r="K356" i="3"/>
  <c r="L356" i="3"/>
  <c r="V356" i="3"/>
  <c r="AD356" i="3"/>
  <c r="AF356" i="3"/>
  <c r="M356" i="3"/>
  <c r="N356" i="3"/>
  <c r="AJ356" i="3"/>
  <c r="AL356" i="3"/>
  <c r="O356" i="3"/>
  <c r="P356" i="3"/>
  <c r="Q356" i="3"/>
  <c r="K357" i="3"/>
  <c r="L357" i="3"/>
  <c r="V357" i="3"/>
  <c r="AD357" i="3"/>
  <c r="AF357" i="3"/>
  <c r="M357" i="3"/>
  <c r="N357" i="3"/>
  <c r="AJ357" i="3"/>
  <c r="AL357" i="3"/>
  <c r="O357" i="3"/>
  <c r="P357" i="3"/>
  <c r="Q357" i="3"/>
  <c r="K358" i="3"/>
  <c r="L358" i="3"/>
  <c r="V358" i="3"/>
  <c r="AD358" i="3"/>
  <c r="AF358" i="3"/>
  <c r="M358" i="3"/>
  <c r="N358" i="3"/>
  <c r="AJ358" i="3"/>
  <c r="AL358" i="3"/>
  <c r="O358" i="3"/>
  <c r="P358" i="3"/>
  <c r="Q358" i="3"/>
  <c r="K359" i="3"/>
  <c r="L359" i="3"/>
  <c r="V359" i="3"/>
  <c r="AD359" i="3"/>
  <c r="AF359" i="3"/>
  <c r="M359" i="3"/>
  <c r="N359" i="3"/>
  <c r="AJ359" i="3"/>
  <c r="AL359" i="3"/>
  <c r="O359" i="3"/>
  <c r="P359" i="3"/>
  <c r="Q359" i="3"/>
  <c r="K360" i="3"/>
  <c r="L360" i="3"/>
  <c r="V360" i="3"/>
  <c r="AD360" i="3"/>
  <c r="AF360" i="3"/>
  <c r="M360" i="3"/>
  <c r="N360" i="3"/>
  <c r="AJ360" i="3"/>
  <c r="AL360" i="3"/>
  <c r="O360" i="3"/>
  <c r="P360" i="3"/>
  <c r="Q360" i="3"/>
  <c r="K361" i="3"/>
  <c r="L361" i="3"/>
  <c r="V361" i="3"/>
  <c r="AD361" i="3"/>
  <c r="AF361" i="3"/>
  <c r="M361" i="3"/>
  <c r="N361" i="3"/>
  <c r="AJ361" i="3"/>
  <c r="AL361" i="3"/>
  <c r="O361" i="3"/>
  <c r="P361" i="3"/>
  <c r="Q361" i="3"/>
  <c r="K362" i="3"/>
  <c r="L362" i="3"/>
  <c r="V362" i="3"/>
  <c r="AD362" i="3"/>
  <c r="AF362" i="3"/>
  <c r="M362" i="3"/>
  <c r="N362" i="3"/>
  <c r="AJ362" i="3"/>
  <c r="AL362" i="3"/>
  <c r="O362" i="3"/>
  <c r="P362" i="3"/>
  <c r="Q362" i="3"/>
  <c r="K363" i="3"/>
  <c r="L363" i="3"/>
  <c r="V363" i="3"/>
  <c r="AD363" i="3"/>
  <c r="AF363" i="3"/>
  <c r="M363" i="3"/>
  <c r="N363" i="3"/>
  <c r="AJ363" i="3"/>
  <c r="AL363" i="3"/>
  <c r="O363" i="3"/>
  <c r="P363" i="3"/>
  <c r="Q363" i="3"/>
  <c r="K364" i="3"/>
  <c r="L364" i="3"/>
  <c r="V364" i="3"/>
  <c r="AD364" i="3"/>
  <c r="AF364" i="3"/>
  <c r="M364" i="3"/>
  <c r="N364" i="3"/>
  <c r="AJ364" i="3"/>
  <c r="AL364" i="3"/>
  <c r="O364" i="3"/>
  <c r="P364" i="3"/>
  <c r="Q364" i="3"/>
  <c r="K365" i="3"/>
  <c r="L365" i="3"/>
  <c r="V365" i="3"/>
  <c r="AD365" i="3"/>
  <c r="AF365" i="3"/>
  <c r="M365" i="3"/>
  <c r="N365" i="3"/>
  <c r="AJ365" i="3"/>
  <c r="AL365" i="3"/>
  <c r="O365" i="3"/>
  <c r="P365" i="3"/>
  <c r="Q365" i="3"/>
  <c r="K366" i="3"/>
  <c r="L366" i="3"/>
  <c r="V366" i="3"/>
  <c r="AD366" i="3"/>
  <c r="AF366" i="3"/>
  <c r="M366" i="3"/>
  <c r="N366" i="3"/>
  <c r="AJ366" i="3"/>
  <c r="AL366" i="3"/>
  <c r="O366" i="3"/>
  <c r="P366" i="3"/>
  <c r="Q366" i="3"/>
  <c r="K367" i="3"/>
  <c r="L367" i="3"/>
  <c r="V367" i="3"/>
  <c r="AD367" i="3"/>
  <c r="AF367" i="3"/>
  <c r="M367" i="3"/>
  <c r="N367" i="3"/>
  <c r="AJ367" i="3"/>
  <c r="AL367" i="3"/>
  <c r="O367" i="3"/>
  <c r="P367" i="3"/>
  <c r="Q367" i="3"/>
  <c r="K368" i="3"/>
  <c r="L368" i="3"/>
  <c r="V368" i="3"/>
  <c r="AD368" i="3"/>
  <c r="AF368" i="3"/>
  <c r="M368" i="3"/>
  <c r="N368" i="3"/>
  <c r="AJ368" i="3"/>
  <c r="AL368" i="3"/>
  <c r="O368" i="3"/>
  <c r="P368" i="3"/>
  <c r="Q368" i="3"/>
  <c r="K369" i="3"/>
  <c r="L369" i="3"/>
  <c r="V369" i="3"/>
  <c r="AD369" i="3"/>
  <c r="AF369" i="3"/>
  <c r="M369" i="3"/>
  <c r="N369" i="3"/>
  <c r="AJ369" i="3"/>
  <c r="AL369" i="3"/>
  <c r="O369" i="3"/>
  <c r="P369" i="3"/>
  <c r="Q369" i="3"/>
  <c r="K370" i="3"/>
  <c r="L370" i="3"/>
  <c r="V370" i="3"/>
  <c r="AD370" i="3"/>
  <c r="AF370" i="3"/>
  <c r="M370" i="3"/>
  <c r="N370" i="3"/>
  <c r="AJ370" i="3"/>
  <c r="AL370" i="3"/>
  <c r="O370" i="3"/>
  <c r="P370" i="3"/>
  <c r="Q370" i="3"/>
  <c r="K371" i="3"/>
  <c r="L371" i="3"/>
  <c r="V371" i="3"/>
  <c r="AD371" i="3"/>
  <c r="AF371" i="3"/>
  <c r="M371" i="3"/>
  <c r="N371" i="3"/>
  <c r="AJ371" i="3"/>
  <c r="AL371" i="3"/>
  <c r="O371" i="3"/>
  <c r="P371" i="3"/>
  <c r="Q371" i="3"/>
  <c r="K372" i="3"/>
  <c r="L372" i="3"/>
  <c r="V372" i="3"/>
  <c r="AD372" i="3"/>
  <c r="AF372" i="3"/>
  <c r="M372" i="3"/>
  <c r="N372" i="3"/>
  <c r="AJ372" i="3"/>
  <c r="AL372" i="3"/>
  <c r="O372" i="3"/>
  <c r="P372" i="3"/>
  <c r="Q372" i="3"/>
  <c r="K373" i="3"/>
  <c r="L373" i="3"/>
  <c r="V373" i="3"/>
  <c r="AD373" i="3"/>
  <c r="AF373" i="3"/>
  <c r="M373" i="3"/>
  <c r="N373" i="3"/>
  <c r="AJ373" i="3"/>
  <c r="AL373" i="3"/>
  <c r="O373" i="3"/>
  <c r="P373" i="3"/>
  <c r="Q373" i="3"/>
  <c r="K374" i="3"/>
  <c r="L374" i="3"/>
  <c r="V374" i="3"/>
  <c r="AD374" i="3"/>
  <c r="AF374" i="3"/>
  <c r="M374" i="3"/>
  <c r="N374" i="3"/>
  <c r="AJ374" i="3"/>
  <c r="AL374" i="3"/>
  <c r="O374" i="3"/>
  <c r="P374" i="3"/>
  <c r="Q374" i="3"/>
  <c r="K375" i="3"/>
  <c r="L375" i="3"/>
  <c r="V375" i="3"/>
  <c r="AD375" i="3"/>
  <c r="AF375" i="3"/>
  <c r="M375" i="3"/>
  <c r="N375" i="3"/>
  <c r="AJ375" i="3"/>
  <c r="AL375" i="3"/>
  <c r="O375" i="3"/>
  <c r="P375" i="3"/>
  <c r="Q375" i="3"/>
  <c r="K376" i="3"/>
  <c r="L376" i="3"/>
  <c r="V376" i="3"/>
  <c r="AD376" i="3"/>
  <c r="AF376" i="3"/>
  <c r="M376" i="3"/>
  <c r="N376" i="3"/>
  <c r="AJ376" i="3"/>
  <c r="AL376" i="3"/>
  <c r="O376" i="3"/>
  <c r="P376" i="3"/>
  <c r="Q376" i="3"/>
  <c r="K377" i="3"/>
  <c r="L377" i="3"/>
  <c r="V377" i="3"/>
  <c r="AD377" i="3"/>
  <c r="AF377" i="3"/>
  <c r="M377" i="3"/>
  <c r="N377" i="3"/>
  <c r="AJ377" i="3"/>
  <c r="AL377" i="3"/>
  <c r="O377" i="3"/>
  <c r="P377" i="3"/>
  <c r="Q377" i="3"/>
  <c r="K378" i="3"/>
  <c r="L378" i="3"/>
  <c r="V378" i="3"/>
  <c r="AD378" i="3"/>
  <c r="AF378" i="3"/>
  <c r="M378" i="3"/>
  <c r="N378" i="3"/>
  <c r="AJ378" i="3"/>
  <c r="AL378" i="3"/>
  <c r="O378" i="3"/>
  <c r="P378" i="3"/>
  <c r="Q378" i="3"/>
  <c r="K379" i="3"/>
  <c r="L379" i="3"/>
  <c r="V379" i="3"/>
  <c r="AD379" i="3"/>
  <c r="AF379" i="3"/>
  <c r="M379" i="3"/>
  <c r="N379" i="3"/>
  <c r="AJ379" i="3"/>
  <c r="AL379" i="3"/>
  <c r="O379" i="3"/>
  <c r="P379" i="3"/>
  <c r="Q379" i="3"/>
  <c r="K380" i="3"/>
  <c r="L380" i="3"/>
  <c r="V380" i="3"/>
  <c r="AD380" i="3"/>
  <c r="AF380" i="3"/>
  <c r="M380" i="3"/>
  <c r="N380" i="3"/>
  <c r="AJ380" i="3"/>
  <c r="AL380" i="3"/>
  <c r="O380" i="3"/>
  <c r="P380" i="3"/>
  <c r="Q380" i="3"/>
  <c r="K381" i="3"/>
  <c r="L381" i="3"/>
  <c r="V381" i="3"/>
  <c r="AD381" i="3"/>
  <c r="AF381" i="3"/>
  <c r="M381" i="3"/>
  <c r="N381" i="3"/>
  <c r="AJ381" i="3"/>
  <c r="AL381" i="3"/>
  <c r="O381" i="3"/>
  <c r="P381" i="3"/>
  <c r="Q381" i="3"/>
  <c r="F741" i="3"/>
  <c r="G741" i="3"/>
  <c r="H741" i="3"/>
  <c r="I741" i="3"/>
  <c r="J741" i="3"/>
  <c r="K741" i="3"/>
  <c r="L741" i="3"/>
  <c r="T741" i="3"/>
  <c r="U741" i="3"/>
  <c r="S741" i="3"/>
  <c r="W741" i="3"/>
  <c r="X741" i="3"/>
  <c r="Z741" i="3"/>
  <c r="AA741" i="3"/>
  <c r="AB741" i="3"/>
  <c r="V741" i="3"/>
  <c r="AD741" i="3"/>
  <c r="AF741" i="3"/>
  <c r="M741" i="3"/>
  <c r="N741" i="3"/>
  <c r="AK741" i="3"/>
  <c r="AG741" i="3"/>
  <c r="AH741" i="3"/>
  <c r="AI741" i="3"/>
  <c r="AJ741" i="3"/>
  <c r="AL741" i="3"/>
  <c r="O741" i="3"/>
  <c r="P741" i="3"/>
  <c r="AM741" i="3"/>
  <c r="AN741" i="3"/>
  <c r="AP741" i="3"/>
  <c r="Q741" i="3"/>
  <c r="R7" i="3"/>
  <c r="Q7" i="3"/>
  <c r="P7" i="3"/>
  <c r="R6" i="3"/>
  <c r="Q6" i="3"/>
  <c r="P6" i="3"/>
  <c r="R5" i="3"/>
  <c r="Q5" i="3"/>
  <c r="P5" i="3"/>
  <c r="R4" i="3"/>
  <c r="Q4" i="3"/>
  <c r="P4" i="3"/>
  <c r="R3" i="3"/>
  <c r="Q3" i="3"/>
  <c r="P3" i="3"/>
  <c r="O7" i="3"/>
  <c r="O6" i="3"/>
  <c r="O5" i="3"/>
  <c r="O4" i="3"/>
  <c r="O3" i="3"/>
  <c r="R9" i="2"/>
  <c r="R5" i="2"/>
  <c r="R6" i="2"/>
  <c r="R7" i="2"/>
  <c r="R8" i="2"/>
  <c r="Q9" i="2"/>
  <c r="Q8" i="2"/>
  <c r="Q7" i="2"/>
  <c r="Q6" i="2"/>
  <c r="Q5" i="2"/>
  <c r="W9" i="2"/>
  <c r="V9" i="2"/>
  <c r="U9" i="2"/>
  <c r="T9" i="2"/>
  <c r="W7" i="2"/>
  <c r="V7" i="2"/>
  <c r="U7" i="2"/>
  <c r="T7" i="2"/>
  <c r="W6" i="2"/>
  <c r="V6" i="2"/>
  <c r="U6" i="2"/>
  <c r="T6" i="2"/>
  <c r="W5" i="2"/>
  <c r="V5" i="2"/>
  <c r="U5" i="2"/>
  <c r="T5" i="2"/>
  <c r="W8" i="2"/>
  <c r="V8" i="2"/>
  <c r="U8" i="2"/>
  <c r="T8" i="2"/>
  <c r="Q16" i="2"/>
  <c r="W16" i="2"/>
  <c r="Q15" i="2"/>
  <c r="W15" i="2"/>
  <c r="Q14" i="2"/>
  <c r="W14" i="2"/>
  <c r="Q13" i="2"/>
  <c r="W13" i="2"/>
  <c r="Q12" i="2"/>
  <c r="W12" i="2"/>
  <c r="W4" i="2"/>
  <c r="W11" i="2"/>
  <c r="V16" i="2"/>
  <c r="U16" i="2"/>
  <c r="T16" i="2"/>
  <c r="S9" i="2"/>
  <c r="S8" i="2"/>
  <c r="S16" i="2"/>
  <c r="R16" i="2"/>
  <c r="V15" i="2"/>
  <c r="U15" i="2"/>
  <c r="T15" i="2"/>
  <c r="S5" i="2"/>
  <c r="S6" i="2"/>
  <c r="S7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4" i="2"/>
  <c r="V11" i="2"/>
  <c r="U4" i="2"/>
  <c r="U11" i="2"/>
  <c r="T4" i="2"/>
  <c r="T11" i="2"/>
  <c r="S4" i="2"/>
  <c r="S11" i="2"/>
  <c r="R4" i="2"/>
  <c r="R11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K52" i="2"/>
  <c r="L52" i="2"/>
  <c r="M52" i="2"/>
  <c r="N52" i="2"/>
  <c r="K53" i="2"/>
  <c r="L53" i="2"/>
  <c r="M53" i="2"/>
  <c r="N53" i="2"/>
  <c r="K54" i="2"/>
  <c r="L54" i="2"/>
  <c r="M54" i="2"/>
  <c r="N54" i="2"/>
  <c r="K55" i="2"/>
  <c r="L55" i="2"/>
  <c r="M55" i="2"/>
  <c r="N55" i="2"/>
  <c r="K56" i="2"/>
  <c r="L56" i="2"/>
  <c r="M56" i="2"/>
  <c r="N56" i="2"/>
  <c r="K57" i="2"/>
  <c r="L57" i="2"/>
  <c r="M57" i="2"/>
  <c r="N57" i="2"/>
  <c r="K58" i="2"/>
  <c r="L58" i="2"/>
  <c r="M58" i="2"/>
  <c r="N58" i="2"/>
  <c r="K59" i="2"/>
  <c r="L59" i="2"/>
  <c r="M59" i="2"/>
  <c r="N59" i="2"/>
  <c r="K60" i="2"/>
  <c r="L60" i="2"/>
  <c r="M60" i="2"/>
  <c r="N60" i="2"/>
  <c r="K61" i="2"/>
  <c r="L61" i="2"/>
  <c r="M61" i="2"/>
  <c r="N61" i="2"/>
  <c r="K62" i="2"/>
  <c r="L62" i="2"/>
  <c r="M62" i="2"/>
  <c r="N62" i="2"/>
  <c r="K63" i="2"/>
  <c r="L63" i="2"/>
  <c r="M63" i="2"/>
  <c r="N63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AO741" i="3"/>
  <c r="AC741" i="3"/>
  <c r="Y741" i="3"/>
  <c r="N4" i="2"/>
  <c r="M4" i="2"/>
  <c r="L4" i="2"/>
  <c r="K4" i="2"/>
  <c r="G5" i="2"/>
  <c r="G6" i="2"/>
  <c r="G7" i="2"/>
  <c r="G8" i="2"/>
  <c r="G9" i="2"/>
  <c r="G4" i="2"/>
  <c r="AO2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AO23" i="3"/>
  <c r="AO381" i="3"/>
  <c r="AO380" i="3"/>
  <c r="AO379" i="3"/>
  <c r="AO378" i="3"/>
  <c r="AO377" i="3"/>
  <c r="AO376" i="3"/>
  <c r="AO375" i="3"/>
  <c r="AO374" i="3"/>
  <c r="AO373" i="3"/>
  <c r="AO372" i="3"/>
  <c r="AO371" i="3"/>
  <c r="AO370" i="3"/>
  <c r="AO369" i="3"/>
  <c r="AO368" i="3"/>
  <c r="AO367" i="3"/>
  <c r="AO366" i="3"/>
  <c r="AO365" i="3"/>
  <c r="AO364" i="3"/>
  <c r="AO363" i="3"/>
  <c r="AO362" i="3"/>
  <c r="AO361" i="3"/>
  <c r="AO360" i="3"/>
  <c r="AO359" i="3"/>
  <c r="AO358" i="3"/>
  <c r="AO357" i="3"/>
  <c r="AO356" i="3"/>
  <c r="AO355" i="3"/>
  <c r="AO354" i="3"/>
  <c r="AO353" i="3"/>
  <c r="AO352" i="3"/>
  <c r="AO351" i="3"/>
  <c r="AO350" i="3"/>
  <c r="AO349" i="3"/>
  <c r="AO348" i="3"/>
  <c r="AO347" i="3"/>
  <c r="AO346" i="3"/>
  <c r="AO345" i="3"/>
  <c r="AO344" i="3"/>
  <c r="AO343" i="3"/>
  <c r="AO342" i="3"/>
  <c r="AO341" i="3"/>
  <c r="AO340" i="3"/>
  <c r="AO339" i="3"/>
  <c r="AO338" i="3"/>
  <c r="AO337" i="3"/>
  <c r="AO336" i="3"/>
  <c r="AO335" i="3"/>
  <c r="AO334" i="3"/>
  <c r="AO333" i="3"/>
  <c r="AO332" i="3"/>
  <c r="AO331" i="3"/>
  <c r="AO330" i="3"/>
  <c r="AO329" i="3"/>
  <c r="AO328" i="3"/>
  <c r="AO327" i="3"/>
  <c r="AO326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13" i="3"/>
  <c r="AO312" i="3"/>
  <c r="AO311" i="3"/>
  <c r="AO310" i="3"/>
  <c r="AO309" i="3"/>
  <c r="AO308" i="3"/>
  <c r="AO307" i="3"/>
  <c r="AO306" i="3"/>
  <c r="AO305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tc={E8937DE4-CA27-42A0-9B40-B98EB2C47A8E}</author>
    <author>tc={F303EE9A-B6A9-4BB9-A6ED-CFF328F08206}</author>
    <author>tc={8DE0B0E8-934C-44C8-822C-DD2FB35F3025}</author>
  </authors>
  <commentList>
    <comment ref="AD20" authorId="0" shapeId="0" xr:uid="{E8937DE4-CA27-42A0-9B40-B98EB2C47A8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Pomijam efekt dyskonta związany z tym, ze zwrot podatku nastąpi w kolejnym okresie</t>
      </text>
    </comment>
    <comment ref="AM20" authorId="1" shapeId="0" xr:uid="{F303EE9A-B6A9-4BB9-A6ED-CFF328F0820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Założona jest kapitalizacja zysków co miesiąc</t>
      </text>
    </comment>
    <comment ref="AN20" authorId="2" shapeId="0" xr:uid="{8DE0B0E8-934C-44C8-822C-DD2FB35F302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Założona jest wypłata zysków co miesiąc, w związku z tym co miesiąc pobierany jest podatek od zysków kapitałowych.</t>
      </text>
    </comment>
  </commentList>
</comments>
</file>

<file path=xl/sharedStrings.xml><?xml version="1.0" encoding="utf-8"?>
<sst xmlns="http://schemas.openxmlformats.org/spreadsheetml/2006/main" count="202" uniqueCount="178">
  <si>
    <t>Ile masz lat?</t>
  </si>
  <si>
    <t>Ile lat oszczędzania planujesz?</t>
  </si>
  <si>
    <t>Data rozpoczęcia oszczędzania</t>
  </si>
  <si>
    <t>co miesiąc</t>
  </si>
  <si>
    <t>co rok</t>
  </si>
  <si>
    <t>Data zakończenia oszczędzania</t>
  </si>
  <si>
    <t>Rok oszczędzania</t>
  </si>
  <si>
    <t>Stawka podatku od zysków kapitałowych</t>
  </si>
  <si>
    <t>ROK</t>
  </si>
  <si>
    <t>IKE</t>
  </si>
  <si>
    <t>Roczna opłata za IKE/IKZE</t>
  </si>
  <si>
    <t>Opłata za prowadzenie IKE/IKZE</t>
  </si>
  <si>
    <t>Wpłata</t>
  </si>
  <si>
    <t>Wpłata narastająco</t>
  </si>
  <si>
    <t>Zysk danego miesiąca</t>
  </si>
  <si>
    <t>Wartość inwestycji na koniec okresu</t>
  </si>
  <si>
    <t>Początek okresu</t>
  </si>
  <si>
    <t>Koniec okresu</t>
  </si>
  <si>
    <t>DANE OGÓLNE</t>
  </si>
  <si>
    <t>OBLICZENIA IKZE</t>
  </si>
  <si>
    <t>Zysk narastająco</t>
  </si>
  <si>
    <t>Podatek od zysków kapitałowych</t>
  </si>
  <si>
    <t>Roczna stopa zwrotu z inwestycji</t>
  </si>
  <si>
    <t>PORÓWNANIE</t>
  </si>
  <si>
    <t>IKZE jeśli spełnimy warunki do wypłaty</t>
  </si>
  <si>
    <t>IKZE jeśli nie spełnimy warunków do wypłaty i dokonamy zwrotu</t>
  </si>
  <si>
    <t>IKE jeśli spełnimy warunki do wypłaty</t>
  </si>
  <si>
    <t>IKE jeśli nie spełnimy warunków do wypłaty i dokonamy zwrotu</t>
  </si>
  <si>
    <t>Inwestycja bez IKZE/IKE</t>
  </si>
  <si>
    <t>Wpłaty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</si>
  <si>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</si>
  <si>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</si>
  <si>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</si>
  <si>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</si>
  <si>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</si>
  <si>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</si>
  <si>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</si>
  <si>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</si>
  <si>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</si>
  <si>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</si>
  <si>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11 rok</t>
  </si>
  <si>
    <t>12 rok</t>
  </si>
  <si>
    <t>13 rok</t>
  </si>
  <si>
    <t>14 rok</t>
  </si>
  <si>
    <t>15 rok</t>
  </si>
  <si>
    <t>16 rok</t>
  </si>
  <si>
    <t>17 rok</t>
  </si>
  <si>
    <t>18 rok</t>
  </si>
  <si>
    <t>19 rok</t>
  </si>
  <si>
    <t>20 rok</t>
  </si>
  <si>
    <t>21 rok</t>
  </si>
  <si>
    <t>22 rok</t>
  </si>
  <si>
    <t>23 rok</t>
  </si>
  <si>
    <t>24 rok</t>
  </si>
  <si>
    <t>25 rok</t>
  </si>
  <si>
    <t>26 rok</t>
  </si>
  <si>
    <t>27 rok</t>
  </si>
  <si>
    <t>28 rok</t>
  </si>
  <si>
    <t>29 rok</t>
  </si>
  <si>
    <t>30 rok</t>
  </si>
  <si>
    <t>31 rok</t>
  </si>
  <si>
    <t>32 rok</t>
  </si>
  <si>
    <t>33 rok</t>
  </si>
  <si>
    <t>34 rok</t>
  </si>
  <si>
    <t>35 rok</t>
  </si>
  <si>
    <t>36 rok</t>
  </si>
  <si>
    <t>37 rok</t>
  </si>
  <si>
    <t>38 rok</t>
  </si>
  <si>
    <t>39 rok</t>
  </si>
  <si>
    <t>40 rok</t>
  </si>
  <si>
    <t>41 rok</t>
  </si>
  <si>
    <t>42 rok</t>
  </si>
  <si>
    <t>43 rok</t>
  </si>
  <si>
    <t>44 rok</t>
  </si>
  <si>
    <t>45 rok</t>
  </si>
  <si>
    <t>46 rok</t>
  </si>
  <si>
    <t>47 rok</t>
  </si>
  <si>
    <t>48 rok</t>
  </si>
  <si>
    <t>49 rok</t>
  </si>
  <si>
    <t>50 rok</t>
  </si>
  <si>
    <t>51 rok</t>
  </si>
  <si>
    <t>52 rok</t>
  </si>
  <si>
    <t>53 rok</t>
  </si>
  <si>
    <t>54 rok</t>
  </si>
  <si>
    <t>55 rok</t>
  </si>
  <si>
    <t>56 rok</t>
  </si>
  <si>
    <t>57 rok</t>
  </si>
  <si>
    <t>58 rok</t>
  </si>
  <si>
    <t>59 rok</t>
  </si>
  <si>
    <t>60 rok</t>
  </si>
  <si>
    <t>61 rok</t>
  </si>
  <si>
    <t>62 rok</t>
  </si>
  <si>
    <t>63 rok</t>
  </si>
  <si>
    <t>64 rok</t>
  </si>
  <si>
    <t>65 rok</t>
  </si>
  <si>
    <t>66 rok</t>
  </si>
  <si>
    <t>67 rok</t>
  </si>
  <si>
    <t>68 rok</t>
  </si>
  <si>
    <t>69 rok</t>
  </si>
  <si>
    <t>70 rok</t>
  </si>
  <si>
    <t>71 rok</t>
  </si>
  <si>
    <t>72 rok</t>
  </si>
  <si>
    <t>73 rok</t>
  </si>
  <si>
    <t>74 rok</t>
  </si>
  <si>
    <t>75 rok</t>
  </si>
  <si>
    <t>76 rok</t>
  </si>
  <si>
    <t>77 rok</t>
  </si>
  <si>
    <t>78 rok</t>
  </si>
  <si>
    <t>79 rok</t>
  </si>
  <si>
    <t>80 rok</t>
  </si>
  <si>
    <t>Miesiąc oszczędzania</t>
  </si>
  <si>
    <t>Stopa zwrotu p.a.</t>
  </si>
  <si>
    <t>Ile rocznie wpłacasz?</t>
  </si>
  <si>
    <t>Limit wpłat na IKZE</t>
  </si>
  <si>
    <t>KONTO IKZE</t>
  </si>
  <si>
    <t>Zwrot podatku PIT narastająco</t>
  </si>
  <si>
    <t>Wpływ zwrotu PIT z US</t>
  </si>
  <si>
    <t>Zwrot PIT dotyczący wpłaty z danego miesiąca</t>
  </si>
  <si>
    <t>Twój wiek</t>
  </si>
  <si>
    <t>INWESTYCJA NIEOPAKOWANA W IKE/IKZE</t>
  </si>
  <si>
    <t>IKZE - REINWESTYCJA ZWROTU PODATKU</t>
  </si>
  <si>
    <t>IKZE - posumowanie</t>
  </si>
  <si>
    <t>IKZE</t>
  </si>
  <si>
    <t>Jak często dokonujesz wpłat?</t>
  </si>
  <si>
    <t>lata do prezentacji</t>
  </si>
  <si>
    <t xml:space="preserve"> → wpisz własne założenia odnośnie średniorocznej stopy zwrotu</t>
  </si>
  <si>
    <t>→ wpisz ile lat zamierzasz oszczędzać</t>
  </si>
  <si>
    <t>→ tu wpisz datę w formacie "miesiac.rok" np.12.2020, jeśli pierwsza wpłata będzie miała miejsce w grudniu 2020 r.</t>
  </si>
  <si>
    <t xml:space="preserve">→ nic nie wpisuj, obliczy się samo :) </t>
  </si>
  <si>
    <t>Jeśli nabywasz emeryturę na specjalnych zasadach wpisz wiek nabycia praw emerytalnych</t>
  </si>
  <si>
    <t xml:space="preserve">→ limit IKZE na 2020 r. wynosi 6272,4 (rok 2021: 6 310,80 zł lub 9 466,20 zł -osoby samozatrudnione). Limit IKE 2020 r. wynosi 15 681 (rok 2021: 15 777 zł).  </t>
  </si>
  <si>
    <t>→ wybierz, czy wpłat dokonujesz co miesiąc czy raz w roku</t>
  </si>
  <si>
    <t>→ miesiąc zwrotu podatku zależy od tego, jak szybko złożysz zeznanie podatkowe</t>
  </si>
  <si>
    <t>Opłaty początkowe związane z  IKE/IKZE</t>
  </si>
  <si>
    <t xml:space="preserve">Na rękę - jeśli nie spełnisz warunków uprawniających do wypłaty </t>
  </si>
  <si>
    <t>Na rękę jeśli spełnisz warunki uprawniające do wypłaty (zapłacisz zryczałtowany podatek 10% od całości)</t>
  </si>
  <si>
    <t xml:space="preserve"> → wpisz sumę rocznych wpłat</t>
  </si>
  <si>
    <t>→tu wpisz opłatę za prowadzenie IKE/IKZE i inne opłaty, jeśli występują</t>
  </si>
  <si>
    <t>→ tu wpisz dodatkową opłatę za założenie IKZE/IKE lub inne opłaty początkowe jeśli takie występują</t>
  </si>
  <si>
    <t>W którym miesiącu otrzymujesz zwrot PIT?</t>
  </si>
  <si>
    <t>Lata oszczędzania</t>
  </si>
  <si>
    <t xml:space="preserve">PODSUMOWANIE </t>
  </si>
  <si>
    <t>tu możesz wpisać inne lata →</t>
  </si>
  <si>
    <t>Suma wpłat</t>
  </si>
  <si>
    <t>Jaki PIT płacisz teraz?</t>
  </si>
  <si>
    <t>→ tu wpisz taką stawkę PIT,  po której rozliczysz ulgę podatkową</t>
  </si>
  <si>
    <t>→ tu wpisz taką stawkę PIT,  który zapłacisz gdy dokonasz zwrotu z IKZE (nie spełnisz warunków uprawniajacych do wypłaty)</t>
  </si>
  <si>
    <t xml:space="preserve">Stawka PIT w momencie skorzystania z odliczenia wpłat na IKZE </t>
  </si>
  <si>
    <t xml:space="preserve">StawkaPIT gdy dokonasz zwrotu z IKZE </t>
  </si>
  <si>
    <t xml:space="preserve">Spełniony warunek uprawniających do wypłaty </t>
  </si>
  <si>
    <t>→ nic nie wpisuj, jeśli nabywasz prawa emerytalne na zasadach ogólnych lub od 60 roku życia</t>
  </si>
  <si>
    <t>Roczny limit wpłat</t>
  </si>
  <si>
    <t>Warunki wypłaty z preferencjami podatkowymi</t>
  </si>
  <si>
    <t>Możliwość odliczenia wpłat na IKE/ IKZE od dochodu</t>
  </si>
  <si>
    <t>NIE</t>
  </si>
  <si>
    <t>Możliwość wcześniejszego częściowego zwrotu</t>
  </si>
  <si>
    <t>NIE - zwracasz albo całość albo nic</t>
  </si>
  <si>
    <t xml:space="preserve">TAK - płacisz wówczas podatek Belki 19% od wypracowanych zysków </t>
  </si>
  <si>
    <t xml:space="preserve">NIE  </t>
  </si>
  <si>
    <t>Dziedziczenie</t>
  </si>
  <si>
    <t>Środki w całości dziedziczone.
Bez podatku od spadku i darowizn.
Konieczność zapłacenia zryczałtowanego podatku 10% od całości zgromadzonej na IKZE kwoty.</t>
  </si>
  <si>
    <t>Środki w całości dziedziczone.
Bez podatku od spadku i darowizn.
Nie ma konieczności zapłaty podatku dochodowego.</t>
  </si>
  <si>
    <t>Limit dla samozatrudnionych (od 2021 r.)</t>
  </si>
  <si>
    <r>
      <t>WPISZ WŁASNE ZAŁOŻENIA</t>
    </r>
    <r>
      <rPr>
        <b/>
        <sz val="14"/>
        <color theme="1"/>
        <rFont val="Calibri"/>
        <family val="2"/>
        <charset val="238"/>
      </rPr>
      <t>↓</t>
    </r>
  </si>
  <si>
    <t>→ wpisz swój wiek, w momencie rozpoczęcia oszczędzania</t>
  </si>
  <si>
    <t>Stawka PIT, gdy dokonasz zwrotu z IKZE</t>
  </si>
  <si>
    <t>Możliwość ponownego założenia po wypłacie (gdy spełnisz warunki uprawniające do skorzystania z preferencji podatkowych)</t>
  </si>
  <si>
    <t>Możliwość ponownego założenia gdy dokonasz ZWROTU wpłaconych kwot (tj.  gdy wypłacisz pieniądze przed spełnieniem warunków skrzystania z preferencji podatkowych)</t>
  </si>
  <si>
    <t>TAK</t>
  </si>
  <si>
    <t xml:space="preserve">TAK   </t>
  </si>
  <si>
    <t>Opodatkowanie WYPŁATY (wypłata po spełnieniu warunków uprawniających do skorzystania z preferencji podatkowych)</t>
  </si>
  <si>
    <t>BRAK podatku</t>
  </si>
  <si>
    <r>
      <t xml:space="preserve">w 2020 roku: </t>
    </r>
    <r>
      <rPr>
        <b/>
        <sz val="16"/>
        <color theme="1"/>
        <rFont val="Calibri"/>
        <family val="2"/>
        <charset val="238"/>
        <scheme val="minor"/>
      </rPr>
      <t xml:space="preserve">6272,40 zł </t>
    </r>
    <r>
      <rPr>
        <sz val="16"/>
        <color theme="1"/>
        <rFont val="Calibri"/>
        <family val="2"/>
        <scheme val="minor"/>
      </rPr>
      <t xml:space="preserve">
w 2021 roku: </t>
    </r>
    <r>
      <rPr>
        <b/>
        <sz val="16"/>
        <color theme="1"/>
        <rFont val="Calibri"/>
        <family val="2"/>
        <charset val="238"/>
        <scheme val="minor"/>
      </rPr>
      <t>6310,80 zł</t>
    </r>
    <r>
      <rPr>
        <sz val="16"/>
        <color theme="1"/>
        <rFont val="Calibri"/>
        <family val="2"/>
        <scheme val="minor"/>
      </rPr>
      <t xml:space="preserve"> lub</t>
    </r>
    <r>
      <rPr>
        <b/>
        <sz val="16"/>
        <color theme="1"/>
        <rFont val="Calibri"/>
        <family val="2"/>
        <charset val="238"/>
        <scheme val="minor"/>
      </rPr>
      <t xml:space="preserve"> 9466,20 zł </t>
    </r>
    <r>
      <rPr>
        <sz val="16"/>
        <color theme="1"/>
        <rFont val="Calibri"/>
        <family val="2"/>
        <charset val="238"/>
        <scheme val="minor"/>
      </rPr>
      <t>(osoby prowadzące działalnosć gospodarczą)</t>
    </r>
    <r>
      <rPr>
        <sz val="16"/>
        <color theme="1"/>
        <rFont val="Calibri"/>
        <family val="2"/>
        <scheme val="minor"/>
      </rPr>
      <t xml:space="preserve">
Limit to 1,2-krotność przeciętnego prognozowanego
wynagrodzenia miesięcznego w gospodarce narodowej na dany rok. Począwszy od 2021 dla osób, które prowadzącą pozarolniczą działalność jest to 1,8 - krotność wynagrodzenia.</t>
    </r>
  </si>
  <si>
    <r>
      <t xml:space="preserve">w 2020 roku: </t>
    </r>
    <r>
      <rPr>
        <b/>
        <sz val="16"/>
        <color theme="1"/>
        <rFont val="Calibri"/>
        <family val="2"/>
        <charset val="238"/>
        <scheme val="minor"/>
      </rPr>
      <t>15681,00 zł</t>
    </r>
    <r>
      <rPr>
        <sz val="16"/>
        <color theme="1"/>
        <rFont val="Calibri"/>
        <family val="2"/>
        <scheme val="minor"/>
      </rPr>
      <t xml:space="preserve">
w 2021 roku: </t>
    </r>
    <r>
      <rPr>
        <b/>
        <sz val="16"/>
        <color theme="1"/>
        <rFont val="Calibri"/>
        <family val="2"/>
        <charset val="238"/>
        <scheme val="minor"/>
      </rPr>
      <t>15777,00 zł</t>
    </r>
    <r>
      <rPr>
        <sz val="16"/>
        <color theme="1"/>
        <rFont val="Calibri"/>
        <family val="2"/>
        <scheme val="minor"/>
      </rPr>
      <t xml:space="preserve">
Limit to 3- krotność przeciętnego prognozowanego
wynagrodzenia miesięcznego na dany rok.</t>
    </r>
  </si>
  <si>
    <r>
      <t>Po spełnieniu dwóch warunków:
1) ukończenie</t>
    </r>
    <r>
      <rPr>
        <b/>
        <sz val="16"/>
        <color theme="1"/>
        <rFont val="Calibri"/>
        <family val="2"/>
        <charset val="238"/>
        <scheme val="minor"/>
      </rPr>
      <t xml:space="preserve"> 65 lat 
ORAZ</t>
    </r>
    <r>
      <rPr>
        <sz val="16"/>
        <color theme="1"/>
        <rFont val="Calibri"/>
        <family val="2"/>
        <scheme val="minor"/>
      </rPr>
      <t xml:space="preserve">
2) dokonywaniu wpłat przez </t>
    </r>
    <r>
      <rPr>
        <b/>
        <sz val="16"/>
        <color theme="1"/>
        <rFont val="Calibri"/>
        <family val="2"/>
        <charset val="238"/>
        <scheme val="minor"/>
      </rPr>
      <t>minimum 5 lat</t>
    </r>
    <r>
      <rPr>
        <sz val="16"/>
        <color theme="1"/>
        <rFont val="Calibri"/>
        <family val="2"/>
        <scheme val="minor"/>
      </rPr>
      <t xml:space="preserve"> kalendarzowych</t>
    </r>
  </si>
  <si>
    <r>
      <t xml:space="preserve">Po spełnieniu dwóch warunków:
1) ukończenie </t>
    </r>
    <r>
      <rPr>
        <b/>
        <sz val="16"/>
        <color theme="1"/>
        <rFont val="Calibri"/>
        <family val="2"/>
        <charset val="238"/>
        <scheme val="minor"/>
      </rPr>
      <t>60 lat</t>
    </r>
    <r>
      <rPr>
        <sz val="16"/>
        <color theme="1"/>
        <rFont val="Calibri"/>
        <family val="2"/>
        <scheme val="minor"/>
      </rPr>
      <t xml:space="preserve"> ALBO </t>
    </r>
    <r>
      <rPr>
        <b/>
        <sz val="16"/>
        <color theme="1"/>
        <rFont val="Calibri"/>
        <family val="2"/>
        <charset val="238"/>
        <scheme val="minor"/>
      </rPr>
      <t>nabycie uprawnień emerytalnych i ukończenie 55 lat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ORAZ</t>
    </r>
    <r>
      <rPr>
        <sz val="16"/>
        <color theme="1"/>
        <rFont val="Calibri"/>
        <family val="2"/>
        <scheme val="minor"/>
      </rPr>
      <t xml:space="preserve">
2) dokonywania wpłat na IKE</t>
    </r>
    <r>
      <rPr>
        <b/>
        <sz val="16"/>
        <color theme="1"/>
        <rFont val="Calibri"/>
        <family val="2"/>
        <charset val="238"/>
        <scheme val="minor"/>
      </rPr>
      <t xml:space="preserve"> co najmniej w 5 dowolnych latach kalendarzowych </t>
    </r>
    <r>
      <rPr>
        <sz val="16"/>
        <color theme="1"/>
        <rFont val="Calibri"/>
        <family val="2"/>
        <scheme val="minor"/>
      </rPr>
      <t xml:space="preserve">ALBO dokonania </t>
    </r>
    <r>
      <rPr>
        <b/>
        <sz val="16"/>
        <color theme="1"/>
        <rFont val="Calibri"/>
        <family val="2"/>
        <charset val="238"/>
        <scheme val="minor"/>
      </rPr>
      <t>ponad połowy wartości wpłat nie później niż na 5 lat</t>
    </r>
    <r>
      <rPr>
        <sz val="16"/>
        <color theme="1"/>
        <rFont val="Calibri"/>
        <family val="2"/>
        <scheme val="minor"/>
      </rPr>
      <t xml:space="preserve"> przed dniem złożenia wniosku o dokonanie wypłaty</t>
    </r>
  </si>
  <si>
    <r>
      <rPr>
        <b/>
        <sz val="16"/>
        <color theme="1"/>
        <rFont val="Calibri"/>
        <family val="2"/>
        <charset val="238"/>
        <scheme val="minor"/>
      </rPr>
      <t>TAK</t>
    </r>
    <r>
      <rPr>
        <sz val="16"/>
        <color theme="1"/>
        <rFont val="Calibri"/>
        <family val="2"/>
        <scheme val="minor"/>
      </rPr>
      <t xml:space="preserve"> - </t>
    </r>
    <r>
      <rPr>
        <b/>
        <sz val="16"/>
        <color theme="1"/>
        <rFont val="Calibri"/>
        <family val="2"/>
        <charset val="238"/>
        <scheme val="minor"/>
      </rPr>
      <t xml:space="preserve">10% </t>
    </r>
    <r>
      <rPr>
        <sz val="16"/>
        <color theme="1"/>
        <rFont val="Calibri"/>
        <family val="2"/>
        <scheme val="minor"/>
      </rPr>
      <t>zryczałtowanego podatku dochodowego od CAŁOŚCI KWOT tj. od Twoich wpłat i zysków</t>
    </r>
  </si>
  <si>
    <r>
      <rPr>
        <b/>
        <sz val="16"/>
        <color theme="1"/>
        <rFont val="Calibri"/>
        <family val="2"/>
        <charset val="238"/>
        <scheme val="minor"/>
      </rPr>
      <t>TAK</t>
    </r>
    <r>
      <rPr>
        <sz val="16"/>
        <color theme="1"/>
        <rFont val="Calibri"/>
        <family val="2"/>
        <charset val="238"/>
        <scheme val="minor"/>
      </rPr>
      <t xml:space="preserve"> - odliczasz wpłatę od dochodu w zeznaniu podatkowym. W konsekwencji płacisz niższy podatek. Twoja korzyść zależy od tego jaki podatek dochodowy płacisz (17%, 19%, 32%, 32% +4%)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</si>
</sst>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/yyyy"/>
    <numFmt numFmtId="165" formatCode="#,##0.00\ &quot;zł&quot;"/>
    <numFmt numFmtId="166" formatCode="#,##0\ &quot;zł&quot;"/>
    <numFmt numFmtId="167" formatCode="mmmm"/>
    <numFmt numFmtId="168" formatCode="#,##0&quot; lat&quot;"/>
    <numFmt numFmtId="169" formatCode="#,##0.0&quot; lat&quot;"/>
    <numFmt numFmtId="170" formatCode="0.0%"/>
  </numFmts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Gill Sans MT"/>
      <family val="2"/>
      <charset val="238"/>
    </font>
    <font>
      <sz val="12"/>
      <color theme="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4"/>
      <color theme="2" tint="-0.89999084444715716"/>
      <name val="Gill Sans MT"/>
      <family val="2"/>
      <charset val="238"/>
    </font>
    <font>
      <i/>
      <sz val="10"/>
      <color theme="2" tint="-0.89999084444715716"/>
      <name val="Calibri"/>
      <family val="2"/>
      <charset val="238"/>
    </font>
    <font>
      <b/>
      <sz val="10"/>
      <color theme="1"/>
      <name val="Calibri Light"/>
      <family val="2"/>
      <charset val="238"/>
      <scheme val="major"/>
    </font>
    <font>
      <b/>
      <sz val="12"/>
      <color theme="2" tint="-0.89999084444715716"/>
      <name val="Calibri Light"/>
      <family val="2"/>
      <charset val="238"/>
      <scheme val="major"/>
    </font>
    <font>
      <b/>
      <sz val="20"/>
      <color theme="0"/>
      <name val="Calibri Light"/>
      <family val="2"/>
      <charset val="238"/>
      <scheme val="major"/>
    </font>
    <font>
      <b/>
      <sz val="14"/>
      <color theme="2" tint="-0.89999084444715716"/>
      <name val="Gill Sans MT"/>
      <family val="2"/>
      <charset val="238"/>
    </font>
    <font>
      <b/>
      <sz val="14"/>
      <color theme="1"/>
      <name val="Gill Sans MT"/>
      <family val="2"/>
      <charset val="238"/>
    </font>
    <font>
      <b/>
      <sz val="14"/>
      <color theme="1"/>
      <name val="Calibr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2" tint="-0.89999084444715716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9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3" borderId="0" xfId="0" quotePrefix="1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165" fontId="4" fillId="3" borderId="0" xfId="0" applyNumberFormat="1" applyFont="1" applyFill="1"/>
    <xf numFmtId="0" fontId="4" fillId="3" borderId="0" xfId="0" applyFont="1" applyFill="1" applyAlignment="1">
      <alignment horizontal="left" vertical="top"/>
    </xf>
    <xf numFmtId="0" fontId="7" fillId="3" borderId="0" xfId="0" applyFont="1" applyFill="1"/>
    <xf numFmtId="165" fontId="7" fillId="3" borderId="0" xfId="0" applyNumberFormat="1" applyFont="1" applyFill="1" applyAlignment="1">
      <alignment horizontal="right"/>
    </xf>
    <xf numFmtId="0" fontId="4" fillId="3" borderId="0" xfId="0" quotePrefix="1" applyFont="1" applyFill="1" applyAlignment="1">
      <alignment vertical="top"/>
    </xf>
    <xf numFmtId="0" fontId="7" fillId="3" borderId="0" xfId="0" applyFont="1" applyFill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center" vertical="center" textRotation="90" wrapText="1"/>
    </xf>
    <xf numFmtId="170" fontId="10" fillId="0" borderId="0" xfId="0" applyNumberFormat="1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170" fontId="9" fillId="0" borderId="0" xfId="0" applyNumberFormat="1" applyFont="1" applyAlignment="1">
      <alignment wrapText="1"/>
    </xf>
    <xf numFmtId="0" fontId="9" fillId="0" borderId="0" xfId="0" applyFont="1" applyFill="1" applyAlignment="1">
      <alignment wrapText="1"/>
    </xf>
    <xf numFmtId="4" fontId="9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165" fontId="9" fillId="3" borderId="0" xfId="0" applyNumberFormat="1" applyFont="1" applyFill="1"/>
    <xf numFmtId="165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0" fontId="9" fillId="3" borderId="0" xfId="0" applyFont="1" applyFill="1"/>
    <xf numFmtId="166" fontId="4" fillId="3" borderId="3" xfId="0" applyNumberFormat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vertical="top" wrapText="1"/>
    </xf>
    <xf numFmtId="0" fontId="8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10" fontId="5" fillId="2" borderId="5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168" fontId="5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11" borderId="0" xfId="0" applyFont="1" applyFill="1"/>
    <xf numFmtId="0" fontId="10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wrapText="1"/>
    </xf>
    <xf numFmtId="0" fontId="8" fillId="1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168" fontId="5" fillId="3" borderId="3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3" fillId="3" borderId="0" xfId="0" quotePrefix="1" applyFont="1" applyFill="1" applyAlignment="1">
      <alignment horizontal="left" vertical="top" wrapText="1"/>
    </xf>
    <xf numFmtId="0" fontId="10" fillId="0" borderId="0" xfId="0" applyFont="1" applyFill="1"/>
    <xf numFmtId="0" fontId="9" fillId="0" borderId="13" xfId="0" applyFont="1" applyFill="1" applyBorder="1"/>
    <xf numFmtId="169" fontId="9" fillId="0" borderId="13" xfId="0" applyNumberFormat="1" applyFont="1" applyFill="1" applyBorder="1"/>
    <xf numFmtId="14" fontId="11" fillId="0" borderId="13" xfId="0" applyNumberFormat="1" applyFont="1" applyFill="1" applyBorder="1" applyAlignment="1">
      <alignment horizontal="center" vertical="top"/>
    </xf>
    <xf numFmtId="166" fontId="9" fillId="0" borderId="13" xfId="0" applyNumberFormat="1" applyFont="1" applyFill="1" applyBorder="1"/>
    <xf numFmtId="170" fontId="9" fillId="0" borderId="13" xfId="0" applyNumberFormat="1" applyFont="1" applyFill="1" applyBorder="1"/>
    <xf numFmtId="1" fontId="11" fillId="0" borderId="13" xfId="0" applyNumberFormat="1" applyFont="1" applyFill="1" applyBorder="1" applyAlignment="1">
      <alignment horizontal="center" vertical="top"/>
    </xf>
    <xf numFmtId="10" fontId="9" fillId="0" borderId="13" xfId="0" applyNumberFormat="1" applyFont="1" applyFill="1" applyBorder="1"/>
    <xf numFmtId="14" fontId="11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/>
    <xf numFmtId="169" fontId="10" fillId="0" borderId="13" xfId="0" applyNumberFormat="1" applyFont="1" applyFill="1" applyBorder="1"/>
    <xf numFmtId="14" fontId="14" fillId="0" borderId="13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 vertical="top"/>
    </xf>
    <xf numFmtId="166" fontId="10" fillId="0" borderId="13" xfId="0" applyNumberFormat="1" applyFont="1" applyFill="1" applyBorder="1"/>
    <xf numFmtId="170" fontId="10" fillId="0" borderId="13" xfId="0" applyNumberFormat="1" applyFont="1" applyFill="1" applyBorder="1"/>
    <xf numFmtId="1" fontId="14" fillId="0" borderId="13" xfId="0" applyNumberFormat="1" applyFont="1" applyFill="1" applyBorder="1" applyAlignment="1">
      <alignment horizontal="center" vertical="top"/>
    </xf>
    <xf numFmtId="10" fontId="10" fillId="0" borderId="13" xfId="0" applyNumberFormat="1" applyFont="1" applyFill="1" applyBorder="1"/>
    <xf numFmtId="0" fontId="0" fillId="12" borderId="12" xfId="0" applyFill="1" applyBorder="1"/>
    <xf numFmtId="3" fontId="0" fillId="12" borderId="12" xfId="0" applyNumberFormat="1" applyFill="1" applyBorder="1"/>
    <xf numFmtId="0" fontId="0" fillId="14" borderId="12" xfId="0" applyFill="1" applyBorder="1"/>
    <xf numFmtId="168" fontId="0" fillId="14" borderId="12" xfId="0" applyNumberFormat="1" applyFill="1" applyBorder="1"/>
    <xf numFmtId="0" fontId="12" fillId="6" borderId="0" xfId="0" applyFont="1" applyFill="1" applyBorder="1" applyAlignment="1">
      <alignment horizontal="center"/>
    </xf>
    <xf numFmtId="0" fontId="4" fillId="6" borderId="0" xfId="0" applyFont="1" applyFill="1"/>
    <xf numFmtId="4" fontId="4" fillId="6" borderId="0" xfId="0" applyNumberFormat="1" applyFont="1" applyFill="1"/>
    <xf numFmtId="0" fontId="4" fillId="6" borderId="0" xfId="0" applyFont="1" applyFill="1" applyAlignment="1">
      <alignment vertical="top"/>
    </xf>
    <xf numFmtId="4" fontId="4" fillId="6" borderId="0" xfId="0" applyNumberFormat="1" applyFont="1" applyFill="1" applyAlignment="1">
      <alignment vertical="top"/>
    </xf>
    <xf numFmtId="0" fontId="4" fillId="6" borderId="7" xfId="0" applyNumberFormat="1" applyFont="1" applyFill="1" applyBorder="1" applyAlignment="1">
      <alignment horizontal="center" vertical="center"/>
    </xf>
    <xf numFmtId="166" fontId="4" fillId="6" borderId="7" xfId="0" applyNumberFormat="1" applyFont="1" applyFill="1" applyBorder="1" applyAlignment="1">
      <alignment horizontal="center" vertical="center"/>
    </xf>
    <xf numFmtId="0" fontId="4" fillId="6" borderId="0" xfId="0" applyFont="1" applyFill="1" applyBorder="1"/>
    <xf numFmtId="0" fontId="3" fillId="6" borderId="0" xfId="0" quotePrefix="1" applyFont="1" applyFill="1" applyAlignment="1">
      <alignment vertical="top" wrapText="1"/>
    </xf>
    <xf numFmtId="165" fontId="4" fillId="6" borderId="0" xfId="0" applyNumberFormat="1" applyFont="1" applyFill="1"/>
    <xf numFmtId="0" fontId="8" fillId="8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0" fillId="0" borderId="0" xfId="0" applyFont="1"/>
    <xf numFmtId="0" fontId="21" fillId="6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4" fillId="6" borderId="2" xfId="0" quotePrefix="1" applyFont="1" applyFill="1" applyBorder="1" applyAlignment="1">
      <alignment horizontal="left" vertical="center" wrapText="1"/>
    </xf>
    <xf numFmtId="0" fontId="4" fillId="6" borderId="0" xfId="0" quotePrefix="1" applyFont="1" applyFill="1" applyAlignment="1">
      <alignment horizontal="left" vertical="center" wrapText="1"/>
    </xf>
    <xf numFmtId="0" fontId="4" fillId="6" borderId="0" xfId="0" quotePrefix="1" applyFont="1" applyFill="1" applyBorder="1" applyAlignment="1">
      <alignment horizontal="left" vertical="center" wrapText="1"/>
    </xf>
    <xf numFmtId="0" fontId="18" fillId="6" borderId="0" xfId="0" applyFont="1" applyFill="1" applyAlignment="1">
      <alignment horizontal="center" vertical="top"/>
    </xf>
    <xf numFmtId="0" fontId="17" fillId="6" borderId="1" xfId="0" applyFont="1" applyFill="1" applyBorder="1" applyAlignment="1">
      <alignment horizontal="center"/>
    </xf>
    <xf numFmtId="0" fontId="6" fillId="6" borderId="0" xfId="0" quotePrefix="1" applyFont="1" applyFill="1" applyBorder="1" applyAlignment="1">
      <alignment horizontal="left" vertical="center" wrapText="1"/>
    </xf>
  </cellXfs>
  <cellStyles count="1">
    <cellStyle name="Normalny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CC9900"/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b="1">
                <a:latin typeface="Gill Sans MT" panose="020B0502020104020203" pitchFamily="34" charset="-18"/>
              </a:rPr>
              <a:t>Porównanie inwestycji w IKZE vs IKE vs inwestycja bez IKZE/IKE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KALKULATOR!$O$2</c:f>
              <c:strCache>
                <c:ptCount val="1"/>
                <c:pt idx="0">
                  <c:v>IKZE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cat>
          <c:val>
            <c:numRef>
              <c:f>[0]!wykres_maly_IKZE</c:f>
              <c:numCache>
                <c:formatCode>General</c:formatCode>
                <c:ptCount val="5"/>
                <c:pt idx="0">
                  <c:v>35208.300486519212</c:v>
                </c:pt>
                <c:pt idx="1">
                  <c:v>77933.415196638016</c:v>
                </c:pt>
                <c:pt idx="2">
                  <c:v>129790.15752197649</c:v>
                </c:pt>
                <c:pt idx="3">
                  <c:v>192742.06515569825</c:v>
                </c:pt>
                <c:pt idx="4">
                  <c:v>288398.59164480073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9-42C7-8E51-4B0D64E771D0}"/>
            </c:ext>
          </c:extLst>
        </c:ser>
        <c:ser>
          <c:idx val="2"/>
          <c:order val="1"/>
          <c:tx>
            <c:strRef>
              <c:f>KALKULATOR!$P$2</c:f>
              <c:strCache>
                <c:ptCount val="1"/>
                <c:pt idx="0">
                  <c:v>IKE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cat>
          <c:val>
            <c:numRef>
              <c:f>[0]!wykres_maly_IKE</c:f>
              <c:numCache>
                <c:formatCode>General</c:formatCode>
                <c:ptCount val="5"/>
                <c:pt idx="0">
                  <c:v>34640.801940271347</c:v>
                </c:pt>
                <c:pt idx="1">
                  <c:v>75620.233036715712</c:v>
                </c:pt>
                <c:pt idx="2">
                  <c:v>124339.10874310949</c:v>
                </c:pt>
                <c:pt idx="3">
                  <c:v>195892.22216945083</c:v>
                </c:pt>
                <c:pt idx="4">
                  <c:v>274593.63967861631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9-42C7-8E51-4B0D64E771D0}"/>
            </c:ext>
          </c:extLst>
        </c:ser>
        <c:ser>
          <c:idx val="3"/>
          <c:order val="2"/>
          <c:tx>
            <c:strRef>
              <c:f>KALKULATOR!$Q$2</c:f>
              <c:strCache>
                <c:ptCount val="1"/>
                <c:pt idx="0">
                  <c:v>Inwestycja bez IKZE/IKE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cat>
          <c:val>
            <c:numRef>
              <c:f>[0]!wykres_maly_inne</c:f>
              <c:numCache>
                <c:formatCode>General</c:formatCode>
                <c:ptCount val="5"/>
                <c:pt idx="0">
                  <c:v>34595.121670483604</c:v>
                </c:pt>
                <c:pt idx="1">
                  <c:v>75265.270233637304</c:v>
                </c:pt>
                <c:pt idx="2">
                  <c:v>123077.24210365469</c:v>
                </c:pt>
                <c:pt idx="3">
                  <c:v>179285.16695422656</c:v>
                </c:pt>
                <c:pt idx="4">
                  <c:v>245363.40410781131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C9-42C7-8E51-4B0D64E771D0}"/>
            </c:ext>
          </c:extLst>
        </c:ser>
        <c:ser>
          <c:idx val="4"/>
          <c:order val="3"/>
          <c:tx>
            <c:strRef>
              <c:f>KALKULATOR!$R$2</c:f>
              <c:strCache>
                <c:ptCount val="1"/>
                <c:pt idx="0">
                  <c:v>Suma wpłat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cat>
          <c:val>
            <c:numRef>
              <c:f>[0]!wykres_maly_wplaty</c:f>
              <c:numCache>
                <c:formatCode>General</c:formatCode>
                <c:ptCount val="5"/>
                <c:pt idx="0">
                  <c:v>31362</c:v>
                </c:pt>
                <c:pt idx="1">
                  <c:v>62724.000000000007</c:v>
                </c:pt>
                <c:pt idx="2">
                  <c:v>94085.999999999985</c:v>
                </c:pt>
                <c:pt idx="3">
                  <c:v>125447.99999999996</c:v>
                </c:pt>
                <c:pt idx="4">
                  <c:v>156809.99999999994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8-4FB5-8539-19B4196A6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36735"/>
        <c:axId val="749398863"/>
      </c:barChart>
      <c:catAx>
        <c:axId val="192036735"/>
        <c:scaling>
          <c:orientation val="minMax"/>
        </c:scaling>
        <c:delete val="0"/>
        <c:axPos val="b"/>
        <c:numFmt formatCode="#\ ##0&quot; la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Tekst podstawowy)"/>
                <a:ea typeface="+mn-ea"/>
                <a:cs typeface="+mn-cs"/>
              </a:defRPr>
            </a:pPr>
            <a:endParaRPr lang="pl-PL"/>
          </a:p>
        </c:txPr>
        <c:crossAx val="749398863"/>
        <c:crosses val="autoZero"/>
        <c:auto val="1"/>
        <c:lblAlgn val="ctr"/>
        <c:lblOffset val="100"/>
        <c:noMultiLvlLbl val="0"/>
      </c:catAx>
      <c:valAx>
        <c:axId val="74939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Tekst podstawowy)"/>
                <a:ea typeface="+mn-ea"/>
                <a:cs typeface="+mn-cs"/>
              </a:defRPr>
            </a:pPr>
            <a:endParaRPr lang="pl-PL"/>
          </a:p>
        </c:txPr>
        <c:crossAx val="19203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(Tekst podstawowy)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alibri (Tekst podstawowy)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b="1">
                <a:latin typeface="Gill Sans MT" panose="020B0502020104020203" pitchFamily="34" charset="-18"/>
              </a:rPr>
              <a:t>Porównanie inwestycji IKZE vs IKE vs Inwestycja bez IKZE/IKE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Robocze!$K$3</c:f>
              <c:strCache>
                <c:ptCount val="1"/>
                <c:pt idx="0">
                  <c:v>Wpłaty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[0]!wykres_duzy_wplaty</c:f>
              <c:numCache>
                <c:formatCode>#,##0</c:formatCode>
                <c:ptCount val="25"/>
                <c:pt idx="0">
                  <c:v>6272.4</c:v>
                </c:pt>
                <c:pt idx="1">
                  <c:v>12544.8</c:v>
                </c:pt>
                <c:pt idx="2">
                  <c:v>18817.199999999997</c:v>
                </c:pt>
                <c:pt idx="3">
                  <c:v>25089.599999999999</c:v>
                </c:pt>
                <c:pt idx="4">
                  <c:v>31362</c:v>
                </c:pt>
                <c:pt idx="5">
                  <c:v>37634.400000000001</c:v>
                </c:pt>
                <c:pt idx="6">
                  <c:v>43906.8</c:v>
                </c:pt>
                <c:pt idx="7">
                  <c:v>50179.200000000004</c:v>
                </c:pt>
                <c:pt idx="8">
                  <c:v>56451.600000000006</c:v>
                </c:pt>
                <c:pt idx="9">
                  <c:v>62724.000000000007</c:v>
                </c:pt>
                <c:pt idx="10">
                  <c:v>68996.400000000009</c:v>
                </c:pt>
                <c:pt idx="11">
                  <c:v>75268.800000000003</c:v>
                </c:pt>
                <c:pt idx="12">
                  <c:v>81541.2</c:v>
                </c:pt>
                <c:pt idx="13">
                  <c:v>87813.599999999991</c:v>
                </c:pt>
                <c:pt idx="14">
                  <c:v>94085.999999999985</c:v>
                </c:pt>
                <c:pt idx="15">
                  <c:v>100358.39999999998</c:v>
                </c:pt>
                <c:pt idx="16">
                  <c:v>106630.79999999997</c:v>
                </c:pt>
                <c:pt idx="17">
                  <c:v>112903.19999999997</c:v>
                </c:pt>
                <c:pt idx="18">
                  <c:v>119175.59999999996</c:v>
                </c:pt>
                <c:pt idx="19">
                  <c:v>125447.99999999996</c:v>
                </c:pt>
                <c:pt idx="20">
                  <c:v>131720.39999999997</c:v>
                </c:pt>
                <c:pt idx="21">
                  <c:v>137992.79999999996</c:v>
                </c:pt>
                <c:pt idx="22">
                  <c:v>144265.19999999995</c:v>
                </c:pt>
                <c:pt idx="23">
                  <c:v>150537.59999999995</c:v>
                </c:pt>
                <c:pt idx="24">
                  <c:v>156809.99999999994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A-479C-8E11-62814A764C3E}"/>
            </c:ext>
          </c:extLst>
        </c:ser>
        <c:ser>
          <c:idx val="1"/>
          <c:order val="1"/>
          <c:tx>
            <c:strRef>
              <c:f>Robocze!$L$3</c:f>
              <c:strCache>
                <c:ptCount val="1"/>
                <c:pt idx="0">
                  <c:v>IKZE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[0]!wykres_duzy_IKZE</c:f>
              <c:numCache>
                <c:formatCode>#,##0</c:formatCode>
                <c:ptCount val="25"/>
                <c:pt idx="0">
                  <c:v>6507.7553075625319</c:v>
                </c:pt>
                <c:pt idx="1">
                  <c:v>13272.086980732302</c:v>
                </c:pt>
                <c:pt idx="2">
                  <c:v>20303.166848949837</c:v>
                </c:pt>
                <c:pt idx="3">
                  <c:v>27611.571900822801</c:v>
                </c:pt>
                <c:pt idx="4">
                  <c:v>35208.300486519212</c:v>
                </c:pt>
                <c:pt idx="5">
                  <c:v>43104.78917026025</c:v>
                </c:pt>
                <c:pt idx="6">
                  <c:v>51312.93025906953</c:v>
                </c:pt>
                <c:pt idx="7">
                  <c:v>59845.090034990535</c:v>
                </c:pt>
                <c:pt idx="8">
                  <c:v>68714.127719081458</c:v>
                </c:pt>
                <c:pt idx="9">
                  <c:v>77933.415196638016</c:v>
                </c:pt>
                <c:pt idx="10">
                  <c:v>87516.857534283918</c:v>
                </c:pt>
                <c:pt idx="11">
                  <c:v>97478.914320802927</c:v>
                </c:pt>
                <c:pt idx="12">
                  <c:v>107834.62186487412</c:v>
                </c:pt>
                <c:pt idx="13">
                  <c:v>118599.6162842082</c:v>
                </c:pt>
                <c:pt idx="14">
                  <c:v>129790.15752197649</c:v>
                </c:pt>
                <c:pt idx="15">
                  <c:v>141423.15432787026</c:v>
                </c:pt>
                <c:pt idx="16">
                  <c:v>153516.1902426366</c:v>
                </c:pt>
                <c:pt idx="17">
                  <c:v>166087.55062650415</c:v>
                </c:pt>
                <c:pt idx="18">
                  <c:v>179156.25077354282</c:v>
                </c:pt>
                <c:pt idx="19">
                  <c:v>192742.06515569825</c:v>
                </c:pt>
                <c:pt idx="20">
                  <c:v>206865.55784200883</c:v>
                </c:pt>
                <c:pt idx="21">
                  <c:v>221548.11414034854</c:v>
                </c:pt>
                <c:pt idx="22">
                  <c:v>236811.97351095045</c:v>
                </c:pt>
                <c:pt idx="23">
                  <c:v>252680.26380295536</c:v>
                </c:pt>
                <c:pt idx="24">
                  <c:v>288398.59164480073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A-479C-8E11-62814A764C3E}"/>
            </c:ext>
          </c:extLst>
        </c:ser>
        <c:ser>
          <c:idx val="2"/>
          <c:order val="2"/>
          <c:tx>
            <c:strRef>
              <c:f>Robocze!$M$3</c:f>
              <c:strCache>
                <c:ptCount val="1"/>
                <c:pt idx="0">
                  <c:v>IKE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[0]!wykres_duzy_IKE</c:f>
              <c:numCache>
                <c:formatCode>#,##0</c:formatCode>
                <c:ptCount val="25"/>
                <c:pt idx="0">
                  <c:v>6479.3932755861715</c:v>
                </c:pt>
                <c:pt idx="1">
                  <c:v>13174.213052179915</c:v>
                </c:pt>
                <c:pt idx="2">
                  <c:v>20093.236137818094</c:v>
                </c:pt>
                <c:pt idx="3">
                  <c:v>27245.596921238899</c:v>
                </c:pt>
                <c:pt idx="4">
                  <c:v>34640.801940271347</c:v>
                </c:pt>
                <c:pt idx="5">
                  <c:v>42288.745043763432</c:v>
                </c:pt>
                <c:pt idx="6">
                  <c:v>50199.723171230638</c:v>
                </c:pt>
                <c:pt idx="7">
                  <c:v>58384.452775391648</c:v>
                </c:pt>
                <c:pt idx="8">
                  <c:v>66854.086913783525</c:v>
                </c:pt>
                <c:pt idx="9">
                  <c:v>75620.233036715712</c:v>
                </c:pt>
                <c:pt idx="10">
                  <c:v>84694.971499932566</c:v>
                </c:pt>
                <c:pt idx="11">
                  <c:v>94090.874831510504</c:v>
                </c:pt>
                <c:pt idx="12">
                  <c:v>103821.02778371821</c:v>
                </c:pt>
                <c:pt idx="13">
                  <c:v>113899.04820182048</c:v>
                </c:pt>
                <c:pt idx="14">
                  <c:v>124339.10874310949</c:v>
                </c:pt>
                <c:pt idx="15">
                  <c:v>135155.95948080267</c:v>
                </c:pt>
                <c:pt idx="16">
                  <c:v>146364.95142885862</c:v>
                </c:pt>
                <c:pt idx="17">
                  <c:v>157982.06102522998</c:v>
                </c:pt>
                <c:pt idx="18">
                  <c:v>170023.91561260191</c:v>
                </c:pt>
                <c:pt idx="19">
                  <c:v>195892.22216945083</c:v>
                </c:pt>
                <c:pt idx="20">
                  <c:v>210401.1208004306</c:v>
                </c:pt>
                <c:pt idx="21">
                  <c:v>225501.13434770325</c:v>
                </c:pt>
                <c:pt idx="22">
                  <c:v>241216.34574500151</c:v>
                </c:pt>
                <c:pt idx="23">
                  <c:v>257571.81910193639</c:v>
                </c:pt>
                <c:pt idx="24">
                  <c:v>274593.63967861631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8A-479C-8E11-62814A764C3E}"/>
            </c:ext>
          </c:extLst>
        </c:ser>
        <c:ser>
          <c:idx val="3"/>
          <c:order val="3"/>
          <c:tx>
            <c:strRef>
              <c:f>Robocze!$N$3</c:f>
              <c:strCache>
                <c:ptCount val="1"/>
                <c:pt idx="0">
                  <c:v>Inwestycja bez IKZE/IKE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[0]!wykres_duzy_inne</c:f>
              <c:numCache>
                <c:formatCode>#,##0</c:formatCode>
                <c:ptCount val="25"/>
                <c:pt idx="0">
                  <c:v>6478.6709893777124</c:v>
                </c:pt>
                <c:pt idx="1">
                  <c:v>13170.396292069569</c:v>
                </c:pt>
                <c:pt idx="2">
                  <c:v>20082.18230498879</c:v>
                </c:pt>
                <c:pt idx="3">
                  <c:v>27221.265833891026</c:v>
                </c:pt>
                <c:pt idx="4">
                  <c:v>34595.121670483604</c:v>
                </c:pt>
                <c:pt idx="5">
                  <c:v>42211.470418711666</c:v>
                </c:pt>
                <c:pt idx="6">
                  <c:v>50078.286578415828</c:v>
                </c:pt>
                <c:pt idx="7">
                  <c:v>58203.806894824746</c:v>
                </c:pt>
                <c:pt idx="8">
                  <c:v>66596.538982624916</c:v>
                </c:pt>
                <c:pt idx="9">
                  <c:v>75265.270233637304</c:v>
                </c:pt>
                <c:pt idx="10">
                  <c:v>84219.077017427568</c:v>
                </c:pt>
                <c:pt idx="11">
                  <c:v>93467.33418448249</c:v>
                </c:pt>
                <c:pt idx="12">
                  <c:v>103019.72488190341</c:v>
                </c:pt>
                <c:pt idx="13">
                  <c:v>112886.25069189364</c:v>
                </c:pt>
                <c:pt idx="14">
                  <c:v>123077.24210365469</c:v>
                </c:pt>
                <c:pt idx="15">
                  <c:v>133603.36932965647</c:v>
                </c:pt>
                <c:pt idx="16">
                  <c:v>144475.65347760578</c:v>
                </c:pt>
                <c:pt idx="17">
                  <c:v>155705.47808980997</c:v>
                </c:pt>
                <c:pt idx="18">
                  <c:v>167304.60106201962</c:v>
                </c:pt>
                <c:pt idx="19">
                  <c:v>179285.16695422656</c:v>
                </c:pt>
                <c:pt idx="20">
                  <c:v>191659.71970631019</c:v>
                </c:pt>
                <c:pt idx="21">
                  <c:v>204441.21577184298</c:v>
                </c:pt>
                <c:pt idx="22">
                  <c:v>217643.03768380859</c:v>
                </c:pt>
                <c:pt idx="23">
                  <c:v>231279.00806643444</c:v>
                </c:pt>
                <c:pt idx="24">
                  <c:v>245363.40410781131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8A-479C-8E11-62814A764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8847"/>
        <c:axId val="1006848655"/>
      </c:lineChart>
      <c:catAx>
        <c:axId val="992578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l-PL"/>
          </a:p>
        </c:txPr>
        <c:crossAx val="1006848655"/>
        <c:crosses val="autoZero"/>
        <c:auto val="1"/>
        <c:lblAlgn val="ctr"/>
        <c:lblOffset val="100"/>
        <c:noMultiLvlLbl val="0"/>
      </c:catAx>
      <c:valAx>
        <c:axId val="100684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l-PL"/>
          </a:p>
        </c:txPr>
        <c:crossAx val="99257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b="1">
                <a:latin typeface="Gill Sans MT" panose="020B0502020104020203" pitchFamily="34" charset="-18"/>
              </a:rPr>
              <a:t>Limit wpłat IKZE w ostatnich latach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4386935259338378E-2"/>
          <c:y val="0.1618532266542336"/>
          <c:w val="0.83606071237084056"/>
          <c:h val="0.51095499876518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'zasady IKZE vs IKE'!$B$26</c:f>
              <c:strCache>
                <c:ptCount val="1"/>
                <c:pt idx="0">
                  <c:v>Limit wpłat na IKZE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'zasady IKZE vs IKE'!$A$27:$A$34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'zasady IKZE vs IKE'!$B$27:$B$34</c:f>
              <c:numCache>
                <c:formatCode>General</c:formatCode>
                <c:ptCount val="8"/>
                <c:pt idx="0">
                  <c:v>4495.2</c:v>
                </c:pt>
                <c:pt idx="1">
                  <c:v>4750.8</c:v>
                </c:pt>
                <c:pt idx="2">
                  <c:v>4866</c:v>
                </c:pt>
                <c:pt idx="3">
                  <c:v>5115.6000000000004</c:v>
                </c:pt>
                <c:pt idx="4">
                  <c:v>5331.6</c:v>
                </c:pt>
                <c:pt idx="5">
                  <c:v>5718</c:v>
                </c:pt>
                <c:pt idx="6">
                  <c:v>6272.4</c:v>
                </c:pt>
                <c:pt idx="7">
                  <c:v>6310.8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6-4AE2-BEB7-617E082DD5ED}"/>
            </c:ext>
          </c:extLst>
        </c:ser>
        <c:ser>
          <c:idx val="1"/>
          <c:order val="1"/>
          <c:tx>
            <c:strRef>
              <c:f>'zasady IKZE vs IKE'!$C$26</c:f>
              <c:strCache>
                <c:ptCount val="1"/>
                <c:pt idx="0">
                  <c:v>Limit dla samozatrudnionych (od 2021 r.)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'zasady IKZE vs IKE'!$A$27:$A$34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'zasady IKZE vs IKE'!$C$27:$C$34</c:f>
              <c:numCache>
                <c:formatCode>General</c:formatCode>
                <c:ptCount val="8"/>
                <c:pt idx="7">
                  <c:v>9466.2000000000007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6-4AE2-BEB7-617E082D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6"/>
        <c:axId val="1617717583"/>
        <c:axId val="1611064607"/>
      </c:barChart>
      <c:catAx>
        <c:axId val="161771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1064607"/>
        <c:crosses val="autoZero"/>
        <c:auto val="1"/>
        <c:lblAlgn val="ctr"/>
        <c:lblOffset val="100"/>
        <c:noMultiLvlLbl val="0"/>
      </c:catAx>
      <c:valAx>
        <c:axId val="1611064607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771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89678058511E-2"/>
          <c:y val="0.77395533306447495"/>
          <c:w val="0.89439564537232552"/>
          <c:h val="0.19808242110481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163285</xdr:colOff>
      <xdr:row>7</xdr:row>
      <xdr:rowOff>312964</xdr:rowOff>
    </xdr:from>
    <xdr:to>
      <xdr:col>18</xdr:col>
      <xdr:colOff>161382</xdr:colOff>
      <xdr:row>15</xdr:row>
      <xdr:rowOff>85453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1964171F-6549-42F7-8CB7-CD3A82D1B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495002</xdr:colOff>
      <xdr:row>0</xdr:row>
      <xdr:rowOff>217714</xdr:rowOff>
    </xdr:from>
    <xdr:to>
      <xdr:col>27</xdr:col>
      <xdr:colOff>598715</xdr:colOff>
      <xdr:row>10</xdr:row>
      <xdr:rowOff>381000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50EF9651-F869-4C2C-9B9F-03B55C9FA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108856</xdr:colOff>
      <xdr:row>12</xdr:row>
      <xdr:rowOff>421821</xdr:rowOff>
    </xdr:from>
    <xdr:to>
      <xdr:col>33</xdr:col>
      <xdr:colOff>410118</xdr:colOff>
      <xdr:row>15</xdr:row>
      <xdr:rowOff>341267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63C6DE5-C202-409F-B84E-9F0BA58A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04927" y="5959928"/>
          <a:ext cx="476250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880108</xdr:colOff>
      <xdr:row>23</xdr:row>
      <xdr:rowOff>170497</xdr:rowOff>
    </xdr:from>
    <xdr:to>
      <xdr:col>6</xdr:col>
      <xdr:colOff>276418</xdr:colOff>
      <xdr:row>39</xdr:row>
      <xdr:rowOff>133350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572C1A3-25CE-4851-8F37-9979AB923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arzyna Iwuc" id="{5AF13522-DE7A-4054-8709-2C231D146272}" userId="1f5fe913bd25882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20" dT="2020-11-29T13:50:07.34" personId="{5AF13522-DE7A-4054-8709-2C231D146272}" id="{E8937DE4-CA27-42A0-9B40-B98EB2C47A8E}">
    <text>Pomijam efekt dyskonta związany z tym, ze zwrot podatku nastąpi w kolejnym okresie</text>
  </threadedComment>
  <threadedComment ref="AM20" dT="2020-11-29T16:57:31.70" personId="{5AF13522-DE7A-4054-8709-2C231D146272}" id="{F303EE9A-B6A9-4BB9-A6ED-CFF328F08206}">
    <text>Założona jest kapitalizacja zysków co miesiąc</text>
  </threadedComment>
  <threadedComment ref="AN20" dT="2020-11-29T16:54:12.53" personId="{5AF13522-DE7A-4054-8709-2C231D146272}" id="{8DE0B0E8-934C-44C8-822C-DD2FB35F3025}">
    <text>Założona jest wypłata zysków co miesiąc, w związku z tym co miesiąc pobierany jest podatek od zysków kapitałowych.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DA5B-7485-4D54-8588-70A50CC87267}">
  <sheetPr>
    <tabColor rgb="FF00B050"/>
  </sheetPr>
  <dimension ref="A1:AP1143"/>
  <sheetViews>
    <sheetView tabSelected="1" topLeftCell="B1" zoomScale="70" zoomScaleNormal="70" workbookViewId="0">
      <selection activeCell="T14" sqref="T14"/>
    </sheetView>
  </sheetViews>
  <sheetFormatPr defaultColWidth="8.83984375" defaultRowHeight="15.6" x14ac:dyDescent="0.6"/>
  <cols>
    <col min="1" max="1" width="6.83984375" style="15" customWidth="1"/>
    <col min="2" max="2" width="6.26171875" style="15" customWidth="1"/>
    <col min="3" max="3" width="8" style="15" bestFit="1" customWidth="1"/>
    <col min="4" max="4" width="12.578125" style="15" customWidth="1"/>
    <col min="5" max="5" width="13.68359375" style="27" bestFit="1" customWidth="1"/>
    <col min="6" max="6" width="15.68359375" style="28" bestFit="1" customWidth="1"/>
    <col min="7" max="7" width="10.41796875" style="15" customWidth="1"/>
    <col min="8" max="8" width="13" style="15" bestFit="1" customWidth="1"/>
    <col min="9" max="9" width="7.15625" style="15" customWidth="1"/>
    <col min="10" max="10" width="8.83984375" style="15" customWidth="1"/>
    <col min="11" max="11" width="13.68359375" style="33" customWidth="1"/>
    <col min="12" max="12" width="11.68359375" style="15" customWidth="1"/>
    <col min="13" max="13" width="15" style="15" customWidth="1"/>
    <col min="14" max="14" width="11.83984375" style="15" customWidth="1"/>
    <col min="15" max="15" width="12.26171875" style="15" customWidth="1"/>
    <col min="16" max="16" width="14.83984375" style="15" customWidth="1"/>
    <col min="17" max="17" width="14.578125" style="15" customWidth="1"/>
    <col min="18" max="18" width="12.15625" style="15" bestFit="1" customWidth="1"/>
    <col min="19" max="19" width="12.83984375" style="15" customWidth="1"/>
    <col min="20" max="20" width="13.41796875" style="31" customWidth="1"/>
    <col min="21" max="23" width="13" style="32" customWidth="1"/>
    <col min="24" max="24" width="10.41796875" style="31" customWidth="1"/>
    <col min="25" max="27" width="15" style="31" customWidth="1"/>
    <col min="28" max="28" width="14.83984375" style="15" customWidth="1"/>
    <col min="29" max="29" width="12.83984375" style="15" customWidth="1"/>
    <col min="30" max="31" width="14.578125" style="15" customWidth="1"/>
    <col min="32" max="32" width="15.15625" style="15" customWidth="1"/>
    <col min="33" max="33" width="10" style="15" bestFit="1" customWidth="1"/>
    <col min="34" max="34" width="14" style="15" customWidth="1"/>
    <col min="35" max="35" width="13.578125" style="15" customWidth="1"/>
    <col min="36" max="37" width="13.83984375" style="15" customWidth="1"/>
    <col min="38" max="38" width="16.15625" style="15" customWidth="1"/>
    <col min="39" max="39" width="10" style="15" bestFit="1" customWidth="1"/>
    <col min="40" max="40" width="8.83984375" style="15" bestFit="1" customWidth="1"/>
    <col min="41" max="41" width="13" style="15" bestFit="1" customWidth="1"/>
    <col min="42" max="42" width="13.578125" style="15" customWidth="1"/>
    <col min="43" max="16384" width="8.83984375" style="15"/>
  </cols>
  <sheetData>
    <row r="1" spans="1:28" s="5" customFormat="1" ht="20.5" customHeight="1" x14ac:dyDescent="0.9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125" t="s">
        <v>141</v>
      </c>
      <c r="N1" s="125"/>
      <c r="O1" s="125"/>
      <c r="P1" s="125"/>
      <c r="Q1" s="125"/>
      <c r="R1" s="90"/>
      <c r="S1" s="91"/>
      <c r="T1" s="91"/>
      <c r="U1" s="92"/>
      <c r="V1" s="92"/>
      <c r="W1" s="92"/>
      <c r="X1" s="91"/>
      <c r="Y1" s="91"/>
      <c r="Z1" s="91"/>
      <c r="AA1" s="91"/>
      <c r="AB1" s="91"/>
    </row>
    <row r="2" spans="1:28" s="8" customFormat="1" ht="47.65" customHeight="1" x14ac:dyDescent="0.55000000000000004">
      <c r="A2" s="38" t="s">
        <v>22</v>
      </c>
      <c r="B2" s="39"/>
      <c r="C2" s="39"/>
      <c r="D2" s="39"/>
      <c r="E2" s="39"/>
      <c r="F2" s="40">
        <v>0.04</v>
      </c>
      <c r="G2" s="121" t="s">
        <v>125</v>
      </c>
      <c r="H2" s="122"/>
      <c r="I2" s="122"/>
      <c r="J2" s="122"/>
      <c r="K2" s="122"/>
      <c r="L2" s="7"/>
      <c r="M2" s="65" t="s">
        <v>140</v>
      </c>
      <c r="N2" s="65" t="s">
        <v>118</v>
      </c>
      <c r="O2" s="100" t="s">
        <v>122</v>
      </c>
      <c r="P2" s="36" t="s">
        <v>9</v>
      </c>
      <c r="Q2" s="37" t="s">
        <v>28</v>
      </c>
      <c r="R2" s="101" t="s">
        <v>143</v>
      </c>
      <c r="S2" s="93"/>
      <c r="T2" s="93"/>
      <c r="U2" s="94"/>
      <c r="V2" s="94"/>
      <c r="W2" s="94"/>
      <c r="X2" s="93"/>
      <c r="Y2" s="93"/>
      <c r="Z2" s="93"/>
      <c r="AA2" s="93"/>
      <c r="AB2" s="93"/>
    </row>
    <row r="3" spans="1:28" s="8" customFormat="1" ht="46.9" customHeight="1" x14ac:dyDescent="0.55000000000000004">
      <c r="A3" s="41" t="s">
        <v>113</v>
      </c>
      <c r="B3" s="39"/>
      <c r="C3" s="39"/>
      <c r="D3" s="39"/>
      <c r="E3" s="39"/>
      <c r="F3" s="42">
        <v>6272.4</v>
      </c>
      <c r="G3" s="126" t="s">
        <v>130</v>
      </c>
      <c r="H3" s="126"/>
      <c r="I3" s="126"/>
      <c r="J3" s="126"/>
      <c r="K3" s="126"/>
      <c r="L3" s="68" t="s">
        <v>142</v>
      </c>
      <c r="M3" s="46">
        <v>5</v>
      </c>
      <c r="N3" s="64">
        <f>IF(M3&lt;&gt;"",$F$6+M3,"")</f>
        <v>45</v>
      </c>
      <c r="O3" s="34">
        <f>IFERROR(IF(M3&lt;=$F$7,MAX(VLOOKUP($M3*12,$A$22:$Q$741,13,0),VLOOKUP(M3*12,$A$22:$Q$741,14,0)),""),"")</f>
        <v>35208.300486519212</v>
      </c>
      <c r="P3" s="34">
        <f>IFERROR(IF(M3&lt;=$F$7,MAX(VLOOKUP($M3*12,$A$22:$Q$741,15,0),VLOOKUP(M3*12,$A$22:$Q$741,16,0)),""),"")</f>
        <v>34640.801940271347</v>
      </c>
      <c r="Q3" s="34">
        <f>IFERROR(IF(M3&lt;=$F$7,VLOOKUP($M3*12,$A$22:$Q$741,17,0),""),"")</f>
        <v>34595.121670483604</v>
      </c>
      <c r="R3" s="34">
        <f>IFERROR(IF(M3&lt;=$F$7,VLOOKUP($M3*12,$A$22:$Q$741,12,0),""),"")</f>
        <v>31362</v>
      </c>
      <c r="S3" s="93"/>
      <c r="T3" s="93"/>
      <c r="U3" s="94"/>
      <c r="V3" s="94"/>
      <c r="W3" s="94"/>
      <c r="X3" s="93"/>
      <c r="Y3" s="93"/>
      <c r="Z3" s="93"/>
      <c r="AA3" s="93"/>
      <c r="AB3" s="93"/>
    </row>
    <row r="4" spans="1:28" s="8" customFormat="1" ht="36.4" customHeight="1" x14ac:dyDescent="0.55000000000000004">
      <c r="A4" s="38" t="s">
        <v>112</v>
      </c>
      <c r="B4" s="39"/>
      <c r="C4" s="39"/>
      <c r="D4" s="39"/>
      <c r="E4" s="39"/>
      <c r="F4" s="43">
        <f>F3</f>
        <v>6272.4</v>
      </c>
      <c r="G4" s="121" t="s">
        <v>136</v>
      </c>
      <c r="H4" s="122"/>
      <c r="I4" s="122"/>
      <c r="J4" s="122"/>
      <c r="K4" s="122"/>
      <c r="L4" s="7"/>
      <c r="M4" s="46">
        <v>10</v>
      </c>
      <c r="N4" s="64">
        <f t="shared" ref="N4:N7" si="0">IF(M4&lt;&gt;"",$F$6+M4,"")</f>
        <v>50</v>
      </c>
      <c r="O4" s="34">
        <f>IFERROR(IF(M4&lt;=$F$7,MAX(VLOOKUP($M4*12,$A$22:$Q$741,13,0),VLOOKUP(M4*12,$A$22:$Q$741,14,0)),""),"")</f>
        <v>77933.415196638016</v>
      </c>
      <c r="P4" s="34">
        <f t="shared" ref="P4" si="1">IFERROR(IF(M4&lt;=$F$7,MAX(VLOOKUP($M4*12,$A$22:$Q$741,15,0),VLOOKUP(M4*12,$A$22:$Q$741,16,0)),""),"")</f>
        <v>75620.233036715712</v>
      </c>
      <c r="Q4" s="34">
        <f t="shared" ref="Q4" si="2">IFERROR(IF(M4&lt;=$F$7,VLOOKUP($M4*12,$A$22:$Q$741,17,0),""),"")</f>
        <v>75265.270233637304</v>
      </c>
      <c r="R4" s="34">
        <f t="shared" ref="R4" si="3">IFERROR(IF(M4&lt;=$F$7,VLOOKUP($M4*12,$A$22:$Q$741,12,0),""),"")</f>
        <v>62724.000000000007</v>
      </c>
      <c r="S4" s="93"/>
      <c r="T4" s="93"/>
      <c r="U4" s="94"/>
      <c r="V4" s="94"/>
      <c r="W4" s="94"/>
      <c r="X4" s="93"/>
      <c r="Y4" s="93"/>
      <c r="Z4" s="93"/>
      <c r="AA4" s="93"/>
      <c r="AB4" s="93"/>
    </row>
    <row r="5" spans="1:28" s="8" customFormat="1" ht="36.4" customHeight="1" x14ac:dyDescent="0.55000000000000004">
      <c r="A5" s="38" t="s">
        <v>123</v>
      </c>
      <c r="B5" s="39"/>
      <c r="C5" s="39"/>
      <c r="D5" s="39"/>
      <c r="E5" s="39"/>
      <c r="F5" s="44" t="s">
        <v>4</v>
      </c>
      <c r="G5" s="121" t="s">
        <v>131</v>
      </c>
      <c r="H5" s="122"/>
      <c r="I5" s="122"/>
      <c r="J5" s="122"/>
      <c r="K5" s="122"/>
      <c r="L5" s="7"/>
      <c r="M5" s="46">
        <v>15</v>
      </c>
      <c r="N5" s="64">
        <f t="shared" si="0"/>
        <v>55</v>
      </c>
      <c r="O5" s="34">
        <f>IFERROR(IF(M5&lt;=$F$7,MAX(VLOOKUP($M5*12,$A$22:$Q$741,13,0),VLOOKUP(M5*12,$A$22:$Q$741,14,0)),""),"")</f>
        <v>129790.15752197649</v>
      </c>
      <c r="P5" s="34">
        <f t="shared" ref="P5" si="4">IFERROR(IF(M5&lt;=$F$7,MAX(VLOOKUP($M5*12,$A$22:$Q$741,15,0),VLOOKUP(M5*12,$A$22:$Q$741,16,0)),""),"")</f>
        <v>124339.10874310949</v>
      </c>
      <c r="Q5" s="34">
        <f t="shared" ref="Q5" si="5">IFERROR(IF(M5&lt;=$F$7,VLOOKUP($M5*12,$A$22:$Q$741,17,0),""),"")</f>
        <v>123077.24210365469</v>
      </c>
      <c r="R5" s="34">
        <f t="shared" ref="R5" si="6">IFERROR(IF(M5&lt;=$F$7,VLOOKUP($M5*12,$A$22:$Q$741,12,0),""),"")</f>
        <v>94085.999999999985</v>
      </c>
      <c r="S5" s="93"/>
      <c r="T5" s="93"/>
      <c r="U5" s="94"/>
      <c r="V5" s="94"/>
      <c r="W5" s="94"/>
      <c r="X5" s="93"/>
      <c r="Y5" s="93"/>
      <c r="Z5" s="93"/>
      <c r="AA5" s="93"/>
      <c r="AB5" s="93"/>
    </row>
    <row r="6" spans="1:28" s="8" customFormat="1" ht="36.4" customHeight="1" x14ac:dyDescent="0.55000000000000004">
      <c r="A6" s="38" t="s">
        <v>0</v>
      </c>
      <c r="B6" s="45"/>
      <c r="C6" s="45"/>
      <c r="D6" s="45"/>
      <c r="E6" s="45"/>
      <c r="F6" s="46">
        <v>40</v>
      </c>
      <c r="G6" s="121" t="s">
        <v>164</v>
      </c>
      <c r="H6" s="122"/>
      <c r="I6" s="122"/>
      <c r="J6" s="122"/>
      <c r="K6" s="122"/>
      <c r="L6" s="35"/>
      <c r="M6" s="46">
        <v>20</v>
      </c>
      <c r="N6" s="64">
        <f t="shared" si="0"/>
        <v>60</v>
      </c>
      <c r="O6" s="34">
        <f>IFERROR(IF(M6&lt;=$F$7,MAX(VLOOKUP($M6*12,$A$22:$Q$741,13,0),VLOOKUP(M6*12,$A$22:$Q$741,14,0)),""),"")</f>
        <v>192742.06515569825</v>
      </c>
      <c r="P6" s="34">
        <f t="shared" ref="P6:P7" si="7">IFERROR(IF(M6&lt;=$F$7,MAX(VLOOKUP($M6*12,$A$22:$Q$741,15,0),VLOOKUP(M6*12,$A$22:$Q$741,16,0)),""),"")</f>
        <v>195892.22216945083</v>
      </c>
      <c r="Q6" s="34">
        <f t="shared" ref="Q6:Q7" si="8">IFERROR(IF(M6&lt;=$F$7,VLOOKUP($M6*12,$A$22:$Q$741,17,0),""),"")</f>
        <v>179285.16695422656</v>
      </c>
      <c r="R6" s="34">
        <f t="shared" ref="R6:R7" si="9">IFERROR(IF(M6&lt;=$F$7,VLOOKUP($M6*12,$A$22:$Q$741,12,0),""),"")</f>
        <v>125447.99999999996</v>
      </c>
      <c r="S6" s="93"/>
      <c r="T6" s="93"/>
      <c r="U6" s="94"/>
      <c r="V6" s="94"/>
      <c r="W6" s="94"/>
      <c r="X6" s="93"/>
      <c r="Y6" s="93"/>
      <c r="Z6" s="93"/>
      <c r="AA6" s="93"/>
      <c r="AB6" s="93"/>
    </row>
    <row r="7" spans="1:28" s="8" customFormat="1" ht="36.4" customHeight="1" x14ac:dyDescent="0.55000000000000004">
      <c r="A7" s="38" t="s">
        <v>1</v>
      </c>
      <c r="B7" s="45"/>
      <c r="C7" s="45"/>
      <c r="D7" s="45"/>
      <c r="E7" s="45"/>
      <c r="F7" s="46">
        <v>25</v>
      </c>
      <c r="G7" s="121" t="s">
        <v>126</v>
      </c>
      <c r="H7" s="122"/>
      <c r="I7" s="122"/>
      <c r="J7" s="122"/>
      <c r="K7" s="122"/>
      <c r="L7" s="7"/>
      <c r="M7" s="46">
        <f>F7</f>
        <v>25</v>
      </c>
      <c r="N7" s="64">
        <f t="shared" si="0"/>
        <v>65</v>
      </c>
      <c r="O7" s="34">
        <f>IFERROR(IF(M7&lt;=$F$7,MAX(VLOOKUP($M7*12,$A$22:$Q$741,13,0),VLOOKUP(M7*12,$A$22:$Q$741,14,0)),""),"")</f>
        <v>288398.59164480073</v>
      </c>
      <c r="P7" s="34">
        <f t="shared" si="7"/>
        <v>274593.63967861631</v>
      </c>
      <c r="Q7" s="34">
        <f t="shared" si="8"/>
        <v>245363.40410781131</v>
      </c>
      <c r="R7" s="34">
        <f t="shared" si="9"/>
        <v>156809.99999999994</v>
      </c>
      <c r="S7" s="93"/>
      <c r="T7" s="93"/>
      <c r="U7" s="94"/>
      <c r="V7" s="94"/>
      <c r="W7" s="94"/>
      <c r="X7" s="93"/>
      <c r="Y7" s="93"/>
      <c r="Z7" s="93"/>
      <c r="AA7" s="93"/>
      <c r="AB7" s="93"/>
    </row>
    <row r="8" spans="1:28" s="5" customFormat="1" ht="36.4" customHeight="1" x14ac:dyDescent="0.6">
      <c r="A8" s="41" t="s">
        <v>2</v>
      </c>
      <c r="B8" s="39"/>
      <c r="C8" s="39"/>
      <c r="D8" s="39"/>
      <c r="E8" s="39"/>
      <c r="F8" s="47">
        <v>44166</v>
      </c>
      <c r="G8" s="121" t="s">
        <v>127</v>
      </c>
      <c r="H8" s="122"/>
      <c r="I8" s="122"/>
      <c r="J8" s="122"/>
      <c r="K8" s="122"/>
      <c r="L8" s="7"/>
      <c r="M8" s="95"/>
      <c r="N8" s="96"/>
      <c r="O8" s="96"/>
      <c r="P8" s="96"/>
      <c r="Q8" s="97"/>
      <c r="R8" s="97"/>
      <c r="S8" s="91"/>
      <c r="T8" s="91"/>
      <c r="U8" s="92"/>
      <c r="V8" s="92"/>
      <c r="W8" s="92"/>
      <c r="X8" s="91"/>
      <c r="Y8" s="91"/>
      <c r="Z8" s="91"/>
      <c r="AA8" s="91"/>
      <c r="AB8" s="91"/>
    </row>
    <row r="9" spans="1:28" s="5" customFormat="1" ht="19" customHeight="1" x14ac:dyDescent="0.6">
      <c r="A9" s="41" t="s">
        <v>5</v>
      </c>
      <c r="B9" s="39"/>
      <c r="C9" s="39"/>
      <c r="D9" s="39"/>
      <c r="E9" s="39"/>
      <c r="F9" s="48">
        <f>EOMONTH(F8,F7*12-1)</f>
        <v>53296</v>
      </c>
      <c r="G9" s="123" t="s">
        <v>128</v>
      </c>
      <c r="H9" s="122"/>
      <c r="I9" s="122"/>
      <c r="J9" s="122"/>
      <c r="K9" s="122"/>
      <c r="L9" s="7"/>
      <c r="M9" s="97"/>
      <c r="N9" s="91"/>
      <c r="O9" s="97"/>
      <c r="P9" s="91"/>
      <c r="Q9" s="91"/>
      <c r="R9" s="91"/>
      <c r="S9" s="91"/>
      <c r="T9" s="91"/>
      <c r="U9" s="92"/>
      <c r="V9" s="92"/>
      <c r="W9" s="92"/>
      <c r="X9" s="91"/>
      <c r="Y9" s="91"/>
      <c r="Z9" s="91"/>
      <c r="AA9" s="91"/>
      <c r="AB9" s="91"/>
    </row>
    <row r="10" spans="1:28" s="5" customFormat="1" ht="45.4" customHeight="1" x14ac:dyDescent="0.6">
      <c r="A10" s="110" t="s">
        <v>129</v>
      </c>
      <c r="B10" s="110"/>
      <c r="C10" s="110"/>
      <c r="D10" s="110"/>
      <c r="E10" s="111"/>
      <c r="F10" s="49">
        <v>60</v>
      </c>
      <c r="G10" s="121" t="s">
        <v>150</v>
      </c>
      <c r="H10" s="122"/>
      <c r="I10" s="122"/>
      <c r="J10" s="122"/>
      <c r="K10" s="122"/>
      <c r="L10" s="7"/>
      <c r="M10" s="98"/>
      <c r="N10" s="91"/>
      <c r="O10" s="91"/>
      <c r="P10" s="91"/>
      <c r="Q10" s="91"/>
      <c r="R10" s="91"/>
      <c r="S10" s="91"/>
      <c r="T10" s="91"/>
      <c r="U10" s="92"/>
      <c r="V10" s="92"/>
      <c r="W10" s="92"/>
      <c r="X10" s="91"/>
      <c r="Y10" s="91"/>
      <c r="Z10" s="91"/>
      <c r="AA10" s="91"/>
      <c r="AB10" s="91"/>
    </row>
    <row r="11" spans="1:28" s="5" customFormat="1" ht="36.4" customHeight="1" x14ac:dyDescent="0.6">
      <c r="A11" s="38" t="s">
        <v>144</v>
      </c>
      <c r="B11" s="39"/>
      <c r="C11" s="39"/>
      <c r="D11" s="39"/>
      <c r="E11" s="39"/>
      <c r="F11" s="50">
        <v>0.17</v>
      </c>
      <c r="G11" s="121" t="s">
        <v>145</v>
      </c>
      <c r="H11" s="122"/>
      <c r="I11" s="122"/>
      <c r="J11" s="122"/>
      <c r="K11" s="122"/>
      <c r="L11" s="7"/>
      <c r="M11" s="98"/>
      <c r="N11" s="91"/>
      <c r="O11" s="91"/>
      <c r="P11" s="91"/>
      <c r="Q11" s="93"/>
      <c r="R11" s="93"/>
      <c r="S11" s="91"/>
      <c r="T11" s="91"/>
      <c r="U11" s="92"/>
      <c r="V11" s="92"/>
      <c r="W11" s="92"/>
      <c r="X11" s="91"/>
      <c r="Y11" s="91"/>
      <c r="Z11" s="91"/>
      <c r="AA11" s="91"/>
      <c r="AB11" s="91"/>
    </row>
    <row r="12" spans="1:28" s="5" customFormat="1" ht="40.15" customHeight="1" x14ac:dyDescent="0.6">
      <c r="A12" s="38" t="s">
        <v>165</v>
      </c>
      <c r="B12" s="39"/>
      <c r="C12" s="39"/>
      <c r="D12" s="39"/>
      <c r="E12" s="39"/>
      <c r="F12" s="50">
        <v>0.17</v>
      </c>
      <c r="G12" s="121" t="s">
        <v>146</v>
      </c>
      <c r="H12" s="122"/>
      <c r="I12" s="122"/>
      <c r="J12" s="122"/>
      <c r="K12" s="122"/>
      <c r="L12" s="7"/>
      <c r="M12" s="98"/>
      <c r="N12" s="91"/>
      <c r="O12" s="91"/>
      <c r="P12" s="91"/>
      <c r="Q12" s="93"/>
      <c r="R12" s="93"/>
      <c r="S12" s="91"/>
      <c r="T12" s="91"/>
      <c r="U12" s="92"/>
      <c r="V12" s="92"/>
      <c r="W12" s="92"/>
      <c r="X12" s="91"/>
      <c r="Y12" s="91"/>
      <c r="Z12" s="91"/>
      <c r="AA12" s="91"/>
      <c r="AB12" s="91"/>
    </row>
    <row r="13" spans="1:28" s="5" customFormat="1" ht="36.4" customHeight="1" x14ac:dyDescent="0.6">
      <c r="A13" s="41" t="s">
        <v>139</v>
      </c>
      <c r="B13" s="39"/>
      <c r="C13" s="39"/>
      <c r="D13" s="39"/>
      <c r="E13" s="39"/>
      <c r="F13" s="51">
        <v>43922</v>
      </c>
      <c r="G13" s="121" t="s">
        <v>132</v>
      </c>
      <c r="H13" s="122"/>
      <c r="I13" s="122"/>
      <c r="J13" s="122"/>
      <c r="K13" s="122"/>
      <c r="L13" s="7"/>
      <c r="M13" s="98"/>
      <c r="N13" s="91"/>
      <c r="O13" s="91"/>
      <c r="P13" s="91"/>
      <c r="Q13" s="93"/>
      <c r="R13" s="93"/>
      <c r="S13" s="91"/>
      <c r="T13" s="92"/>
      <c r="U13" s="92"/>
      <c r="V13" s="92"/>
      <c r="W13" s="92"/>
      <c r="X13" s="91"/>
      <c r="Y13" s="91"/>
      <c r="Z13" s="91"/>
      <c r="AA13" s="91"/>
      <c r="AB13" s="91"/>
    </row>
    <row r="14" spans="1:28" s="5" customFormat="1" ht="19" customHeight="1" x14ac:dyDescent="0.6">
      <c r="A14" s="41" t="s">
        <v>7</v>
      </c>
      <c r="B14" s="39"/>
      <c r="C14" s="39"/>
      <c r="D14" s="39"/>
      <c r="E14" s="39"/>
      <c r="F14" s="52">
        <v>0.19</v>
      </c>
      <c r="G14" s="123"/>
      <c r="H14" s="123"/>
      <c r="I14" s="123"/>
      <c r="J14" s="123"/>
      <c r="K14" s="123"/>
      <c r="L14" s="7"/>
      <c r="M14" s="98"/>
      <c r="N14" s="91"/>
      <c r="O14" s="91"/>
      <c r="P14" s="91"/>
      <c r="Q14" s="93"/>
      <c r="R14" s="93"/>
      <c r="S14" s="91"/>
      <c r="T14" s="91"/>
      <c r="U14" s="92"/>
      <c r="V14" s="92"/>
      <c r="W14" s="92"/>
      <c r="X14" s="91"/>
      <c r="Y14" s="91"/>
      <c r="Z14" s="91"/>
      <c r="AA14" s="91"/>
      <c r="AB14" s="91"/>
    </row>
    <row r="15" spans="1:28" s="5" customFormat="1" ht="36.4" customHeight="1" x14ac:dyDescent="0.6">
      <c r="A15" s="41" t="s">
        <v>10</v>
      </c>
      <c r="B15" s="39"/>
      <c r="C15" s="39"/>
      <c r="D15" s="39"/>
      <c r="E15" s="39"/>
      <c r="F15" s="44">
        <v>0</v>
      </c>
      <c r="G15" s="121" t="s">
        <v>137</v>
      </c>
      <c r="H15" s="122"/>
      <c r="I15" s="122"/>
      <c r="J15" s="122"/>
      <c r="K15" s="122"/>
      <c r="L15" s="7"/>
      <c r="M15" s="98"/>
      <c r="N15" s="91"/>
      <c r="O15" s="91"/>
      <c r="P15" s="91"/>
      <c r="Q15" s="93"/>
      <c r="R15" s="93"/>
      <c r="S15" s="91"/>
      <c r="T15" s="91"/>
      <c r="U15" s="92"/>
      <c r="V15" s="92"/>
      <c r="W15" s="92"/>
      <c r="X15" s="91"/>
      <c r="Y15" s="91"/>
      <c r="Z15" s="91"/>
      <c r="AA15" s="91"/>
      <c r="AB15" s="91"/>
    </row>
    <row r="16" spans="1:28" s="5" customFormat="1" ht="36.4" customHeight="1" x14ac:dyDescent="0.6">
      <c r="A16" s="41" t="s">
        <v>133</v>
      </c>
      <c r="B16" s="39"/>
      <c r="C16" s="39"/>
      <c r="D16" s="39"/>
      <c r="E16" s="39"/>
      <c r="F16" s="44">
        <v>0</v>
      </c>
      <c r="G16" s="121" t="s">
        <v>138</v>
      </c>
      <c r="H16" s="122"/>
      <c r="I16" s="122"/>
      <c r="J16" s="122"/>
      <c r="K16" s="122"/>
      <c r="L16" s="7"/>
      <c r="M16" s="98"/>
      <c r="N16" s="91"/>
      <c r="O16" s="91"/>
      <c r="P16" s="91"/>
      <c r="Q16" s="91"/>
      <c r="R16" s="91"/>
      <c r="S16" s="91"/>
      <c r="T16" s="99"/>
      <c r="U16" s="92"/>
      <c r="V16" s="92"/>
      <c r="W16" s="92"/>
      <c r="X16" s="92"/>
      <c r="Y16" s="92"/>
      <c r="Z16" s="92"/>
      <c r="AA16" s="91"/>
      <c r="AB16" s="91"/>
    </row>
    <row r="17" spans="1:42" s="5" customFormat="1" ht="20.5" customHeight="1" x14ac:dyDescent="0.6">
      <c r="A17" s="10"/>
      <c r="E17" s="11"/>
      <c r="F17" s="12"/>
      <c r="G17" s="13"/>
      <c r="T17" s="9"/>
      <c r="U17" s="6"/>
      <c r="V17" s="6"/>
      <c r="W17" s="6"/>
    </row>
    <row r="18" spans="1:42" s="5" customFormat="1" ht="15.9" thickBot="1" x14ac:dyDescent="0.65">
      <c r="E18" s="11"/>
      <c r="F18" s="14"/>
      <c r="S18" s="119" t="s">
        <v>114</v>
      </c>
      <c r="T18" s="119"/>
      <c r="U18" s="119"/>
      <c r="V18" s="61"/>
      <c r="W18" s="120" t="s">
        <v>120</v>
      </c>
      <c r="X18" s="120"/>
      <c r="Y18" s="120"/>
      <c r="Z18" s="120"/>
      <c r="AA18" s="120"/>
      <c r="AB18" s="120"/>
      <c r="AC18" s="120"/>
      <c r="AD18" s="113" t="s">
        <v>121</v>
      </c>
      <c r="AE18" s="113"/>
      <c r="AF18" s="113"/>
    </row>
    <row r="19" spans="1:42" ht="26.1" customHeight="1" thickBot="1" x14ac:dyDescent="0.85">
      <c r="A19" s="58"/>
      <c r="B19" s="58"/>
      <c r="C19" s="114" t="s">
        <v>18</v>
      </c>
      <c r="D19" s="114"/>
      <c r="E19" s="114"/>
      <c r="F19" s="114"/>
      <c r="G19" s="114"/>
      <c r="H19" s="114"/>
      <c r="I19" s="114"/>
      <c r="J19" s="114"/>
      <c r="K19" s="53"/>
      <c r="L19" s="54"/>
      <c r="M19" s="115" t="s">
        <v>23</v>
      </c>
      <c r="N19" s="115"/>
      <c r="O19" s="115"/>
      <c r="P19" s="115"/>
      <c r="Q19" s="116"/>
      <c r="R19" s="62"/>
      <c r="S19" s="117" t="s">
        <v>19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 t="s">
        <v>9</v>
      </c>
      <c r="AH19" s="118"/>
      <c r="AI19" s="118"/>
      <c r="AJ19" s="118"/>
      <c r="AK19" s="118"/>
      <c r="AL19" s="118"/>
      <c r="AM19" s="112" t="s">
        <v>119</v>
      </c>
      <c r="AN19" s="112"/>
      <c r="AO19" s="112"/>
      <c r="AP19" s="112"/>
    </row>
    <row r="20" spans="1:42" s="18" customFormat="1" ht="101.5" customHeight="1" thickBot="1" x14ac:dyDescent="0.6">
      <c r="A20" s="16" t="s">
        <v>110</v>
      </c>
      <c r="B20" s="16" t="s">
        <v>6</v>
      </c>
      <c r="C20" s="16" t="s">
        <v>8</v>
      </c>
      <c r="D20" s="16" t="s">
        <v>118</v>
      </c>
      <c r="E20" s="16" t="s">
        <v>16</v>
      </c>
      <c r="F20" s="16" t="s">
        <v>17</v>
      </c>
      <c r="G20" s="16" t="s">
        <v>12</v>
      </c>
      <c r="H20" s="16" t="s">
        <v>13</v>
      </c>
      <c r="I20" s="17" t="s">
        <v>111</v>
      </c>
      <c r="J20" s="17" t="s">
        <v>11</v>
      </c>
      <c r="K20" s="59"/>
      <c r="L20" s="55" t="s">
        <v>143</v>
      </c>
      <c r="M20" s="56" t="s">
        <v>24</v>
      </c>
      <c r="N20" s="56" t="s">
        <v>25</v>
      </c>
      <c r="O20" s="56" t="s">
        <v>26</v>
      </c>
      <c r="P20" s="56" t="s">
        <v>27</v>
      </c>
      <c r="Q20" s="57" t="s">
        <v>28</v>
      </c>
      <c r="R20" s="63"/>
      <c r="S20" s="20" t="s">
        <v>147</v>
      </c>
      <c r="T20" s="19" t="s">
        <v>14</v>
      </c>
      <c r="U20" s="20" t="s">
        <v>15</v>
      </c>
      <c r="V20" s="20" t="s">
        <v>148</v>
      </c>
      <c r="W20" s="18" t="s">
        <v>117</v>
      </c>
      <c r="X20" s="19" t="s">
        <v>116</v>
      </c>
      <c r="Y20" s="19" t="s">
        <v>115</v>
      </c>
      <c r="Z20" s="19" t="s">
        <v>14</v>
      </c>
      <c r="AA20" s="19" t="s">
        <v>21</v>
      </c>
      <c r="AB20" s="19" t="s">
        <v>20</v>
      </c>
      <c r="AC20" s="19" t="s">
        <v>15</v>
      </c>
      <c r="AD20" s="18" t="s">
        <v>134</v>
      </c>
      <c r="AE20" s="18" t="s">
        <v>149</v>
      </c>
      <c r="AF20" s="18" t="s">
        <v>135</v>
      </c>
      <c r="AG20" s="19" t="s">
        <v>14</v>
      </c>
      <c r="AH20" s="18" t="s">
        <v>20</v>
      </c>
      <c r="AI20" s="18" t="s">
        <v>15</v>
      </c>
      <c r="AJ20" s="18" t="s">
        <v>134</v>
      </c>
      <c r="AK20" s="18" t="s">
        <v>149</v>
      </c>
      <c r="AL20" s="18" t="s">
        <v>135</v>
      </c>
      <c r="AM20" s="19" t="s">
        <v>14</v>
      </c>
      <c r="AN20" s="19" t="s">
        <v>21</v>
      </c>
      <c r="AO20" s="19" t="s">
        <v>20</v>
      </c>
      <c r="AP20" s="19" t="s">
        <v>15</v>
      </c>
    </row>
    <row r="21" spans="1:42" s="21" customFormat="1" ht="7" customHeight="1" x14ac:dyDescent="0.6">
      <c r="E21" s="22"/>
      <c r="F21" s="23"/>
      <c r="I21" s="24"/>
      <c r="K21" s="60"/>
      <c r="T21" s="25"/>
      <c r="U21" s="26"/>
      <c r="V21" s="26"/>
      <c r="W21" s="25"/>
      <c r="X21" s="25"/>
      <c r="Y21" s="25"/>
    </row>
    <row r="22" spans="1:42" s="31" customFormat="1" x14ac:dyDescent="0.6">
      <c r="A22" s="70">
        <f t="shared" ref="A22:A85" si="10">IFERROR(IF((A21+1)&lt;=$F$7*12,A21+1,""),"")</f>
        <v>1</v>
      </c>
      <c r="B22" s="70" t="str">
        <f>IF(E22&lt;=$F$9,VLOOKUP(KALKULATOR!A22,Robocze!$B$23:$C$102,2),"")</f>
        <v>1 rok</v>
      </c>
      <c r="C22" s="70">
        <f>IF(B22="","",YEAR(E22))</f>
        <v>2020</v>
      </c>
      <c r="D22" s="71">
        <f>IF(C22="","",$F$6+1/12)</f>
        <v>40.083333333333336</v>
      </c>
      <c r="E22" s="72">
        <f>F8</f>
        <v>44166</v>
      </c>
      <c r="F22" s="72">
        <f>IFERROR(EOMONTH(E22,0),"")</f>
        <v>44196</v>
      </c>
      <c r="G22" s="73">
        <f>IFERROR(IF(AND(F22&lt;=$F$9,$F$5=Robocze!$B$4,$E22&lt;=$F$9,MONTH($F$8)=MONTH(E22)),$F$4,0)+IF(AND(F22&lt;=$F$9,$F$5=Robocze!$B$3,E22&lt;=$F$9),KALKULATOR!$F$4/12,0),"")</f>
        <v>6272.4</v>
      </c>
      <c r="H22" s="73">
        <f>IFERROR(H21+G22,"")</f>
        <v>6272.4</v>
      </c>
      <c r="I22" s="74">
        <f t="shared" ref="I22:I85" si="11">IF(E22&lt;=$F$9,$F$2,"")</f>
        <v>0.04</v>
      </c>
      <c r="J22" s="73">
        <f t="shared" ref="J22:J57" si="12">IFERROR(IF(MONTH($F$8)=MONTH(E22),$F$15,0),"")</f>
        <v>0</v>
      </c>
      <c r="K22" s="75" t="str">
        <f t="shared" ref="K22:K57" si="13">IFERROR(IF(AND(MOD(A22,12)=0,A22&lt;&gt;""),A22/12,""),"")</f>
        <v/>
      </c>
      <c r="L22" s="73">
        <f t="shared" ref="L22:L57" si="14">H22</f>
        <v>6272.4</v>
      </c>
      <c r="M22" s="73">
        <f t="shared" ref="M22:M57" si="15">IFERROR(AF22,"")</f>
        <v>6289.7536399999999</v>
      </c>
      <c r="N22" s="73">
        <f t="shared" ref="N22:N57" si="16">IFERROR(AD22,"")</f>
        <v>6289.7536399999999</v>
      </c>
      <c r="O22" s="73">
        <f t="shared" ref="O22:O57" si="17">IFERROR(AL22,"")</f>
        <v>6289.3354799999997</v>
      </c>
      <c r="P22" s="73">
        <f t="shared" ref="P22:P57" si="18">AJ22</f>
        <v>6289.3354799999997</v>
      </c>
      <c r="Q22" s="73">
        <f t="shared" ref="Q22:Q57" si="19">AP22</f>
        <v>6289.3354799999997</v>
      </c>
      <c r="R22" s="73"/>
      <c r="S22" s="76">
        <f>IF(B22&lt;&gt;"",$F$11,"")</f>
        <v>0.17</v>
      </c>
      <c r="T22" s="73">
        <f>(H22-J22)*(I22/12)</f>
        <v>20.908000000000001</v>
      </c>
      <c r="U22" s="73">
        <f>U21+T22-J22+G22</f>
        <v>6293.308</v>
      </c>
      <c r="V22" s="76">
        <f>IF(B22&lt;&gt;"",$F$12,"")</f>
        <v>0.17</v>
      </c>
      <c r="W22" s="73">
        <f>G22*S22</f>
        <v>1066.308</v>
      </c>
      <c r="X22" s="73">
        <f>IF(MONTH(E22)=MONTH($F$13),SUMIF($C$22:C501,"="&amp;(C22-1),$G$22:G501),0)*S22</f>
        <v>0</v>
      </c>
      <c r="Y22" s="73">
        <f>IF(B22&lt;&gt;"",SUM($X$22:X22),"")</f>
        <v>0</v>
      </c>
      <c r="Z22" s="73">
        <f>(Y22+X22)*I22/12</f>
        <v>0</v>
      </c>
      <c r="AA22" s="73">
        <f>MAX(0,Z22*$F$14)</f>
        <v>0</v>
      </c>
      <c r="AB22" s="73">
        <f>Z22-AA22</f>
        <v>0</v>
      </c>
      <c r="AC22" s="73">
        <f>AC21+Z22-AA22+X22</f>
        <v>0</v>
      </c>
      <c r="AD22" s="73">
        <f>IFERROR($U22*(1-$V22)+SUM($W$22:$W22)+$AB22,"")</f>
        <v>6289.7536399999999</v>
      </c>
      <c r="AE22" s="73" t="b">
        <f>IFERROR(IF(AE21=TRUE,AE21,AND(YEAR(E22)-YEAR($F$8)&gt;=5,D22&gt;=65)),"")</f>
        <v>0</v>
      </c>
      <c r="AF22" s="73">
        <f>IF(AND(AE22=TRUE,D22&gt;=65),$U22*(1-10%)+SUM($W$22:$W22)+$AB22,AD22)</f>
        <v>6289.7536399999999</v>
      </c>
      <c r="AG22" s="73">
        <f t="shared" ref="AG22:AG57" si="20">IF(B22&lt;&gt;"",(AI21+G22)*I22/12-J22,"")</f>
        <v>20.907999999999998</v>
      </c>
      <c r="AH22" s="73">
        <f t="shared" ref="AH22:AH57" si="21">IF(B22&lt;&gt;"",AH21+AG22,"")</f>
        <v>20.907999999999998</v>
      </c>
      <c r="AI22" s="73">
        <f t="shared" ref="AI22:AI57" si="22">IF(B22&lt;&gt;"",H22+AH22,"")</f>
        <v>6293.308</v>
      </c>
      <c r="AJ22" s="73">
        <f t="shared" ref="AJ22:AJ57" si="23">IF(B22&lt;&gt;"",IF(AI22&gt;H22,AI22-AH22*$F$14,AI22),"")</f>
        <v>6289.3354799999997</v>
      </c>
      <c r="AK22" s="73" t="b">
        <f>IFERROR(IF(AK21=TRUE,AK21,AND(YEAR(E22)-YEAR($F$8)&gt;=5,D22&gt;=55,OR(D22&gt;=60,D22&gt;=$F$10))),"")</f>
        <v>0</v>
      </c>
      <c r="AL22" s="73">
        <f t="shared" ref="AL22:AL57" si="24">IF(AK22=TRUE,AI22,AJ22)</f>
        <v>6289.3354799999997</v>
      </c>
      <c r="AM22" s="73">
        <f>H22*I22/12</f>
        <v>20.907999999999998</v>
      </c>
      <c r="AN22" s="73">
        <f>MAX(0,AM22*$F$14)</f>
        <v>3.9725199999999998</v>
      </c>
      <c r="AO22" s="73">
        <f>AP22-H22</f>
        <v>16.935480000000098</v>
      </c>
      <c r="AP22" s="73">
        <f>AP21+G22+AM22-AN22</f>
        <v>6289.3354799999997</v>
      </c>
    </row>
    <row r="23" spans="1:42" s="31" customFormat="1" x14ac:dyDescent="0.6">
      <c r="A23" s="70">
        <f t="shared" si="10"/>
        <v>2</v>
      </c>
      <c r="B23" s="70" t="str">
        <f>IF(E23&lt;=$F$9,VLOOKUP(KALKULATOR!A23,Robocze!$B$23:$C$102,2),"")</f>
        <v>1 rok</v>
      </c>
      <c r="C23" s="70">
        <f t="shared" ref="C23:C86" si="25">IF(B23="","",YEAR(E23))</f>
        <v>2021</v>
      </c>
      <c r="D23" s="71">
        <f>IF(B23="","",D22+1/12)</f>
        <v>40.166666666666671</v>
      </c>
      <c r="E23" s="77">
        <f>IF(OR(B22="",E22&gt;$F$9,A23=""),"",EDATE(E22,1))</f>
        <v>44197</v>
      </c>
      <c r="F23" s="72">
        <f t="shared" ref="F23:F86" si="26">IFERROR(EOMONTH(E23,0),"")</f>
        <v>44227</v>
      </c>
      <c r="G23" s="73">
        <f>IFERROR(IF(AND(F23&lt;=$F$9,$F$5=Robocze!$B$4,$E23&lt;=$F$9,MONTH($F$8)=MONTH(E23)),$F$4,0)+IF(AND(F23&lt;=$F$9,$F$5=Robocze!$B$3,E23&lt;=$F$9),KALKULATOR!$F$4/12,0),"")</f>
        <v>0</v>
      </c>
      <c r="H23" s="73">
        <f t="shared" ref="H23:H86" si="27">IFERROR(H22+G23,"")</f>
        <v>6272.4</v>
      </c>
      <c r="I23" s="74">
        <f t="shared" si="11"/>
        <v>0.04</v>
      </c>
      <c r="J23" s="73">
        <f t="shared" si="12"/>
        <v>0</v>
      </c>
      <c r="K23" s="75" t="str">
        <f t="shared" si="13"/>
        <v/>
      </c>
      <c r="L23" s="73">
        <f t="shared" si="14"/>
        <v>6272.4</v>
      </c>
      <c r="M23" s="73">
        <f t="shared" si="15"/>
        <v>6307.1651254666667</v>
      </c>
      <c r="N23" s="73">
        <f t="shared" si="16"/>
        <v>6307.1651254666667</v>
      </c>
      <c r="O23" s="73">
        <f t="shared" si="17"/>
        <v>6306.3274116000002</v>
      </c>
      <c r="P23" s="73">
        <f t="shared" si="18"/>
        <v>6306.3274116000002</v>
      </c>
      <c r="Q23" s="73">
        <f t="shared" si="19"/>
        <v>6306.3166857959995</v>
      </c>
      <c r="R23" s="73"/>
      <c r="S23" s="76">
        <f t="shared" ref="S23:S85" si="28">IF(B23&lt;&gt;"",$F$11,"")</f>
        <v>0.17</v>
      </c>
      <c r="T23" s="73">
        <f>IF(B23&lt;&gt;"",(U22-J23+G23)*(I23/12),"")</f>
        <v>20.977693333333335</v>
      </c>
      <c r="U23" s="73">
        <f t="shared" ref="U23:U86" si="29">IF(B23&lt;&gt;"",U22+T23-J23+G23,"")</f>
        <v>6314.2856933333333</v>
      </c>
      <c r="V23" s="76">
        <f t="shared" ref="V23:V86" si="30">IF(B23&lt;&gt;"",$F$12,"")</f>
        <v>0.17</v>
      </c>
      <c r="W23" s="73">
        <f t="shared" ref="W23:W86" si="31">IF(B23&lt;&gt;"",G23*S23,"")</f>
        <v>0</v>
      </c>
      <c r="X23" s="73">
        <f>IF(B23&lt;&gt;"",IF(MONTH(E23)=MONTH($F$13),SUMIF($C$22:C501,"="&amp;(C23-1),$G$22:G501),0)*S23,"")</f>
        <v>0</v>
      </c>
      <c r="Y23" s="73">
        <f>IF(B23&lt;&gt;"",SUM($X$22:X23),"")</f>
        <v>0</v>
      </c>
      <c r="Z23" s="73">
        <f>IF(B23&lt;&gt;"",(AC22+X23)*I23/12,"")</f>
        <v>0</v>
      </c>
      <c r="AA23" s="73">
        <f t="shared" ref="AA23:AA86" si="32">IF(B23&lt;&gt;"",MAX(0,Z23*$F$14),"")</f>
        <v>0</v>
      </c>
      <c r="AB23" s="73">
        <f t="shared" ref="AB23:AB86" si="33">IF(B23&lt;&gt;"",AB22+Z23-AA23,"")</f>
        <v>0</v>
      </c>
      <c r="AC23" s="73">
        <f t="shared" ref="AC23:AC86" si="34">IF(B23&lt;&gt;"",AC22+Z23-AA23+X23,"")</f>
        <v>0</v>
      </c>
      <c r="AD23" s="73">
        <f>IFERROR($U23*(1-$V23)+SUM($W$22:$W23)+$AB23,"")</f>
        <v>6307.1651254666667</v>
      </c>
      <c r="AE23" s="73" t="b">
        <f t="shared" ref="AE23:AE86" si="35">IFERROR(IF(AE22=TRUE,AE22,AND(YEAR(E23)-YEAR($F$8)&gt;=5,D23&gt;=65)),"")</f>
        <v>0</v>
      </c>
      <c r="AF23" s="73">
        <f>IF(AND(AE23=TRUE,D23&gt;=65),$U23*(1-10%)+SUM($W$22:$W23)+$AB23,AD23)</f>
        <v>6307.1651254666667</v>
      </c>
      <c r="AG23" s="73">
        <f t="shared" si="20"/>
        <v>20.977693333333335</v>
      </c>
      <c r="AH23" s="73">
        <f t="shared" si="21"/>
        <v>41.885693333333336</v>
      </c>
      <c r="AI23" s="73">
        <f t="shared" si="22"/>
        <v>6314.2856933333333</v>
      </c>
      <c r="AJ23" s="73">
        <f t="shared" si="23"/>
        <v>6306.3274116000002</v>
      </c>
      <c r="AK23" s="73" t="b">
        <f t="shared" ref="AK23:AK86" si="36">IFERROR(IF(AK22=TRUE,AK22,AND(YEAR(E23)-YEAR($F$8)&gt;=5,D23&gt;=55,OR(D23&gt;=60,D23&gt;=$F$10))),"")</f>
        <v>0</v>
      </c>
      <c r="AL23" s="73">
        <f t="shared" si="24"/>
        <v>6306.3274116000002</v>
      </c>
      <c r="AM23" s="73">
        <f>IF(B23&lt;&gt;"",(AP22+G23)*I23/12,"")</f>
        <v>20.9644516</v>
      </c>
      <c r="AN23" s="73">
        <f t="shared" ref="AN23:AN86" si="37">IF(B23&lt;&gt;"",MAX(0,AM23*$F$14),"")</f>
        <v>3.9832458040000001</v>
      </c>
      <c r="AO23" s="73">
        <f t="shared" ref="AO23:AO86" si="38">IF(B23&lt;&gt;"",AP23-H23,"")</f>
        <v>33.916685795999911</v>
      </c>
      <c r="AP23" s="73">
        <f t="shared" ref="AP23:AP86" si="39">IF(B23&lt;&gt;"",AP22+G23+AM23-AN23,"")</f>
        <v>6306.3166857959995</v>
      </c>
    </row>
    <row r="24" spans="1:42" s="31" customFormat="1" x14ac:dyDescent="0.6">
      <c r="A24" s="70">
        <f t="shared" si="10"/>
        <v>3</v>
      </c>
      <c r="B24" s="70" t="str">
        <f>IF(E24&lt;=$F$9,VLOOKUP(KALKULATOR!A24,Robocze!$B$23:$C$102,2),"")</f>
        <v>1 rok</v>
      </c>
      <c r="C24" s="70">
        <f t="shared" si="25"/>
        <v>2021</v>
      </c>
      <c r="D24" s="71">
        <f t="shared" ref="D24:D87" si="40">IF(B24="","",D23+1/12)</f>
        <v>40.250000000000007</v>
      </c>
      <c r="E24" s="77">
        <f t="shared" ref="E24:E87" si="41">IF(OR(B23="",E23&gt;$F$9,A24=""),"",EDATE(E23,1))</f>
        <v>44228</v>
      </c>
      <c r="F24" s="72">
        <f t="shared" si="26"/>
        <v>44255</v>
      </c>
      <c r="G24" s="73">
        <f>IFERROR(IF(AND(F24&lt;=$F$9,$F$5=Robocze!$B$4,$E24&lt;=$F$9,MONTH($F$8)=MONTH(E24)),$F$4,0)+IF(AND(F24&lt;=$F$9,$F$5=Robocze!$B$3,E24&lt;=$F$9),KALKULATOR!$F$4/12,0),"")</f>
        <v>0</v>
      </c>
      <c r="H24" s="73">
        <f t="shared" si="27"/>
        <v>6272.4</v>
      </c>
      <c r="I24" s="74">
        <f t="shared" si="11"/>
        <v>0.04</v>
      </c>
      <c r="J24" s="73">
        <f t="shared" si="12"/>
        <v>0</v>
      </c>
      <c r="K24" s="75"/>
      <c r="L24" s="73">
        <f t="shared" si="14"/>
        <v>6272.4</v>
      </c>
      <c r="M24" s="73">
        <f t="shared" si="15"/>
        <v>6324.634649218222</v>
      </c>
      <c r="N24" s="73">
        <f t="shared" si="16"/>
        <v>6324.634649218222</v>
      </c>
      <c r="O24" s="73">
        <f t="shared" si="17"/>
        <v>6323.3759829719993</v>
      </c>
      <c r="P24" s="73">
        <f t="shared" si="18"/>
        <v>6323.3759829719993</v>
      </c>
      <c r="Q24" s="73">
        <f t="shared" si="19"/>
        <v>6323.3437408476484</v>
      </c>
      <c r="R24" s="73"/>
      <c r="S24" s="76">
        <f t="shared" si="28"/>
        <v>0.17</v>
      </c>
      <c r="T24" s="73">
        <f t="shared" ref="T24:T87" si="42">IF(B24&lt;&gt;"",(U23-J24+G24)*(I24/12),"")</f>
        <v>21.04761897777778</v>
      </c>
      <c r="U24" s="73">
        <f t="shared" si="29"/>
        <v>6335.3333123111106</v>
      </c>
      <c r="V24" s="76">
        <f t="shared" si="30"/>
        <v>0.17</v>
      </c>
      <c r="W24" s="73">
        <f t="shared" si="31"/>
        <v>0</v>
      </c>
      <c r="X24" s="73">
        <f>IF(B24&lt;&gt;"",IF(MONTH(E24)=MONTH($F$13),SUMIF($C$22:C501,"="&amp;(C24-1),$G$22:G501),0)*S24,"")</f>
        <v>0</v>
      </c>
      <c r="Y24" s="73">
        <f>IF(B24&lt;&gt;"",SUM($X$22:X24),"")</f>
        <v>0</v>
      </c>
      <c r="Z24" s="73">
        <f t="shared" ref="Z24:Z87" si="43">IF(B24&lt;&gt;"",(AC23+X24)*I24/12,"")</f>
        <v>0</v>
      </c>
      <c r="AA24" s="73">
        <f t="shared" si="32"/>
        <v>0</v>
      </c>
      <c r="AB24" s="73">
        <f t="shared" si="33"/>
        <v>0</v>
      </c>
      <c r="AC24" s="73">
        <f t="shared" si="34"/>
        <v>0</v>
      </c>
      <c r="AD24" s="73">
        <f>IFERROR($U24*(1-$V24)+SUM($W$22:$W24)+$AB24,"")</f>
        <v>6324.634649218222</v>
      </c>
      <c r="AE24" s="73" t="b">
        <f t="shared" si="35"/>
        <v>0</v>
      </c>
      <c r="AF24" s="73">
        <f>IF(AND(AE24=TRUE,D24&gt;=65),$U24*(1-10%)+SUM($W$22:$W24)+$AB24,AD24)</f>
        <v>6324.634649218222</v>
      </c>
      <c r="AG24" s="73">
        <f t="shared" si="20"/>
        <v>21.047618977777777</v>
      </c>
      <c r="AH24" s="73">
        <f t="shared" si="21"/>
        <v>62.933312311111109</v>
      </c>
      <c r="AI24" s="73">
        <f t="shared" si="22"/>
        <v>6335.3333123111106</v>
      </c>
      <c r="AJ24" s="73">
        <f t="shared" si="23"/>
        <v>6323.3759829719993</v>
      </c>
      <c r="AK24" s="73" t="b">
        <f t="shared" si="36"/>
        <v>0</v>
      </c>
      <c r="AL24" s="73">
        <f t="shared" si="24"/>
        <v>6323.3759829719993</v>
      </c>
      <c r="AM24" s="73">
        <f t="shared" ref="AM24:AM87" si="44">IF(B24&lt;&gt;"",(AP23+G24)*I24/12,"")</f>
        <v>21.021055619319998</v>
      </c>
      <c r="AN24" s="73">
        <f t="shared" si="37"/>
        <v>3.9940005676707999</v>
      </c>
      <c r="AO24" s="73">
        <f t="shared" si="38"/>
        <v>50.943740847648769</v>
      </c>
      <c r="AP24" s="73">
        <f t="shared" si="39"/>
        <v>6323.3437408476484</v>
      </c>
    </row>
    <row r="25" spans="1:42" s="31" customFormat="1" x14ac:dyDescent="0.6">
      <c r="A25" s="70">
        <f t="shared" si="10"/>
        <v>4</v>
      </c>
      <c r="B25" s="70" t="str">
        <f>IF(E25&lt;=$F$9,VLOOKUP(KALKULATOR!A25,Robocze!$B$23:$C$102,2),"")</f>
        <v>1 rok</v>
      </c>
      <c r="C25" s="70">
        <f t="shared" si="25"/>
        <v>2021</v>
      </c>
      <c r="D25" s="71">
        <f t="shared" si="40"/>
        <v>40.333333333333343</v>
      </c>
      <c r="E25" s="77">
        <f t="shared" si="41"/>
        <v>44256</v>
      </c>
      <c r="F25" s="72">
        <f t="shared" si="26"/>
        <v>44286</v>
      </c>
      <c r="G25" s="73">
        <f>IFERROR(IF(AND(F25&lt;=$F$9,$F$5=Robocze!$B$4,$E25&lt;=$F$9,MONTH($F$8)=MONTH(E25)),$F$4,0)+IF(AND(F25&lt;=$F$9,$F$5=Robocze!$B$3,E25&lt;=$F$9),KALKULATOR!$F$4/12,0),"")</f>
        <v>0</v>
      </c>
      <c r="H25" s="73">
        <f t="shared" si="27"/>
        <v>6272.4</v>
      </c>
      <c r="I25" s="74">
        <f t="shared" si="11"/>
        <v>0.04</v>
      </c>
      <c r="J25" s="73">
        <f t="shared" si="12"/>
        <v>0</v>
      </c>
      <c r="K25" s="75" t="str">
        <f t="shared" si="13"/>
        <v/>
      </c>
      <c r="L25" s="73">
        <f t="shared" si="14"/>
        <v>6272.4</v>
      </c>
      <c r="M25" s="73">
        <f t="shared" si="15"/>
        <v>6342.1624047156156</v>
      </c>
      <c r="N25" s="73">
        <f t="shared" si="16"/>
        <v>6342.1624047156156</v>
      </c>
      <c r="O25" s="73">
        <f t="shared" si="17"/>
        <v>6340.4813829152399</v>
      </c>
      <c r="P25" s="73">
        <f t="shared" si="18"/>
        <v>6340.4813829152399</v>
      </c>
      <c r="Q25" s="73">
        <f t="shared" si="19"/>
        <v>6340.4167689479373</v>
      </c>
      <c r="R25" s="73"/>
      <c r="S25" s="76">
        <f t="shared" si="28"/>
        <v>0.17</v>
      </c>
      <c r="T25" s="73">
        <f t="shared" si="42"/>
        <v>21.117777707703702</v>
      </c>
      <c r="U25" s="73">
        <f t="shared" si="29"/>
        <v>6356.4510900188143</v>
      </c>
      <c r="V25" s="76">
        <f t="shared" si="30"/>
        <v>0.17</v>
      </c>
      <c r="W25" s="73">
        <f t="shared" si="31"/>
        <v>0</v>
      </c>
      <c r="X25" s="73">
        <f>IF(B25&lt;&gt;"",IF(MONTH(E25)=MONTH($F$13),SUMIF($C$22:C501,"="&amp;(C25-1),$G$22:G501),0)*S25,"")</f>
        <v>0</v>
      </c>
      <c r="Y25" s="73">
        <f>IF(B25&lt;&gt;"",SUM($X$22:X25),"")</f>
        <v>0</v>
      </c>
      <c r="Z25" s="73">
        <f t="shared" si="43"/>
        <v>0</v>
      </c>
      <c r="AA25" s="73">
        <f t="shared" si="32"/>
        <v>0</v>
      </c>
      <c r="AB25" s="73">
        <f t="shared" si="33"/>
        <v>0</v>
      </c>
      <c r="AC25" s="73">
        <f t="shared" si="34"/>
        <v>0</v>
      </c>
      <c r="AD25" s="73">
        <f>IFERROR($U25*(1-$V25)+SUM($W$22:$W25)+$AB25,"")</f>
        <v>6342.1624047156156</v>
      </c>
      <c r="AE25" s="73" t="b">
        <f t="shared" si="35"/>
        <v>0</v>
      </c>
      <c r="AF25" s="73">
        <f>IF(AND(AE25=TRUE,D25&gt;=65),$U25*(1-10%)+SUM($W$22:$W25)+$AB25,AD25)</f>
        <v>6342.1624047156156</v>
      </c>
      <c r="AG25" s="73">
        <f t="shared" si="20"/>
        <v>21.117777707703702</v>
      </c>
      <c r="AH25" s="73">
        <f t="shared" si="21"/>
        <v>84.051090018814818</v>
      </c>
      <c r="AI25" s="73">
        <f t="shared" si="22"/>
        <v>6356.4510900188143</v>
      </c>
      <c r="AJ25" s="73">
        <f t="shared" si="23"/>
        <v>6340.4813829152399</v>
      </c>
      <c r="AK25" s="73" t="b">
        <f t="shared" si="36"/>
        <v>0</v>
      </c>
      <c r="AL25" s="73">
        <f t="shared" si="24"/>
        <v>6340.4813829152399</v>
      </c>
      <c r="AM25" s="73">
        <f t="shared" si="44"/>
        <v>21.077812469492162</v>
      </c>
      <c r="AN25" s="73">
        <f t="shared" si="37"/>
        <v>4.0047843692035112</v>
      </c>
      <c r="AO25" s="73">
        <f t="shared" si="38"/>
        <v>68.016768947937635</v>
      </c>
      <c r="AP25" s="73">
        <f t="shared" si="39"/>
        <v>6340.4167689479373</v>
      </c>
    </row>
    <row r="26" spans="1:42" s="31" customFormat="1" x14ac:dyDescent="0.6">
      <c r="A26" s="70">
        <f t="shared" si="10"/>
        <v>5</v>
      </c>
      <c r="B26" s="70" t="str">
        <f>IF(E26&lt;=$F$9,VLOOKUP(KALKULATOR!A26,Robocze!$B$23:$C$102,2),"")</f>
        <v>1 rok</v>
      </c>
      <c r="C26" s="70">
        <f t="shared" si="25"/>
        <v>2021</v>
      </c>
      <c r="D26" s="71">
        <f t="shared" si="40"/>
        <v>40.416666666666679</v>
      </c>
      <c r="E26" s="77">
        <f t="shared" si="41"/>
        <v>44287</v>
      </c>
      <c r="F26" s="72">
        <f t="shared" si="26"/>
        <v>44316</v>
      </c>
      <c r="G26" s="73">
        <f>IFERROR(IF(AND(F26&lt;=$F$9,$F$5=Robocze!$B$4,$E26&lt;=$F$9,MONTH($F$8)=MONTH(E26)),$F$4,0)+IF(AND(F26&lt;=$F$9,$F$5=Robocze!$B$3,E26&lt;=$F$9),KALKULATOR!$F$4/12,0),"")</f>
        <v>0</v>
      </c>
      <c r="H26" s="73">
        <f t="shared" si="27"/>
        <v>6272.4</v>
      </c>
      <c r="I26" s="74">
        <f t="shared" si="11"/>
        <v>0.04</v>
      </c>
      <c r="J26" s="73">
        <f t="shared" si="12"/>
        <v>0</v>
      </c>
      <c r="K26" s="75" t="str">
        <f t="shared" si="13"/>
        <v/>
      </c>
      <c r="L26" s="73">
        <f t="shared" si="14"/>
        <v>6272.4</v>
      </c>
      <c r="M26" s="73">
        <f t="shared" si="15"/>
        <v>6362.6276176646679</v>
      </c>
      <c r="N26" s="73">
        <f t="shared" si="16"/>
        <v>6362.6276176646679</v>
      </c>
      <c r="O26" s="73">
        <f t="shared" si="17"/>
        <v>6357.64380085829</v>
      </c>
      <c r="P26" s="73">
        <f t="shared" si="18"/>
        <v>6357.64380085829</v>
      </c>
      <c r="Q26" s="73">
        <f t="shared" si="19"/>
        <v>6357.5358942240964</v>
      </c>
      <c r="R26" s="73"/>
      <c r="S26" s="76">
        <f t="shared" si="28"/>
        <v>0.17</v>
      </c>
      <c r="T26" s="73">
        <f t="shared" si="42"/>
        <v>21.188170300062716</v>
      </c>
      <c r="U26" s="73">
        <f t="shared" si="29"/>
        <v>6377.6392603188769</v>
      </c>
      <c r="V26" s="76">
        <f t="shared" si="30"/>
        <v>0.17</v>
      </c>
      <c r="W26" s="73">
        <f t="shared" si="31"/>
        <v>0</v>
      </c>
      <c r="X26" s="73">
        <f>IF(B26&lt;&gt;"",IF(MONTH(E26)=MONTH($F$13),SUMIF($C$22:C501,"="&amp;(C26-1),$G$22:G501),0)*S26,"")</f>
        <v>1066.308</v>
      </c>
      <c r="Y26" s="73">
        <f>IF(B26&lt;&gt;"",SUM($X$22:X26),"")</f>
        <v>1066.308</v>
      </c>
      <c r="Z26" s="73">
        <f t="shared" si="43"/>
        <v>3.5543600000000004</v>
      </c>
      <c r="AA26" s="73">
        <f t="shared" si="32"/>
        <v>0.67532840000000005</v>
      </c>
      <c r="AB26" s="73">
        <f t="shared" si="33"/>
        <v>2.8790316000000002</v>
      </c>
      <c r="AC26" s="73">
        <f t="shared" si="34"/>
        <v>1069.1870316</v>
      </c>
      <c r="AD26" s="73">
        <f>IFERROR($U26*(1-$V26)+SUM($W$22:$W26)+$AB26,"")</f>
        <v>6362.6276176646679</v>
      </c>
      <c r="AE26" s="73" t="b">
        <f t="shared" si="35"/>
        <v>0</v>
      </c>
      <c r="AF26" s="73">
        <f>IF(AND(AE26=TRUE,D26&gt;=65),$U26*(1-10%)+SUM($W$22:$W26)+$AB26,AD26)</f>
        <v>6362.6276176646679</v>
      </c>
      <c r="AG26" s="73">
        <f t="shared" si="20"/>
        <v>21.188170300062716</v>
      </c>
      <c r="AH26" s="73">
        <f t="shared" si="21"/>
        <v>105.23926031887754</v>
      </c>
      <c r="AI26" s="73">
        <f t="shared" si="22"/>
        <v>6377.6392603188769</v>
      </c>
      <c r="AJ26" s="73">
        <f t="shared" si="23"/>
        <v>6357.64380085829</v>
      </c>
      <c r="AK26" s="73" t="b">
        <f t="shared" si="36"/>
        <v>0</v>
      </c>
      <c r="AL26" s="73">
        <f t="shared" si="24"/>
        <v>6357.64380085829</v>
      </c>
      <c r="AM26" s="73">
        <f t="shared" si="44"/>
        <v>21.134722563159791</v>
      </c>
      <c r="AN26" s="73">
        <f t="shared" si="37"/>
        <v>4.01559728700036</v>
      </c>
      <c r="AO26" s="73">
        <f t="shared" si="38"/>
        <v>85.135894224096774</v>
      </c>
      <c r="AP26" s="73">
        <f t="shared" si="39"/>
        <v>6357.5358942240964</v>
      </c>
    </row>
    <row r="27" spans="1:42" s="31" customFormat="1" x14ac:dyDescent="0.6">
      <c r="A27" s="70">
        <f t="shared" si="10"/>
        <v>6</v>
      </c>
      <c r="B27" s="70" t="str">
        <f>IF(E27&lt;=$F$9,VLOOKUP(KALKULATOR!A27,Robocze!$B$23:$C$102,2),"")</f>
        <v>1 rok</v>
      </c>
      <c r="C27" s="70">
        <f t="shared" si="25"/>
        <v>2021</v>
      </c>
      <c r="D27" s="71">
        <f t="shared" si="40"/>
        <v>40.500000000000014</v>
      </c>
      <c r="E27" s="77">
        <f t="shared" si="41"/>
        <v>44317</v>
      </c>
      <c r="F27" s="72">
        <f t="shared" si="26"/>
        <v>44347</v>
      </c>
      <c r="G27" s="73">
        <f>IFERROR(IF(AND(F27&lt;=$F$9,$F$5=Robocze!$B$4,$E27&lt;=$F$9,MONTH($F$8)=MONTH(E27)),$F$4,0)+IF(AND(F27&lt;=$F$9,$F$5=Robocze!$B$3,E27&lt;=$F$9),KALKULATOR!$F$4/12,0),"")</f>
        <v>0</v>
      </c>
      <c r="H27" s="73">
        <f t="shared" si="27"/>
        <v>6272.4</v>
      </c>
      <c r="I27" s="74">
        <f t="shared" si="11"/>
        <v>0.04</v>
      </c>
      <c r="J27" s="73">
        <f t="shared" si="12"/>
        <v>0</v>
      </c>
      <c r="K27" s="75" t="str">
        <f t="shared" si="13"/>
        <v/>
      </c>
      <c r="L27" s="73">
        <f t="shared" si="14"/>
        <v>6272.4</v>
      </c>
      <c r="M27" s="73">
        <f t="shared" si="15"/>
        <v>6383.1592246035361</v>
      </c>
      <c r="N27" s="73">
        <f t="shared" si="16"/>
        <v>6383.1592246035361</v>
      </c>
      <c r="O27" s="73">
        <f t="shared" si="17"/>
        <v>6374.8634268611513</v>
      </c>
      <c r="P27" s="73">
        <f t="shared" si="18"/>
        <v>6374.8634268611513</v>
      </c>
      <c r="Q27" s="73">
        <f t="shared" si="19"/>
        <v>6374.7012411385022</v>
      </c>
      <c r="R27" s="73"/>
      <c r="S27" s="76">
        <f t="shared" si="28"/>
        <v>0.17</v>
      </c>
      <c r="T27" s="73">
        <f t="shared" si="42"/>
        <v>21.258797534396258</v>
      </c>
      <c r="U27" s="73">
        <f t="shared" si="29"/>
        <v>6398.8980578532728</v>
      </c>
      <c r="V27" s="76">
        <f t="shared" si="30"/>
        <v>0.17</v>
      </c>
      <c r="W27" s="73">
        <f t="shared" si="31"/>
        <v>0</v>
      </c>
      <c r="X27" s="73">
        <f>IF(B27&lt;&gt;"",IF(MONTH(E27)=MONTH($F$13),SUMIF($C$22:C501,"="&amp;(C27-1),$G$22:G501),0)*S27,"")</f>
        <v>0</v>
      </c>
      <c r="Y27" s="73">
        <f>IF(B27&lt;&gt;"",SUM($X$22:X27),"")</f>
        <v>1066.308</v>
      </c>
      <c r="Z27" s="73">
        <f t="shared" si="43"/>
        <v>3.5639567719999996</v>
      </c>
      <c r="AA27" s="73">
        <f t="shared" si="32"/>
        <v>0.67715178667999998</v>
      </c>
      <c r="AB27" s="73">
        <f t="shared" si="33"/>
        <v>5.7658365853200007</v>
      </c>
      <c r="AC27" s="73">
        <f t="shared" si="34"/>
        <v>1072.0738365853199</v>
      </c>
      <c r="AD27" s="73">
        <f>IFERROR($U27*(1-$V27)+SUM($W$22:$W27)+$AB27,"")</f>
        <v>6383.1592246035361</v>
      </c>
      <c r="AE27" s="73" t="b">
        <f t="shared" si="35"/>
        <v>0</v>
      </c>
      <c r="AF27" s="73">
        <f>IF(AND(AE27=TRUE,D27&gt;=65),$U27*(1-10%)+SUM($W$22:$W27)+$AB27,AD27)</f>
        <v>6383.1592246035361</v>
      </c>
      <c r="AG27" s="73">
        <f t="shared" si="20"/>
        <v>21.258797534396255</v>
      </c>
      <c r="AH27" s="73">
        <f t="shared" si="21"/>
        <v>126.49805785327379</v>
      </c>
      <c r="AI27" s="73">
        <f t="shared" si="22"/>
        <v>6398.8980578532737</v>
      </c>
      <c r="AJ27" s="73">
        <f t="shared" si="23"/>
        <v>6374.8634268611513</v>
      </c>
      <c r="AK27" s="73" t="b">
        <f t="shared" si="36"/>
        <v>0</v>
      </c>
      <c r="AL27" s="73">
        <f t="shared" si="24"/>
        <v>6374.8634268611513</v>
      </c>
      <c r="AM27" s="73">
        <f t="shared" si="44"/>
        <v>21.191786314080321</v>
      </c>
      <c r="AN27" s="73">
        <f t="shared" si="37"/>
        <v>4.0264393996752608</v>
      </c>
      <c r="AO27" s="73">
        <f t="shared" si="38"/>
        <v>102.30124113850252</v>
      </c>
      <c r="AP27" s="73">
        <f t="shared" si="39"/>
        <v>6374.7012411385022</v>
      </c>
    </row>
    <row r="28" spans="1:42" s="31" customFormat="1" x14ac:dyDescent="0.6">
      <c r="A28" s="70">
        <f t="shared" si="10"/>
        <v>7</v>
      </c>
      <c r="B28" s="70" t="str">
        <f>IF(E28&lt;=$F$9,VLOOKUP(KALKULATOR!A28,Robocze!$B$23:$C$102,2),"")</f>
        <v>1 rok</v>
      </c>
      <c r="C28" s="70">
        <f t="shared" si="25"/>
        <v>2021</v>
      </c>
      <c r="D28" s="71">
        <f t="shared" si="40"/>
        <v>40.58333333333335</v>
      </c>
      <c r="E28" s="77">
        <f t="shared" si="41"/>
        <v>44348</v>
      </c>
      <c r="F28" s="72">
        <f t="shared" si="26"/>
        <v>44377</v>
      </c>
      <c r="G28" s="73">
        <f>IFERROR(IF(AND(F28&lt;=$F$9,$F$5=Robocze!$B$4,$E28&lt;=$F$9,MONTH($F$8)=MONTH(E28)),$F$4,0)+IF(AND(F28&lt;=$F$9,$F$5=Robocze!$B$3,E28&lt;=$F$9),KALKULATOR!$F$4/12,0),"")</f>
        <v>0</v>
      </c>
      <c r="H28" s="73">
        <f t="shared" si="27"/>
        <v>6272.4</v>
      </c>
      <c r="I28" s="74">
        <f t="shared" si="11"/>
        <v>0.04</v>
      </c>
      <c r="J28" s="73">
        <f t="shared" si="12"/>
        <v>0</v>
      </c>
      <c r="K28" s="75" t="str">
        <f t="shared" si="13"/>
        <v/>
      </c>
      <c r="L28" s="73">
        <f t="shared" si="14"/>
        <v>6272.4</v>
      </c>
      <c r="M28" s="73">
        <f t="shared" si="15"/>
        <v>6403.7574419223774</v>
      </c>
      <c r="N28" s="73">
        <f t="shared" si="16"/>
        <v>6403.7574419223774</v>
      </c>
      <c r="O28" s="73">
        <f t="shared" si="17"/>
        <v>6392.1404516173552</v>
      </c>
      <c r="P28" s="73">
        <f t="shared" si="18"/>
        <v>6392.1404516173552</v>
      </c>
      <c r="Q28" s="73">
        <f t="shared" si="19"/>
        <v>6391.9129344895764</v>
      </c>
      <c r="R28" s="73"/>
      <c r="S28" s="76">
        <f t="shared" si="28"/>
        <v>0.17</v>
      </c>
      <c r="T28" s="73">
        <f t="shared" si="42"/>
        <v>21.329660192844244</v>
      </c>
      <c r="U28" s="73">
        <f t="shared" si="29"/>
        <v>6420.2277180461169</v>
      </c>
      <c r="V28" s="76">
        <f t="shared" si="30"/>
        <v>0.17</v>
      </c>
      <c r="W28" s="73">
        <f t="shared" si="31"/>
        <v>0</v>
      </c>
      <c r="X28" s="73">
        <f>IF(B28&lt;&gt;"",IF(MONTH(E28)=MONTH($F$13),SUMIF($C$22:C501,"="&amp;(C28-1),$G$22:G501),0)*S28,"")</f>
        <v>0</v>
      </c>
      <c r="Y28" s="73">
        <f>IF(B28&lt;&gt;"",SUM($X$22:X28),"")</f>
        <v>1066.308</v>
      </c>
      <c r="Z28" s="73">
        <f t="shared" si="43"/>
        <v>3.5735794552843996</v>
      </c>
      <c r="AA28" s="73">
        <f t="shared" si="32"/>
        <v>0.6789800965040359</v>
      </c>
      <c r="AB28" s="73">
        <f t="shared" si="33"/>
        <v>8.6604359441003638</v>
      </c>
      <c r="AC28" s="73">
        <f t="shared" si="34"/>
        <v>1074.9684359441001</v>
      </c>
      <c r="AD28" s="73">
        <f>IFERROR($U28*(1-$V28)+SUM($W$22:$W28)+$AB28,"")</f>
        <v>6403.7574419223774</v>
      </c>
      <c r="AE28" s="73" t="b">
        <f t="shared" si="35"/>
        <v>0</v>
      </c>
      <c r="AF28" s="73">
        <f>IF(AND(AE28=TRUE,D28&gt;=65),$U28*(1-10%)+SUM($W$22:$W28)+$AB28,AD28)</f>
        <v>6403.7574419223774</v>
      </c>
      <c r="AG28" s="73">
        <f t="shared" si="20"/>
        <v>21.329660192844248</v>
      </c>
      <c r="AH28" s="73">
        <f t="shared" si="21"/>
        <v>147.82771804611804</v>
      </c>
      <c r="AI28" s="73">
        <f t="shared" si="22"/>
        <v>6420.2277180461178</v>
      </c>
      <c r="AJ28" s="73">
        <f t="shared" si="23"/>
        <v>6392.1404516173552</v>
      </c>
      <c r="AK28" s="73" t="b">
        <f t="shared" si="36"/>
        <v>0</v>
      </c>
      <c r="AL28" s="73">
        <f t="shared" si="24"/>
        <v>6392.1404516173552</v>
      </c>
      <c r="AM28" s="73">
        <f t="shared" si="44"/>
        <v>21.249004137128342</v>
      </c>
      <c r="AN28" s="73">
        <f t="shared" si="37"/>
        <v>4.0373107860543849</v>
      </c>
      <c r="AO28" s="73">
        <f t="shared" si="38"/>
        <v>119.51293448957676</v>
      </c>
      <c r="AP28" s="73">
        <f t="shared" si="39"/>
        <v>6391.9129344895764</v>
      </c>
    </row>
    <row r="29" spans="1:42" s="31" customFormat="1" x14ac:dyDescent="0.6">
      <c r="A29" s="70">
        <f t="shared" si="10"/>
        <v>8</v>
      </c>
      <c r="B29" s="70" t="str">
        <f>IF(E29&lt;=$F$9,VLOOKUP(KALKULATOR!A29,Robocze!$B$23:$C$102,2),"")</f>
        <v>1 rok</v>
      </c>
      <c r="C29" s="70">
        <f t="shared" si="25"/>
        <v>2021</v>
      </c>
      <c r="D29" s="71">
        <f t="shared" si="40"/>
        <v>40.666666666666686</v>
      </c>
      <c r="E29" s="77">
        <f t="shared" si="41"/>
        <v>44378</v>
      </c>
      <c r="F29" s="72">
        <f t="shared" si="26"/>
        <v>44408</v>
      </c>
      <c r="G29" s="73">
        <f>IFERROR(IF(AND(F29&lt;=$F$9,$F$5=Robocze!$B$4,$E29&lt;=$F$9,MONTH($F$8)=MONTH(E29)),$F$4,0)+IF(AND(F29&lt;=$F$9,$F$5=Robocze!$B$3,E29&lt;=$F$9),KALKULATOR!$F$4/12,0),"")</f>
        <v>0</v>
      </c>
      <c r="H29" s="73">
        <f t="shared" si="27"/>
        <v>6272.4</v>
      </c>
      <c r="I29" s="74">
        <f t="shared" si="11"/>
        <v>0.04</v>
      </c>
      <c r="J29" s="73">
        <f t="shared" si="12"/>
        <v>0</v>
      </c>
      <c r="K29" s="75" t="str">
        <f t="shared" si="13"/>
        <v/>
      </c>
      <c r="L29" s="73">
        <f t="shared" si="14"/>
        <v>6272.4</v>
      </c>
      <c r="M29" s="73">
        <f t="shared" si="15"/>
        <v>6424.4224867193543</v>
      </c>
      <c r="N29" s="73">
        <f t="shared" si="16"/>
        <v>6424.4224867193543</v>
      </c>
      <c r="O29" s="73">
        <f t="shared" si="17"/>
        <v>6409.4750664560797</v>
      </c>
      <c r="P29" s="73">
        <f t="shared" si="18"/>
        <v>6409.4750664560797</v>
      </c>
      <c r="Q29" s="73">
        <f t="shared" si="19"/>
        <v>6409.1710994126979</v>
      </c>
      <c r="R29" s="73"/>
      <c r="S29" s="76">
        <f t="shared" si="28"/>
        <v>0.17</v>
      </c>
      <c r="T29" s="73">
        <f t="shared" si="42"/>
        <v>21.400759060153725</v>
      </c>
      <c r="U29" s="73">
        <f t="shared" si="29"/>
        <v>6441.628477106271</v>
      </c>
      <c r="V29" s="76">
        <f t="shared" si="30"/>
        <v>0.17</v>
      </c>
      <c r="W29" s="73">
        <f t="shared" si="31"/>
        <v>0</v>
      </c>
      <c r="X29" s="73">
        <f>IF(B29&lt;&gt;"",IF(MONTH(E29)=MONTH($F$13),SUMIF($C$22:C501,"="&amp;(C29-1),$G$22:G501),0)*S29,"")</f>
        <v>0</v>
      </c>
      <c r="Y29" s="73">
        <f>IF(B29&lt;&gt;"",SUM($X$22:X29),"")</f>
        <v>1066.308</v>
      </c>
      <c r="Z29" s="73">
        <f t="shared" si="43"/>
        <v>3.5832281198136671</v>
      </c>
      <c r="AA29" s="73">
        <f t="shared" si="32"/>
        <v>0.68081334276459671</v>
      </c>
      <c r="AB29" s="73">
        <f t="shared" si="33"/>
        <v>11.562850721149434</v>
      </c>
      <c r="AC29" s="73">
        <f t="shared" si="34"/>
        <v>1077.8708507211491</v>
      </c>
      <c r="AD29" s="73">
        <f>IFERROR($U29*(1-$V29)+SUM($W$22:$W29)+$AB29,"")</f>
        <v>6424.4224867193543</v>
      </c>
      <c r="AE29" s="73" t="b">
        <f t="shared" si="35"/>
        <v>0</v>
      </c>
      <c r="AF29" s="73">
        <f>IF(AND(AE29=TRUE,D29&gt;=65),$U29*(1-10%)+SUM($W$22:$W29)+$AB29,AD29)</f>
        <v>6424.4224867193543</v>
      </c>
      <c r="AG29" s="73">
        <f t="shared" si="20"/>
        <v>21.400759060153728</v>
      </c>
      <c r="AH29" s="73">
        <f t="shared" si="21"/>
        <v>169.22847710627175</v>
      </c>
      <c r="AI29" s="73">
        <f t="shared" si="22"/>
        <v>6441.628477106271</v>
      </c>
      <c r="AJ29" s="73">
        <f t="shared" si="23"/>
        <v>6409.4750664560797</v>
      </c>
      <c r="AK29" s="73" t="b">
        <f t="shared" si="36"/>
        <v>0</v>
      </c>
      <c r="AL29" s="73">
        <f t="shared" si="24"/>
        <v>6409.4750664560797</v>
      </c>
      <c r="AM29" s="73">
        <f t="shared" si="44"/>
        <v>21.30637644829859</v>
      </c>
      <c r="AN29" s="73">
        <f t="shared" si="37"/>
        <v>4.0482115251767317</v>
      </c>
      <c r="AO29" s="73">
        <f t="shared" si="38"/>
        <v>136.77109941269828</v>
      </c>
      <c r="AP29" s="73">
        <f t="shared" si="39"/>
        <v>6409.1710994126979</v>
      </c>
    </row>
    <row r="30" spans="1:42" s="31" customFormat="1" x14ac:dyDescent="0.6">
      <c r="A30" s="70">
        <f t="shared" si="10"/>
        <v>9</v>
      </c>
      <c r="B30" s="70" t="str">
        <f>IF(E30&lt;=$F$9,VLOOKUP(KALKULATOR!A30,Robocze!$B$23:$C$102,2),"")</f>
        <v>1 rok</v>
      </c>
      <c r="C30" s="70">
        <f t="shared" si="25"/>
        <v>2021</v>
      </c>
      <c r="D30" s="71">
        <f t="shared" si="40"/>
        <v>40.750000000000021</v>
      </c>
      <c r="E30" s="77">
        <f t="shared" si="41"/>
        <v>44409</v>
      </c>
      <c r="F30" s="72">
        <f t="shared" si="26"/>
        <v>44439</v>
      </c>
      <c r="G30" s="73">
        <f>IFERROR(IF(AND(F30&lt;=$F$9,$F$5=Robocze!$B$4,$E30&lt;=$F$9,MONTH($F$8)=MONTH(E30)),$F$4,0)+IF(AND(F30&lt;=$F$9,$F$5=Robocze!$B$3,E30&lt;=$F$9),KALKULATOR!$F$4/12,0),"")</f>
        <v>0</v>
      </c>
      <c r="H30" s="73">
        <f t="shared" si="27"/>
        <v>6272.4</v>
      </c>
      <c r="I30" s="74">
        <f t="shared" si="11"/>
        <v>0.04</v>
      </c>
      <c r="J30" s="73">
        <f t="shared" si="12"/>
        <v>0</v>
      </c>
      <c r="K30" s="75" t="str">
        <f t="shared" si="13"/>
        <v/>
      </c>
      <c r="L30" s="73">
        <f t="shared" si="14"/>
        <v>6272.4</v>
      </c>
      <c r="M30" s="73">
        <f t="shared" si="15"/>
        <v>6445.1545768029619</v>
      </c>
      <c r="N30" s="73">
        <f t="shared" si="16"/>
        <v>6445.1545768029619</v>
      </c>
      <c r="O30" s="73">
        <f t="shared" si="17"/>
        <v>6426.867463344267</v>
      </c>
      <c r="P30" s="73">
        <f t="shared" si="18"/>
        <v>6426.867463344267</v>
      </c>
      <c r="Q30" s="73">
        <f t="shared" si="19"/>
        <v>6426.4758613811127</v>
      </c>
      <c r="R30" s="73"/>
      <c r="S30" s="76">
        <f t="shared" si="28"/>
        <v>0.17</v>
      </c>
      <c r="T30" s="73">
        <f t="shared" si="42"/>
        <v>21.472094923687571</v>
      </c>
      <c r="U30" s="73">
        <f t="shared" si="29"/>
        <v>6463.100572029959</v>
      </c>
      <c r="V30" s="76">
        <f t="shared" si="30"/>
        <v>0.17</v>
      </c>
      <c r="W30" s="73">
        <f t="shared" si="31"/>
        <v>0</v>
      </c>
      <c r="X30" s="73">
        <f>IF(B30&lt;&gt;"",IF(MONTH(E30)=MONTH($F$13),SUMIF($C$22:C501,"="&amp;(C30-1),$G$22:G501),0)*S30,"")</f>
        <v>0</v>
      </c>
      <c r="Y30" s="73">
        <f>IF(B30&lt;&gt;"",SUM($X$22:X30),"")</f>
        <v>1066.308</v>
      </c>
      <c r="Z30" s="73">
        <f t="shared" si="43"/>
        <v>3.5929028357371635</v>
      </c>
      <c r="AA30" s="73">
        <f t="shared" si="32"/>
        <v>0.68265153879006113</v>
      </c>
      <c r="AB30" s="73">
        <f t="shared" si="33"/>
        <v>14.473102018096537</v>
      </c>
      <c r="AC30" s="73">
        <f t="shared" si="34"/>
        <v>1080.7811020180964</v>
      </c>
      <c r="AD30" s="73">
        <f>IFERROR($U30*(1-$V30)+SUM($W$22:$W30)+$AB30,"")</f>
        <v>6445.1545768029619</v>
      </c>
      <c r="AE30" s="73" t="b">
        <f t="shared" si="35"/>
        <v>0</v>
      </c>
      <c r="AF30" s="73">
        <f>IF(AND(AE30=TRUE,D30&gt;=65),$U30*(1-10%)+SUM($W$22:$W30)+$AB30,AD30)</f>
        <v>6445.1545768029619</v>
      </c>
      <c r="AG30" s="73">
        <f t="shared" si="20"/>
        <v>21.472094923687568</v>
      </c>
      <c r="AH30" s="73">
        <f t="shared" si="21"/>
        <v>190.70057202995932</v>
      </c>
      <c r="AI30" s="73">
        <f t="shared" si="22"/>
        <v>6463.100572029959</v>
      </c>
      <c r="AJ30" s="73">
        <f t="shared" si="23"/>
        <v>6426.867463344267</v>
      </c>
      <c r="AK30" s="73" t="b">
        <f t="shared" si="36"/>
        <v>0</v>
      </c>
      <c r="AL30" s="73">
        <f t="shared" si="24"/>
        <v>6426.867463344267</v>
      </c>
      <c r="AM30" s="73">
        <f t="shared" si="44"/>
        <v>21.363903664708996</v>
      </c>
      <c r="AN30" s="73">
        <f t="shared" si="37"/>
        <v>4.0591416962947093</v>
      </c>
      <c r="AO30" s="73">
        <f t="shared" si="38"/>
        <v>154.0758613811131</v>
      </c>
      <c r="AP30" s="73">
        <f t="shared" si="39"/>
        <v>6426.4758613811127</v>
      </c>
    </row>
    <row r="31" spans="1:42" s="31" customFormat="1" x14ac:dyDescent="0.6">
      <c r="A31" s="70">
        <f t="shared" si="10"/>
        <v>10</v>
      </c>
      <c r="B31" s="70" t="str">
        <f>IF(E31&lt;=$F$9,VLOOKUP(KALKULATOR!A31,Robocze!$B$23:$C$102,2),"")</f>
        <v>1 rok</v>
      </c>
      <c r="C31" s="70">
        <f t="shared" si="25"/>
        <v>2021</v>
      </c>
      <c r="D31" s="71">
        <f t="shared" si="40"/>
        <v>40.833333333333357</v>
      </c>
      <c r="E31" s="77">
        <f t="shared" si="41"/>
        <v>44440</v>
      </c>
      <c r="F31" s="72">
        <f t="shared" si="26"/>
        <v>44469</v>
      </c>
      <c r="G31" s="73">
        <f>IFERROR(IF(AND(F31&lt;=$F$9,$F$5=Robocze!$B$4,$E31&lt;=$F$9,MONTH($F$8)=MONTH(E31)),$F$4,0)+IF(AND(F31&lt;=$F$9,$F$5=Robocze!$B$3,E31&lt;=$F$9),KALKULATOR!$F$4/12,0),"")</f>
        <v>0</v>
      </c>
      <c r="H31" s="73">
        <f t="shared" si="27"/>
        <v>6272.4</v>
      </c>
      <c r="I31" s="74">
        <f t="shared" si="11"/>
        <v>0.04</v>
      </c>
      <c r="J31" s="73">
        <f t="shared" si="12"/>
        <v>0</v>
      </c>
      <c r="K31" s="75" t="str">
        <f t="shared" si="13"/>
        <v/>
      </c>
      <c r="L31" s="73">
        <f t="shared" si="14"/>
        <v>6272.4</v>
      </c>
      <c r="M31" s="73">
        <f t="shared" si="15"/>
        <v>6465.9539306943607</v>
      </c>
      <c r="N31" s="73">
        <f t="shared" si="16"/>
        <v>6465.9539306943607</v>
      </c>
      <c r="O31" s="73">
        <f t="shared" si="17"/>
        <v>6444.3178348887477</v>
      </c>
      <c r="P31" s="73">
        <f t="shared" si="18"/>
        <v>6444.3178348887477</v>
      </c>
      <c r="Q31" s="73">
        <f t="shared" si="19"/>
        <v>6443.8273462068419</v>
      </c>
      <c r="R31" s="73"/>
      <c r="S31" s="76">
        <f t="shared" si="28"/>
        <v>0.17</v>
      </c>
      <c r="T31" s="73">
        <f t="shared" si="42"/>
        <v>21.543668573433198</v>
      </c>
      <c r="U31" s="73">
        <f t="shared" si="29"/>
        <v>6484.6442406033921</v>
      </c>
      <c r="V31" s="76">
        <f t="shared" si="30"/>
        <v>0.17</v>
      </c>
      <c r="W31" s="73">
        <f t="shared" si="31"/>
        <v>0</v>
      </c>
      <c r="X31" s="73">
        <f>IF(B31&lt;&gt;"",IF(MONTH(E31)=MONTH($F$13),SUMIF($C$22:C501,"="&amp;(C31-1),$G$22:G501),0)*S31,"")</f>
        <v>0</v>
      </c>
      <c r="Y31" s="73">
        <f>IF(B31&lt;&gt;"",SUM($X$22:X31),"")</f>
        <v>1066.308</v>
      </c>
      <c r="Z31" s="73">
        <f t="shared" si="43"/>
        <v>3.6026036733936544</v>
      </c>
      <c r="AA31" s="73">
        <f t="shared" si="32"/>
        <v>0.68449469794479434</v>
      </c>
      <c r="AB31" s="73">
        <f t="shared" si="33"/>
        <v>17.3912109935454</v>
      </c>
      <c r="AC31" s="73">
        <f t="shared" si="34"/>
        <v>1083.6992109935452</v>
      </c>
      <c r="AD31" s="73">
        <f>IFERROR($U31*(1-$V31)+SUM($W$22:$W31)+$AB31,"")</f>
        <v>6465.9539306943607</v>
      </c>
      <c r="AE31" s="73" t="b">
        <f t="shared" si="35"/>
        <v>0</v>
      </c>
      <c r="AF31" s="73">
        <f>IF(AND(AE31=TRUE,D31&gt;=65),$U31*(1-10%)+SUM($W$22:$W31)+$AB31,AD31)</f>
        <v>6465.9539306943607</v>
      </c>
      <c r="AG31" s="73">
        <f t="shared" si="20"/>
        <v>21.543668573433198</v>
      </c>
      <c r="AH31" s="73">
        <f t="shared" si="21"/>
        <v>212.24424060339251</v>
      </c>
      <c r="AI31" s="73">
        <f t="shared" si="22"/>
        <v>6484.6442406033921</v>
      </c>
      <c r="AJ31" s="73">
        <f t="shared" si="23"/>
        <v>6444.3178348887477</v>
      </c>
      <c r="AK31" s="73" t="b">
        <f t="shared" si="36"/>
        <v>0</v>
      </c>
      <c r="AL31" s="73">
        <f t="shared" si="24"/>
        <v>6444.3178348887477</v>
      </c>
      <c r="AM31" s="73">
        <f t="shared" si="44"/>
        <v>21.42158620460371</v>
      </c>
      <c r="AN31" s="73">
        <f t="shared" si="37"/>
        <v>4.0701013788747051</v>
      </c>
      <c r="AO31" s="73">
        <f t="shared" si="38"/>
        <v>171.42734620684223</v>
      </c>
      <c r="AP31" s="73">
        <f t="shared" si="39"/>
        <v>6443.8273462068419</v>
      </c>
    </row>
    <row r="32" spans="1:42" s="31" customFormat="1" x14ac:dyDescent="0.6">
      <c r="A32" s="70">
        <f t="shared" si="10"/>
        <v>11</v>
      </c>
      <c r="B32" s="70" t="str">
        <f>IF(E32&lt;=$F$9,VLOOKUP(KALKULATOR!A32,Robocze!$B$23:$C$102,2),"")</f>
        <v>1 rok</v>
      </c>
      <c r="C32" s="70">
        <f t="shared" si="25"/>
        <v>2021</v>
      </c>
      <c r="D32" s="71">
        <f t="shared" si="40"/>
        <v>40.916666666666693</v>
      </c>
      <c r="E32" s="77">
        <f t="shared" si="41"/>
        <v>44470</v>
      </c>
      <c r="F32" s="72">
        <f t="shared" si="26"/>
        <v>44500</v>
      </c>
      <c r="G32" s="73">
        <f>IFERROR(IF(AND(F32&lt;=$F$9,$F$5=Robocze!$B$4,$E32&lt;=$F$9,MONTH($F$8)=MONTH(E32)),$F$4,0)+IF(AND(F32&lt;=$F$9,$F$5=Robocze!$B$3,E32&lt;=$F$9),KALKULATOR!$F$4/12,0),"")</f>
        <v>0</v>
      </c>
      <c r="H32" s="73">
        <f t="shared" si="27"/>
        <v>6272.4</v>
      </c>
      <c r="I32" s="74">
        <f t="shared" si="11"/>
        <v>0.04</v>
      </c>
      <c r="J32" s="73">
        <f t="shared" si="12"/>
        <v>0</v>
      </c>
      <c r="K32" s="75" t="str">
        <f t="shared" si="13"/>
        <v/>
      </c>
      <c r="L32" s="73">
        <f t="shared" si="14"/>
        <v>6272.4</v>
      </c>
      <c r="M32" s="73">
        <f t="shared" si="15"/>
        <v>6486.8207676297116</v>
      </c>
      <c r="N32" s="73">
        <f t="shared" si="16"/>
        <v>6486.8207676297116</v>
      </c>
      <c r="O32" s="73">
        <f t="shared" si="17"/>
        <v>6461.8263743383759</v>
      </c>
      <c r="P32" s="73">
        <f t="shared" si="18"/>
        <v>6461.8263743383759</v>
      </c>
      <c r="Q32" s="73">
        <f t="shared" si="19"/>
        <v>6461.2256800416008</v>
      </c>
      <c r="R32" s="73"/>
      <c r="S32" s="76">
        <f t="shared" si="28"/>
        <v>0.17</v>
      </c>
      <c r="T32" s="73">
        <f t="shared" si="42"/>
        <v>21.615480802011309</v>
      </c>
      <c r="U32" s="73">
        <f t="shared" si="29"/>
        <v>6506.2597214054031</v>
      </c>
      <c r="V32" s="76">
        <f t="shared" si="30"/>
        <v>0.17</v>
      </c>
      <c r="W32" s="73">
        <f t="shared" si="31"/>
        <v>0</v>
      </c>
      <c r="X32" s="73">
        <f>IF(B32&lt;&gt;"",IF(MONTH(E32)=MONTH($F$13),SUMIF($C$22:C501,"="&amp;(C32-1),$G$22:G501),0)*S32,"")</f>
        <v>0</v>
      </c>
      <c r="Y32" s="73">
        <f>IF(B32&lt;&gt;"",SUM($X$22:X32),"")</f>
        <v>1066.308</v>
      </c>
      <c r="Z32" s="73">
        <f t="shared" si="43"/>
        <v>3.6123307033118173</v>
      </c>
      <c r="AA32" s="73">
        <f t="shared" si="32"/>
        <v>0.68634283362924531</v>
      </c>
      <c r="AB32" s="73">
        <f t="shared" si="33"/>
        <v>20.317198863227972</v>
      </c>
      <c r="AC32" s="73">
        <f t="shared" si="34"/>
        <v>1086.6251988632278</v>
      </c>
      <c r="AD32" s="73">
        <f>IFERROR($U32*(1-$V32)+SUM($W$22:$W32)+$AB32,"")</f>
        <v>6486.8207676297116</v>
      </c>
      <c r="AE32" s="73" t="b">
        <f t="shared" si="35"/>
        <v>0</v>
      </c>
      <c r="AF32" s="73">
        <f>IF(AND(AE32=TRUE,D32&gt;=65),$U32*(1-10%)+SUM($W$22:$W32)+$AB32,AD32)</f>
        <v>6486.8207676297116</v>
      </c>
      <c r="AG32" s="73">
        <f t="shared" si="20"/>
        <v>21.615480802011305</v>
      </c>
      <c r="AH32" s="73">
        <f t="shared" si="21"/>
        <v>233.85972140540383</v>
      </c>
      <c r="AI32" s="73">
        <f t="shared" si="22"/>
        <v>6506.2597214054031</v>
      </c>
      <c r="AJ32" s="73">
        <f t="shared" si="23"/>
        <v>6461.8263743383759</v>
      </c>
      <c r="AK32" s="73" t="b">
        <f t="shared" si="36"/>
        <v>0</v>
      </c>
      <c r="AL32" s="73">
        <f t="shared" si="24"/>
        <v>6461.8263743383759</v>
      </c>
      <c r="AM32" s="73">
        <f t="shared" si="44"/>
        <v>21.479424487356141</v>
      </c>
      <c r="AN32" s="73">
        <f t="shared" si="37"/>
        <v>4.0810906525976671</v>
      </c>
      <c r="AO32" s="73">
        <f t="shared" si="38"/>
        <v>188.82568004160112</v>
      </c>
      <c r="AP32" s="73">
        <f t="shared" si="39"/>
        <v>6461.2256800416008</v>
      </c>
    </row>
    <row r="33" spans="1:42" s="69" customFormat="1" x14ac:dyDescent="0.6">
      <c r="A33" s="78">
        <f t="shared" si="10"/>
        <v>12</v>
      </c>
      <c r="B33" s="78" t="str">
        <f>IF(E33&lt;=$F$9,VLOOKUP(KALKULATOR!A33,Robocze!$B$23:$C$102,2),"")</f>
        <v>1 rok</v>
      </c>
      <c r="C33" s="78">
        <f t="shared" si="25"/>
        <v>2021</v>
      </c>
      <c r="D33" s="79">
        <f t="shared" si="40"/>
        <v>41.000000000000028</v>
      </c>
      <c r="E33" s="80">
        <f t="shared" si="41"/>
        <v>44501</v>
      </c>
      <c r="F33" s="81">
        <f t="shared" si="26"/>
        <v>44530</v>
      </c>
      <c r="G33" s="82">
        <f>IFERROR(IF(AND(F33&lt;=$F$9,$F$5=Robocze!$B$4,$E33&lt;=$F$9,MONTH($F$8)=MONTH(E33)),$F$4,0)+IF(AND(F33&lt;=$F$9,$F$5=Robocze!$B$3,E33&lt;=$F$9),KALKULATOR!$F$4/12,0),"")</f>
        <v>0</v>
      </c>
      <c r="H33" s="82">
        <f t="shared" si="27"/>
        <v>6272.4</v>
      </c>
      <c r="I33" s="83">
        <f t="shared" si="11"/>
        <v>0.04</v>
      </c>
      <c r="J33" s="82">
        <f t="shared" si="12"/>
        <v>0</v>
      </c>
      <c r="K33" s="84">
        <f t="shared" si="13"/>
        <v>1</v>
      </c>
      <c r="L33" s="82">
        <f t="shared" si="14"/>
        <v>6272.4</v>
      </c>
      <c r="M33" s="82">
        <f t="shared" si="15"/>
        <v>6507.7553075625319</v>
      </c>
      <c r="N33" s="82">
        <f t="shared" si="16"/>
        <v>6507.7553075625319</v>
      </c>
      <c r="O33" s="82">
        <f t="shared" si="17"/>
        <v>6479.3932755861715</v>
      </c>
      <c r="P33" s="82">
        <f t="shared" si="18"/>
        <v>6479.3932755861715</v>
      </c>
      <c r="Q33" s="82">
        <f t="shared" si="19"/>
        <v>6478.6709893777124</v>
      </c>
      <c r="R33" s="82"/>
      <c r="S33" s="85">
        <f t="shared" si="28"/>
        <v>0.17</v>
      </c>
      <c r="T33" s="82">
        <f t="shared" si="42"/>
        <v>21.687532404684678</v>
      </c>
      <c r="U33" s="82">
        <f t="shared" si="29"/>
        <v>6527.9472538100881</v>
      </c>
      <c r="V33" s="85">
        <f t="shared" si="30"/>
        <v>0.17</v>
      </c>
      <c r="W33" s="82">
        <f t="shared" si="31"/>
        <v>0</v>
      </c>
      <c r="X33" s="82">
        <f>IF(B33&lt;&gt;"",IF(MONTH(E33)=MONTH($F$13),SUMIF($C$22:C501,"="&amp;(C33-1),$G$22:G501),0)*S33,"")</f>
        <v>0</v>
      </c>
      <c r="Y33" s="82">
        <f>IF(B33&lt;&gt;"",SUM($X$22:X33),"")</f>
        <v>1066.308</v>
      </c>
      <c r="Z33" s="82">
        <f>IF(B33&lt;&gt;"",(AC32+X33)*I33/12,"")</f>
        <v>3.6220839962107596</v>
      </c>
      <c r="AA33" s="82">
        <f t="shared" si="32"/>
        <v>0.68819595928004429</v>
      </c>
      <c r="AB33" s="82">
        <f t="shared" si="33"/>
        <v>23.251086900158686</v>
      </c>
      <c r="AC33" s="82">
        <f t="shared" si="34"/>
        <v>1089.5590869001585</v>
      </c>
      <c r="AD33" s="82">
        <f>IFERROR($U33*(1-$V33)+SUM($W$22:$W33)+$AB33,"")</f>
        <v>6507.7553075625319</v>
      </c>
      <c r="AE33" s="73" t="b">
        <f t="shared" si="35"/>
        <v>0</v>
      </c>
      <c r="AF33" s="73">
        <f>IF(AND(AE33=TRUE,D33&gt;=65),$U33*(1-10%)+SUM($W$22:$W33)+$AB33,AD33)</f>
        <v>6507.7553075625319</v>
      </c>
      <c r="AG33" s="82">
        <f t="shared" si="20"/>
        <v>21.687532404684678</v>
      </c>
      <c r="AH33" s="82">
        <f t="shared" si="21"/>
        <v>255.54725381008851</v>
      </c>
      <c r="AI33" s="82">
        <f t="shared" si="22"/>
        <v>6527.9472538100881</v>
      </c>
      <c r="AJ33" s="82">
        <f t="shared" si="23"/>
        <v>6479.3932755861715</v>
      </c>
      <c r="AK33" s="73" t="b">
        <f t="shared" si="36"/>
        <v>0</v>
      </c>
      <c r="AL33" s="82">
        <f t="shared" si="24"/>
        <v>6479.3932755861715</v>
      </c>
      <c r="AM33" s="82">
        <f t="shared" si="44"/>
        <v>21.537418933472001</v>
      </c>
      <c r="AN33" s="82">
        <f t="shared" si="37"/>
        <v>4.0921095973596806</v>
      </c>
      <c r="AO33" s="82">
        <f t="shared" si="38"/>
        <v>206.27098937771279</v>
      </c>
      <c r="AP33" s="82">
        <f t="shared" si="39"/>
        <v>6478.6709893777124</v>
      </c>
    </row>
    <row r="34" spans="1:42" s="31" customFormat="1" x14ac:dyDescent="0.6">
      <c r="A34" s="70">
        <f t="shared" si="10"/>
        <v>13</v>
      </c>
      <c r="B34" s="70" t="str">
        <f>IF(E34&lt;=$F$9,VLOOKUP(KALKULATOR!A34,Robocze!$B$23:$C$102,2),"")</f>
        <v>2 rok</v>
      </c>
      <c r="C34" s="70">
        <f t="shared" si="25"/>
        <v>2021</v>
      </c>
      <c r="D34" s="71">
        <f t="shared" si="40"/>
        <v>41.083333333333364</v>
      </c>
      <c r="E34" s="72">
        <f t="shared" si="41"/>
        <v>44531</v>
      </c>
      <c r="F34" s="72">
        <f t="shared" si="26"/>
        <v>44561</v>
      </c>
      <c r="G34" s="73">
        <f>IFERROR(IF(AND(F34&lt;=$F$9,$F$5=Robocze!$B$4,$E34&lt;=$F$9,MONTH($F$8)=MONTH(E34)),$F$4,0)+IF(AND(F34&lt;=$F$9,$F$5=Robocze!$B$3,E34&lt;=$F$9),KALKULATOR!$F$4/12,0),"")</f>
        <v>6272.4</v>
      </c>
      <c r="H34" s="73">
        <f t="shared" si="27"/>
        <v>12544.8</v>
      </c>
      <c r="I34" s="74">
        <f t="shared" si="11"/>
        <v>0.04</v>
      </c>
      <c r="J34" s="73">
        <f t="shared" si="12"/>
        <v>0</v>
      </c>
      <c r="K34" s="75" t="str">
        <f t="shared" si="13"/>
        <v/>
      </c>
      <c r="L34" s="73">
        <f t="shared" si="14"/>
        <v>12544.8</v>
      </c>
      <c r="M34" s="73">
        <f t="shared" si="15"/>
        <v>12818.511411166037</v>
      </c>
      <c r="N34" s="73">
        <f t="shared" si="16"/>
        <v>12818.511411166037</v>
      </c>
      <c r="O34" s="73">
        <f t="shared" si="17"/>
        <v>12786.354213171457</v>
      </c>
      <c r="P34" s="73">
        <f t="shared" si="18"/>
        <v>12786.354213171457</v>
      </c>
      <c r="Q34" s="73">
        <f t="shared" si="19"/>
        <v>12785.498881049032</v>
      </c>
      <c r="R34" s="73"/>
      <c r="S34" s="76">
        <f t="shared" si="28"/>
        <v>0.17</v>
      </c>
      <c r="T34" s="73">
        <f t="shared" si="42"/>
        <v>42.66782417936696</v>
      </c>
      <c r="U34" s="73">
        <f t="shared" si="29"/>
        <v>12843.015077989454</v>
      </c>
      <c r="V34" s="76">
        <f t="shared" si="30"/>
        <v>0.17</v>
      </c>
      <c r="W34" s="73">
        <f t="shared" si="31"/>
        <v>1066.308</v>
      </c>
      <c r="X34" s="73">
        <f>IF(B34&lt;&gt;"",IF(MONTH(E34)=MONTH($F$13),SUMIF($C$22:C501,"="&amp;(C34-1),$G$22:G501),0)*S34,"")</f>
        <v>0</v>
      </c>
      <c r="Y34" s="73">
        <f>IF(B34&lt;&gt;"",SUM($X$22:X34),"")</f>
        <v>1066.308</v>
      </c>
      <c r="Z34" s="73">
        <f t="shared" si="43"/>
        <v>3.6318636230005286</v>
      </c>
      <c r="AA34" s="73">
        <f t="shared" si="32"/>
        <v>0.6900540883701004</v>
      </c>
      <c r="AB34" s="73">
        <f t="shared" si="33"/>
        <v>26.192896434789116</v>
      </c>
      <c r="AC34" s="73">
        <f t="shared" si="34"/>
        <v>1092.500896434789</v>
      </c>
      <c r="AD34" s="73">
        <f>IFERROR($U34*(1-$V34)+SUM($W$22:$W34)+$AB34,"")</f>
        <v>12818.511411166037</v>
      </c>
      <c r="AE34" s="73" t="b">
        <f t="shared" si="35"/>
        <v>0</v>
      </c>
      <c r="AF34" s="73">
        <f>IF(AND(AE34=TRUE,D34&gt;=65),$U34*(1-10%)+SUM($W$22:$W34)+$AB34,AD34)</f>
        <v>12818.511411166037</v>
      </c>
      <c r="AG34" s="73">
        <f t="shared" si="20"/>
        <v>42.66782417936696</v>
      </c>
      <c r="AH34" s="73">
        <f t="shared" si="21"/>
        <v>298.21507798945549</v>
      </c>
      <c r="AI34" s="73">
        <f t="shared" si="22"/>
        <v>12843.015077989454</v>
      </c>
      <c r="AJ34" s="73">
        <f t="shared" si="23"/>
        <v>12786.354213171457</v>
      </c>
      <c r="AK34" s="73" t="b">
        <f t="shared" si="36"/>
        <v>0</v>
      </c>
      <c r="AL34" s="73">
        <f t="shared" si="24"/>
        <v>12786.354213171457</v>
      </c>
      <c r="AM34" s="73">
        <f t="shared" si="44"/>
        <v>42.50356996459238</v>
      </c>
      <c r="AN34" s="73">
        <f t="shared" si="37"/>
        <v>8.0756782932725528</v>
      </c>
      <c r="AO34" s="73">
        <f t="shared" si="38"/>
        <v>240.69888104903293</v>
      </c>
      <c r="AP34" s="73">
        <f t="shared" si="39"/>
        <v>12785.498881049032</v>
      </c>
    </row>
    <row r="35" spans="1:42" s="31" customFormat="1" x14ac:dyDescent="0.6">
      <c r="A35" s="70">
        <f t="shared" si="10"/>
        <v>14</v>
      </c>
      <c r="B35" s="70" t="str">
        <f>IF(E35&lt;=$F$9,VLOOKUP(KALKULATOR!A35,Robocze!$B$23:$C$102,2),"")</f>
        <v>2 rok</v>
      </c>
      <c r="C35" s="70">
        <f t="shared" si="25"/>
        <v>2022</v>
      </c>
      <c r="D35" s="71">
        <f t="shared" si="40"/>
        <v>41.1666666666667</v>
      </c>
      <c r="E35" s="77">
        <f t="shared" si="41"/>
        <v>44562</v>
      </c>
      <c r="F35" s="72">
        <f t="shared" si="26"/>
        <v>44592</v>
      </c>
      <c r="G35" s="73">
        <f>IFERROR(IF(AND(F35&lt;=$F$9,$F$5=Robocze!$B$4,$E35&lt;=$F$9,MONTH($F$8)=MONTH(E35)),$F$4,0)+IF(AND(F35&lt;=$F$9,$F$5=Robocze!$B$3,E35&lt;=$F$9),KALKULATOR!$F$4/12,0),"")</f>
        <v>0</v>
      </c>
      <c r="H35" s="73">
        <f t="shared" si="27"/>
        <v>12544.8</v>
      </c>
      <c r="I35" s="74">
        <f t="shared" si="11"/>
        <v>0.04</v>
      </c>
      <c r="J35" s="73">
        <f t="shared" si="12"/>
        <v>0</v>
      </c>
      <c r="K35" s="75" t="str">
        <f t="shared" si="13"/>
        <v/>
      </c>
      <c r="L35" s="73">
        <f t="shared" si="14"/>
        <v>12544.8</v>
      </c>
      <c r="M35" s="73">
        <f t="shared" si="15"/>
        <v>12856.99350530218</v>
      </c>
      <c r="N35" s="73">
        <f t="shared" si="16"/>
        <v>12856.99350530218</v>
      </c>
      <c r="O35" s="73">
        <f t="shared" si="17"/>
        <v>12821.03035388203</v>
      </c>
      <c r="P35" s="73">
        <f t="shared" si="18"/>
        <v>12821.03035388203</v>
      </c>
      <c r="Q35" s="73">
        <f t="shared" si="19"/>
        <v>12820.019728027864</v>
      </c>
      <c r="R35" s="73"/>
      <c r="S35" s="76">
        <f t="shared" si="28"/>
        <v>0.17</v>
      </c>
      <c r="T35" s="73">
        <f t="shared" si="42"/>
        <v>42.810050259964846</v>
      </c>
      <c r="U35" s="73">
        <f t="shared" si="29"/>
        <v>12885.825128249418</v>
      </c>
      <c r="V35" s="76">
        <f t="shared" si="30"/>
        <v>0.17</v>
      </c>
      <c r="W35" s="73">
        <f t="shared" si="31"/>
        <v>0</v>
      </c>
      <c r="X35" s="73">
        <f>IF(B35&lt;&gt;"",IF(MONTH(E35)=MONTH($F$13),SUMIF($C$22:C501,"="&amp;(C35-1),$G$22:G501),0)*S35,"")</f>
        <v>0</v>
      </c>
      <c r="Y35" s="73">
        <f>IF(B35&lt;&gt;"",SUM($X$22:X35),"")</f>
        <v>1066.308</v>
      </c>
      <c r="Z35" s="73">
        <f t="shared" si="43"/>
        <v>3.6416696547826302</v>
      </c>
      <c r="AA35" s="73">
        <f t="shared" si="32"/>
        <v>0.69191723440869979</v>
      </c>
      <c r="AB35" s="73">
        <f t="shared" si="33"/>
        <v>29.142648855163046</v>
      </c>
      <c r="AC35" s="73">
        <f t="shared" si="34"/>
        <v>1095.4506488551629</v>
      </c>
      <c r="AD35" s="73">
        <f>IFERROR($U35*(1-$V35)+SUM($W$22:$W35)+$AB35,"")</f>
        <v>12856.99350530218</v>
      </c>
      <c r="AE35" s="73" t="b">
        <f t="shared" si="35"/>
        <v>0</v>
      </c>
      <c r="AF35" s="73">
        <f>IF(AND(AE35=TRUE,D35&gt;=65),$U35*(1-10%)+SUM($W$22:$W35)+$AB35,AD35)</f>
        <v>12856.99350530218</v>
      </c>
      <c r="AG35" s="73">
        <f t="shared" si="20"/>
        <v>42.810050259964846</v>
      </c>
      <c r="AH35" s="73">
        <f t="shared" si="21"/>
        <v>341.02512824942033</v>
      </c>
      <c r="AI35" s="73">
        <f t="shared" si="22"/>
        <v>12885.82512824942</v>
      </c>
      <c r="AJ35" s="73">
        <f t="shared" si="23"/>
        <v>12821.03035388203</v>
      </c>
      <c r="AK35" s="73" t="b">
        <f t="shared" si="36"/>
        <v>0</v>
      </c>
      <c r="AL35" s="73">
        <f t="shared" si="24"/>
        <v>12821.03035388203</v>
      </c>
      <c r="AM35" s="73">
        <f t="shared" si="44"/>
        <v>42.618329603496775</v>
      </c>
      <c r="AN35" s="73">
        <f t="shared" si="37"/>
        <v>8.0974826246643872</v>
      </c>
      <c r="AO35" s="73">
        <f t="shared" si="38"/>
        <v>275.21972802786513</v>
      </c>
      <c r="AP35" s="73">
        <f t="shared" si="39"/>
        <v>12820.019728027864</v>
      </c>
    </row>
    <row r="36" spans="1:42" s="31" customFormat="1" x14ac:dyDescent="0.6">
      <c r="A36" s="70">
        <f t="shared" si="10"/>
        <v>15</v>
      </c>
      <c r="B36" s="70" t="str">
        <f>IF(E36&lt;=$F$9,VLOOKUP(KALKULATOR!A36,Robocze!$B$23:$C$102,2),"")</f>
        <v>2 rok</v>
      </c>
      <c r="C36" s="70">
        <f t="shared" si="25"/>
        <v>2022</v>
      </c>
      <c r="D36" s="71">
        <f t="shared" si="40"/>
        <v>41.250000000000036</v>
      </c>
      <c r="E36" s="77">
        <f t="shared" si="41"/>
        <v>44593</v>
      </c>
      <c r="F36" s="72">
        <f t="shared" si="26"/>
        <v>44620</v>
      </c>
      <c r="G36" s="73">
        <f>IFERROR(IF(AND(F36&lt;=$F$9,$F$5=Robocze!$B$4,$E36&lt;=$F$9,MONTH($F$8)=MONTH(E36)),$F$4,0)+IF(AND(F36&lt;=$F$9,$F$5=Robocze!$B$3,E36&lt;=$F$9),KALKULATOR!$F$4/12,0),"")</f>
        <v>0</v>
      </c>
      <c r="H36" s="73">
        <f t="shared" si="27"/>
        <v>12544.8</v>
      </c>
      <c r="I36" s="74">
        <f t="shared" si="11"/>
        <v>0.04</v>
      </c>
      <c r="J36" s="73">
        <f t="shared" si="12"/>
        <v>0</v>
      </c>
      <c r="K36" s="75" t="str">
        <f t="shared" si="13"/>
        <v/>
      </c>
      <c r="L36" s="73">
        <f t="shared" si="14"/>
        <v>12544.8</v>
      </c>
      <c r="M36" s="73">
        <f t="shared" si="15"/>
        <v>12895.602004908911</v>
      </c>
      <c r="N36" s="73">
        <f t="shared" si="16"/>
        <v>12895.602004908911</v>
      </c>
      <c r="O36" s="73">
        <f t="shared" si="17"/>
        <v>12855.822081728304</v>
      </c>
      <c r="P36" s="73">
        <f t="shared" si="18"/>
        <v>12855.822081728304</v>
      </c>
      <c r="Q36" s="73">
        <f t="shared" si="19"/>
        <v>12854.63378129354</v>
      </c>
      <c r="R36" s="73"/>
      <c r="S36" s="76">
        <f t="shared" si="28"/>
        <v>0.17</v>
      </c>
      <c r="T36" s="73">
        <f t="shared" si="42"/>
        <v>42.952750427498067</v>
      </c>
      <c r="U36" s="73">
        <f t="shared" si="29"/>
        <v>12928.777878676916</v>
      </c>
      <c r="V36" s="76">
        <f t="shared" si="30"/>
        <v>0.17</v>
      </c>
      <c r="W36" s="73">
        <f t="shared" si="31"/>
        <v>0</v>
      </c>
      <c r="X36" s="73">
        <f>IF(B36&lt;&gt;"",IF(MONTH(E36)=MONTH($F$13),SUMIF($C$22:C501,"="&amp;(C36-1),$G$22:G501),0)*S36,"")</f>
        <v>0</v>
      </c>
      <c r="Y36" s="73">
        <f>IF(B36&lt;&gt;"",SUM($X$22:X36),"")</f>
        <v>1066.308</v>
      </c>
      <c r="Z36" s="73">
        <f t="shared" si="43"/>
        <v>3.6515021628505426</v>
      </c>
      <c r="AA36" s="73">
        <f t="shared" si="32"/>
        <v>0.69378541094160306</v>
      </c>
      <c r="AB36" s="73">
        <f t="shared" si="33"/>
        <v>32.100365607071986</v>
      </c>
      <c r="AC36" s="73">
        <f t="shared" si="34"/>
        <v>1098.4083656070718</v>
      </c>
      <c r="AD36" s="73">
        <f>IFERROR($U36*(1-$V36)+SUM($W$22:$W36)+$AB36,"")</f>
        <v>12895.602004908911</v>
      </c>
      <c r="AE36" s="73" t="b">
        <f t="shared" si="35"/>
        <v>0</v>
      </c>
      <c r="AF36" s="73">
        <f>IF(AND(AE36=TRUE,D36&gt;=65),$U36*(1-10%)+SUM($W$22:$W36)+$AB36,AD36)</f>
        <v>12895.602004908911</v>
      </c>
      <c r="AG36" s="73">
        <f t="shared" si="20"/>
        <v>42.952750427498067</v>
      </c>
      <c r="AH36" s="73">
        <f t="shared" si="21"/>
        <v>383.97787867691841</v>
      </c>
      <c r="AI36" s="73">
        <f t="shared" si="22"/>
        <v>12928.777878676918</v>
      </c>
      <c r="AJ36" s="73">
        <f t="shared" si="23"/>
        <v>12855.822081728304</v>
      </c>
      <c r="AK36" s="73" t="b">
        <f t="shared" si="36"/>
        <v>0</v>
      </c>
      <c r="AL36" s="73">
        <f t="shared" si="24"/>
        <v>12855.822081728304</v>
      </c>
      <c r="AM36" s="73">
        <f t="shared" si="44"/>
        <v>42.733399093426215</v>
      </c>
      <c r="AN36" s="73">
        <f t="shared" si="37"/>
        <v>8.1193458277509816</v>
      </c>
      <c r="AO36" s="73">
        <f t="shared" si="38"/>
        <v>309.8337812935406</v>
      </c>
      <c r="AP36" s="73">
        <f t="shared" si="39"/>
        <v>12854.63378129354</v>
      </c>
    </row>
    <row r="37" spans="1:42" s="31" customFormat="1" x14ac:dyDescent="0.6">
      <c r="A37" s="70">
        <f t="shared" si="10"/>
        <v>16</v>
      </c>
      <c r="B37" s="70" t="str">
        <f>IF(E37&lt;=$F$9,VLOOKUP(KALKULATOR!A37,Robocze!$B$23:$C$102,2),"")</f>
        <v>2 rok</v>
      </c>
      <c r="C37" s="70">
        <f t="shared" si="25"/>
        <v>2022</v>
      </c>
      <c r="D37" s="71">
        <f t="shared" si="40"/>
        <v>41.333333333333371</v>
      </c>
      <c r="E37" s="77">
        <f t="shared" si="41"/>
        <v>44621</v>
      </c>
      <c r="F37" s="72">
        <f t="shared" si="26"/>
        <v>44651</v>
      </c>
      <c r="G37" s="73">
        <f>IFERROR(IF(AND(F37&lt;=$F$9,$F$5=Robocze!$B$4,$E37&lt;=$F$9,MONTH($F$8)=MONTH(E37)),$F$4,0)+IF(AND(F37&lt;=$F$9,$F$5=Robocze!$B$3,E37&lt;=$F$9),KALKULATOR!$F$4/12,0),"")</f>
        <v>0</v>
      </c>
      <c r="H37" s="73">
        <f t="shared" si="27"/>
        <v>12544.8</v>
      </c>
      <c r="I37" s="74">
        <f t="shared" si="11"/>
        <v>0.04</v>
      </c>
      <c r="J37" s="73">
        <f t="shared" si="12"/>
        <v>0</v>
      </c>
      <c r="K37" s="75" t="str">
        <f t="shared" si="13"/>
        <v/>
      </c>
      <c r="L37" s="73">
        <f t="shared" si="14"/>
        <v>12544.8</v>
      </c>
      <c r="M37" s="73">
        <f t="shared" si="15"/>
        <v>12934.337326293724</v>
      </c>
      <c r="N37" s="73">
        <f t="shared" si="16"/>
        <v>12934.337326293724</v>
      </c>
      <c r="O37" s="73">
        <f t="shared" si="17"/>
        <v>12890.729782000732</v>
      </c>
      <c r="P37" s="73">
        <f t="shared" si="18"/>
        <v>12890.729782000732</v>
      </c>
      <c r="Q37" s="73">
        <f t="shared" si="19"/>
        <v>12889.341292503032</v>
      </c>
      <c r="R37" s="73"/>
      <c r="S37" s="76">
        <f t="shared" si="28"/>
        <v>0.17</v>
      </c>
      <c r="T37" s="73">
        <f t="shared" si="42"/>
        <v>43.095926262256391</v>
      </c>
      <c r="U37" s="73">
        <f t="shared" si="29"/>
        <v>12971.873804939172</v>
      </c>
      <c r="V37" s="76">
        <f t="shared" si="30"/>
        <v>0.17</v>
      </c>
      <c r="W37" s="73">
        <f t="shared" si="31"/>
        <v>0</v>
      </c>
      <c r="X37" s="73">
        <f>IF(B37&lt;&gt;"",IF(MONTH(E37)=MONTH($F$13),SUMIF($C$22:C501,"="&amp;(C37-1),$G$22:G501),0)*S37,"")</f>
        <v>0</v>
      </c>
      <c r="Y37" s="73">
        <f>IF(B37&lt;&gt;"",SUM($X$22:X37),"")</f>
        <v>1066.308</v>
      </c>
      <c r="Z37" s="73">
        <f t="shared" si="43"/>
        <v>3.6613612186902391</v>
      </c>
      <c r="AA37" s="73">
        <f t="shared" si="32"/>
        <v>0.69565863155114549</v>
      </c>
      <c r="AB37" s="73">
        <f t="shared" si="33"/>
        <v>35.066068194211077</v>
      </c>
      <c r="AC37" s="73">
        <f t="shared" si="34"/>
        <v>1101.3740681942108</v>
      </c>
      <c r="AD37" s="73">
        <f>IFERROR($U37*(1-$V37)+SUM($W$22:$W37)+$AB37,"")</f>
        <v>12934.337326293724</v>
      </c>
      <c r="AE37" s="73" t="b">
        <f t="shared" si="35"/>
        <v>0</v>
      </c>
      <c r="AF37" s="73">
        <f>IF(AND(AE37=TRUE,D37&gt;=65),$U37*(1-10%)+SUM($W$22:$W37)+$AB37,AD37)</f>
        <v>12934.337326293724</v>
      </c>
      <c r="AG37" s="73">
        <f t="shared" si="20"/>
        <v>43.095926262256391</v>
      </c>
      <c r="AH37" s="73">
        <f t="shared" si="21"/>
        <v>427.07380493917481</v>
      </c>
      <c r="AI37" s="73">
        <f t="shared" si="22"/>
        <v>12971.873804939174</v>
      </c>
      <c r="AJ37" s="73">
        <f t="shared" si="23"/>
        <v>12890.729782000732</v>
      </c>
      <c r="AK37" s="73" t="b">
        <f t="shared" si="36"/>
        <v>0</v>
      </c>
      <c r="AL37" s="73">
        <f t="shared" si="24"/>
        <v>12890.729782000732</v>
      </c>
      <c r="AM37" s="73">
        <f t="shared" si="44"/>
        <v>42.848779270978469</v>
      </c>
      <c r="AN37" s="73">
        <f t="shared" si="37"/>
        <v>8.1412680614859099</v>
      </c>
      <c r="AO37" s="73">
        <f t="shared" si="38"/>
        <v>344.54129250303231</v>
      </c>
      <c r="AP37" s="73">
        <f t="shared" si="39"/>
        <v>12889.341292503032</v>
      </c>
    </row>
    <row r="38" spans="1:42" s="31" customFormat="1" x14ac:dyDescent="0.6">
      <c r="A38" s="70">
        <f t="shared" si="10"/>
        <v>17</v>
      </c>
      <c r="B38" s="70" t="str">
        <f>IF(E38&lt;=$F$9,VLOOKUP(KALKULATOR!A38,Robocze!$B$23:$C$102,2),"")</f>
        <v>2 rok</v>
      </c>
      <c r="C38" s="70">
        <f t="shared" si="25"/>
        <v>2022</v>
      </c>
      <c r="D38" s="71">
        <f t="shared" si="40"/>
        <v>41.416666666666707</v>
      </c>
      <c r="E38" s="77">
        <f t="shared" si="41"/>
        <v>44652</v>
      </c>
      <c r="F38" s="72">
        <f t="shared" si="26"/>
        <v>44681</v>
      </c>
      <c r="G38" s="73">
        <f>IFERROR(IF(AND(F38&lt;=$F$9,$F$5=Robocze!$B$4,$E38&lt;=$F$9,MONTH($F$8)=MONTH(E38)),$F$4,0)+IF(AND(F38&lt;=$F$9,$F$5=Robocze!$B$3,E38&lt;=$F$9),KALKULATOR!$F$4/12,0),"")</f>
        <v>0</v>
      </c>
      <c r="H38" s="73">
        <f t="shared" si="27"/>
        <v>12544.8</v>
      </c>
      <c r="I38" s="74">
        <f t="shared" si="11"/>
        <v>0.04</v>
      </c>
      <c r="J38" s="73">
        <f t="shared" si="12"/>
        <v>0</v>
      </c>
      <c r="K38" s="75" t="str">
        <f t="shared" si="13"/>
        <v/>
      </c>
      <c r="L38" s="73">
        <f t="shared" si="14"/>
        <v>12544.8</v>
      </c>
      <c r="M38" s="73">
        <f t="shared" si="15"/>
        <v>12976.07891873818</v>
      </c>
      <c r="N38" s="73">
        <f t="shared" si="16"/>
        <v>12976.07891873818</v>
      </c>
      <c r="O38" s="73">
        <f t="shared" si="17"/>
        <v>12925.753841274067</v>
      </c>
      <c r="P38" s="73">
        <f t="shared" si="18"/>
        <v>12925.753841274067</v>
      </c>
      <c r="Q38" s="73">
        <f t="shared" si="19"/>
        <v>12924.142513992791</v>
      </c>
      <c r="R38" s="73"/>
      <c r="S38" s="76">
        <f t="shared" si="28"/>
        <v>0.17</v>
      </c>
      <c r="T38" s="73">
        <f t="shared" si="42"/>
        <v>43.239579349797246</v>
      </c>
      <c r="U38" s="73">
        <f t="shared" si="29"/>
        <v>13015.11338428897</v>
      </c>
      <c r="V38" s="76">
        <f t="shared" si="30"/>
        <v>0.17</v>
      </c>
      <c r="W38" s="73">
        <f t="shared" si="31"/>
        <v>0</v>
      </c>
      <c r="X38" s="73">
        <f>IF(B38&lt;&gt;"",IF(MONTH(E38)=MONTH($F$13),SUMIF($C$22:C501,"="&amp;(C38-1),$G$22:G501),0)*S38,"")</f>
        <v>1066.308</v>
      </c>
      <c r="Y38" s="73">
        <f>IF(B38&lt;&gt;"",SUM($X$22:X38),"")</f>
        <v>2132.616</v>
      </c>
      <c r="Z38" s="73">
        <f t="shared" si="43"/>
        <v>7.2256068939807028</v>
      </c>
      <c r="AA38" s="73">
        <f t="shared" si="32"/>
        <v>1.3728653098563335</v>
      </c>
      <c r="AB38" s="73">
        <f t="shared" si="33"/>
        <v>40.918809778335444</v>
      </c>
      <c r="AC38" s="73">
        <f t="shared" si="34"/>
        <v>2173.5348097783353</v>
      </c>
      <c r="AD38" s="73">
        <f>IFERROR($U38*(1-$V38)+SUM($W$22:$W38)+$AB38,"")</f>
        <v>12976.07891873818</v>
      </c>
      <c r="AE38" s="73" t="b">
        <f t="shared" si="35"/>
        <v>0</v>
      </c>
      <c r="AF38" s="73">
        <f>IF(AND(AE38=TRUE,D38&gt;=65),$U38*(1-10%)+SUM($W$22:$W38)+$AB38,AD38)</f>
        <v>12976.07891873818</v>
      </c>
      <c r="AG38" s="73">
        <f t="shared" si="20"/>
        <v>43.239579349797246</v>
      </c>
      <c r="AH38" s="73">
        <f t="shared" si="21"/>
        <v>470.31338428897203</v>
      </c>
      <c r="AI38" s="73">
        <f t="shared" si="22"/>
        <v>13015.113384288972</v>
      </c>
      <c r="AJ38" s="73">
        <f t="shared" si="23"/>
        <v>12925.753841274067</v>
      </c>
      <c r="AK38" s="73" t="b">
        <f t="shared" si="36"/>
        <v>0</v>
      </c>
      <c r="AL38" s="73">
        <f t="shared" si="24"/>
        <v>12925.753841274067</v>
      </c>
      <c r="AM38" s="73">
        <f t="shared" si="44"/>
        <v>42.964470975010101</v>
      </c>
      <c r="AN38" s="73">
        <f t="shared" si="37"/>
        <v>8.1632494852519191</v>
      </c>
      <c r="AO38" s="73">
        <f t="shared" si="38"/>
        <v>379.34251399279128</v>
      </c>
      <c r="AP38" s="73">
        <f t="shared" si="39"/>
        <v>12924.142513992791</v>
      </c>
    </row>
    <row r="39" spans="1:42" s="31" customFormat="1" x14ac:dyDescent="0.6">
      <c r="A39" s="70">
        <f t="shared" si="10"/>
        <v>18</v>
      </c>
      <c r="B39" s="70" t="str">
        <f>IF(E39&lt;=$F$9,VLOOKUP(KALKULATOR!A39,Robocze!$B$23:$C$102,2),"")</f>
        <v>2 rok</v>
      </c>
      <c r="C39" s="70">
        <f t="shared" si="25"/>
        <v>2022</v>
      </c>
      <c r="D39" s="71">
        <f t="shared" si="40"/>
        <v>41.500000000000043</v>
      </c>
      <c r="E39" s="77">
        <f t="shared" si="41"/>
        <v>44682</v>
      </c>
      <c r="F39" s="72">
        <f t="shared" si="26"/>
        <v>44712</v>
      </c>
      <c r="G39" s="73">
        <f>IFERROR(IF(AND(F39&lt;=$F$9,$F$5=Robocze!$B$4,$E39&lt;=$F$9,MONTH($F$8)=MONTH(E39)),$F$4,0)+IF(AND(F39&lt;=$F$9,$F$5=Robocze!$B$3,E39&lt;=$F$9),KALKULATOR!$F$4/12,0),"")</f>
        <v>0</v>
      </c>
      <c r="H39" s="73">
        <f t="shared" si="27"/>
        <v>12544.8</v>
      </c>
      <c r="I39" s="74">
        <f t="shared" si="11"/>
        <v>0.04</v>
      </c>
      <c r="J39" s="73">
        <f t="shared" si="12"/>
        <v>0</v>
      </c>
      <c r="K39" s="75" t="str">
        <f t="shared" si="13"/>
        <v/>
      </c>
      <c r="L39" s="73">
        <f t="shared" si="14"/>
        <v>12544.8</v>
      </c>
      <c r="M39" s="73">
        <f t="shared" si="15"/>
        <v>13017.955943087782</v>
      </c>
      <c r="N39" s="73">
        <f t="shared" si="16"/>
        <v>13017.955943087782</v>
      </c>
      <c r="O39" s="73">
        <f t="shared" si="17"/>
        <v>12960.894647411647</v>
      </c>
      <c r="P39" s="73">
        <f t="shared" si="18"/>
        <v>12960.894647411647</v>
      </c>
      <c r="Q39" s="73">
        <f t="shared" si="19"/>
        <v>12959.037698780572</v>
      </c>
      <c r="R39" s="73"/>
      <c r="S39" s="76">
        <f t="shared" si="28"/>
        <v>0.17</v>
      </c>
      <c r="T39" s="73">
        <f t="shared" si="42"/>
        <v>43.38371128096324</v>
      </c>
      <c r="U39" s="73">
        <f t="shared" si="29"/>
        <v>13058.497095569934</v>
      </c>
      <c r="V39" s="76">
        <f t="shared" si="30"/>
        <v>0.17</v>
      </c>
      <c r="W39" s="73">
        <f t="shared" si="31"/>
        <v>0</v>
      </c>
      <c r="X39" s="73">
        <f>IF(B39&lt;&gt;"",IF(MONTH(E39)=MONTH($F$13),SUMIF($C$22:C501,"="&amp;(C39-1),$G$22:G501),0)*S39,"")</f>
        <v>0</v>
      </c>
      <c r="Y39" s="73">
        <f>IF(B39&lt;&gt;"",SUM($X$22:X39),"")</f>
        <v>2132.616</v>
      </c>
      <c r="Z39" s="73">
        <f t="shared" si="43"/>
        <v>7.2451160325944519</v>
      </c>
      <c r="AA39" s="73">
        <f t="shared" si="32"/>
        <v>1.3765720461929458</v>
      </c>
      <c r="AB39" s="73">
        <f t="shared" si="33"/>
        <v>46.787353764736949</v>
      </c>
      <c r="AC39" s="73">
        <f t="shared" si="34"/>
        <v>2179.4033537647369</v>
      </c>
      <c r="AD39" s="73">
        <f>IFERROR($U39*(1-$V39)+SUM($W$22:$W39)+$AB39,"")</f>
        <v>13017.955943087782</v>
      </c>
      <c r="AE39" s="73" t="b">
        <f t="shared" si="35"/>
        <v>0</v>
      </c>
      <c r="AF39" s="73">
        <f>IF(AND(AE39=TRUE,D39&gt;=65),$U39*(1-10%)+SUM($W$22:$W39)+$AB39,AD39)</f>
        <v>13017.955943087782</v>
      </c>
      <c r="AG39" s="73">
        <f t="shared" si="20"/>
        <v>43.38371128096324</v>
      </c>
      <c r="AH39" s="73">
        <f t="shared" si="21"/>
        <v>513.6970955699353</v>
      </c>
      <c r="AI39" s="73">
        <f t="shared" si="22"/>
        <v>13058.497095569935</v>
      </c>
      <c r="AJ39" s="73">
        <f t="shared" si="23"/>
        <v>12960.894647411647</v>
      </c>
      <c r="AK39" s="73" t="b">
        <f t="shared" si="36"/>
        <v>0</v>
      </c>
      <c r="AL39" s="73">
        <f t="shared" si="24"/>
        <v>12960.894647411647</v>
      </c>
      <c r="AM39" s="73">
        <f t="shared" si="44"/>
        <v>43.08047504664264</v>
      </c>
      <c r="AN39" s="73">
        <f t="shared" si="37"/>
        <v>8.1852902588621017</v>
      </c>
      <c r="AO39" s="73">
        <f t="shared" si="38"/>
        <v>414.23769878057283</v>
      </c>
      <c r="AP39" s="73">
        <f t="shared" si="39"/>
        <v>12959.037698780572</v>
      </c>
    </row>
    <row r="40" spans="1:42" s="31" customFormat="1" x14ac:dyDescent="0.6">
      <c r="A40" s="70">
        <f t="shared" si="10"/>
        <v>19</v>
      </c>
      <c r="B40" s="70" t="str">
        <f>IF(E40&lt;=$F$9,VLOOKUP(KALKULATOR!A40,Robocze!$B$23:$C$102,2),"")</f>
        <v>2 rok</v>
      </c>
      <c r="C40" s="70">
        <f t="shared" si="25"/>
        <v>2022</v>
      </c>
      <c r="D40" s="71">
        <f t="shared" si="40"/>
        <v>41.583333333333378</v>
      </c>
      <c r="E40" s="77">
        <f t="shared" si="41"/>
        <v>44713</v>
      </c>
      <c r="F40" s="72">
        <f t="shared" si="26"/>
        <v>44742</v>
      </c>
      <c r="G40" s="73">
        <f>IFERROR(IF(AND(F40&lt;=$F$9,$F$5=Robocze!$B$4,$E40&lt;=$F$9,MONTH($F$8)=MONTH(E40)),$F$4,0)+IF(AND(F40&lt;=$F$9,$F$5=Robocze!$B$3,E40&lt;=$F$9),KALKULATOR!$F$4/12,0),"")</f>
        <v>0</v>
      </c>
      <c r="H40" s="73">
        <f t="shared" si="27"/>
        <v>12544.8</v>
      </c>
      <c r="I40" s="74">
        <f t="shared" si="11"/>
        <v>0.04</v>
      </c>
      <c r="J40" s="73">
        <f t="shared" si="12"/>
        <v>0</v>
      </c>
      <c r="K40" s="75" t="str">
        <f t="shared" si="13"/>
        <v/>
      </c>
      <c r="L40" s="73">
        <f t="shared" si="14"/>
        <v>12544.8</v>
      </c>
      <c r="M40" s="73">
        <f t="shared" si="15"/>
        <v>13059.968840774023</v>
      </c>
      <c r="N40" s="73">
        <f t="shared" si="16"/>
        <v>13059.968840774023</v>
      </c>
      <c r="O40" s="73">
        <f t="shared" si="17"/>
        <v>12996.152589569685</v>
      </c>
      <c r="P40" s="73">
        <f t="shared" si="18"/>
        <v>12996.152589569685</v>
      </c>
      <c r="Q40" s="73">
        <f t="shared" si="19"/>
        <v>12994.02710056728</v>
      </c>
      <c r="R40" s="73"/>
      <c r="S40" s="76">
        <f t="shared" si="28"/>
        <v>0.17</v>
      </c>
      <c r="T40" s="73">
        <f t="shared" si="42"/>
        <v>43.528323651899782</v>
      </c>
      <c r="U40" s="73">
        <f t="shared" si="29"/>
        <v>13102.025419221833</v>
      </c>
      <c r="V40" s="76">
        <f t="shared" si="30"/>
        <v>0.17</v>
      </c>
      <c r="W40" s="73">
        <f t="shared" si="31"/>
        <v>0</v>
      </c>
      <c r="X40" s="73">
        <f>IF(B40&lt;&gt;"",IF(MONTH(E40)=MONTH($F$13),SUMIF($C$22:C501,"="&amp;(C40-1),$G$22:G501),0)*S40,"")</f>
        <v>0</v>
      </c>
      <c r="Y40" s="73">
        <f>IF(B40&lt;&gt;"",SUM($X$22:X40),"")</f>
        <v>2132.616</v>
      </c>
      <c r="Z40" s="73">
        <f t="shared" si="43"/>
        <v>7.2646778458824564</v>
      </c>
      <c r="AA40" s="73">
        <f t="shared" si="32"/>
        <v>1.3802887907176666</v>
      </c>
      <c r="AB40" s="73">
        <f t="shared" si="33"/>
        <v>52.671742819901745</v>
      </c>
      <c r="AC40" s="73">
        <f t="shared" si="34"/>
        <v>2185.2877428199017</v>
      </c>
      <c r="AD40" s="73">
        <f>IFERROR($U40*(1-$V40)+SUM($W$22:$W40)+$AB40,"")</f>
        <v>13059.968840774023</v>
      </c>
      <c r="AE40" s="73" t="b">
        <f t="shared" si="35"/>
        <v>0</v>
      </c>
      <c r="AF40" s="73">
        <f>IF(AND(AE40=TRUE,D40&gt;=65),$U40*(1-10%)+SUM($W$22:$W40)+$AB40,AD40)</f>
        <v>13059.968840774023</v>
      </c>
      <c r="AG40" s="73">
        <f t="shared" si="20"/>
        <v>43.52832365189979</v>
      </c>
      <c r="AH40" s="73">
        <f t="shared" si="21"/>
        <v>557.22541922183507</v>
      </c>
      <c r="AI40" s="73">
        <f t="shared" si="22"/>
        <v>13102.025419221834</v>
      </c>
      <c r="AJ40" s="73">
        <f t="shared" si="23"/>
        <v>12996.152589569685</v>
      </c>
      <c r="AK40" s="73" t="b">
        <f t="shared" si="36"/>
        <v>0</v>
      </c>
      <c r="AL40" s="73">
        <f t="shared" si="24"/>
        <v>12996.152589569685</v>
      </c>
      <c r="AM40" s="73">
        <f t="shared" si="44"/>
        <v>43.196792329268568</v>
      </c>
      <c r="AN40" s="73">
        <f t="shared" si="37"/>
        <v>8.2073905425610274</v>
      </c>
      <c r="AO40" s="73">
        <f t="shared" si="38"/>
        <v>449.22710056728101</v>
      </c>
      <c r="AP40" s="73">
        <f t="shared" si="39"/>
        <v>12994.02710056728</v>
      </c>
    </row>
    <row r="41" spans="1:42" s="31" customFormat="1" x14ac:dyDescent="0.6">
      <c r="A41" s="70">
        <f t="shared" si="10"/>
        <v>20</v>
      </c>
      <c r="B41" s="70" t="str">
        <f>IF(E41&lt;=$F$9,VLOOKUP(KALKULATOR!A41,Robocze!$B$23:$C$102,2),"")</f>
        <v>2 rok</v>
      </c>
      <c r="C41" s="70">
        <f t="shared" si="25"/>
        <v>2022</v>
      </c>
      <c r="D41" s="71">
        <f t="shared" si="40"/>
        <v>41.666666666666714</v>
      </c>
      <c r="E41" s="77">
        <f t="shared" si="41"/>
        <v>44743</v>
      </c>
      <c r="F41" s="72">
        <f t="shared" si="26"/>
        <v>44773</v>
      </c>
      <c r="G41" s="73">
        <f>IFERROR(IF(AND(F41&lt;=$F$9,$F$5=Robocze!$B$4,$E41&lt;=$F$9,MONTH($F$8)=MONTH(E41)),$F$4,0)+IF(AND(F41&lt;=$F$9,$F$5=Robocze!$B$3,E41&lt;=$F$9),KALKULATOR!$F$4/12,0),"")</f>
        <v>0</v>
      </c>
      <c r="H41" s="73">
        <f t="shared" si="27"/>
        <v>12544.8</v>
      </c>
      <c r="I41" s="74">
        <f t="shared" si="11"/>
        <v>0.04</v>
      </c>
      <c r="J41" s="73">
        <f t="shared" si="12"/>
        <v>0</v>
      </c>
      <c r="K41" s="75" t="str">
        <f t="shared" si="13"/>
        <v/>
      </c>
      <c r="L41" s="73">
        <f t="shared" si="14"/>
        <v>12544.8</v>
      </c>
      <c r="M41" s="73">
        <f t="shared" si="15"/>
        <v>13102.118054672817</v>
      </c>
      <c r="N41" s="73">
        <f t="shared" si="16"/>
        <v>13102.118054672817</v>
      </c>
      <c r="O41" s="73">
        <f t="shared" si="17"/>
        <v>13031.528058201584</v>
      </c>
      <c r="P41" s="73">
        <f t="shared" si="18"/>
        <v>13031.528058201584</v>
      </c>
      <c r="Q41" s="73">
        <f t="shared" si="19"/>
        <v>13029.110973738812</v>
      </c>
      <c r="R41" s="73"/>
      <c r="S41" s="76">
        <f t="shared" si="28"/>
        <v>0.17</v>
      </c>
      <c r="T41" s="73">
        <f t="shared" si="42"/>
        <v>43.673418064072777</v>
      </c>
      <c r="U41" s="73">
        <f t="shared" si="29"/>
        <v>13145.698837285905</v>
      </c>
      <c r="V41" s="76">
        <f t="shared" si="30"/>
        <v>0.17</v>
      </c>
      <c r="W41" s="73">
        <f t="shared" si="31"/>
        <v>0</v>
      </c>
      <c r="X41" s="73">
        <f>IF(B41&lt;&gt;"",IF(MONTH(E41)=MONTH($F$13),SUMIF($C$22:C501,"="&amp;(C41-1),$G$22:G501),0)*S41,"")</f>
        <v>0</v>
      </c>
      <c r="Y41" s="73">
        <f>IF(B41&lt;&gt;"",SUM($X$22:X41),"")</f>
        <v>2132.616</v>
      </c>
      <c r="Z41" s="73">
        <f t="shared" si="43"/>
        <v>7.2842924760663399</v>
      </c>
      <c r="AA41" s="73">
        <f t="shared" si="32"/>
        <v>1.3840155704526047</v>
      </c>
      <c r="AB41" s="73">
        <f t="shared" si="33"/>
        <v>58.572019725515482</v>
      </c>
      <c r="AC41" s="73">
        <f t="shared" si="34"/>
        <v>2191.1880197255155</v>
      </c>
      <c r="AD41" s="73">
        <f>IFERROR($U41*(1-$V41)+SUM($W$22:$W41)+$AB41,"")</f>
        <v>13102.118054672817</v>
      </c>
      <c r="AE41" s="73" t="b">
        <f t="shared" si="35"/>
        <v>0</v>
      </c>
      <c r="AF41" s="73">
        <f>IF(AND(AE41=TRUE,D41&gt;=65),$U41*(1-10%)+SUM($W$22:$W41)+$AB41,AD41)</f>
        <v>13102.118054672817</v>
      </c>
      <c r="AG41" s="73">
        <f t="shared" si="20"/>
        <v>43.673418064072784</v>
      </c>
      <c r="AH41" s="73">
        <f t="shared" si="21"/>
        <v>600.8988372859078</v>
      </c>
      <c r="AI41" s="73">
        <f t="shared" si="22"/>
        <v>13145.698837285907</v>
      </c>
      <c r="AJ41" s="73">
        <f t="shared" si="23"/>
        <v>13031.528058201584</v>
      </c>
      <c r="AK41" s="73" t="b">
        <f t="shared" si="36"/>
        <v>0</v>
      </c>
      <c r="AL41" s="73">
        <f t="shared" si="24"/>
        <v>13031.528058201584</v>
      </c>
      <c r="AM41" s="73">
        <f t="shared" si="44"/>
        <v>43.313423668557597</v>
      </c>
      <c r="AN41" s="73">
        <f t="shared" si="37"/>
        <v>8.2295504970259437</v>
      </c>
      <c r="AO41" s="73">
        <f t="shared" si="38"/>
        <v>484.31097373881312</v>
      </c>
      <c r="AP41" s="73">
        <f t="shared" si="39"/>
        <v>13029.110973738812</v>
      </c>
    </row>
    <row r="42" spans="1:42" s="31" customFormat="1" x14ac:dyDescent="0.6">
      <c r="A42" s="70">
        <f t="shared" si="10"/>
        <v>21</v>
      </c>
      <c r="B42" s="70" t="str">
        <f>IF(E42&lt;=$F$9,VLOOKUP(KALKULATOR!A42,Robocze!$B$23:$C$102,2),"")</f>
        <v>2 rok</v>
      </c>
      <c r="C42" s="70">
        <f t="shared" si="25"/>
        <v>2022</v>
      </c>
      <c r="D42" s="71">
        <f t="shared" si="40"/>
        <v>41.75000000000005</v>
      </c>
      <c r="E42" s="77">
        <f t="shared" si="41"/>
        <v>44774</v>
      </c>
      <c r="F42" s="72">
        <f t="shared" si="26"/>
        <v>44804</v>
      </c>
      <c r="G42" s="73">
        <f>IFERROR(IF(AND(F42&lt;=$F$9,$F$5=Robocze!$B$4,$E42&lt;=$F$9,MONTH($F$8)=MONTH(E42)),$F$4,0)+IF(AND(F42&lt;=$F$9,$F$5=Robocze!$B$3,E42&lt;=$F$9),KALKULATOR!$F$4/12,0),"")</f>
        <v>0</v>
      </c>
      <c r="H42" s="73">
        <f t="shared" si="27"/>
        <v>12544.8</v>
      </c>
      <c r="I42" s="74">
        <f t="shared" si="11"/>
        <v>0.04</v>
      </c>
      <c r="J42" s="73">
        <f t="shared" si="12"/>
        <v>0</v>
      </c>
      <c r="K42" s="75" t="str">
        <f t="shared" si="13"/>
        <v/>
      </c>
      <c r="L42" s="73">
        <f t="shared" si="14"/>
        <v>12544.8</v>
      </c>
      <c r="M42" s="73">
        <f t="shared" si="15"/>
        <v>13144.404029109233</v>
      </c>
      <c r="N42" s="73">
        <f t="shared" si="16"/>
        <v>13144.404029109233</v>
      </c>
      <c r="O42" s="73">
        <f t="shared" si="17"/>
        <v>13067.021445062255</v>
      </c>
      <c r="P42" s="73">
        <f t="shared" si="18"/>
        <v>13067.021445062255</v>
      </c>
      <c r="Q42" s="73">
        <f t="shared" si="19"/>
        <v>13064.289573367907</v>
      </c>
      <c r="R42" s="73"/>
      <c r="S42" s="76">
        <f t="shared" si="28"/>
        <v>0.17</v>
      </c>
      <c r="T42" s="73">
        <f t="shared" si="42"/>
        <v>43.81899612428635</v>
      </c>
      <c r="U42" s="73">
        <f t="shared" si="29"/>
        <v>13189.517833410191</v>
      </c>
      <c r="V42" s="76">
        <f t="shared" si="30"/>
        <v>0.17</v>
      </c>
      <c r="W42" s="73">
        <f t="shared" si="31"/>
        <v>0</v>
      </c>
      <c r="X42" s="73">
        <f>IF(B42&lt;&gt;"",IF(MONTH(E42)=MONTH($F$13),SUMIF($C$22:C501,"="&amp;(C42-1),$G$22:G501),0)*S42,"")</f>
        <v>0</v>
      </c>
      <c r="Y42" s="73">
        <f>IF(B42&lt;&gt;"",SUM($X$22:X42),"")</f>
        <v>2132.616</v>
      </c>
      <c r="Z42" s="73">
        <f t="shared" si="43"/>
        <v>7.3039600657517179</v>
      </c>
      <c r="AA42" s="73">
        <f t="shared" si="32"/>
        <v>1.3877524124928264</v>
      </c>
      <c r="AB42" s="73">
        <f t="shared" si="33"/>
        <v>64.488227378774369</v>
      </c>
      <c r="AC42" s="73">
        <f t="shared" si="34"/>
        <v>2197.1042273787743</v>
      </c>
      <c r="AD42" s="73">
        <f>IFERROR($U42*(1-$V42)+SUM($W$22:$W42)+$AB42,"")</f>
        <v>13144.404029109233</v>
      </c>
      <c r="AE42" s="73" t="b">
        <f t="shared" si="35"/>
        <v>0</v>
      </c>
      <c r="AF42" s="73">
        <f>IF(AND(AE42=TRUE,D42&gt;=65),$U42*(1-10%)+SUM($W$22:$W42)+$AB42,AD42)</f>
        <v>13144.404029109233</v>
      </c>
      <c r="AG42" s="73">
        <f t="shared" si="20"/>
        <v>43.81899612428635</v>
      </c>
      <c r="AH42" s="73">
        <f t="shared" si="21"/>
        <v>644.7178334101942</v>
      </c>
      <c r="AI42" s="73">
        <f t="shared" si="22"/>
        <v>13189.517833410193</v>
      </c>
      <c r="AJ42" s="73">
        <f t="shared" si="23"/>
        <v>13067.021445062255</v>
      </c>
      <c r="AK42" s="73" t="b">
        <f t="shared" si="36"/>
        <v>0</v>
      </c>
      <c r="AL42" s="73">
        <f t="shared" si="24"/>
        <v>13067.021445062255</v>
      </c>
      <c r="AM42" s="73">
        <f t="shared" si="44"/>
        <v>43.430369912462709</v>
      </c>
      <c r="AN42" s="73">
        <f t="shared" si="37"/>
        <v>8.2517702833679145</v>
      </c>
      <c r="AO42" s="73">
        <f t="shared" si="38"/>
        <v>519.48957336790772</v>
      </c>
      <c r="AP42" s="73">
        <f t="shared" si="39"/>
        <v>13064.289573367907</v>
      </c>
    </row>
    <row r="43" spans="1:42" s="31" customFormat="1" x14ac:dyDescent="0.6">
      <c r="A43" s="70">
        <f t="shared" si="10"/>
        <v>22</v>
      </c>
      <c r="B43" s="70" t="str">
        <f>IF(E43&lt;=$F$9,VLOOKUP(KALKULATOR!A43,Robocze!$B$23:$C$102,2),"")</f>
        <v>2 rok</v>
      </c>
      <c r="C43" s="70">
        <f t="shared" si="25"/>
        <v>2022</v>
      </c>
      <c r="D43" s="71">
        <f t="shared" si="40"/>
        <v>41.833333333333385</v>
      </c>
      <c r="E43" s="77">
        <f t="shared" si="41"/>
        <v>44805</v>
      </c>
      <c r="F43" s="72">
        <f t="shared" si="26"/>
        <v>44834</v>
      </c>
      <c r="G43" s="73">
        <f>IFERROR(IF(AND(F43&lt;=$F$9,$F$5=Robocze!$B$4,$E43&lt;=$F$9,MONTH($F$8)=MONTH(E43)),$F$4,0)+IF(AND(F43&lt;=$F$9,$F$5=Robocze!$B$3,E43&lt;=$F$9),KALKULATOR!$F$4/12,0),"")</f>
        <v>0</v>
      </c>
      <c r="H43" s="73">
        <f t="shared" si="27"/>
        <v>12544.8</v>
      </c>
      <c r="I43" s="74">
        <f t="shared" si="11"/>
        <v>0.04</v>
      </c>
      <c r="J43" s="73">
        <f t="shared" si="12"/>
        <v>0</v>
      </c>
      <c r="K43" s="75" t="str">
        <f t="shared" si="13"/>
        <v/>
      </c>
      <c r="L43" s="73">
        <f t="shared" si="14"/>
        <v>12544.8</v>
      </c>
      <c r="M43" s="73">
        <f t="shared" si="15"/>
        <v>13186.827209862256</v>
      </c>
      <c r="N43" s="73">
        <f t="shared" si="16"/>
        <v>13186.827209862256</v>
      </c>
      <c r="O43" s="73">
        <f t="shared" si="17"/>
        <v>13102.633143212464</v>
      </c>
      <c r="P43" s="73">
        <f t="shared" si="18"/>
        <v>13102.633143212464</v>
      </c>
      <c r="Q43" s="73">
        <f t="shared" si="19"/>
        <v>13099.563155215999</v>
      </c>
      <c r="R43" s="73"/>
      <c r="S43" s="76">
        <f t="shared" si="28"/>
        <v>0.17</v>
      </c>
      <c r="T43" s="73">
        <f t="shared" si="42"/>
        <v>43.965059444700643</v>
      </c>
      <c r="U43" s="73">
        <f t="shared" si="29"/>
        <v>13233.482892854892</v>
      </c>
      <c r="V43" s="76">
        <f t="shared" si="30"/>
        <v>0.17</v>
      </c>
      <c r="W43" s="73">
        <f t="shared" si="31"/>
        <v>0</v>
      </c>
      <c r="X43" s="73">
        <f>IF(B43&lt;&gt;"",IF(MONTH(E43)=MONTH($F$13),SUMIF($C$22:C501,"="&amp;(C43-1),$G$22:G501),0)*S43,"")</f>
        <v>0</v>
      </c>
      <c r="Y43" s="73">
        <f>IF(B43&lt;&gt;"",SUM($X$22:X43),"")</f>
        <v>2132.616</v>
      </c>
      <c r="Z43" s="73">
        <f t="shared" si="43"/>
        <v>7.3236807579292487</v>
      </c>
      <c r="AA43" s="73">
        <f t="shared" si="32"/>
        <v>1.3914993440065573</v>
      </c>
      <c r="AB43" s="73">
        <f t="shared" si="33"/>
        <v>70.42040879269706</v>
      </c>
      <c r="AC43" s="73">
        <f t="shared" si="34"/>
        <v>2203.0364087926969</v>
      </c>
      <c r="AD43" s="73">
        <f>IFERROR($U43*(1-$V43)+SUM($W$22:$W43)+$AB43,"")</f>
        <v>13186.827209862256</v>
      </c>
      <c r="AE43" s="73" t="b">
        <f t="shared" si="35"/>
        <v>0</v>
      </c>
      <c r="AF43" s="73">
        <f>IF(AND(AE43=TRUE,D43&gt;=65),$U43*(1-10%)+SUM($W$22:$W43)+$AB43,AD43)</f>
        <v>13186.827209862256</v>
      </c>
      <c r="AG43" s="73">
        <f t="shared" si="20"/>
        <v>43.965059444700643</v>
      </c>
      <c r="AH43" s="73">
        <f t="shared" si="21"/>
        <v>688.68289285489482</v>
      </c>
      <c r="AI43" s="73">
        <f t="shared" si="22"/>
        <v>13233.482892854894</v>
      </c>
      <c r="AJ43" s="73">
        <f t="shared" si="23"/>
        <v>13102.633143212464</v>
      </c>
      <c r="AK43" s="73" t="b">
        <f t="shared" si="36"/>
        <v>0</v>
      </c>
      <c r="AL43" s="73">
        <f t="shared" si="24"/>
        <v>13102.633143212464</v>
      </c>
      <c r="AM43" s="73">
        <f t="shared" si="44"/>
        <v>43.547631911226354</v>
      </c>
      <c r="AN43" s="73">
        <f t="shared" si="37"/>
        <v>8.2740500631330072</v>
      </c>
      <c r="AO43" s="73">
        <f t="shared" si="38"/>
        <v>554.76315521600009</v>
      </c>
      <c r="AP43" s="73">
        <f t="shared" si="39"/>
        <v>13099.563155215999</v>
      </c>
    </row>
    <row r="44" spans="1:42" s="31" customFormat="1" x14ac:dyDescent="0.6">
      <c r="A44" s="70">
        <f t="shared" si="10"/>
        <v>23</v>
      </c>
      <c r="B44" s="70" t="str">
        <f>IF(E44&lt;=$F$9,VLOOKUP(KALKULATOR!A44,Robocze!$B$23:$C$102,2),"")</f>
        <v>2 rok</v>
      </c>
      <c r="C44" s="70">
        <f t="shared" si="25"/>
        <v>2022</v>
      </c>
      <c r="D44" s="71">
        <f t="shared" si="40"/>
        <v>41.916666666666721</v>
      </c>
      <c r="E44" s="77">
        <f t="shared" si="41"/>
        <v>44835</v>
      </c>
      <c r="F44" s="72">
        <f t="shared" si="26"/>
        <v>44865</v>
      </c>
      <c r="G44" s="73">
        <f>IFERROR(IF(AND(F44&lt;=$F$9,$F$5=Robocze!$B$4,$E44&lt;=$F$9,MONTH($F$8)=MONTH(E44)),$F$4,0)+IF(AND(F44&lt;=$F$9,$F$5=Robocze!$B$3,E44&lt;=$F$9),KALKULATOR!$F$4/12,0),"")</f>
        <v>0</v>
      </c>
      <c r="H44" s="73">
        <f t="shared" si="27"/>
        <v>12544.8</v>
      </c>
      <c r="I44" s="74">
        <f t="shared" si="11"/>
        <v>0.04</v>
      </c>
      <c r="J44" s="73">
        <f t="shared" si="12"/>
        <v>0</v>
      </c>
      <c r="K44" s="75" t="str">
        <f t="shared" si="13"/>
        <v/>
      </c>
      <c r="L44" s="73">
        <f t="shared" si="14"/>
        <v>12544.8</v>
      </c>
      <c r="M44" s="73">
        <f t="shared" si="15"/>
        <v>13229.388044169564</v>
      </c>
      <c r="N44" s="73">
        <f t="shared" si="16"/>
        <v>13229.388044169564</v>
      </c>
      <c r="O44" s="73">
        <f t="shared" si="17"/>
        <v>13138.363547023173</v>
      </c>
      <c r="P44" s="73">
        <f t="shared" si="18"/>
        <v>13138.363547023173</v>
      </c>
      <c r="Q44" s="73">
        <f t="shared" si="19"/>
        <v>13134.931975735082</v>
      </c>
      <c r="R44" s="73"/>
      <c r="S44" s="76">
        <f t="shared" si="28"/>
        <v>0.17</v>
      </c>
      <c r="T44" s="73">
        <f t="shared" si="42"/>
        <v>44.111609642849643</v>
      </c>
      <c r="U44" s="73">
        <f t="shared" si="29"/>
        <v>13277.594502497743</v>
      </c>
      <c r="V44" s="76">
        <f t="shared" si="30"/>
        <v>0.17</v>
      </c>
      <c r="W44" s="73">
        <f t="shared" si="31"/>
        <v>0</v>
      </c>
      <c r="X44" s="73">
        <f>IF(B44&lt;&gt;"",IF(MONTH(E44)=MONTH($F$13),SUMIF($C$22:C501,"="&amp;(C44-1),$G$22:G501),0)*S44,"")</f>
        <v>0</v>
      </c>
      <c r="Y44" s="73">
        <f>IF(B44&lt;&gt;"",SUM($X$22:X44),"")</f>
        <v>2132.616</v>
      </c>
      <c r="Z44" s="73">
        <f t="shared" si="43"/>
        <v>7.3434546959756561</v>
      </c>
      <c r="AA44" s="73">
        <f t="shared" si="32"/>
        <v>1.3952563922353747</v>
      </c>
      <c r="AB44" s="73">
        <f t="shared" si="33"/>
        <v>76.36860709643733</v>
      </c>
      <c r="AC44" s="73">
        <f t="shared" si="34"/>
        <v>2208.9846070964372</v>
      </c>
      <c r="AD44" s="73">
        <f>IFERROR($U44*(1-$V44)+SUM($W$22:$W44)+$AB44,"")</f>
        <v>13229.388044169564</v>
      </c>
      <c r="AE44" s="73" t="b">
        <f t="shared" si="35"/>
        <v>0</v>
      </c>
      <c r="AF44" s="73">
        <f>IF(AND(AE44=TRUE,D44&gt;=65),$U44*(1-10%)+SUM($W$22:$W44)+$AB44,AD44)</f>
        <v>13229.388044169564</v>
      </c>
      <c r="AG44" s="73">
        <f t="shared" si="20"/>
        <v>44.11160964284965</v>
      </c>
      <c r="AH44" s="73">
        <f t="shared" si="21"/>
        <v>732.79450249774447</v>
      </c>
      <c r="AI44" s="73">
        <f t="shared" si="22"/>
        <v>13277.594502497745</v>
      </c>
      <c r="AJ44" s="73">
        <f t="shared" si="23"/>
        <v>13138.363547023173</v>
      </c>
      <c r="AK44" s="73" t="b">
        <f t="shared" si="36"/>
        <v>0</v>
      </c>
      <c r="AL44" s="73">
        <f t="shared" si="24"/>
        <v>13138.363547023173</v>
      </c>
      <c r="AM44" s="73">
        <f t="shared" si="44"/>
        <v>43.665210517386669</v>
      </c>
      <c r="AN44" s="73">
        <f t="shared" si="37"/>
        <v>8.2963899983034679</v>
      </c>
      <c r="AO44" s="73">
        <f t="shared" si="38"/>
        <v>590.13197573508296</v>
      </c>
      <c r="AP44" s="73">
        <f t="shared" si="39"/>
        <v>13134.931975735082</v>
      </c>
    </row>
    <row r="45" spans="1:42" s="69" customFormat="1" x14ac:dyDescent="0.6">
      <c r="A45" s="78">
        <f t="shared" si="10"/>
        <v>24</v>
      </c>
      <c r="B45" s="78" t="str">
        <f>IF(E45&lt;=$F$9,VLOOKUP(KALKULATOR!A45,Robocze!$B$23:$C$102,2),"")</f>
        <v>2 rok</v>
      </c>
      <c r="C45" s="78">
        <f t="shared" si="25"/>
        <v>2022</v>
      </c>
      <c r="D45" s="79">
        <f t="shared" si="40"/>
        <v>42.000000000000057</v>
      </c>
      <c r="E45" s="80">
        <f t="shared" si="41"/>
        <v>44866</v>
      </c>
      <c r="F45" s="81">
        <f t="shared" si="26"/>
        <v>44895</v>
      </c>
      <c r="G45" s="82">
        <f>IFERROR(IF(AND(F45&lt;=$F$9,$F$5=Robocze!$B$4,$E45&lt;=$F$9,MONTH($F$8)=MONTH(E45)),$F$4,0)+IF(AND(F45&lt;=$F$9,$F$5=Robocze!$B$3,E45&lt;=$F$9),KALKULATOR!$F$4/12,0),"")</f>
        <v>0</v>
      </c>
      <c r="H45" s="82">
        <f t="shared" si="27"/>
        <v>12544.8</v>
      </c>
      <c r="I45" s="83">
        <f t="shared" si="11"/>
        <v>0.04</v>
      </c>
      <c r="J45" s="82">
        <f t="shared" si="12"/>
        <v>0</v>
      </c>
      <c r="K45" s="84">
        <f t="shared" si="13"/>
        <v>2</v>
      </c>
      <c r="L45" s="82">
        <f t="shared" si="14"/>
        <v>12544.8</v>
      </c>
      <c r="M45" s="82">
        <f t="shared" si="15"/>
        <v>13272.086980732302</v>
      </c>
      <c r="N45" s="82">
        <f t="shared" si="16"/>
        <v>13272.086980732302</v>
      </c>
      <c r="O45" s="82">
        <f t="shared" si="17"/>
        <v>13174.213052179915</v>
      </c>
      <c r="P45" s="82">
        <f t="shared" si="18"/>
        <v>13174.213052179915</v>
      </c>
      <c r="Q45" s="82">
        <f t="shared" si="19"/>
        <v>13170.396292069569</v>
      </c>
      <c r="R45" s="82"/>
      <c r="S45" s="85">
        <f t="shared" si="28"/>
        <v>0.17</v>
      </c>
      <c r="T45" s="82">
        <f t="shared" si="42"/>
        <v>44.258648341659146</v>
      </c>
      <c r="U45" s="82">
        <f t="shared" si="29"/>
        <v>13321.853150839403</v>
      </c>
      <c r="V45" s="85">
        <f t="shared" si="30"/>
        <v>0.17</v>
      </c>
      <c r="W45" s="82">
        <f t="shared" si="31"/>
        <v>0</v>
      </c>
      <c r="X45" s="82">
        <f>IF(B45&lt;&gt;"",IF(MONTH(E45)=MONTH($F$13),SUMIF($C$22:C501,"="&amp;(C45-1),$G$22:G501),0)*S45,"")</f>
        <v>0</v>
      </c>
      <c r="Y45" s="82">
        <f>IF(B45&lt;&gt;"",SUM($X$22:X45),"")</f>
        <v>2132.616</v>
      </c>
      <c r="Z45" s="82">
        <f t="shared" si="43"/>
        <v>7.3632820236547909</v>
      </c>
      <c r="AA45" s="82">
        <f t="shared" si="32"/>
        <v>1.3990235844944103</v>
      </c>
      <c r="AB45" s="82">
        <f t="shared" si="33"/>
        <v>82.332865535597705</v>
      </c>
      <c r="AC45" s="82">
        <f t="shared" si="34"/>
        <v>2214.9488655355976</v>
      </c>
      <c r="AD45" s="82">
        <f>IFERROR($U45*(1-$V45)+SUM($W$22:$W45)+$AB45,"")</f>
        <v>13272.086980732302</v>
      </c>
      <c r="AE45" s="73" t="b">
        <f t="shared" si="35"/>
        <v>0</v>
      </c>
      <c r="AF45" s="73">
        <f>IF(AND(AE45=TRUE,D45&gt;=65),$U45*(1-10%)+SUM($W$22:$W45)+$AB45,AD45)</f>
        <v>13272.086980732302</v>
      </c>
      <c r="AG45" s="82">
        <f t="shared" si="20"/>
        <v>44.258648341659153</v>
      </c>
      <c r="AH45" s="82">
        <f t="shared" si="21"/>
        <v>777.05315083940366</v>
      </c>
      <c r="AI45" s="82">
        <f t="shared" si="22"/>
        <v>13321.853150839403</v>
      </c>
      <c r="AJ45" s="82">
        <f t="shared" si="23"/>
        <v>13174.213052179915</v>
      </c>
      <c r="AK45" s="73" t="b">
        <f t="shared" si="36"/>
        <v>0</v>
      </c>
      <c r="AL45" s="82">
        <f t="shared" si="24"/>
        <v>13174.213052179915</v>
      </c>
      <c r="AM45" s="82">
        <f t="shared" si="44"/>
        <v>43.783106585783607</v>
      </c>
      <c r="AN45" s="82">
        <f t="shared" si="37"/>
        <v>8.3187902512988856</v>
      </c>
      <c r="AO45" s="82">
        <f t="shared" si="38"/>
        <v>625.59629206956924</v>
      </c>
      <c r="AP45" s="82">
        <f t="shared" si="39"/>
        <v>13170.396292069569</v>
      </c>
    </row>
    <row r="46" spans="1:42" s="31" customFormat="1" x14ac:dyDescent="0.6">
      <c r="A46" s="70">
        <f t="shared" si="10"/>
        <v>25</v>
      </c>
      <c r="B46" s="70" t="str">
        <f>IF(E46&lt;=$F$9,VLOOKUP(KALKULATOR!A46,Robocze!$B$23:$C$102,2),"")</f>
        <v>3 rok</v>
      </c>
      <c r="C46" s="70">
        <f t="shared" si="25"/>
        <v>2022</v>
      </c>
      <c r="D46" s="71">
        <f t="shared" si="40"/>
        <v>42.083333333333393</v>
      </c>
      <c r="E46" s="72">
        <f t="shared" si="41"/>
        <v>44896</v>
      </c>
      <c r="F46" s="72">
        <f t="shared" si="26"/>
        <v>44926</v>
      </c>
      <c r="G46" s="73">
        <f>IFERROR(IF(AND(F46&lt;=$F$9,$F$5=Robocze!$B$4,$E46&lt;=$F$9,MONTH($F$8)=MONTH(E46)),$F$4,0)+IF(AND(F46&lt;=$F$9,$F$5=Robocze!$B$3,E46&lt;=$F$9),KALKULATOR!$F$4/12,0),"")</f>
        <v>6272.4</v>
      </c>
      <c r="H46" s="73">
        <f t="shared" si="27"/>
        <v>18817.199999999997</v>
      </c>
      <c r="I46" s="74">
        <f t="shared" si="11"/>
        <v>0.04</v>
      </c>
      <c r="J46" s="73">
        <f t="shared" si="12"/>
        <v>0</v>
      </c>
      <c r="K46" s="75" t="str">
        <f t="shared" si="13"/>
        <v/>
      </c>
      <c r="L46" s="73">
        <f t="shared" si="14"/>
        <v>18817.199999999997</v>
      </c>
      <c r="M46" s="73">
        <f t="shared" si="15"/>
        <v>19604.678109719902</v>
      </c>
      <c r="N46" s="73">
        <f t="shared" si="16"/>
        <v>19604.678109719902</v>
      </c>
      <c r="O46" s="73">
        <f t="shared" si="17"/>
        <v>19499.51753568718</v>
      </c>
      <c r="P46" s="73">
        <f t="shared" si="18"/>
        <v>19499.51753568718</v>
      </c>
      <c r="Q46" s="73">
        <f t="shared" si="19"/>
        <v>19495.291842058155</v>
      </c>
      <c r="R46" s="73"/>
      <c r="S46" s="76">
        <f t="shared" si="28"/>
        <v>0.17</v>
      </c>
      <c r="T46" s="73">
        <f t="shared" si="42"/>
        <v>65.314177169464685</v>
      </c>
      <c r="U46" s="73">
        <f t="shared" si="29"/>
        <v>19659.567328008867</v>
      </c>
      <c r="V46" s="76">
        <f t="shared" si="30"/>
        <v>0.17</v>
      </c>
      <c r="W46" s="73">
        <f t="shared" si="31"/>
        <v>1066.308</v>
      </c>
      <c r="X46" s="73">
        <f>IF(B46&lt;&gt;"",IF(MONTH(E46)=MONTH($F$13),SUMIF($C$22:C501,"="&amp;(C46-1),$G$22:G501),0)*S46,"")</f>
        <v>0</v>
      </c>
      <c r="Y46" s="73">
        <f>IF(B46&lt;&gt;"",SUM($X$22:X46),"")</f>
        <v>2132.616</v>
      </c>
      <c r="Z46" s="73">
        <f t="shared" si="43"/>
        <v>7.3831628851186588</v>
      </c>
      <c r="AA46" s="73">
        <f t="shared" si="32"/>
        <v>1.4028009481725452</v>
      </c>
      <c r="AB46" s="73">
        <f t="shared" si="33"/>
        <v>88.313227472543829</v>
      </c>
      <c r="AC46" s="73">
        <f t="shared" si="34"/>
        <v>2220.9292274725435</v>
      </c>
      <c r="AD46" s="73">
        <f>IFERROR($U46*(1-$V46)+SUM($W$22:$W46)+$AB46,"")</f>
        <v>19604.678109719902</v>
      </c>
      <c r="AE46" s="73" t="b">
        <f t="shared" si="35"/>
        <v>0</v>
      </c>
      <c r="AF46" s="73">
        <f>IF(AND(AE46=TRUE,D46&gt;=65),$U46*(1-10%)+SUM($W$22:$W46)+$AB46,AD46)</f>
        <v>19604.678109719902</v>
      </c>
      <c r="AG46" s="73">
        <f t="shared" si="20"/>
        <v>65.314177169464685</v>
      </c>
      <c r="AH46" s="73">
        <f t="shared" si="21"/>
        <v>842.3673280088683</v>
      </c>
      <c r="AI46" s="73">
        <f t="shared" si="22"/>
        <v>19659.567328008867</v>
      </c>
      <c r="AJ46" s="73">
        <f t="shared" si="23"/>
        <v>19499.51753568718</v>
      </c>
      <c r="AK46" s="73" t="b">
        <f t="shared" si="36"/>
        <v>0</v>
      </c>
      <c r="AL46" s="73">
        <f t="shared" si="24"/>
        <v>19499.51753568718</v>
      </c>
      <c r="AM46" s="73">
        <f t="shared" si="44"/>
        <v>64.809320973565221</v>
      </c>
      <c r="AN46" s="73">
        <f t="shared" si="37"/>
        <v>12.313770984977392</v>
      </c>
      <c r="AO46" s="73">
        <f t="shared" si="38"/>
        <v>678.09184205815836</v>
      </c>
      <c r="AP46" s="73">
        <f t="shared" si="39"/>
        <v>19495.291842058155</v>
      </c>
    </row>
    <row r="47" spans="1:42" s="31" customFormat="1" x14ac:dyDescent="0.6">
      <c r="A47" s="70">
        <f t="shared" si="10"/>
        <v>26</v>
      </c>
      <c r="B47" s="70" t="str">
        <f>IF(E47&lt;=$F$9,VLOOKUP(KALKULATOR!A47,Robocze!$B$23:$C$102,2),"")</f>
        <v>3 rok</v>
      </c>
      <c r="C47" s="70">
        <f t="shared" si="25"/>
        <v>2023</v>
      </c>
      <c r="D47" s="71">
        <f t="shared" si="40"/>
        <v>42.166666666666728</v>
      </c>
      <c r="E47" s="77">
        <f t="shared" si="41"/>
        <v>44927</v>
      </c>
      <c r="F47" s="72">
        <f t="shared" si="26"/>
        <v>44957</v>
      </c>
      <c r="G47" s="73">
        <f>IFERROR(IF(AND(F47&lt;=$F$9,$F$5=Robocze!$B$4,$E47&lt;=$F$9,MONTH($F$8)=MONTH(E47)),$F$4,0)+IF(AND(F47&lt;=$F$9,$F$5=Robocze!$B$3,E47&lt;=$F$9),KALKULATOR!$F$4/12,0),"")</f>
        <v>0</v>
      </c>
      <c r="H47" s="73">
        <f t="shared" si="27"/>
        <v>18817.199999999997</v>
      </c>
      <c r="I47" s="74">
        <f t="shared" si="11"/>
        <v>0.04</v>
      </c>
      <c r="J47" s="73">
        <f t="shared" si="12"/>
        <v>0</v>
      </c>
      <c r="K47" s="75" t="str">
        <f t="shared" si="13"/>
        <v/>
      </c>
      <c r="L47" s="73">
        <f t="shared" si="14"/>
        <v>18817.199999999997</v>
      </c>
      <c r="M47" s="73">
        <f t="shared" si="15"/>
        <v>19665.066088241572</v>
      </c>
      <c r="N47" s="73">
        <f t="shared" si="16"/>
        <v>19665.066088241572</v>
      </c>
      <c r="O47" s="73">
        <f t="shared" si="17"/>
        <v>19552.598367472801</v>
      </c>
      <c r="P47" s="73">
        <f t="shared" si="18"/>
        <v>19552.598367472801</v>
      </c>
      <c r="Q47" s="73">
        <f t="shared" si="19"/>
        <v>19547.929130031713</v>
      </c>
      <c r="R47" s="73"/>
      <c r="S47" s="76">
        <f t="shared" si="28"/>
        <v>0.17</v>
      </c>
      <c r="T47" s="73">
        <f t="shared" si="42"/>
        <v>65.531891093362887</v>
      </c>
      <c r="U47" s="73">
        <f t="shared" si="29"/>
        <v>19725.099219102231</v>
      </c>
      <c r="V47" s="76">
        <f t="shared" si="30"/>
        <v>0.17</v>
      </c>
      <c r="W47" s="73">
        <f t="shared" si="31"/>
        <v>0</v>
      </c>
      <c r="X47" s="73">
        <f>IF(B47&lt;&gt;"",IF(MONTH(E47)=MONTH($F$13),SUMIF($C$22:C501,"="&amp;(C47-1),$G$22:G501),0)*S47,"")</f>
        <v>0</v>
      </c>
      <c r="Y47" s="73">
        <f>IF(B47&lt;&gt;"",SUM($X$22:X47),"")</f>
        <v>2132.616</v>
      </c>
      <c r="Z47" s="73">
        <f t="shared" si="43"/>
        <v>7.403097424908478</v>
      </c>
      <c r="AA47" s="73">
        <f t="shared" si="32"/>
        <v>1.4065885107326108</v>
      </c>
      <c r="AB47" s="73">
        <f t="shared" si="33"/>
        <v>94.309736386719706</v>
      </c>
      <c r="AC47" s="73">
        <f t="shared" si="34"/>
        <v>2226.9257363867196</v>
      </c>
      <c r="AD47" s="73">
        <f>IFERROR($U47*(1-$V47)+SUM($W$22:$W47)+$AB47,"")</f>
        <v>19665.066088241572</v>
      </c>
      <c r="AE47" s="73" t="b">
        <f t="shared" si="35"/>
        <v>0</v>
      </c>
      <c r="AF47" s="73">
        <f>IF(AND(AE47=TRUE,D47&gt;=65),$U47*(1-10%)+SUM($W$22:$W47)+$AB47,AD47)</f>
        <v>19665.066088241572</v>
      </c>
      <c r="AG47" s="73">
        <f t="shared" si="20"/>
        <v>65.531891093362887</v>
      </c>
      <c r="AH47" s="73">
        <f t="shared" si="21"/>
        <v>907.8992191022312</v>
      </c>
      <c r="AI47" s="73">
        <f t="shared" si="22"/>
        <v>19725.099219102227</v>
      </c>
      <c r="AJ47" s="73">
        <f t="shared" si="23"/>
        <v>19552.598367472801</v>
      </c>
      <c r="AK47" s="73" t="b">
        <f t="shared" si="36"/>
        <v>0</v>
      </c>
      <c r="AL47" s="73">
        <f t="shared" si="24"/>
        <v>19552.598367472801</v>
      </c>
      <c r="AM47" s="73">
        <f t="shared" si="44"/>
        <v>64.984306140193851</v>
      </c>
      <c r="AN47" s="73">
        <f t="shared" si="37"/>
        <v>12.347018166636833</v>
      </c>
      <c r="AO47" s="73">
        <f t="shared" si="38"/>
        <v>730.72913003171561</v>
      </c>
      <c r="AP47" s="73">
        <f t="shared" si="39"/>
        <v>19547.929130031713</v>
      </c>
    </row>
    <row r="48" spans="1:42" s="31" customFormat="1" x14ac:dyDescent="0.6">
      <c r="A48" s="70">
        <f t="shared" si="10"/>
        <v>27</v>
      </c>
      <c r="B48" s="70" t="str">
        <f>IF(E48&lt;=$F$9,VLOOKUP(KALKULATOR!A48,Robocze!$B$23:$C$102,2),"")</f>
        <v>3 rok</v>
      </c>
      <c r="C48" s="70">
        <f t="shared" si="25"/>
        <v>2023</v>
      </c>
      <c r="D48" s="71">
        <f t="shared" si="40"/>
        <v>42.250000000000064</v>
      </c>
      <c r="E48" s="77">
        <f t="shared" si="41"/>
        <v>44958</v>
      </c>
      <c r="F48" s="72">
        <f t="shared" si="26"/>
        <v>44985</v>
      </c>
      <c r="G48" s="73">
        <f>IFERROR(IF(AND(F48&lt;=$F$9,$F$5=Robocze!$B$4,$E48&lt;=$F$9,MONTH($F$8)=MONTH(E48)),$F$4,0)+IF(AND(F48&lt;=$F$9,$F$5=Robocze!$B$3,E48&lt;=$F$9),KALKULATOR!$F$4/12,0),"")</f>
        <v>0</v>
      </c>
      <c r="H48" s="73">
        <f t="shared" si="27"/>
        <v>18817.199999999997</v>
      </c>
      <c r="I48" s="74">
        <f t="shared" si="11"/>
        <v>0.04</v>
      </c>
      <c r="J48" s="73">
        <f t="shared" si="12"/>
        <v>0</v>
      </c>
      <c r="K48" s="75" t="str">
        <f t="shared" si="13"/>
        <v/>
      </c>
      <c r="L48" s="73">
        <f t="shared" si="14"/>
        <v>18817.199999999997</v>
      </c>
      <c r="M48" s="73">
        <f t="shared" si="15"/>
        <v>19725.651562235998</v>
      </c>
      <c r="N48" s="73">
        <f t="shared" si="16"/>
        <v>19725.651562235998</v>
      </c>
      <c r="O48" s="73">
        <f t="shared" si="17"/>
        <v>19605.856135364378</v>
      </c>
      <c r="P48" s="73">
        <f t="shared" si="18"/>
        <v>19605.856135364378</v>
      </c>
      <c r="Q48" s="73">
        <f t="shared" si="19"/>
        <v>19600.7085386828</v>
      </c>
      <c r="R48" s="73"/>
      <c r="S48" s="76">
        <f t="shared" si="28"/>
        <v>0.17</v>
      </c>
      <c r="T48" s="73">
        <f t="shared" si="42"/>
        <v>65.750330730340778</v>
      </c>
      <c r="U48" s="73">
        <f t="shared" si="29"/>
        <v>19790.849549832572</v>
      </c>
      <c r="V48" s="76">
        <f t="shared" si="30"/>
        <v>0.17</v>
      </c>
      <c r="W48" s="73">
        <f t="shared" si="31"/>
        <v>0</v>
      </c>
      <c r="X48" s="73">
        <f>IF(B48&lt;&gt;"",IF(MONTH(E48)=MONTH($F$13),SUMIF($C$22:C501,"="&amp;(C48-1),$G$22:G501),0)*S48,"")</f>
        <v>0</v>
      </c>
      <c r="Y48" s="73">
        <f>IF(B48&lt;&gt;"",SUM($X$22:X48),"")</f>
        <v>2132.616</v>
      </c>
      <c r="Z48" s="73">
        <f t="shared" si="43"/>
        <v>7.4230857879557322</v>
      </c>
      <c r="AA48" s="73">
        <f t="shared" si="32"/>
        <v>1.410386299711589</v>
      </c>
      <c r="AB48" s="73">
        <f t="shared" si="33"/>
        <v>100.32243587496384</v>
      </c>
      <c r="AC48" s="73">
        <f t="shared" si="34"/>
        <v>2232.9384358749635</v>
      </c>
      <c r="AD48" s="73">
        <f>IFERROR($U48*(1-$V48)+SUM($W$22:$W48)+$AB48,"")</f>
        <v>19725.651562235998</v>
      </c>
      <c r="AE48" s="73" t="b">
        <f t="shared" si="35"/>
        <v>0</v>
      </c>
      <c r="AF48" s="73">
        <f>IF(AND(AE48=TRUE,D48&gt;=65),$U48*(1-10%)+SUM($W$22:$W48)+$AB48,AD48)</f>
        <v>19725.651562235998</v>
      </c>
      <c r="AG48" s="73">
        <f t="shared" si="20"/>
        <v>65.750330730340764</v>
      </c>
      <c r="AH48" s="73">
        <f t="shared" si="21"/>
        <v>973.64954983257201</v>
      </c>
      <c r="AI48" s="73">
        <f t="shared" si="22"/>
        <v>19790.849549832568</v>
      </c>
      <c r="AJ48" s="73">
        <f t="shared" si="23"/>
        <v>19605.856135364378</v>
      </c>
      <c r="AK48" s="73" t="b">
        <f t="shared" si="36"/>
        <v>0</v>
      </c>
      <c r="AL48" s="73">
        <f t="shared" si="24"/>
        <v>19605.856135364378</v>
      </c>
      <c r="AM48" s="73">
        <f t="shared" si="44"/>
        <v>65.159763766772372</v>
      </c>
      <c r="AN48" s="73">
        <f t="shared" si="37"/>
        <v>12.380355115686751</v>
      </c>
      <c r="AO48" s="73">
        <f t="shared" si="38"/>
        <v>783.50853868280319</v>
      </c>
      <c r="AP48" s="73">
        <f t="shared" si="39"/>
        <v>19600.7085386828</v>
      </c>
    </row>
    <row r="49" spans="1:42" s="31" customFormat="1" x14ac:dyDescent="0.6">
      <c r="A49" s="70">
        <f t="shared" si="10"/>
        <v>28</v>
      </c>
      <c r="B49" s="70" t="str">
        <f>IF(E49&lt;=$F$9,VLOOKUP(KALKULATOR!A49,Robocze!$B$23:$C$102,2),"")</f>
        <v>3 rok</v>
      </c>
      <c r="C49" s="70">
        <f t="shared" si="25"/>
        <v>2023</v>
      </c>
      <c r="D49" s="71">
        <f t="shared" si="40"/>
        <v>42.3333333333334</v>
      </c>
      <c r="E49" s="77">
        <f t="shared" si="41"/>
        <v>44986</v>
      </c>
      <c r="F49" s="72">
        <f t="shared" si="26"/>
        <v>45016</v>
      </c>
      <c r="G49" s="73">
        <f>IFERROR(IF(AND(F49&lt;=$F$9,$F$5=Robocze!$B$4,$E49&lt;=$F$9,MONTH($F$8)=MONTH(E49)),$F$4,0)+IF(AND(F49&lt;=$F$9,$F$5=Robocze!$B$3,E49&lt;=$F$9),KALKULATOR!$F$4/12,0),"")</f>
        <v>0</v>
      </c>
      <c r="H49" s="73">
        <f t="shared" si="27"/>
        <v>18817.199999999997</v>
      </c>
      <c r="I49" s="74">
        <f t="shared" si="11"/>
        <v>0.04</v>
      </c>
      <c r="J49" s="73">
        <f t="shared" si="12"/>
        <v>0</v>
      </c>
      <c r="K49" s="75" t="str">
        <f t="shared" si="13"/>
        <v/>
      </c>
      <c r="L49" s="73">
        <f t="shared" si="14"/>
        <v>18817.199999999997</v>
      </c>
      <c r="M49" s="73">
        <f t="shared" si="15"/>
        <v>19786.435179767399</v>
      </c>
      <c r="N49" s="73">
        <f t="shared" si="16"/>
        <v>19786.435179767399</v>
      </c>
      <c r="O49" s="73">
        <f t="shared" si="17"/>
        <v>19659.291429148929</v>
      </c>
      <c r="P49" s="73">
        <f t="shared" si="18"/>
        <v>19659.291429148929</v>
      </c>
      <c r="Q49" s="73">
        <f t="shared" si="19"/>
        <v>19653.630451737245</v>
      </c>
      <c r="R49" s="73"/>
      <c r="S49" s="76">
        <f t="shared" si="28"/>
        <v>0.17</v>
      </c>
      <c r="T49" s="73">
        <f t="shared" si="42"/>
        <v>65.969498499441912</v>
      </c>
      <c r="U49" s="73">
        <f t="shared" si="29"/>
        <v>19856.819048332014</v>
      </c>
      <c r="V49" s="76">
        <f t="shared" si="30"/>
        <v>0.17</v>
      </c>
      <c r="W49" s="73">
        <f t="shared" si="31"/>
        <v>0</v>
      </c>
      <c r="X49" s="73">
        <f>IF(B49&lt;&gt;"",IF(MONTH(E49)=MONTH($F$13),SUMIF($C$22:C501,"="&amp;(C49-1),$G$22:G501),0)*S49,"")</f>
        <v>0</v>
      </c>
      <c r="Y49" s="73">
        <f>IF(B49&lt;&gt;"",SUM($X$22:X49),"")</f>
        <v>2132.616</v>
      </c>
      <c r="Z49" s="73">
        <f t="shared" si="43"/>
        <v>7.4431281195832115</v>
      </c>
      <c r="AA49" s="73">
        <f t="shared" si="32"/>
        <v>1.4141943427208101</v>
      </c>
      <c r="AB49" s="73">
        <f t="shared" si="33"/>
        <v>106.35136965182625</v>
      </c>
      <c r="AC49" s="73">
        <f t="shared" si="34"/>
        <v>2238.9673696518262</v>
      </c>
      <c r="AD49" s="73">
        <f>IFERROR($U49*(1-$V49)+SUM($W$22:$W49)+$AB49,"")</f>
        <v>19786.435179767399</v>
      </c>
      <c r="AE49" s="73" t="b">
        <f t="shared" si="35"/>
        <v>0</v>
      </c>
      <c r="AF49" s="73">
        <f>IF(AND(AE49=TRUE,D49&gt;=65),$U49*(1-10%)+SUM($W$22:$W49)+$AB49,AD49)</f>
        <v>19786.435179767399</v>
      </c>
      <c r="AG49" s="73">
        <f t="shared" si="20"/>
        <v>65.969498499441897</v>
      </c>
      <c r="AH49" s="73">
        <f t="shared" si="21"/>
        <v>1039.6190483320138</v>
      </c>
      <c r="AI49" s="73">
        <f t="shared" si="22"/>
        <v>19856.81904833201</v>
      </c>
      <c r="AJ49" s="73">
        <f t="shared" si="23"/>
        <v>19659.291429148929</v>
      </c>
      <c r="AK49" s="73" t="b">
        <f t="shared" si="36"/>
        <v>0</v>
      </c>
      <c r="AL49" s="73">
        <f t="shared" si="24"/>
        <v>19659.291429148929</v>
      </c>
      <c r="AM49" s="73">
        <f t="shared" si="44"/>
        <v>65.335695128942675</v>
      </c>
      <c r="AN49" s="73">
        <f t="shared" si="37"/>
        <v>12.413782074499109</v>
      </c>
      <c r="AO49" s="73">
        <f t="shared" si="38"/>
        <v>836.43045173724749</v>
      </c>
      <c r="AP49" s="73">
        <f t="shared" si="39"/>
        <v>19653.630451737245</v>
      </c>
    </row>
    <row r="50" spans="1:42" s="31" customFormat="1" x14ac:dyDescent="0.6">
      <c r="A50" s="70">
        <f t="shared" si="10"/>
        <v>29</v>
      </c>
      <c r="B50" s="70" t="str">
        <f>IF(E50&lt;=$F$9,VLOOKUP(KALKULATOR!A50,Robocze!$B$23:$C$102,2),"")</f>
        <v>3 rok</v>
      </c>
      <c r="C50" s="70">
        <f t="shared" si="25"/>
        <v>2023</v>
      </c>
      <c r="D50" s="71">
        <f t="shared" si="40"/>
        <v>42.416666666666735</v>
      </c>
      <c r="E50" s="77">
        <f t="shared" si="41"/>
        <v>45017</v>
      </c>
      <c r="F50" s="72">
        <f t="shared" si="26"/>
        <v>45046</v>
      </c>
      <c r="G50" s="73">
        <f>IFERROR(IF(AND(F50&lt;=$F$9,$F$5=Robocze!$B$4,$E50&lt;=$F$9,MONTH($F$8)=MONTH(E50)),$F$4,0)+IF(AND(F50&lt;=$F$9,$F$5=Robocze!$B$3,E50&lt;=$F$9),KALKULATOR!$F$4/12,0),"")</f>
        <v>0</v>
      </c>
      <c r="H50" s="73">
        <f t="shared" si="27"/>
        <v>18817.199999999997</v>
      </c>
      <c r="I50" s="74">
        <f t="shared" si="11"/>
        <v>0.04</v>
      </c>
      <c r="J50" s="73">
        <f t="shared" si="12"/>
        <v>0</v>
      </c>
      <c r="K50" s="75" t="str">
        <f t="shared" si="13"/>
        <v/>
      </c>
      <c r="L50" s="73">
        <f t="shared" si="14"/>
        <v>18817.199999999997</v>
      </c>
      <c r="M50" s="73">
        <f t="shared" si="15"/>
        <v>19850.296622632508</v>
      </c>
      <c r="N50" s="73">
        <f t="shared" si="16"/>
        <v>19850.296622632508</v>
      </c>
      <c r="O50" s="73">
        <f t="shared" si="17"/>
        <v>19712.904840579424</v>
      </c>
      <c r="P50" s="73">
        <f t="shared" si="18"/>
        <v>19712.904840579424</v>
      </c>
      <c r="Q50" s="73">
        <f t="shared" si="19"/>
        <v>19706.695253956936</v>
      </c>
      <c r="R50" s="73"/>
      <c r="S50" s="76">
        <f t="shared" si="28"/>
        <v>0.17</v>
      </c>
      <c r="T50" s="73">
        <f t="shared" si="42"/>
        <v>66.189396827773379</v>
      </c>
      <c r="U50" s="73">
        <f t="shared" si="29"/>
        <v>19923.008445159787</v>
      </c>
      <c r="V50" s="76">
        <f t="shared" si="30"/>
        <v>0.17</v>
      </c>
      <c r="W50" s="73">
        <f t="shared" si="31"/>
        <v>0</v>
      </c>
      <c r="X50" s="73">
        <f>IF(B50&lt;&gt;"",IF(MONTH(E50)=MONTH($F$13),SUMIF($C$22:C501,"="&amp;(C50-1),$G$22:G501),0)*S50,"")</f>
        <v>1066.308</v>
      </c>
      <c r="Y50" s="73">
        <f>IF(B50&lt;&gt;"",SUM($X$22:X50),"")</f>
        <v>3198.924</v>
      </c>
      <c r="Z50" s="73">
        <f t="shared" si="43"/>
        <v>11.017584565506086</v>
      </c>
      <c r="AA50" s="73">
        <f t="shared" si="32"/>
        <v>2.0933410674461563</v>
      </c>
      <c r="AB50" s="73">
        <f t="shared" si="33"/>
        <v>115.27561314988617</v>
      </c>
      <c r="AC50" s="73">
        <f t="shared" si="34"/>
        <v>3314.1996131498863</v>
      </c>
      <c r="AD50" s="73">
        <f>IFERROR($U50*(1-$V50)+SUM($W$22:$W50)+$AB50,"")</f>
        <v>19850.296622632508</v>
      </c>
      <c r="AE50" s="73" t="b">
        <f t="shared" si="35"/>
        <v>0</v>
      </c>
      <c r="AF50" s="73">
        <f>IF(AND(AE50=TRUE,D50&gt;=65),$U50*(1-10%)+SUM($W$22:$W50)+$AB50,AD50)</f>
        <v>19850.296622632508</v>
      </c>
      <c r="AG50" s="73">
        <f t="shared" si="20"/>
        <v>66.189396827773365</v>
      </c>
      <c r="AH50" s="73">
        <f t="shared" si="21"/>
        <v>1105.8084451597872</v>
      </c>
      <c r="AI50" s="73">
        <f t="shared" si="22"/>
        <v>19923.008445159783</v>
      </c>
      <c r="AJ50" s="73">
        <f t="shared" si="23"/>
        <v>19712.904840579424</v>
      </c>
      <c r="AK50" s="73" t="b">
        <f t="shared" si="36"/>
        <v>0</v>
      </c>
      <c r="AL50" s="73">
        <f t="shared" si="24"/>
        <v>19712.904840579424</v>
      </c>
      <c r="AM50" s="73">
        <f t="shared" si="44"/>
        <v>65.512101505790824</v>
      </c>
      <c r="AN50" s="73">
        <f t="shared" si="37"/>
        <v>12.447299286100257</v>
      </c>
      <c r="AO50" s="73">
        <f t="shared" si="38"/>
        <v>889.49525395693854</v>
      </c>
      <c r="AP50" s="73">
        <f t="shared" si="39"/>
        <v>19706.695253956936</v>
      </c>
    </row>
    <row r="51" spans="1:42" s="31" customFormat="1" x14ac:dyDescent="0.6">
      <c r="A51" s="70">
        <f t="shared" si="10"/>
        <v>30</v>
      </c>
      <c r="B51" s="70" t="str">
        <f>IF(E51&lt;=$F$9,VLOOKUP(KALKULATOR!A51,Robocze!$B$23:$C$102,2),"")</f>
        <v>3 rok</v>
      </c>
      <c r="C51" s="70">
        <f t="shared" si="25"/>
        <v>2023</v>
      </c>
      <c r="D51" s="71">
        <f t="shared" si="40"/>
        <v>42.500000000000071</v>
      </c>
      <c r="E51" s="77">
        <f t="shared" si="41"/>
        <v>45047</v>
      </c>
      <c r="F51" s="72">
        <f t="shared" si="26"/>
        <v>45077</v>
      </c>
      <c r="G51" s="73">
        <f>IFERROR(IF(AND(F51&lt;=$F$9,$F$5=Robocze!$B$4,$E51&lt;=$F$9,MONTH($F$8)=MONTH(E51)),$F$4,0)+IF(AND(F51&lt;=$F$9,$F$5=Robocze!$B$3,E51&lt;=$F$9),KALKULATOR!$F$4/12,0),"")</f>
        <v>0</v>
      </c>
      <c r="H51" s="73">
        <f t="shared" si="27"/>
        <v>18817.199999999997</v>
      </c>
      <c r="I51" s="74">
        <f t="shared" si="11"/>
        <v>0.04</v>
      </c>
      <c r="J51" s="73">
        <f t="shared" si="12"/>
        <v>0</v>
      </c>
      <c r="K51" s="75" t="str">
        <f t="shared" si="13"/>
        <v/>
      </c>
      <c r="L51" s="73">
        <f t="shared" si="14"/>
        <v>18817.199999999997</v>
      </c>
      <c r="M51" s="73">
        <f t="shared" si="15"/>
        <v>19914.365284952957</v>
      </c>
      <c r="N51" s="73">
        <f t="shared" si="16"/>
        <v>19914.365284952957</v>
      </c>
      <c r="O51" s="73">
        <f t="shared" si="17"/>
        <v>19766.696963381357</v>
      </c>
      <c r="P51" s="73">
        <f t="shared" si="18"/>
        <v>19766.696963381357</v>
      </c>
      <c r="Q51" s="73">
        <f t="shared" si="19"/>
        <v>19759.903331142617</v>
      </c>
      <c r="R51" s="73"/>
      <c r="S51" s="76">
        <f t="shared" si="28"/>
        <v>0.17</v>
      </c>
      <c r="T51" s="73">
        <f t="shared" si="42"/>
        <v>66.410028150532625</v>
      </c>
      <c r="U51" s="73">
        <f t="shared" si="29"/>
        <v>19989.418473310321</v>
      </c>
      <c r="V51" s="76">
        <f t="shared" si="30"/>
        <v>0.17</v>
      </c>
      <c r="W51" s="73">
        <f t="shared" si="31"/>
        <v>0</v>
      </c>
      <c r="X51" s="73">
        <f>IF(B51&lt;&gt;"",IF(MONTH(E51)=MONTH($F$13),SUMIF($C$22:C501,"="&amp;(C51-1),$G$22:G501),0)*S51,"")</f>
        <v>0</v>
      </c>
      <c r="Y51" s="73">
        <f>IF(B51&lt;&gt;"",SUM($X$22:X51),"")</f>
        <v>3198.924</v>
      </c>
      <c r="Z51" s="73">
        <f t="shared" si="43"/>
        <v>11.047332043832954</v>
      </c>
      <c r="AA51" s="73">
        <f t="shared" si="32"/>
        <v>2.0989930883282613</v>
      </c>
      <c r="AB51" s="73">
        <f t="shared" si="33"/>
        <v>124.22395210539086</v>
      </c>
      <c r="AC51" s="73">
        <f t="shared" si="34"/>
        <v>3323.1479521053907</v>
      </c>
      <c r="AD51" s="73">
        <f>IFERROR($U51*(1-$V51)+SUM($W$22:$W51)+$AB51,"")</f>
        <v>19914.365284952957</v>
      </c>
      <c r="AE51" s="73" t="b">
        <f t="shared" si="35"/>
        <v>0</v>
      </c>
      <c r="AF51" s="73">
        <f>IF(AND(AE51=TRUE,D51&gt;=65),$U51*(1-10%)+SUM($W$22:$W51)+$AB51,AD51)</f>
        <v>19914.365284952957</v>
      </c>
      <c r="AG51" s="73">
        <f t="shared" si="20"/>
        <v>66.410028150532611</v>
      </c>
      <c r="AH51" s="73">
        <f t="shared" si="21"/>
        <v>1172.2184733103197</v>
      </c>
      <c r="AI51" s="73">
        <f t="shared" si="22"/>
        <v>19989.418473310317</v>
      </c>
      <c r="AJ51" s="73">
        <f t="shared" si="23"/>
        <v>19766.696963381357</v>
      </c>
      <c r="AK51" s="73" t="b">
        <f t="shared" si="36"/>
        <v>0</v>
      </c>
      <c r="AL51" s="73">
        <f t="shared" si="24"/>
        <v>19766.696963381357</v>
      </c>
      <c r="AM51" s="73">
        <f t="shared" si="44"/>
        <v>65.688984179856462</v>
      </c>
      <c r="AN51" s="73">
        <f t="shared" si="37"/>
        <v>12.480906994172727</v>
      </c>
      <c r="AO51" s="73">
        <f t="shared" si="38"/>
        <v>942.7033311426203</v>
      </c>
      <c r="AP51" s="73">
        <f t="shared" si="39"/>
        <v>19759.903331142617</v>
      </c>
    </row>
    <row r="52" spans="1:42" s="31" customFormat="1" x14ac:dyDescent="0.6">
      <c r="A52" s="70">
        <f t="shared" si="10"/>
        <v>31</v>
      </c>
      <c r="B52" s="70" t="str">
        <f>IF(E52&lt;=$F$9,VLOOKUP(KALKULATOR!A52,Robocze!$B$23:$C$102,2),"")</f>
        <v>3 rok</v>
      </c>
      <c r="C52" s="70">
        <f t="shared" si="25"/>
        <v>2023</v>
      </c>
      <c r="D52" s="71">
        <f t="shared" si="40"/>
        <v>42.583333333333407</v>
      </c>
      <c r="E52" s="77">
        <f t="shared" si="41"/>
        <v>45078</v>
      </c>
      <c r="F52" s="72">
        <f t="shared" si="26"/>
        <v>45107</v>
      </c>
      <c r="G52" s="73">
        <f>IFERROR(IF(AND(F52&lt;=$F$9,$F$5=Robocze!$B$4,$E52&lt;=$F$9,MONTH($F$8)=MONTH(E52)),$F$4,0)+IF(AND(F52&lt;=$F$9,$F$5=Robocze!$B$3,E52&lt;=$F$9),KALKULATOR!$F$4/12,0),"")</f>
        <v>0</v>
      </c>
      <c r="H52" s="73">
        <f t="shared" si="27"/>
        <v>18817.199999999997</v>
      </c>
      <c r="I52" s="74">
        <f t="shared" si="11"/>
        <v>0.04</v>
      </c>
      <c r="J52" s="73">
        <f t="shared" si="12"/>
        <v>0</v>
      </c>
      <c r="K52" s="75" t="str">
        <f t="shared" si="13"/>
        <v/>
      </c>
      <c r="L52" s="73">
        <f t="shared" si="14"/>
        <v>18817.199999999997</v>
      </c>
      <c r="M52" s="73">
        <f t="shared" si="15"/>
        <v>19978.641842199795</v>
      </c>
      <c r="N52" s="73">
        <f t="shared" si="16"/>
        <v>19978.641842199795</v>
      </c>
      <c r="O52" s="73">
        <f t="shared" si="17"/>
        <v>19820.668393259293</v>
      </c>
      <c r="P52" s="73">
        <f t="shared" si="18"/>
        <v>19820.668393259293</v>
      </c>
      <c r="Q52" s="73">
        <f t="shared" si="19"/>
        <v>19813.255070136704</v>
      </c>
      <c r="R52" s="73"/>
      <c r="S52" s="76">
        <f t="shared" si="28"/>
        <v>0.17</v>
      </c>
      <c r="T52" s="73">
        <f t="shared" si="42"/>
        <v>66.631394911034405</v>
      </c>
      <c r="U52" s="73">
        <f t="shared" si="29"/>
        <v>20056.049868221355</v>
      </c>
      <c r="V52" s="76">
        <f t="shared" si="30"/>
        <v>0.17</v>
      </c>
      <c r="W52" s="73">
        <f t="shared" si="31"/>
        <v>0</v>
      </c>
      <c r="X52" s="73">
        <f>IF(B52&lt;&gt;"",IF(MONTH(E52)=MONTH($F$13),SUMIF($C$22:C501,"="&amp;(C52-1),$G$22:G501),0)*S52,"")</f>
        <v>0</v>
      </c>
      <c r="Y52" s="73">
        <f>IF(B52&lt;&gt;"",SUM($X$22:X52),"")</f>
        <v>3198.924</v>
      </c>
      <c r="Z52" s="73">
        <f t="shared" si="43"/>
        <v>11.077159840351301</v>
      </c>
      <c r="AA52" s="73">
        <f t="shared" si="32"/>
        <v>2.1046603696667474</v>
      </c>
      <c r="AB52" s="73">
        <f t="shared" si="33"/>
        <v>133.19645157607542</v>
      </c>
      <c r="AC52" s="73">
        <f t="shared" si="34"/>
        <v>3332.1204515760751</v>
      </c>
      <c r="AD52" s="73">
        <f>IFERROR($U52*(1-$V52)+SUM($W$22:$W52)+$AB52,"")</f>
        <v>19978.641842199795</v>
      </c>
      <c r="AE52" s="73" t="b">
        <f t="shared" si="35"/>
        <v>0</v>
      </c>
      <c r="AF52" s="73">
        <f>IF(AND(AE52=TRUE,D52&gt;=65),$U52*(1-10%)+SUM($W$22:$W52)+$AB52,AD52)</f>
        <v>19978.641842199795</v>
      </c>
      <c r="AG52" s="73">
        <f t="shared" si="20"/>
        <v>66.631394911034391</v>
      </c>
      <c r="AH52" s="73">
        <f t="shared" si="21"/>
        <v>1238.8498682213542</v>
      </c>
      <c r="AI52" s="73">
        <f t="shared" si="22"/>
        <v>20056.049868221351</v>
      </c>
      <c r="AJ52" s="73">
        <f t="shared" si="23"/>
        <v>19820.668393259293</v>
      </c>
      <c r="AK52" s="73" t="b">
        <f t="shared" si="36"/>
        <v>0</v>
      </c>
      <c r="AL52" s="73">
        <f t="shared" si="24"/>
        <v>19820.668393259293</v>
      </c>
      <c r="AM52" s="73">
        <f t="shared" si="44"/>
        <v>65.866344437142061</v>
      </c>
      <c r="AN52" s="73">
        <f t="shared" si="37"/>
        <v>12.514605443056992</v>
      </c>
      <c r="AO52" s="73">
        <f t="shared" si="38"/>
        <v>996.05507013670649</v>
      </c>
      <c r="AP52" s="73">
        <f t="shared" si="39"/>
        <v>19813.255070136704</v>
      </c>
    </row>
    <row r="53" spans="1:42" s="31" customFormat="1" x14ac:dyDescent="0.6">
      <c r="A53" s="70">
        <f t="shared" si="10"/>
        <v>32</v>
      </c>
      <c r="B53" s="70" t="str">
        <f>IF(E53&lt;=$F$9,VLOOKUP(KALKULATOR!A53,Robocze!$B$23:$C$102,2),"")</f>
        <v>3 rok</v>
      </c>
      <c r="C53" s="70">
        <f t="shared" si="25"/>
        <v>2023</v>
      </c>
      <c r="D53" s="71">
        <f t="shared" si="40"/>
        <v>42.666666666666742</v>
      </c>
      <c r="E53" s="77">
        <f t="shared" si="41"/>
        <v>45108</v>
      </c>
      <c r="F53" s="72">
        <f t="shared" si="26"/>
        <v>45138</v>
      </c>
      <c r="G53" s="73">
        <f>IFERROR(IF(AND(F53&lt;=$F$9,$F$5=Robocze!$B$4,$E53&lt;=$F$9,MONTH($F$8)=MONTH(E53)),$F$4,0)+IF(AND(F53&lt;=$F$9,$F$5=Robocze!$B$3,E53&lt;=$F$9),KALKULATOR!$F$4/12,0),"")</f>
        <v>0</v>
      </c>
      <c r="H53" s="73">
        <f t="shared" si="27"/>
        <v>18817.199999999997</v>
      </c>
      <c r="I53" s="74">
        <f t="shared" si="11"/>
        <v>0.04</v>
      </c>
      <c r="J53" s="73">
        <f t="shared" si="12"/>
        <v>0</v>
      </c>
      <c r="K53" s="75" t="str">
        <f t="shared" si="13"/>
        <v/>
      </c>
      <c r="L53" s="73">
        <f t="shared" si="14"/>
        <v>18817.199999999997</v>
      </c>
      <c r="M53" s="73">
        <f t="shared" si="15"/>
        <v>20043.126972054466</v>
      </c>
      <c r="N53" s="73">
        <f t="shared" si="16"/>
        <v>20043.126972054466</v>
      </c>
      <c r="O53" s="73">
        <f t="shared" si="17"/>
        <v>19874.81972790349</v>
      </c>
      <c r="P53" s="73">
        <f t="shared" si="18"/>
        <v>19874.81972790349</v>
      </c>
      <c r="Q53" s="73">
        <f t="shared" si="19"/>
        <v>19866.750858826072</v>
      </c>
      <c r="R53" s="73"/>
      <c r="S53" s="76">
        <f t="shared" si="28"/>
        <v>0.17</v>
      </c>
      <c r="T53" s="73">
        <f t="shared" si="42"/>
        <v>66.853499560737859</v>
      </c>
      <c r="U53" s="73">
        <f t="shared" si="29"/>
        <v>20122.903367782092</v>
      </c>
      <c r="V53" s="76">
        <f t="shared" si="30"/>
        <v>0.17</v>
      </c>
      <c r="W53" s="73">
        <f t="shared" si="31"/>
        <v>0</v>
      </c>
      <c r="X53" s="73">
        <f>IF(B53&lt;&gt;"",IF(MONTH(E53)=MONTH($F$13),SUMIF($C$22:C501,"="&amp;(C53-1),$G$22:G501),0)*S53,"")</f>
        <v>0</v>
      </c>
      <c r="Y53" s="73">
        <f>IF(B53&lt;&gt;"",SUM($X$22:X53),"")</f>
        <v>3198.924</v>
      </c>
      <c r="Z53" s="73">
        <f t="shared" si="43"/>
        <v>11.107068171920252</v>
      </c>
      <c r="AA53" s="73">
        <f t="shared" si="32"/>
        <v>2.1103429526648481</v>
      </c>
      <c r="AB53" s="73">
        <f t="shared" si="33"/>
        <v>142.19317679533083</v>
      </c>
      <c r="AC53" s="73">
        <f t="shared" si="34"/>
        <v>3341.1171767953306</v>
      </c>
      <c r="AD53" s="73">
        <f>IFERROR($U53*(1-$V53)+SUM($W$22:$W53)+$AB53,"")</f>
        <v>20043.126972054466</v>
      </c>
      <c r="AE53" s="73" t="b">
        <f t="shared" si="35"/>
        <v>0</v>
      </c>
      <c r="AF53" s="73">
        <f>IF(AND(AE53=TRUE,D53&gt;=65),$U53*(1-10%)+SUM($W$22:$W53)+$AB53,AD53)</f>
        <v>20043.126972054466</v>
      </c>
      <c r="AG53" s="73">
        <f t="shared" si="20"/>
        <v>66.853499560737831</v>
      </c>
      <c r="AH53" s="73">
        <f t="shared" si="21"/>
        <v>1305.7033677820921</v>
      </c>
      <c r="AI53" s="73">
        <f t="shared" si="22"/>
        <v>20122.903367782088</v>
      </c>
      <c r="AJ53" s="73">
        <f t="shared" si="23"/>
        <v>19874.81972790349</v>
      </c>
      <c r="AK53" s="73" t="b">
        <f t="shared" si="36"/>
        <v>0</v>
      </c>
      <c r="AL53" s="73">
        <f t="shared" si="24"/>
        <v>19874.81972790349</v>
      </c>
      <c r="AM53" s="73">
        <f t="shared" si="44"/>
        <v>66.044183567122346</v>
      </c>
      <c r="AN53" s="73">
        <f t="shared" si="37"/>
        <v>12.548394877753246</v>
      </c>
      <c r="AO53" s="73">
        <f t="shared" si="38"/>
        <v>1049.5508588260745</v>
      </c>
      <c r="AP53" s="73">
        <f t="shared" si="39"/>
        <v>19866.750858826072</v>
      </c>
    </row>
    <row r="54" spans="1:42" s="31" customFormat="1" x14ac:dyDescent="0.6">
      <c r="A54" s="70">
        <f t="shared" si="10"/>
        <v>33</v>
      </c>
      <c r="B54" s="70" t="str">
        <f>IF(E54&lt;=$F$9,VLOOKUP(KALKULATOR!A54,Robocze!$B$23:$C$102,2),"")</f>
        <v>3 rok</v>
      </c>
      <c r="C54" s="70">
        <f t="shared" si="25"/>
        <v>2023</v>
      </c>
      <c r="D54" s="71">
        <f t="shared" si="40"/>
        <v>42.750000000000078</v>
      </c>
      <c r="E54" s="77">
        <f t="shared" si="41"/>
        <v>45139</v>
      </c>
      <c r="F54" s="72">
        <f t="shared" si="26"/>
        <v>45169</v>
      </c>
      <c r="G54" s="73">
        <f>IFERROR(IF(AND(F54&lt;=$F$9,$F$5=Robocze!$B$4,$E54&lt;=$F$9,MONTH($F$8)=MONTH(E54)),$F$4,0)+IF(AND(F54&lt;=$F$9,$F$5=Robocze!$B$3,E54&lt;=$F$9),KALKULATOR!$F$4/12,0),"")</f>
        <v>0</v>
      </c>
      <c r="H54" s="73">
        <f t="shared" si="27"/>
        <v>18817.199999999997</v>
      </c>
      <c r="I54" s="74">
        <f t="shared" si="11"/>
        <v>0.04</v>
      </c>
      <c r="J54" s="73">
        <f t="shared" si="12"/>
        <v>0</v>
      </c>
      <c r="K54" s="75" t="str">
        <f t="shared" si="13"/>
        <v/>
      </c>
      <c r="L54" s="73">
        <f t="shared" si="14"/>
        <v>18817.199999999997</v>
      </c>
      <c r="M54" s="73">
        <f t="shared" si="15"/>
        <v>20107.82135441601</v>
      </c>
      <c r="N54" s="73">
        <f t="shared" si="16"/>
        <v>20107.82135441601</v>
      </c>
      <c r="O54" s="73">
        <f t="shared" si="17"/>
        <v>19929.151566996505</v>
      </c>
      <c r="P54" s="73">
        <f t="shared" si="18"/>
        <v>19929.151566996505</v>
      </c>
      <c r="Q54" s="73">
        <f t="shared" si="19"/>
        <v>19920.391086144904</v>
      </c>
      <c r="R54" s="73"/>
      <c r="S54" s="76">
        <f t="shared" si="28"/>
        <v>0.17</v>
      </c>
      <c r="T54" s="73">
        <f t="shared" si="42"/>
        <v>67.07634455927365</v>
      </c>
      <c r="U54" s="73">
        <f t="shared" si="29"/>
        <v>20189.979712341366</v>
      </c>
      <c r="V54" s="76">
        <f t="shared" si="30"/>
        <v>0.17</v>
      </c>
      <c r="W54" s="73">
        <f t="shared" si="31"/>
        <v>0</v>
      </c>
      <c r="X54" s="73">
        <f>IF(B54&lt;&gt;"",IF(MONTH(E54)=MONTH($F$13),SUMIF($C$22:C501,"="&amp;(C54-1),$G$22:G501),0)*S54,"")</f>
        <v>0</v>
      </c>
      <c r="Y54" s="73">
        <f>IF(B54&lt;&gt;"",SUM($X$22:X54),"")</f>
        <v>3198.924</v>
      </c>
      <c r="Z54" s="73">
        <f t="shared" si="43"/>
        <v>11.137057255984436</v>
      </c>
      <c r="AA54" s="73">
        <f t="shared" si="32"/>
        <v>2.116040878637043</v>
      </c>
      <c r="AB54" s="73">
        <f t="shared" si="33"/>
        <v>151.21419317267822</v>
      </c>
      <c r="AC54" s="73">
        <f t="shared" si="34"/>
        <v>3350.1381931726778</v>
      </c>
      <c r="AD54" s="73">
        <f>IFERROR($U54*(1-$V54)+SUM($W$22:$W54)+$AB54,"")</f>
        <v>20107.82135441601</v>
      </c>
      <c r="AE54" s="73" t="b">
        <f t="shared" si="35"/>
        <v>0</v>
      </c>
      <c r="AF54" s="73">
        <f>IF(AND(AE54=TRUE,D54&gt;=65),$U54*(1-10%)+SUM($W$22:$W54)+$AB54,AD54)</f>
        <v>20107.82135441601</v>
      </c>
      <c r="AG54" s="73">
        <f t="shared" si="20"/>
        <v>67.076344559273636</v>
      </c>
      <c r="AH54" s="73">
        <f t="shared" si="21"/>
        <v>1372.7797123413657</v>
      </c>
      <c r="AI54" s="73">
        <f t="shared" si="22"/>
        <v>20189.979712341363</v>
      </c>
      <c r="AJ54" s="73">
        <f t="shared" si="23"/>
        <v>19929.151566996505</v>
      </c>
      <c r="AK54" s="73" t="b">
        <f t="shared" si="36"/>
        <v>0</v>
      </c>
      <c r="AL54" s="73">
        <f t="shared" si="24"/>
        <v>19929.151566996505</v>
      </c>
      <c r="AM54" s="73">
        <f t="shared" si="44"/>
        <v>66.222502862753572</v>
      </c>
      <c r="AN54" s="73">
        <f t="shared" si="37"/>
        <v>12.582275543923179</v>
      </c>
      <c r="AO54" s="73">
        <f t="shared" si="38"/>
        <v>1103.1910861449069</v>
      </c>
      <c r="AP54" s="73">
        <f t="shared" si="39"/>
        <v>19920.391086144904</v>
      </c>
    </row>
    <row r="55" spans="1:42" s="31" customFormat="1" x14ac:dyDescent="0.6">
      <c r="A55" s="70">
        <f t="shared" si="10"/>
        <v>34</v>
      </c>
      <c r="B55" s="70" t="str">
        <f>IF(E55&lt;=$F$9,VLOOKUP(KALKULATOR!A55,Robocze!$B$23:$C$102,2),"")</f>
        <v>3 rok</v>
      </c>
      <c r="C55" s="70">
        <f t="shared" si="25"/>
        <v>2023</v>
      </c>
      <c r="D55" s="71">
        <f t="shared" si="40"/>
        <v>42.833333333333414</v>
      </c>
      <c r="E55" s="77">
        <f t="shared" si="41"/>
        <v>45170</v>
      </c>
      <c r="F55" s="72">
        <f t="shared" si="26"/>
        <v>45199</v>
      </c>
      <c r="G55" s="73">
        <f>IFERROR(IF(AND(F55&lt;=$F$9,$F$5=Robocze!$B$4,$E55&lt;=$F$9,MONTH($F$8)=MONTH(E55)),$F$4,0)+IF(AND(F55&lt;=$F$9,$F$5=Robocze!$B$3,E55&lt;=$F$9),KALKULATOR!$F$4/12,0),"")</f>
        <v>0</v>
      </c>
      <c r="H55" s="73">
        <f t="shared" si="27"/>
        <v>18817.199999999997</v>
      </c>
      <c r="I55" s="74">
        <f t="shared" si="11"/>
        <v>0.04</v>
      </c>
      <c r="J55" s="73">
        <f t="shared" si="12"/>
        <v>0</v>
      </c>
      <c r="K55" s="75" t="str">
        <f t="shared" si="13"/>
        <v/>
      </c>
      <c r="L55" s="73">
        <f t="shared" si="14"/>
        <v>18817.199999999997</v>
      </c>
      <c r="M55" s="73">
        <f t="shared" si="15"/>
        <v>20172.725671408385</v>
      </c>
      <c r="N55" s="73">
        <f t="shared" si="16"/>
        <v>20172.725671408385</v>
      </c>
      <c r="O55" s="73">
        <f t="shared" si="17"/>
        <v>19983.664512219824</v>
      </c>
      <c r="P55" s="73">
        <f t="shared" si="18"/>
        <v>19983.664512219824</v>
      </c>
      <c r="Q55" s="73">
        <f t="shared" si="19"/>
        <v>19974.176142077493</v>
      </c>
      <c r="R55" s="73"/>
      <c r="S55" s="76">
        <f t="shared" si="28"/>
        <v>0.17</v>
      </c>
      <c r="T55" s="73">
        <f t="shared" si="42"/>
        <v>67.299932374471226</v>
      </c>
      <c r="U55" s="73">
        <f t="shared" si="29"/>
        <v>20257.279644715836</v>
      </c>
      <c r="V55" s="76">
        <f t="shared" si="30"/>
        <v>0.17</v>
      </c>
      <c r="W55" s="73">
        <f t="shared" si="31"/>
        <v>0</v>
      </c>
      <c r="X55" s="73">
        <f>IF(B55&lt;&gt;"",IF(MONTH(E55)=MONTH($F$13),SUMIF($C$22:C501,"="&amp;(C55-1),$G$22:G501),0)*S55,"")</f>
        <v>0</v>
      </c>
      <c r="Y55" s="73">
        <f>IF(B55&lt;&gt;"",SUM($X$22:X55),"")</f>
        <v>3198.924</v>
      </c>
      <c r="Z55" s="73">
        <f t="shared" si="43"/>
        <v>11.167127310575593</v>
      </c>
      <c r="AA55" s="73">
        <f t="shared" si="32"/>
        <v>2.1217541890093625</v>
      </c>
      <c r="AB55" s="73">
        <f t="shared" si="33"/>
        <v>160.25956629424445</v>
      </c>
      <c r="AC55" s="73">
        <f t="shared" si="34"/>
        <v>3359.1835662942444</v>
      </c>
      <c r="AD55" s="73">
        <f>IFERROR($U55*(1-$V55)+SUM($W$22:$W55)+$AB55,"")</f>
        <v>20172.725671408385</v>
      </c>
      <c r="AE55" s="73" t="b">
        <f t="shared" si="35"/>
        <v>0</v>
      </c>
      <c r="AF55" s="73">
        <f>IF(AND(AE55=TRUE,D55&gt;=65),$U55*(1-10%)+SUM($W$22:$W55)+$AB55,AD55)</f>
        <v>20172.725671408385</v>
      </c>
      <c r="AG55" s="73">
        <f t="shared" si="20"/>
        <v>67.299932374471211</v>
      </c>
      <c r="AH55" s="73">
        <f t="shared" si="21"/>
        <v>1440.0796447158368</v>
      </c>
      <c r="AI55" s="73">
        <f t="shared" si="22"/>
        <v>20257.279644715833</v>
      </c>
      <c r="AJ55" s="73">
        <f t="shared" si="23"/>
        <v>19983.664512219824</v>
      </c>
      <c r="AK55" s="73" t="b">
        <f t="shared" si="36"/>
        <v>0</v>
      </c>
      <c r="AL55" s="73">
        <f t="shared" si="24"/>
        <v>19983.664512219824</v>
      </c>
      <c r="AM55" s="73">
        <f t="shared" si="44"/>
        <v>66.401303620483006</v>
      </c>
      <c r="AN55" s="73">
        <f t="shared" si="37"/>
        <v>12.616247687891772</v>
      </c>
      <c r="AO55" s="73">
        <f t="shared" si="38"/>
        <v>1156.9761420774958</v>
      </c>
      <c r="AP55" s="73">
        <f t="shared" si="39"/>
        <v>19974.176142077493</v>
      </c>
    </row>
    <row r="56" spans="1:42" s="31" customFormat="1" x14ac:dyDescent="0.6">
      <c r="A56" s="70">
        <f t="shared" si="10"/>
        <v>35</v>
      </c>
      <c r="B56" s="70" t="str">
        <f>IF(E56&lt;=$F$9,VLOOKUP(KALKULATOR!A56,Robocze!$B$23:$C$102,2),"")</f>
        <v>3 rok</v>
      </c>
      <c r="C56" s="70">
        <f t="shared" si="25"/>
        <v>2023</v>
      </c>
      <c r="D56" s="71">
        <f t="shared" si="40"/>
        <v>42.91666666666675</v>
      </c>
      <c r="E56" s="77">
        <f t="shared" si="41"/>
        <v>45200</v>
      </c>
      <c r="F56" s="72">
        <f t="shared" si="26"/>
        <v>45230</v>
      </c>
      <c r="G56" s="73">
        <f>IFERROR(IF(AND(F56&lt;=$F$9,$F$5=Robocze!$B$4,$E56&lt;=$F$9,MONTH($F$8)=MONTH(E56)),$F$4,0)+IF(AND(F56&lt;=$F$9,$F$5=Robocze!$B$3,E56&lt;=$F$9),KALKULATOR!$F$4/12,0),"")</f>
        <v>0</v>
      </c>
      <c r="H56" s="73">
        <f t="shared" si="27"/>
        <v>18817.199999999997</v>
      </c>
      <c r="I56" s="74">
        <f t="shared" si="11"/>
        <v>0.04</v>
      </c>
      <c r="J56" s="73">
        <f t="shared" si="12"/>
        <v>0</v>
      </c>
      <c r="K56" s="75" t="str">
        <f t="shared" si="13"/>
        <v/>
      </c>
      <c r="L56" s="73">
        <f t="shared" si="14"/>
        <v>18817.199999999997</v>
      </c>
      <c r="M56" s="73">
        <f t="shared" si="15"/>
        <v>20237.84060738776</v>
      </c>
      <c r="N56" s="73">
        <f t="shared" si="16"/>
        <v>20237.84060738776</v>
      </c>
      <c r="O56" s="73">
        <f t="shared" si="17"/>
        <v>20038.359167260558</v>
      </c>
      <c r="P56" s="73">
        <f t="shared" si="18"/>
        <v>20038.359167260558</v>
      </c>
      <c r="Q56" s="73">
        <f t="shared" si="19"/>
        <v>20028.106417661103</v>
      </c>
      <c r="R56" s="73"/>
      <c r="S56" s="76">
        <f t="shared" si="28"/>
        <v>0.17</v>
      </c>
      <c r="T56" s="73">
        <f t="shared" si="42"/>
        <v>67.524265482386127</v>
      </c>
      <c r="U56" s="73">
        <f t="shared" si="29"/>
        <v>20324.803910198221</v>
      </c>
      <c r="V56" s="76">
        <f t="shared" si="30"/>
        <v>0.17</v>
      </c>
      <c r="W56" s="73">
        <f t="shared" si="31"/>
        <v>0</v>
      </c>
      <c r="X56" s="73">
        <f>IF(B56&lt;&gt;"",IF(MONTH(E56)=MONTH($F$13),SUMIF($C$22:C501,"="&amp;(C56-1),$G$22:G501),0)*S56,"")</f>
        <v>0</v>
      </c>
      <c r="Y56" s="73">
        <f>IF(B56&lt;&gt;"",SUM($X$22:X56),"")</f>
        <v>3198.924</v>
      </c>
      <c r="Z56" s="73">
        <f t="shared" si="43"/>
        <v>11.197278554314147</v>
      </c>
      <c r="AA56" s="73">
        <f t="shared" si="32"/>
        <v>2.1274829253196881</v>
      </c>
      <c r="AB56" s="73">
        <f t="shared" si="33"/>
        <v>169.32936192323891</v>
      </c>
      <c r="AC56" s="73">
        <f t="shared" si="34"/>
        <v>3368.2533619232386</v>
      </c>
      <c r="AD56" s="73">
        <f>IFERROR($U56*(1-$V56)+SUM($W$22:$W56)+$AB56,"")</f>
        <v>20237.84060738776</v>
      </c>
      <c r="AE56" s="73" t="b">
        <f t="shared" si="35"/>
        <v>0</v>
      </c>
      <c r="AF56" s="73">
        <f>IF(AND(AE56=TRUE,D56&gt;=65),$U56*(1-10%)+SUM($W$22:$W56)+$AB56,AD56)</f>
        <v>20237.84060738776</v>
      </c>
      <c r="AG56" s="73">
        <f t="shared" si="20"/>
        <v>67.524265482386113</v>
      </c>
      <c r="AH56" s="73">
        <f t="shared" si="21"/>
        <v>1507.6039101982228</v>
      </c>
      <c r="AI56" s="73">
        <f t="shared" si="22"/>
        <v>20324.803910198221</v>
      </c>
      <c r="AJ56" s="73">
        <f t="shared" si="23"/>
        <v>20038.359167260558</v>
      </c>
      <c r="AK56" s="73" t="b">
        <f t="shared" si="36"/>
        <v>0</v>
      </c>
      <c r="AL56" s="73">
        <f t="shared" si="24"/>
        <v>20038.359167260558</v>
      </c>
      <c r="AM56" s="73">
        <f t="shared" si="44"/>
        <v>66.580587140258316</v>
      </c>
      <c r="AN56" s="73">
        <f t="shared" si="37"/>
        <v>12.650311556649081</v>
      </c>
      <c r="AO56" s="73">
        <f t="shared" si="38"/>
        <v>1210.9064176611064</v>
      </c>
      <c r="AP56" s="73">
        <f t="shared" si="39"/>
        <v>20028.106417661103</v>
      </c>
    </row>
    <row r="57" spans="1:42" s="69" customFormat="1" x14ac:dyDescent="0.6">
      <c r="A57" s="78">
        <f t="shared" si="10"/>
        <v>36</v>
      </c>
      <c r="B57" s="78" t="str">
        <f>IF(E57&lt;=$F$9,VLOOKUP(KALKULATOR!A57,Robocze!$B$23:$C$102,2),"")</f>
        <v>3 rok</v>
      </c>
      <c r="C57" s="78">
        <f t="shared" si="25"/>
        <v>2023</v>
      </c>
      <c r="D57" s="79">
        <f t="shared" si="40"/>
        <v>43.000000000000085</v>
      </c>
      <c r="E57" s="80">
        <f t="shared" si="41"/>
        <v>45231</v>
      </c>
      <c r="F57" s="81">
        <f t="shared" si="26"/>
        <v>45260</v>
      </c>
      <c r="G57" s="82">
        <f>IFERROR(IF(AND(F57&lt;=$F$9,$F$5=Robocze!$B$4,$E57&lt;=$F$9,MONTH($F$8)=MONTH(E57)),$F$4,0)+IF(AND(F57&lt;=$F$9,$F$5=Robocze!$B$3,E57&lt;=$F$9),KALKULATOR!$F$4/12,0),"")</f>
        <v>0</v>
      </c>
      <c r="H57" s="82">
        <f t="shared" si="27"/>
        <v>18817.199999999997</v>
      </c>
      <c r="I57" s="83">
        <f t="shared" si="11"/>
        <v>0.04</v>
      </c>
      <c r="J57" s="82">
        <f t="shared" si="12"/>
        <v>0</v>
      </c>
      <c r="K57" s="84">
        <f t="shared" si="13"/>
        <v>3</v>
      </c>
      <c r="L57" s="82">
        <f t="shared" si="14"/>
        <v>18817.199999999997</v>
      </c>
      <c r="M57" s="82">
        <f t="shared" si="15"/>
        <v>20303.166848949837</v>
      </c>
      <c r="N57" s="82">
        <f t="shared" si="16"/>
        <v>20303.166848949837</v>
      </c>
      <c r="O57" s="82">
        <f t="shared" si="17"/>
        <v>20093.236137818094</v>
      </c>
      <c r="P57" s="82">
        <f t="shared" si="18"/>
        <v>20093.236137818094</v>
      </c>
      <c r="Q57" s="82">
        <f t="shared" si="19"/>
        <v>20082.18230498879</v>
      </c>
      <c r="R57" s="82"/>
      <c r="S57" s="85">
        <f t="shared" si="28"/>
        <v>0.17</v>
      </c>
      <c r="T57" s="82">
        <f t="shared" si="42"/>
        <v>67.749346367327405</v>
      </c>
      <c r="U57" s="82">
        <f t="shared" si="29"/>
        <v>20392.553256565549</v>
      </c>
      <c r="V57" s="85">
        <f t="shared" si="30"/>
        <v>0.17</v>
      </c>
      <c r="W57" s="82">
        <f t="shared" si="31"/>
        <v>0</v>
      </c>
      <c r="X57" s="82">
        <f>IF(B57&lt;&gt;"",IF(MONTH(E57)=MONTH($F$13),SUMIF($C$22:C501,"="&amp;(C57-1),$G$22:G501),0)*S57,"")</f>
        <v>0</v>
      </c>
      <c r="Y57" s="82">
        <f>IF(B57&lt;&gt;"",SUM($X$22:X57),"")</f>
        <v>3198.924</v>
      </c>
      <c r="Z57" s="82">
        <f t="shared" si="43"/>
        <v>11.227511206410796</v>
      </c>
      <c r="AA57" s="82">
        <f t="shared" si="32"/>
        <v>2.1332271292180511</v>
      </c>
      <c r="AB57" s="82">
        <f t="shared" si="33"/>
        <v>178.42364600043166</v>
      </c>
      <c r="AC57" s="82">
        <f t="shared" si="34"/>
        <v>3377.3476460004313</v>
      </c>
      <c r="AD57" s="82">
        <f>IFERROR($U57*(1-$V57)+SUM($W$22:$W57)+$AB57,"")</f>
        <v>20303.166848949837</v>
      </c>
      <c r="AE57" s="73" t="b">
        <f t="shared" si="35"/>
        <v>0</v>
      </c>
      <c r="AF57" s="82">
        <f>IF(AND(AE57=TRUE,D57&gt;=65),$U57*(1-10%)+SUM($W$22:$W57)+$AB57,AD57)</f>
        <v>20303.166848949837</v>
      </c>
      <c r="AG57" s="82">
        <f t="shared" si="20"/>
        <v>67.749346367327405</v>
      </c>
      <c r="AH57" s="82">
        <f t="shared" si="21"/>
        <v>1575.3532565655503</v>
      </c>
      <c r="AI57" s="82">
        <f t="shared" si="22"/>
        <v>20392.553256565549</v>
      </c>
      <c r="AJ57" s="82">
        <f t="shared" si="23"/>
        <v>20093.236137818094</v>
      </c>
      <c r="AK57" s="73" t="b">
        <f t="shared" si="36"/>
        <v>0</v>
      </c>
      <c r="AL57" s="82">
        <f t="shared" si="24"/>
        <v>20093.236137818094</v>
      </c>
      <c r="AM57" s="82">
        <f t="shared" si="44"/>
        <v>66.760354725537013</v>
      </c>
      <c r="AN57" s="82">
        <f t="shared" si="37"/>
        <v>12.684467397852032</v>
      </c>
      <c r="AO57" s="82">
        <f t="shared" si="38"/>
        <v>1264.9823049887927</v>
      </c>
      <c r="AP57" s="82">
        <f t="shared" si="39"/>
        <v>20082.18230498879</v>
      </c>
    </row>
    <row r="58" spans="1:42" s="31" customFormat="1" x14ac:dyDescent="0.6">
      <c r="A58" s="70">
        <f t="shared" si="10"/>
        <v>37</v>
      </c>
      <c r="B58" s="70" t="str">
        <f>IF(E58&lt;=$F$9,VLOOKUP(KALKULATOR!A58,Robocze!$B$23:$C$102,2),"")</f>
        <v>4 rok</v>
      </c>
      <c r="C58" s="70">
        <f t="shared" si="25"/>
        <v>2023</v>
      </c>
      <c r="D58" s="71">
        <f t="shared" si="40"/>
        <v>43.083333333333421</v>
      </c>
      <c r="E58" s="72">
        <f t="shared" si="41"/>
        <v>45261</v>
      </c>
      <c r="F58" s="72">
        <f t="shared" si="26"/>
        <v>45291</v>
      </c>
      <c r="G58" s="73">
        <f>IFERROR(IF(AND(F58&lt;=$F$9,$F$5=Robocze!$B$4,$E58&lt;=$F$9,MONTH($F$8)=MONTH(E58)),$F$4,0)+IF(AND(F58&lt;=$F$9,$F$5=Robocze!$B$3,E58&lt;=$F$9),KALKULATOR!$F$4/12,0),"")</f>
        <v>6272.4</v>
      </c>
      <c r="H58" s="73">
        <f t="shared" si="27"/>
        <v>25089.599999999999</v>
      </c>
      <c r="I58" s="74">
        <f t="shared" si="11"/>
        <v>0.04</v>
      </c>
      <c r="J58" s="73">
        <f>IFERROR(IF(MONTH($F$8)=MONTH(E58),$F$15,0),"")</f>
        <v>0</v>
      </c>
      <c r="K58" s="75" t="str">
        <f>IFERROR(IF(AND(MOD(A58,12)=0,A58&lt;&gt;""),A58/12,""),"")</f>
        <v/>
      </c>
      <c r="L58" s="73">
        <f t="shared" ref="L58" si="45">H58</f>
        <v>25089.599999999999</v>
      </c>
      <c r="M58" s="73">
        <f>IFERROR(AF58,"")</f>
        <v>26658.458724937202</v>
      </c>
      <c r="N58" s="73">
        <f>IFERROR(AD58,"")</f>
        <v>26658.458724937202</v>
      </c>
      <c r="O58" s="73">
        <f>IFERROR(AL58,"")</f>
        <v>26437.63151161082</v>
      </c>
      <c r="P58" s="73">
        <f t="shared" ref="P58" si="46">AJ58</f>
        <v>26437.63151161082</v>
      </c>
      <c r="Q58" s="73">
        <f t="shared" ref="Q58" si="47">AP58</f>
        <v>26425.739677212259</v>
      </c>
      <c r="R58" s="73"/>
      <c r="S58" s="76">
        <f t="shared" si="28"/>
        <v>0.17</v>
      </c>
      <c r="T58" s="73">
        <f t="shared" si="42"/>
        <v>88.883177521885159</v>
      </c>
      <c r="U58" s="73">
        <f t="shared" si="29"/>
        <v>26753.836434087432</v>
      </c>
      <c r="V58" s="76">
        <f t="shared" si="30"/>
        <v>0.17</v>
      </c>
      <c r="W58" s="73">
        <f t="shared" si="31"/>
        <v>1066.308</v>
      </c>
      <c r="X58" s="73">
        <f>IF(B58&lt;&gt;"",IF(MONTH(E58)=MONTH($F$13),SUMIF($C$22:C501,"="&amp;(C58-1),$G$22:G501),0)*S58,"")</f>
        <v>0</v>
      </c>
      <c r="Y58" s="73">
        <f>IF(B58&lt;&gt;"",SUM($X$22:X58),"")</f>
        <v>3198.924</v>
      </c>
      <c r="Z58" s="73">
        <f t="shared" si="43"/>
        <v>11.257825486668104</v>
      </c>
      <c r="AA58" s="73">
        <f t="shared" si="32"/>
        <v>2.1389868424669398</v>
      </c>
      <c r="AB58" s="73">
        <f t="shared" si="33"/>
        <v>187.54248464463282</v>
      </c>
      <c r="AC58" s="73">
        <f t="shared" si="34"/>
        <v>3386.4664846446321</v>
      </c>
      <c r="AD58" s="73">
        <f>IFERROR($U58*(1-$V58)+SUM($W$22:$W58)+$AB58,"")</f>
        <v>26658.458724937202</v>
      </c>
      <c r="AE58" s="73" t="b">
        <f t="shared" si="35"/>
        <v>0</v>
      </c>
      <c r="AF58" s="73">
        <f>IF(AND(AE58=TRUE,D58&gt;=65),$U58*(1-10%)+SUM($W$22:$W58)+$AB58,AD58)</f>
        <v>26658.458724937202</v>
      </c>
      <c r="AG58" s="73">
        <f t="shared" ref="AG58" si="48">IF(B58&lt;&gt;"",(AI57+G58)*I58/12-J58,"")</f>
        <v>88.883177521885159</v>
      </c>
      <c r="AH58" s="73">
        <f t="shared" ref="AH58" si="49">IF(B58&lt;&gt;"",AH57+AG58,"")</f>
        <v>1664.2364340874356</v>
      </c>
      <c r="AI58" s="73">
        <f t="shared" ref="AI58" si="50">IF(B58&lt;&gt;"",H58+AH58,"")</f>
        <v>26753.836434087432</v>
      </c>
      <c r="AJ58" s="73">
        <f t="shared" ref="AJ58" si="51">IF(B58&lt;&gt;"",IF(AI58&gt;H58,AI58-AH58*$F$14,AI58),"")</f>
        <v>26437.63151161082</v>
      </c>
      <c r="AK58" s="73" t="b">
        <f t="shared" si="36"/>
        <v>0</v>
      </c>
      <c r="AL58" s="73">
        <f t="shared" ref="AL58" si="52">IF(AK58=TRUE,AI58,AJ58)</f>
        <v>26437.63151161082</v>
      </c>
      <c r="AM58" s="73">
        <f t="shared" si="44"/>
        <v>87.848607683295981</v>
      </c>
      <c r="AN58" s="73">
        <f t="shared" si="37"/>
        <v>16.691235459826238</v>
      </c>
      <c r="AO58" s="73">
        <f t="shared" si="38"/>
        <v>1336.1396772122607</v>
      </c>
      <c r="AP58" s="73">
        <f t="shared" si="39"/>
        <v>26425.739677212259</v>
      </c>
    </row>
    <row r="59" spans="1:42" s="31" customFormat="1" x14ac:dyDescent="0.6">
      <c r="A59" s="70">
        <f t="shared" si="10"/>
        <v>38</v>
      </c>
      <c r="B59" s="70" t="str">
        <f>IF(E59&lt;=$F$9,VLOOKUP(KALKULATOR!A59,Robocze!$B$23:$C$102,2),"")</f>
        <v>4 rok</v>
      </c>
      <c r="C59" s="70">
        <f t="shared" si="25"/>
        <v>2024</v>
      </c>
      <c r="D59" s="71">
        <f t="shared" si="40"/>
        <v>43.166666666666757</v>
      </c>
      <c r="E59" s="77">
        <f t="shared" si="41"/>
        <v>45292</v>
      </c>
      <c r="F59" s="72">
        <f t="shared" si="26"/>
        <v>45322</v>
      </c>
      <c r="G59" s="73">
        <f>IFERROR(IF(AND(F59&lt;=$F$9,$F$5=Robocze!$B$4,$E59&lt;=$F$9,MONTH($F$8)=MONTH(E59)),$F$4,0)+IF(AND(F59&lt;=$F$9,$F$5=Robocze!$B$3,E59&lt;=$F$9),KALKULATOR!$F$4/12,0),"")</f>
        <v>0</v>
      </c>
      <c r="H59" s="73">
        <f t="shared" si="27"/>
        <v>25089.599999999999</v>
      </c>
      <c r="I59" s="74">
        <f t="shared" si="11"/>
        <v>0.04</v>
      </c>
      <c r="J59" s="73">
        <f t="shared" ref="J59:J122" si="53">IFERROR(IF(MONTH($F$8)=MONTH(E59),$F$15,0),"")</f>
        <v>0</v>
      </c>
      <c r="K59" s="75" t="str">
        <f t="shared" ref="K59:K122" si="54">IFERROR(IF(AND(MOD(A59,12)=0,A59&lt;&gt;""),A59/12,""),"")</f>
        <v/>
      </c>
      <c r="L59" s="73">
        <f t="shared" ref="L59:L122" si="55">H59</f>
        <v>25089.599999999999</v>
      </c>
      <c r="M59" s="73">
        <f t="shared" ref="M59:M122" si="56">IFERROR(AF59,"")</f>
        <v>26741.621131913384</v>
      </c>
      <c r="N59" s="73">
        <f t="shared" ref="N59:N122" si="57">IFERROR(AD59,"")</f>
        <v>26741.621131913384</v>
      </c>
      <c r="O59" s="73">
        <f t="shared" ref="O59:O122" si="58">IFERROR(AL59,"")</f>
        <v>26509.866869982856</v>
      </c>
      <c r="P59" s="73">
        <f t="shared" ref="P59:P122" si="59">AJ59</f>
        <v>26509.866869982856</v>
      </c>
      <c r="Q59" s="73">
        <f t="shared" ref="Q59:Q122" si="60">AP59</f>
        <v>26497.08917434073</v>
      </c>
      <c r="R59" s="73"/>
      <c r="S59" s="76">
        <f t="shared" si="28"/>
        <v>0.17</v>
      </c>
      <c r="T59" s="73">
        <f t="shared" si="42"/>
        <v>89.179454780291451</v>
      </c>
      <c r="U59" s="73">
        <f t="shared" si="29"/>
        <v>26843.015888867725</v>
      </c>
      <c r="V59" s="76">
        <f t="shared" si="30"/>
        <v>0.17</v>
      </c>
      <c r="W59" s="73">
        <f t="shared" si="31"/>
        <v>0</v>
      </c>
      <c r="X59" s="73">
        <f>IF(B59&lt;&gt;"",IF(MONTH(E59)=MONTH($F$13),SUMIF($C$22:C501,"="&amp;(C59-1),$G$22:G501),0)*S59,"")</f>
        <v>0</v>
      </c>
      <c r="Y59" s="73">
        <f>IF(B59&lt;&gt;"",SUM($X$22:X59),"")</f>
        <v>3198.924</v>
      </c>
      <c r="Z59" s="73">
        <f t="shared" si="43"/>
        <v>11.288221615482108</v>
      </c>
      <c r="AA59" s="73">
        <f t="shared" si="32"/>
        <v>2.1447621069416005</v>
      </c>
      <c r="AB59" s="73">
        <f t="shared" si="33"/>
        <v>196.68594415317332</v>
      </c>
      <c r="AC59" s="73">
        <f t="shared" si="34"/>
        <v>3395.6099441531728</v>
      </c>
      <c r="AD59" s="73">
        <f>IFERROR($U59*(1-$V59)+SUM($W$22:$W59)+$AB59,"")</f>
        <v>26741.621131913384</v>
      </c>
      <c r="AE59" s="73" t="b">
        <f t="shared" si="35"/>
        <v>0</v>
      </c>
      <c r="AF59" s="73">
        <f>IF(AND(AE59=TRUE,D59&gt;=65),$U59*(1-10%)+SUM($W$22:$W59)+$AB59,AD59)</f>
        <v>26741.621131913384</v>
      </c>
      <c r="AG59" s="73">
        <f t="shared" ref="AG59:AG122" si="61">IF(B59&lt;&gt;"",(AI58+G59)*I59/12-J59,"")</f>
        <v>89.179454780291451</v>
      </c>
      <c r="AH59" s="73">
        <f t="shared" ref="AH59:AH122" si="62">IF(B59&lt;&gt;"",AH58+AG59,"")</f>
        <v>1753.4158888677271</v>
      </c>
      <c r="AI59" s="73">
        <f t="shared" ref="AI59:AI122" si="63">IF(B59&lt;&gt;"",H59+AH59,"")</f>
        <v>26843.015888867725</v>
      </c>
      <c r="AJ59" s="73">
        <f t="shared" ref="AJ59:AJ122" si="64">IF(B59&lt;&gt;"",IF(AI59&gt;H59,AI59-AH59*$F$14,AI59),"")</f>
        <v>26509.866869982856</v>
      </c>
      <c r="AK59" s="73" t="b">
        <f t="shared" si="36"/>
        <v>0</v>
      </c>
      <c r="AL59" s="73">
        <f t="shared" ref="AL59:AL122" si="65">IF(AK59=TRUE,AI59,AJ59)</f>
        <v>26509.866869982856</v>
      </c>
      <c r="AM59" s="73">
        <f t="shared" si="44"/>
        <v>88.085798924040873</v>
      </c>
      <c r="AN59" s="73">
        <f t="shared" si="37"/>
        <v>16.736301795567766</v>
      </c>
      <c r="AO59" s="73">
        <f t="shared" si="38"/>
        <v>1407.4891743407316</v>
      </c>
      <c r="AP59" s="73">
        <f t="shared" si="39"/>
        <v>26497.08917434073</v>
      </c>
    </row>
    <row r="60" spans="1:42" s="31" customFormat="1" x14ac:dyDescent="0.6">
      <c r="A60" s="70">
        <f t="shared" si="10"/>
        <v>39</v>
      </c>
      <c r="B60" s="70" t="str">
        <f>IF(E60&lt;=$F$9,VLOOKUP(KALKULATOR!A60,Robocze!$B$23:$C$102,2),"")</f>
        <v>4 rok</v>
      </c>
      <c r="C60" s="70">
        <f t="shared" si="25"/>
        <v>2024</v>
      </c>
      <c r="D60" s="71">
        <f t="shared" si="40"/>
        <v>43.250000000000092</v>
      </c>
      <c r="E60" s="77">
        <f t="shared" si="41"/>
        <v>45323</v>
      </c>
      <c r="F60" s="72">
        <f t="shared" si="26"/>
        <v>45351</v>
      </c>
      <c r="G60" s="73">
        <f>IFERROR(IF(AND(F60&lt;=$F$9,$F$5=Robocze!$B$4,$E60&lt;=$F$9,MONTH($F$8)=MONTH(E60)),$F$4,0)+IF(AND(F60&lt;=$F$9,$F$5=Robocze!$B$3,E60&lt;=$F$9),KALKULATOR!$F$4/12,0),"")</f>
        <v>0</v>
      </c>
      <c r="H60" s="73">
        <f t="shared" si="27"/>
        <v>25089.599999999999</v>
      </c>
      <c r="I60" s="74">
        <f t="shared" si="11"/>
        <v>0.04</v>
      </c>
      <c r="J60" s="73">
        <f t="shared" si="53"/>
        <v>0</v>
      </c>
      <c r="K60" s="75" t="str">
        <f t="shared" si="54"/>
        <v/>
      </c>
      <c r="L60" s="73">
        <f t="shared" si="55"/>
        <v>25089.599999999999</v>
      </c>
      <c r="M60" s="73">
        <f t="shared" si="56"/>
        <v>26825.05495605513</v>
      </c>
      <c r="N60" s="73">
        <f t="shared" si="57"/>
        <v>26825.05495605513</v>
      </c>
      <c r="O60" s="73">
        <f t="shared" si="58"/>
        <v>26582.3430128828</v>
      </c>
      <c r="P60" s="73">
        <f t="shared" si="59"/>
        <v>26582.3430128828</v>
      </c>
      <c r="Q60" s="73">
        <f t="shared" si="60"/>
        <v>26568.631315111452</v>
      </c>
      <c r="R60" s="73"/>
      <c r="S60" s="76">
        <f t="shared" si="28"/>
        <v>0.17</v>
      </c>
      <c r="T60" s="73">
        <f t="shared" si="42"/>
        <v>89.476719629559085</v>
      </c>
      <c r="U60" s="73">
        <f t="shared" si="29"/>
        <v>26932.492608497283</v>
      </c>
      <c r="V60" s="76">
        <f t="shared" si="30"/>
        <v>0.17</v>
      </c>
      <c r="W60" s="73">
        <f t="shared" si="31"/>
        <v>0</v>
      </c>
      <c r="X60" s="73">
        <f>IF(B60&lt;&gt;"",IF(MONTH(E60)=MONTH($F$13),SUMIF($C$22:C501,"="&amp;(C60-1),$G$22:G501),0)*S60,"")</f>
        <v>0</v>
      </c>
      <c r="Y60" s="73">
        <f>IF(B60&lt;&gt;"",SUM($X$22:X60),"")</f>
        <v>3198.924</v>
      </c>
      <c r="Z60" s="73">
        <f t="shared" si="43"/>
        <v>11.318699813843908</v>
      </c>
      <c r="AA60" s="73">
        <f t="shared" si="32"/>
        <v>2.1505529646303425</v>
      </c>
      <c r="AB60" s="73">
        <f t="shared" si="33"/>
        <v>205.85409100238689</v>
      </c>
      <c r="AC60" s="73">
        <f t="shared" si="34"/>
        <v>3404.7780910023866</v>
      </c>
      <c r="AD60" s="73">
        <f>IFERROR($U60*(1-$V60)+SUM($W$22:$W60)+$AB60,"")</f>
        <v>26825.05495605513</v>
      </c>
      <c r="AE60" s="73" t="b">
        <f t="shared" si="35"/>
        <v>0</v>
      </c>
      <c r="AF60" s="73">
        <f>IF(AND(AE60=TRUE,D60&gt;=65),$U60*(1-10%)+SUM($W$22:$W60)+$AB60,AD60)</f>
        <v>26825.05495605513</v>
      </c>
      <c r="AG60" s="73">
        <f t="shared" si="61"/>
        <v>89.476719629559099</v>
      </c>
      <c r="AH60" s="73">
        <f t="shared" si="62"/>
        <v>1842.8926084972861</v>
      </c>
      <c r="AI60" s="73">
        <f t="shared" si="63"/>
        <v>26932.492608497283</v>
      </c>
      <c r="AJ60" s="73">
        <f t="shared" si="64"/>
        <v>26582.3430128828</v>
      </c>
      <c r="AK60" s="73" t="b">
        <f t="shared" si="36"/>
        <v>0</v>
      </c>
      <c r="AL60" s="73">
        <f t="shared" si="65"/>
        <v>26582.3430128828</v>
      </c>
      <c r="AM60" s="73">
        <f t="shared" si="44"/>
        <v>88.323630581135774</v>
      </c>
      <c r="AN60" s="73">
        <f t="shared" si="37"/>
        <v>16.781489810415795</v>
      </c>
      <c r="AO60" s="73">
        <f t="shared" si="38"/>
        <v>1479.0313151114533</v>
      </c>
      <c r="AP60" s="73">
        <f t="shared" si="39"/>
        <v>26568.631315111452</v>
      </c>
    </row>
    <row r="61" spans="1:42" s="31" customFormat="1" x14ac:dyDescent="0.6">
      <c r="A61" s="70">
        <f t="shared" si="10"/>
        <v>40</v>
      </c>
      <c r="B61" s="70" t="str">
        <f>IF(E61&lt;=$F$9,VLOOKUP(KALKULATOR!A61,Robocze!$B$23:$C$102,2),"")</f>
        <v>4 rok</v>
      </c>
      <c r="C61" s="70">
        <f t="shared" si="25"/>
        <v>2024</v>
      </c>
      <c r="D61" s="71">
        <f t="shared" si="40"/>
        <v>43.333333333333428</v>
      </c>
      <c r="E61" s="77">
        <f t="shared" si="41"/>
        <v>45352</v>
      </c>
      <c r="F61" s="72">
        <f t="shared" si="26"/>
        <v>45382</v>
      </c>
      <c r="G61" s="73">
        <f>IFERROR(IF(AND(F61&lt;=$F$9,$F$5=Robocze!$B$4,$E61&lt;=$F$9,MONTH($F$8)=MONTH(E61)),$F$4,0)+IF(AND(F61&lt;=$F$9,$F$5=Robocze!$B$3,E61&lt;=$F$9),KALKULATOR!$F$4/12,0),"")</f>
        <v>0</v>
      </c>
      <c r="H61" s="73">
        <f t="shared" si="27"/>
        <v>25089.599999999999</v>
      </c>
      <c r="I61" s="74">
        <f t="shared" si="11"/>
        <v>0.04</v>
      </c>
      <c r="J61" s="73">
        <f t="shared" si="53"/>
        <v>0</v>
      </c>
      <c r="K61" s="75" t="str">
        <f t="shared" si="54"/>
        <v/>
      </c>
      <c r="L61" s="73">
        <f t="shared" si="55"/>
        <v>25089.599999999999</v>
      </c>
      <c r="M61" s="73">
        <f t="shared" si="56"/>
        <v>26908.761086451013</v>
      </c>
      <c r="N61" s="73">
        <f t="shared" si="57"/>
        <v>26908.761086451013</v>
      </c>
      <c r="O61" s="73">
        <f t="shared" si="58"/>
        <v>26655.060742925743</v>
      </c>
      <c r="P61" s="73">
        <f t="shared" si="59"/>
        <v>26655.060742925743</v>
      </c>
      <c r="Q61" s="73">
        <f t="shared" si="60"/>
        <v>26640.366619662254</v>
      </c>
      <c r="R61" s="73"/>
      <c r="S61" s="76">
        <f t="shared" si="28"/>
        <v>0.17</v>
      </c>
      <c r="T61" s="73">
        <f t="shared" si="42"/>
        <v>89.77497536165761</v>
      </c>
      <c r="U61" s="73">
        <f t="shared" si="29"/>
        <v>27022.267583858942</v>
      </c>
      <c r="V61" s="76">
        <f t="shared" si="30"/>
        <v>0.17</v>
      </c>
      <c r="W61" s="73">
        <f t="shared" si="31"/>
        <v>0</v>
      </c>
      <c r="X61" s="73">
        <f>IF(B61&lt;&gt;"",IF(MONTH(E61)=MONTH($F$13),SUMIF($C$22:C501,"="&amp;(C61-1),$G$22:G501),0)*S61,"")</f>
        <v>0</v>
      </c>
      <c r="Y61" s="73">
        <f>IF(B61&lt;&gt;"",SUM($X$22:X61),"")</f>
        <v>3198.924</v>
      </c>
      <c r="Z61" s="73">
        <f t="shared" si="43"/>
        <v>11.349260303341289</v>
      </c>
      <c r="AA61" s="73">
        <f t="shared" si="32"/>
        <v>2.1563594576348448</v>
      </c>
      <c r="AB61" s="73">
        <f t="shared" si="33"/>
        <v>215.04699184809334</v>
      </c>
      <c r="AC61" s="73">
        <f t="shared" si="34"/>
        <v>3413.970991848093</v>
      </c>
      <c r="AD61" s="73">
        <f>IFERROR($U61*(1-$V61)+SUM($W$22:$W61)+$AB61,"")</f>
        <v>26908.761086451013</v>
      </c>
      <c r="AE61" s="73" t="b">
        <f t="shared" si="35"/>
        <v>0</v>
      </c>
      <c r="AF61" s="73">
        <f>IF(AND(AE61=TRUE,D61&gt;=65),$U61*(1-10%)+SUM($W$22:$W61)+$AB61,AD61)</f>
        <v>26908.761086451013</v>
      </c>
      <c r="AG61" s="73">
        <f t="shared" si="61"/>
        <v>89.77497536165761</v>
      </c>
      <c r="AH61" s="73">
        <f t="shared" si="62"/>
        <v>1932.6675838589438</v>
      </c>
      <c r="AI61" s="73">
        <f t="shared" si="63"/>
        <v>27022.267583858942</v>
      </c>
      <c r="AJ61" s="73">
        <f t="shared" si="64"/>
        <v>26655.060742925743</v>
      </c>
      <c r="AK61" s="73" t="b">
        <f t="shared" si="36"/>
        <v>0</v>
      </c>
      <c r="AL61" s="73">
        <f t="shared" si="65"/>
        <v>26655.060742925743</v>
      </c>
      <c r="AM61" s="73">
        <f t="shared" si="44"/>
        <v>88.562104383704835</v>
      </c>
      <c r="AN61" s="73">
        <f t="shared" si="37"/>
        <v>16.826799832903919</v>
      </c>
      <c r="AO61" s="73">
        <f t="shared" si="38"/>
        <v>1550.7666196622558</v>
      </c>
      <c r="AP61" s="73">
        <f t="shared" si="39"/>
        <v>26640.366619662254</v>
      </c>
    </row>
    <row r="62" spans="1:42" s="31" customFormat="1" x14ac:dyDescent="0.6">
      <c r="A62" s="70">
        <f t="shared" si="10"/>
        <v>41</v>
      </c>
      <c r="B62" s="70" t="str">
        <f>IF(E62&lt;=$F$9,VLOOKUP(KALKULATOR!A62,Robocze!$B$23:$C$102,2),"")</f>
        <v>4 rok</v>
      </c>
      <c r="C62" s="70">
        <f t="shared" si="25"/>
        <v>2024</v>
      </c>
      <c r="D62" s="71">
        <f t="shared" si="40"/>
        <v>43.416666666666764</v>
      </c>
      <c r="E62" s="77">
        <f t="shared" si="41"/>
        <v>45383</v>
      </c>
      <c r="F62" s="72">
        <f t="shared" si="26"/>
        <v>45412</v>
      </c>
      <c r="G62" s="73">
        <f>IFERROR(IF(AND(F62&lt;=$F$9,$F$5=Robocze!$B$4,$E62&lt;=$F$9,MONTH($F$8)=MONTH(E62)),$F$4,0)+IF(AND(F62&lt;=$F$9,$F$5=Robocze!$B$3,E62&lt;=$F$9),KALKULATOR!$F$4/12,0),"")</f>
        <v>0</v>
      </c>
      <c r="H62" s="73">
        <f t="shared" si="27"/>
        <v>25089.599999999999</v>
      </c>
      <c r="I62" s="74">
        <f t="shared" si="11"/>
        <v>0.04</v>
      </c>
      <c r="J62" s="73">
        <f t="shared" si="53"/>
        <v>0</v>
      </c>
      <c r="K62" s="75" t="str">
        <f t="shared" si="54"/>
        <v/>
      </c>
      <c r="L62" s="73">
        <f t="shared" si="55"/>
        <v>25089.599999999999</v>
      </c>
      <c r="M62" s="73">
        <f t="shared" si="56"/>
        <v>26995.619446711011</v>
      </c>
      <c r="N62" s="73">
        <f t="shared" si="57"/>
        <v>26995.619446711011</v>
      </c>
      <c r="O62" s="73">
        <f t="shared" si="58"/>
        <v>26728.020865402163</v>
      </c>
      <c r="P62" s="73">
        <f t="shared" si="59"/>
        <v>26728.020865402163</v>
      </c>
      <c r="Q62" s="73">
        <f t="shared" si="60"/>
        <v>26712.29560953534</v>
      </c>
      <c r="R62" s="73"/>
      <c r="S62" s="76">
        <f t="shared" si="28"/>
        <v>0.17</v>
      </c>
      <c r="T62" s="73">
        <f t="shared" si="42"/>
        <v>90.074225279529813</v>
      </c>
      <c r="U62" s="73">
        <f t="shared" si="29"/>
        <v>27112.34180913847</v>
      </c>
      <c r="V62" s="76">
        <f t="shared" si="30"/>
        <v>0.17</v>
      </c>
      <c r="W62" s="73">
        <f t="shared" si="31"/>
        <v>0</v>
      </c>
      <c r="X62" s="73">
        <f>IF(B62&lt;&gt;"",IF(MONTH(E62)=MONTH($F$13),SUMIF($C$22:C501,"="&amp;(C62-1),$G$22:G501),0)*S62,"")</f>
        <v>1066.308</v>
      </c>
      <c r="Y62" s="73">
        <f>IF(B62&lt;&gt;"",SUM($X$22:X62),"")</f>
        <v>4265.232</v>
      </c>
      <c r="Z62" s="73">
        <f t="shared" si="43"/>
        <v>14.934263306160311</v>
      </c>
      <c r="AA62" s="73">
        <f t="shared" si="32"/>
        <v>2.8375100281704593</v>
      </c>
      <c r="AB62" s="73">
        <f t="shared" si="33"/>
        <v>227.14374512608319</v>
      </c>
      <c r="AC62" s="73">
        <f t="shared" si="34"/>
        <v>4492.3757451260826</v>
      </c>
      <c r="AD62" s="73">
        <f>IFERROR($U62*(1-$V62)+SUM($W$22:$W62)+$AB62,"")</f>
        <v>26995.619446711011</v>
      </c>
      <c r="AE62" s="73" t="b">
        <f t="shared" si="35"/>
        <v>0</v>
      </c>
      <c r="AF62" s="73">
        <f>IF(AND(AE62=TRUE,D62&gt;=65),$U62*(1-10%)+SUM($W$22:$W62)+$AB62,AD62)</f>
        <v>26995.619446711011</v>
      </c>
      <c r="AG62" s="73">
        <f t="shared" si="61"/>
        <v>90.074225279529813</v>
      </c>
      <c r="AH62" s="73">
        <f t="shared" si="62"/>
        <v>2022.7418091384736</v>
      </c>
      <c r="AI62" s="73">
        <f t="shared" si="63"/>
        <v>27112.341809138474</v>
      </c>
      <c r="AJ62" s="73">
        <f t="shared" si="64"/>
        <v>26728.020865402163</v>
      </c>
      <c r="AK62" s="73" t="b">
        <f t="shared" si="36"/>
        <v>0</v>
      </c>
      <c r="AL62" s="73">
        <f t="shared" si="65"/>
        <v>26728.020865402163</v>
      </c>
      <c r="AM62" s="73">
        <f t="shared" si="44"/>
        <v>88.801222065540856</v>
      </c>
      <c r="AN62" s="73">
        <f t="shared" si="37"/>
        <v>16.872232192452763</v>
      </c>
      <c r="AO62" s="73">
        <f t="shared" si="38"/>
        <v>1622.6956095353416</v>
      </c>
      <c r="AP62" s="73">
        <f t="shared" si="39"/>
        <v>26712.29560953534</v>
      </c>
    </row>
    <row r="63" spans="1:42" s="31" customFormat="1" x14ac:dyDescent="0.6">
      <c r="A63" s="70">
        <f t="shared" si="10"/>
        <v>42</v>
      </c>
      <c r="B63" s="70" t="str">
        <f>IF(E63&lt;=$F$9,VLOOKUP(KALKULATOR!A63,Robocze!$B$23:$C$102,2),"")</f>
        <v>4 rok</v>
      </c>
      <c r="C63" s="70">
        <f t="shared" si="25"/>
        <v>2024</v>
      </c>
      <c r="D63" s="71">
        <f t="shared" si="40"/>
        <v>43.500000000000099</v>
      </c>
      <c r="E63" s="77">
        <f t="shared" si="41"/>
        <v>45413</v>
      </c>
      <c r="F63" s="72">
        <f t="shared" si="26"/>
        <v>45443</v>
      </c>
      <c r="G63" s="73">
        <f>IFERROR(IF(AND(F63&lt;=$F$9,$F$5=Robocze!$B$4,$E63&lt;=$F$9,MONTH($F$8)=MONTH(E63)),$F$4,0)+IF(AND(F63&lt;=$F$9,$F$5=Robocze!$B$3,E63&lt;=$F$9),KALKULATOR!$F$4/12,0),"")</f>
        <v>0</v>
      </c>
      <c r="H63" s="73">
        <f t="shared" si="27"/>
        <v>25089.599999999999</v>
      </c>
      <c r="I63" s="74">
        <f t="shared" si="11"/>
        <v>0.04</v>
      </c>
      <c r="J63" s="73">
        <f t="shared" si="53"/>
        <v>0</v>
      </c>
      <c r="K63" s="75" t="str">
        <f t="shared" si="54"/>
        <v/>
      </c>
      <c r="L63" s="73">
        <f t="shared" si="55"/>
        <v>25089.599999999999</v>
      </c>
      <c r="M63" s="73">
        <f t="shared" si="56"/>
        <v>27082.759673561468</v>
      </c>
      <c r="N63" s="73">
        <f t="shared" si="57"/>
        <v>27082.759673561468</v>
      </c>
      <c r="O63" s="73">
        <f t="shared" si="58"/>
        <v>26801.224188286837</v>
      </c>
      <c r="P63" s="73">
        <f t="shared" si="59"/>
        <v>26801.224188286837</v>
      </c>
      <c r="Q63" s="73">
        <f t="shared" si="60"/>
        <v>26784.418807681086</v>
      </c>
      <c r="R63" s="73"/>
      <c r="S63" s="76">
        <f t="shared" si="28"/>
        <v>0.17</v>
      </c>
      <c r="T63" s="73">
        <f t="shared" si="42"/>
        <v>90.37447269712824</v>
      </c>
      <c r="U63" s="73">
        <f t="shared" si="29"/>
        <v>27202.716281835597</v>
      </c>
      <c r="V63" s="76">
        <f t="shared" si="30"/>
        <v>0.17</v>
      </c>
      <c r="W63" s="73">
        <f t="shared" si="31"/>
        <v>0</v>
      </c>
      <c r="X63" s="73">
        <f>IF(B63&lt;&gt;"",IF(MONTH(E63)=MONTH($F$13),SUMIF($C$22:C501,"="&amp;(C63-1),$G$22:G501),0)*S63,"")</f>
        <v>0</v>
      </c>
      <c r="Y63" s="73">
        <f>IF(B63&lt;&gt;"",SUM($X$22:X63),"")</f>
        <v>4265.232</v>
      </c>
      <c r="Z63" s="73">
        <f t="shared" si="43"/>
        <v>14.974585817086941</v>
      </c>
      <c r="AA63" s="73">
        <f t="shared" si="32"/>
        <v>2.8451713052465188</v>
      </c>
      <c r="AB63" s="73">
        <f t="shared" si="33"/>
        <v>239.27315963792361</v>
      </c>
      <c r="AC63" s="73">
        <f t="shared" si="34"/>
        <v>4504.5051596379235</v>
      </c>
      <c r="AD63" s="73">
        <f>IFERROR($U63*(1-$V63)+SUM($W$22:$W63)+$AB63,"")</f>
        <v>27082.759673561468</v>
      </c>
      <c r="AE63" s="73" t="b">
        <f t="shared" si="35"/>
        <v>0</v>
      </c>
      <c r="AF63" s="73">
        <f>IF(AND(AE63=TRUE,D63&gt;=65),$U63*(1-10%)+SUM($W$22:$W63)+$AB63,AD63)</f>
        <v>27082.759673561468</v>
      </c>
      <c r="AG63" s="73">
        <f t="shared" si="61"/>
        <v>90.37447269712824</v>
      </c>
      <c r="AH63" s="73">
        <f t="shared" si="62"/>
        <v>2113.116281835602</v>
      </c>
      <c r="AI63" s="73">
        <f t="shared" si="63"/>
        <v>27202.716281835601</v>
      </c>
      <c r="AJ63" s="73">
        <f t="shared" si="64"/>
        <v>26801.224188286837</v>
      </c>
      <c r="AK63" s="73" t="b">
        <f t="shared" si="36"/>
        <v>0</v>
      </c>
      <c r="AL63" s="73">
        <f t="shared" si="65"/>
        <v>26801.224188286837</v>
      </c>
      <c r="AM63" s="73">
        <f t="shared" si="44"/>
        <v>89.040985365117805</v>
      </c>
      <c r="AN63" s="73">
        <f t="shared" si="37"/>
        <v>16.917787219372382</v>
      </c>
      <c r="AO63" s="73">
        <f t="shared" si="38"/>
        <v>1694.8188076810875</v>
      </c>
      <c r="AP63" s="73">
        <f t="shared" si="39"/>
        <v>26784.418807681086</v>
      </c>
    </row>
    <row r="64" spans="1:42" s="31" customFormat="1" x14ac:dyDescent="0.6">
      <c r="A64" s="70">
        <f t="shared" si="10"/>
        <v>43</v>
      </c>
      <c r="B64" s="70" t="str">
        <f>IF(E64&lt;=$F$9,VLOOKUP(KALKULATOR!A64,Robocze!$B$23:$C$102,2),"")</f>
        <v>4 rok</v>
      </c>
      <c r="C64" s="70">
        <f t="shared" si="25"/>
        <v>2024</v>
      </c>
      <c r="D64" s="71">
        <f t="shared" si="40"/>
        <v>43.583333333333435</v>
      </c>
      <c r="E64" s="77">
        <f t="shared" si="41"/>
        <v>45444</v>
      </c>
      <c r="F64" s="72">
        <f t="shared" si="26"/>
        <v>45473</v>
      </c>
      <c r="G64" s="73">
        <f>IFERROR(IF(AND(F64&lt;=$F$9,$F$5=Robocze!$B$4,$E64&lt;=$F$9,MONTH($F$8)=MONTH(E64)),$F$4,0)+IF(AND(F64&lt;=$F$9,$F$5=Robocze!$B$3,E64&lt;=$F$9),KALKULATOR!$F$4/12,0),"")</f>
        <v>0</v>
      </c>
      <c r="H64" s="73">
        <f t="shared" si="27"/>
        <v>25089.599999999999</v>
      </c>
      <c r="I64" s="74">
        <f t="shared" si="11"/>
        <v>0.04</v>
      </c>
      <c r="J64" s="73">
        <f t="shared" si="53"/>
        <v>0</v>
      </c>
      <c r="K64" s="75" t="str">
        <f t="shared" si="54"/>
        <v/>
      </c>
      <c r="L64" s="73">
        <f t="shared" si="55"/>
        <v>25089.599999999999</v>
      </c>
      <c r="M64" s="73">
        <f t="shared" si="56"/>
        <v>27170.182685872234</v>
      </c>
      <c r="N64" s="73">
        <f t="shared" si="57"/>
        <v>27170.182685872234</v>
      </c>
      <c r="O64" s="73">
        <f t="shared" si="58"/>
        <v>26874.671522247794</v>
      </c>
      <c r="P64" s="73">
        <f t="shared" si="59"/>
        <v>26874.671522247794</v>
      </c>
      <c r="Q64" s="73">
        <f t="shared" si="60"/>
        <v>26856.736738461823</v>
      </c>
      <c r="R64" s="73"/>
      <c r="S64" s="76">
        <f t="shared" si="28"/>
        <v>0.17</v>
      </c>
      <c r="T64" s="73">
        <f t="shared" si="42"/>
        <v>90.675720939451992</v>
      </c>
      <c r="U64" s="73">
        <f t="shared" si="29"/>
        <v>27293.39200277505</v>
      </c>
      <c r="V64" s="76">
        <f t="shared" si="30"/>
        <v>0.17</v>
      </c>
      <c r="W64" s="73">
        <f t="shared" si="31"/>
        <v>0</v>
      </c>
      <c r="X64" s="73">
        <f>IF(B64&lt;&gt;"",IF(MONTH(E64)=MONTH($F$13),SUMIF($C$22:C501,"="&amp;(C64-1),$G$22:G501),0)*S64,"")</f>
        <v>0</v>
      </c>
      <c r="Y64" s="73">
        <f>IF(B64&lt;&gt;"",SUM($X$22:X64),"")</f>
        <v>4265.232</v>
      </c>
      <c r="Z64" s="73">
        <f t="shared" si="43"/>
        <v>15.01501719879308</v>
      </c>
      <c r="AA64" s="73">
        <f t="shared" si="32"/>
        <v>2.8528532677706853</v>
      </c>
      <c r="AB64" s="73">
        <f t="shared" si="33"/>
        <v>251.43532356894602</v>
      </c>
      <c r="AC64" s="73">
        <f t="shared" si="34"/>
        <v>4516.6673235689459</v>
      </c>
      <c r="AD64" s="73">
        <f>IFERROR($U64*(1-$V64)+SUM($W$22:$W64)+$AB64,"")</f>
        <v>27170.182685872234</v>
      </c>
      <c r="AE64" s="73" t="b">
        <f t="shared" si="35"/>
        <v>0</v>
      </c>
      <c r="AF64" s="73">
        <f>IF(AND(AE64=TRUE,D64&gt;=65),$U64*(1-10%)+SUM($W$22:$W64)+$AB64,AD64)</f>
        <v>27170.182685872234</v>
      </c>
      <c r="AG64" s="73">
        <f t="shared" si="61"/>
        <v>90.675720939452006</v>
      </c>
      <c r="AH64" s="73">
        <f t="shared" si="62"/>
        <v>2203.7920027750538</v>
      </c>
      <c r="AI64" s="73">
        <f t="shared" si="63"/>
        <v>27293.392002775054</v>
      </c>
      <c r="AJ64" s="73">
        <f t="shared" si="64"/>
        <v>26874.671522247794</v>
      </c>
      <c r="AK64" s="73" t="b">
        <f t="shared" si="36"/>
        <v>0</v>
      </c>
      <c r="AL64" s="73">
        <f t="shared" si="65"/>
        <v>26874.671522247794</v>
      </c>
      <c r="AM64" s="73">
        <f t="shared" si="44"/>
        <v>89.281396025603613</v>
      </c>
      <c r="AN64" s="73">
        <f t="shared" si="37"/>
        <v>16.963465244864686</v>
      </c>
      <c r="AO64" s="73">
        <f t="shared" si="38"/>
        <v>1767.1367384618243</v>
      </c>
      <c r="AP64" s="73">
        <f t="shared" si="39"/>
        <v>26856.736738461823</v>
      </c>
    </row>
    <row r="65" spans="1:42" s="31" customFormat="1" x14ac:dyDescent="0.6">
      <c r="A65" s="70">
        <f t="shared" si="10"/>
        <v>44</v>
      </c>
      <c r="B65" s="70" t="str">
        <f>IF(E65&lt;=$F$9,VLOOKUP(KALKULATOR!A65,Robocze!$B$23:$C$102,2),"")</f>
        <v>4 rok</v>
      </c>
      <c r="C65" s="70">
        <f t="shared" si="25"/>
        <v>2024</v>
      </c>
      <c r="D65" s="71">
        <f t="shared" si="40"/>
        <v>43.666666666666771</v>
      </c>
      <c r="E65" s="77">
        <f t="shared" si="41"/>
        <v>45474</v>
      </c>
      <c r="F65" s="72">
        <f t="shared" si="26"/>
        <v>45504</v>
      </c>
      <c r="G65" s="73">
        <f>IFERROR(IF(AND(F65&lt;=$F$9,$F$5=Robocze!$B$4,$E65&lt;=$F$9,MONTH($F$8)=MONTH(E65)),$F$4,0)+IF(AND(F65&lt;=$F$9,$F$5=Robocze!$B$3,E65&lt;=$F$9),KALKULATOR!$F$4/12,0),"")</f>
        <v>0</v>
      </c>
      <c r="H65" s="73">
        <f t="shared" si="27"/>
        <v>25089.599999999999</v>
      </c>
      <c r="I65" s="74">
        <f t="shared" si="11"/>
        <v>0.04</v>
      </c>
      <c r="J65" s="73">
        <f t="shared" si="53"/>
        <v>0</v>
      </c>
      <c r="K65" s="75" t="str">
        <f t="shared" si="54"/>
        <v/>
      </c>
      <c r="L65" s="73">
        <f t="shared" si="55"/>
        <v>25089.599999999999</v>
      </c>
      <c r="M65" s="73">
        <f t="shared" si="56"/>
        <v>27257.889405520218</v>
      </c>
      <c r="N65" s="73">
        <f t="shared" si="57"/>
        <v>27257.889405520218</v>
      </c>
      <c r="O65" s="73">
        <f t="shared" si="58"/>
        <v>26948.363680655286</v>
      </c>
      <c r="P65" s="73">
        <f t="shared" si="59"/>
        <v>26948.363680655286</v>
      </c>
      <c r="Q65" s="73">
        <f t="shared" si="60"/>
        <v>26929.24992765567</v>
      </c>
      <c r="R65" s="73"/>
      <c r="S65" s="76">
        <f t="shared" si="28"/>
        <v>0.17</v>
      </c>
      <c r="T65" s="73">
        <f t="shared" si="42"/>
        <v>90.97797334258351</v>
      </c>
      <c r="U65" s="73">
        <f t="shared" si="29"/>
        <v>27384.369976117632</v>
      </c>
      <c r="V65" s="76">
        <f t="shared" si="30"/>
        <v>0.17</v>
      </c>
      <c r="W65" s="73">
        <f t="shared" si="31"/>
        <v>0</v>
      </c>
      <c r="X65" s="73">
        <f>IF(B65&lt;&gt;"",IF(MONTH(E65)=MONTH($F$13),SUMIF($C$22:C501,"="&amp;(C65-1),$G$22:G501),0)*S65,"")</f>
        <v>0</v>
      </c>
      <c r="Y65" s="73">
        <f>IF(B65&lt;&gt;"",SUM($X$22:X65),"")</f>
        <v>4265.232</v>
      </c>
      <c r="Z65" s="73">
        <f t="shared" si="43"/>
        <v>15.055557745229819</v>
      </c>
      <c r="AA65" s="73">
        <f t="shared" si="32"/>
        <v>2.8605559715936657</v>
      </c>
      <c r="AB65" s="73">
        <f t="shared" si="33"/>
        <v>263.63032534258218</v>
      </c>
      <c r="AC65" s="73">
        <f t="shared" si="34"/>
        <v>4528.8623253425822</v>
      </c>
      <c r="AD65" s="73">
        <f>IFERROR($U65*(1-$V65)+SUM($W$22:$W65)+$AB65,"")</f>
        <v>27257.889405520218</v>
      </c>
      <c r="AE65" s="73" t="b">
        <f t="shared" si="35"/>
        <v>0</v>
      </c>
      <c r="AF65" s="73">
        <f>IF(AND(AE65=TRUE,D65&gt;=65),$U65*(1-10%)+SUM($W$22:$W65)+$AB65,AD65)</f>
        <v>27257.889405520218</v>
      </c>
      <c r="AG65" s="73">
        <f t="shared" si="61"/>
        <v>90.977973342583525</v>
      </c>
      <c r="AH65" s="73">
        <f t="shared" si="62"/>
        <v>2294.7699761176373</v>
      </c>
      <c r="AI65" s="73">
        <f t="shared" si="63"/>
        <v>27384.369976117636</v>
      </c>
      <c r="AJ65" s="73">
        <f t="shared" si="64"/>
        <v>26948.363680655286</v>
      </c>
      <c r="AK65" s="73" t="b">
        <f t="shared" si="36"/>
        <v>0</v>
      </c>
      <c r="AL65" s="73">
        <f t="shared" si="65"/>
        <v>26948.363680655286</v>
      </c>
      <c r="AM65" s="73">
        <f t="shared" si="44"/>
        <v>89.522455794872755</v>
      </c>
      <c r="AN65" s="73">
        <f t="shared" si="37"/>
        <v>17.009266601025825</v>
      </c>
      <c r="AO65" s="73">
        <f t="shared" si="38"/>
        <v>1839.6499276556715</v>
      </c>
      <c r="AP65" s="73">
        <f t="shared" si="39"/>
        <v>26929.24992765567</v>
      </c>
    </row>
    <row r="66" spans="1:42" s="31" customFormat="1" x14ac:dyDescent="0.6">
      <c r="A66" s="70">
        <f t="shared" si="10"/>
        <v>45</v>
      </c>
      <c r="B66" s="70" t="str">
        <f>IF(E66&lt;=$F$9,VLOOKUP(KALKULATOR!A66,Robocze!$B$23:$C$102,2),"")</f>
        <v>4 rok</v>
      </c>
      <c r="C66" s="70">
        <f t="shared" si="25"/>
        <v>2024</v>
      </c>
      <c r="D66" s="71">
        <f t="shared" si="40"/>
        <v>43.750000000000107</v>
      </c>
      <c r="E66" s="77">
        <f t="shared" si="41"/>
        <v>45505</v>
      </c>
      <c r="F66" s="72">
        <f t="shared" si="26"/>
        <v>45535</v>
      </c>
      <c r="G66" s="73">
        <f>IFERROR(IF(AND(F66&lt;=$F$9,$F$5=Robocze!$B$4,$E66&lt;=$F$9,MONTH($F$8)=MONTH(E66)),$F$4,0)+IF(AND(F66&lt;=$F$9,$F$5=Robocze!$B$3,E66&lt;=$F$9),KALKULATOR!$F$4/12,0),"")</f>
        <v>0</v>
      </c>
      <c r="H66" s="73">
        <f t="shared" si="27"/>
        <v>25089.599999999999</v>
      </c>
      <c r="I66" s="74">
        <f t="shared" si="11"/>
        <v>0.04</v>
      </c>
      <c r="J66" s="73">
        <f t="shared" si="53"/>
        <v>0</v>
      </c>
      <c r="K66" s="75" t="str">
        <f t="shared" si="54"/>
        <v/>
      </c>
      <c r="L66" s="73">
        <f t="shared" si="55"/>
        <v>25089.599999999999</v>
      </c>
      <c r="M66" s="73">
        <f t="shared" si="56"/>
        <v>27345.880757399234</v>
      </c>
      <c r="N66" s="73">
        <f t="shared" si="57"/>
        <v>27345.880757399234</v>
      </c>
      <c r="O66" s="73">
        <f t="shared" si="58"/>
        <v>27022.301479590802</v>
      </c>
      <c r="P66" s="73">
        <f t="shared" si="59"/>
        <v>27022.301479590802</v>
      </c>
      <c r="Q66" s="73">
        <f t="shared" si="60"/>
        <v>27001.958902460341</v>
      </c>
      <c r="R66" s="73"/>
      <c r="S66" s="76">
        <f t="shared" si="28"/>
        <v>0.17</v>
      </c>
      <c r="T66" s="73">
        <f t="shared" si="42"/>
        <v>91.281233253725446</v>
      </c>
      <c r="U66" s="73">
        <f t="shared" si="29"/>
        <v>27475.651209371357</v>
      </c>
      <c r="V66" s="76">
        <f t="shared" si="30"/>
        <v>0.17</v>
      </c>
      <c r="W66" s="73">
        <f t="shared" si="31"/>
        <v>0</v>
      </c>
      <c r="X66" s="73">
        <f>IF(B66&lt;&gt;"",IF(MONTH(E66)=MONTH($F$13),SUMIF($C$22:C501,"="&amp;(C66-1),$G$22:G501),0)*S66,"")</f>
        <v>0</v>
      </c>
      <c r="Y66" s="73">
        <f>IF(B66&lt;&gt;"",SUM($X$22:X66),"")</f>
        <v>4265.232</v>
      </c>
      <c r="Z66" s="73">
        <f t="shared" si="43"/>
        <v>15.096207751141941</v>
      </c>
      <c r="AA66" s="73">
        <f t="shared" si="32"/>
        <v>2.8682794727169689</v>
      </c>
      <c r="AB66" s="73">
        <f t="shared" si="33"/>
        <v>275.85825362100718</v>
      </c>
      <c r="AC66" s="73">
        <f t="shared" si="34"/>
        <v>4541.0902536210069</v>
      </c>
      <c r="AD66" s="73">
        <f>IFERROR($U66*(1-$V66)+SUM($W$22:$W66)+$AB66,"")</f>
        <v>27345.880757399234</v>
      </c>
      <c r="AE66" s="73" t="b">
        <f t="shared" si="35"/>
        <v>0</v>
      </c>
      <c r="AF66" s="73">
        <f>IF(AND(AE66=TRUE,D66&gt;=65),$U66*(1-10%)+SUM($W$22:$W66)+$AB66,AD66)</f>
        <v>27345.880757399234</v>
      </c>
      <c r="AG66" s="73">
        <f t="shared" si="61"/>
        <v>91.28123325372546</v>
      </c>
      <c r="AH66" s="73">
        <f t="shared" si="62"/>
        <v>2386.0512093713628</v>
      </c>
      <c r="AI66" s="73">
        <f t="shared" si="63"/>
        <v>27475.651209371361</v>
      </c>
      <c r="AJ66" s="73">
        <f t="shared" si="64"/>
        <v>27022.301479590802</v>
      </c>
      <c r="AK66" s="73" t="b">
        <f t="shared" si="36"/>
        <v>0</v>
      </c>
      <c r="AL66" s="73">
        <f t="shared" si="65"/>
        <v>27022.301479590802</v>
      </c>
      <c r="AM66" s="73">
        <f t="shared" si="44"/>
        <v>89.764166425518908</v>
      </c>
      <c r="AN66" s="73">
        <f t="shared" si="37"/>
        <v>17.055191620848593</v>
      </c>
      <c r="AO66" s="73">
        <f t="shared" si="38"/>
        <v>1912.3589024603425</v>
      </c>
      <c r="AP66" s="73">
        <f t="shared" si="39"/>
        <v>27001.958902460341</v>
      </c>
    </row>
    <row r="67" spans="1:42" s="31" customFormat="1" x14ac:dyDescent="0.6">
      <c r="A67" s="70">
        <f t="shared" si="10"/>
        <v>46</v>
      </c>
      <c r="B67" s="70" t="str">
        <f>IF(E67&lt;=$F$9,VLOOKUP(KALKULATOR!A67,Robocze!$B$23:$C$102,2),"")</f>
        <v>4 rok</v>
      </c>
      <c r="C67" s="70">
        <f t="shared" si="25"/>
        <v>2024</v>
      </c>
      <c r="D67" s="71">
        <f t="shared" si="40"/>
        <v>43.833333333333442</v>
      </c>
      <c r="E67" s="77">
        <f t="shared" si="41"/>
        <v>45536</v>
      </c>
      <c r="F67" s="72">
        <f t="shared" si="26"/>
        <v>45565</v>
      </c>
      <c r="G67" s="73">
        <f>IFERROR(IF(AND(F67&lt;=$F$9,$F$5=Robocze!$B$4,$E67&lt;=$F$9,MONTH($F$8)=MONTH(E67)),$F$4,0)+IF(AND(F67&lt;=$F$9,$F$5=Robocze!$B$3,E67&lt;=$F$9),KALKULATOR!$F$4/12,0),"")</f>
        <v>0</v>
      </c>
      <c r="H67" s="73">
        <f t="shared" si="27"/>
        <v>25089.599999999999</v>
      </c>
      <c r="I67" s="74">
        <f t="shared" si="11"/>
        <v>0.04</v>
      </c>
      <c r="J67" s="73">
        <f t="shared" si="53"/>
        <v>0</v>
      </c>
      <c r="K67" s="75" t="str">
        <f t="shared" si="54"/>
        <v/>
      </c>
      <c r="L67" s="73">
        <f t="shared" si="55"/>
        <v>25089.599999999999</v>
      </c>
      <c r="M67" s="73">
        <f t="shared" si="56"/>
        <v>27434.157669429937</v>
      </c>
      <c r="N67" s="73">
        <f t="shared" si="57"/>
        <v>27434.157669429937</v>
      </c>
      <c r="O67" s="73">
        <f t="shared" si="58"/>
        <v>27096.485737856106</v>
      </c>
      <c r="P67" s="73">
        <f t="shared" si="59"/>
        <v>27096.485737856106</v>
      </c>
      <c r="Q67" s="73">
        <f t="shared" si="60"/>
        <v>27074.864191496985</v>
      </c>
      <c r="R67" s="73"/>
      <c r="S67" s="76">
        <f t="shared" si="28"/>
        <v>0.17</v>
      </c>
      <c r="T67" s="73">
        <f t="shared" si="42"/>
        <v>91.585504031237861</v>
      </c>
      <c r="U67" s="73">
        <f t="shared" si="29"/>
        <v>27567.236713402595</v>
      </c>
      <c r="V67" s="76">
        <f t="shared" si="30"/>
        <v>0.17</v>
      </c>
      <c r="W67" s="73">
        <f t="shared" si="31"/>
        <v>0</v>
      </c>
      <c r="X67" s="73">
        <f>IF(B67&lt;&gt;"",IF(MONTH(E67)=MONTH($F$13),SUMIF($C$22:C501,"="&amp;(C67-1),$G$22:G501),0)*S67,"")</f>
        <v>0</v>
      </c>
      <c r="Y67" s="73">
        <f>IF(B67&lt;&gt;"",SUM($X$22:X67),"")</f>
        <v>4265.232</v>
      </c>
      <c r="Z67" s="73">
        <f t="shared" si="43"/>
        <v>15.136967512070022</v>
      </c>
      <c r="AA67" s="73">
        <f t="shared" si="32"/>
        <v>2.8760238272933041</v>
      </c>
      <c r="AB67" s="73">
        <f t="shared" si="33"/>
        <v>288.11919730578393</v>
      </c>
      <c r="AC67" s="73">
        <f t="shared" si="34"/>
        <v>4553.3511973057839</v>
      </c>
      <c r="AD67" s="73">
        <f>IFERROR($U67*(1-$V67)+SUM($W$22:$W67)+$AB67,"")</f>
        <v>27434.157669429937</v>
      </c>
      <c r="AE67" s="73" t="b">
        <f t="shared" si="35"/>
        <v>0</v>
      </c>
      <c r="AF67" s="73">
        <f>IF(AND(AE67=TRUE,D67&gt;=65),$U67*(1-10%)+SUM($W$22:$W67)+$AB67,AD67)</f>
        <v>27434.157669429937</v>
      </c>
      <c r="AG67" s="73">
        <f t="shared" si="61"/>
        <v>91.585504031237875</v>
      </c>
      <c r="AH67" s="73">
        <f t="shared" si="62"/>
        <v>2477.6367134026009</v>
      </c>
      <c r="AI67" s="73">
        <f t="shared" si="63"/>
        <v>27567.236713402599</v>
      </c>
      <c r="AJ67" s="73">
        <f t="shared" si="64"/>
        <v>27096.485737856106</v>
      </c>
      <c r="AK67" s="73" t="b">
        <f t="shared" si="36"/>
        <v>0</v>
      </c>
      <c r="AL67" s="73">
        <f t="shared" si="65"/>
        <v>27096.485737856106</v>
      </c>
      <c r="AM67" s="73">
        <f t="shared" si="44"/>
        <v>90.006529674867807</v>
      </c>
      <c r="AN67" s="73">
        <f t="shared" si="37"/>
        <v>17.101240638224883</v>
      </c>
      <c r="AO67" s="73">
        <f t="shared" si="38"/>
        <v>1985.2641914969863</v>
      </c>
      <c r="AP67" s="73">
        <f t="shared" si="39"/>
        <v>27074.864191496985</v>
      </c>
    </row>
    <row r="68" spans="1:42" s="31" customFormat="1" x14ac:dyDescent="0.6">
      <c r="A68" s="70">
        <f t="shared" si="10"/>
        <v>47</v>
      </c>
      <c r="B68" s="70" t="str">
        <f>IF(E68&lt;=$F$9,VLOOKUP(KALKULATOR!A68,Robocze!$B$23:$C$102,2),"")</f>
        <v>4 rok</v>
      </c>
      <c r="C68" s="70">
        <f t="shared" si="25"/>
        <v>2024</v>
      </c>
      <c r="D68" s="71">
        <f t="shared" si="40"/>
        <v>43.916666666666778</v>
      </c>
      <c r="E68" s="77">
        <f t="shared" si="41"/>
        <v>45566</v>
      </c>
      <c r="F68" s="72">
        <f t="shared" si="26"/>
        <v>45596</v>
      </c>
      <c r="G68" s="73">
        <f>IFERROR(IF(AND(F68&lt;=$F$9,$F$5=Robocze!$B$4,$E68&lt;=$F$9,MONTH($F$8)=MONTH(E68)),$F$4,0)+IF(AND(F68&lt;=$F$9,$F$5=Robocze!$B$3,E68&lt;=$F$9),KALKULATOR!$F$4/12,0),"")</f>
        <v>0</v>
      </c>
      <c r="H68" s="73">
        <f t="shared" si="27"/>
        <v>25089.599999999999</v>
      </c>
      <c r="I68" s="74">
        <f t="shared" si="11"/>
        <v>0.04</v>
      </c>
      <c r="J68" s="73">
        <f t="shared" si="53"/>
        <v>0</v>
      </c>
      <c r="K68" s="75" t="str">
        <f t="shared" si="54"/>
        <v/>
      </c>
      <c r="L68" s="73">
        <f t="shared" si="55"/>
        <v>25089.599999999999</v>
      </c>
      <c r="M68" s="73">
        <f t="shared" si="56"/>
        <v>27522.72107256974</v>
      </c>
      <c r="N68" s="73">
        <f t="shared" si="57"/>
        <v>27522.72107256974</v>
      </c>
      <c r="O68" s="73">
        <f t="shared" si="58"/>
        <v>27170.917276982291</v>
      </c>
      <c r="P68" s="73">
        <f t="shared" si="59"/>
        <v>27170.917276982291</v>
      </c>
      <c r="Q68" s="73">
        <f t="shared" si="60"/>
        <v>27147.966324814028</v>
      </c>
      <c r="R68" s="73"/>
      <c r="S68" s="76">
        <f t="shared" si="28"/>
        <v>0.17</v>
      </c>
      <c r="T68" s="73">
        <f t="shared" si="42"/>
        <v>91.89078904467533</v>
      </c>
      <c r="U68" s="73">
        <f t="shared" si="29"/>
        <v>27659.127502447271</v>
      </c>
      <c r="V68" s="76">
        <f t="shared" si="30"/>
        <v>0.17</v>
      </c>
      <c r="W68" s="73">
        <f t="shared" si="31"/>
        <v>0</v>
      </c>
      <c r="X68" s="73">
        <f>IF(B68&lt;&gt;"",IF(MONTH(E68)=MONTH($F$13),SUMIF($C$22:C501,"="&amp;(C68-1),$G$22:G501),0)*S68,"")</f>
        <v>0</v>
      </c>
      <c r="Y68" s="73">
        <f>IF(B68&lt;&gt;"",SUM($X$22:X68),"")</f>
        <v>4265.232</v>
      </c>
      <c r="Z68" s="73">
        <f t="shared" si="43"/>
        <v>15.177837324352614</v>
      </c>
      <c r="AA68" s="73">
        <f t="shared" si="32"/>
        <v>2.8837890916269968</v>
      </c>
      <c r="AB68" s="73">
        <f t="shared" si="33"/>
        <v>300.4132455385095</v>
      </c>
      <c r="AC68" s="73">
        <f t="shared" si="34"/>
        <v>4565.6452455385097</v>
      </c>
      <c r="AD68" s="73">
        <f>IFERROR($U68*(1-$V68)+SUM($W$22:$W68)+$AB68,"")</f>
        <v>27522.72107256974</v>
      </c>
      <c r="AE68" s="73" t="b">
        <f t="shared" si="35"/>
        <v>0</v>
      </c>
      <c r="AF68" s="73">
        <f>IF(AND(AE68=TRUE,D68&gt;=65),$U68*(1-10%)+SUM($W$22:$W68)+$AB68,AD68)</f>
        <v>27522.72107256974</v>
      </c>
      <c r="AG68" s="73">
        <f t="shared" si="61"/>
        <v>91.89078904467533</v>
      </c>
      <c r="AH68" s="73">
        <f t="shared" si="62"/>
        <v>2569.5275024472762</v>
      </c>
      <c r="AI68" s="73">
        <f t="shared" si="63"/>
        <v>27659.127502447274</v>
      </c>
      <c r="AJ68" s="73">
        <f t="shared" si="64"/>
        <v>27170.917276982291</v>
      </c>
      <c r="AK68" s="73" t="b">
        <f t="shared" si="36"/>
        <v>0</v>
      </c>
      <c r="AL68" s="73">
        <f t="shared" si="65"/>
        <v>27170.917276982291</v>
      </c>
      <c r="AM68" s="73">
        <f t="shared" si="44"/>
        <v>90.24954730498996</v>
      </c>
      <c r="AN68" s="73">
        <f t="shared" si="37"/>
        <v>17.147413987948092</v>
      </c>
      <c r="AO68" s="73">
        <f t="shared" si="38"/>
        <v>2058.3663248140292</v>
      </c>
      <c r="AP68" s="73">
        <f t="shared" si="39"/>
        <v>27147.966324814028</v>
      </c>
    </row>
    <row r="69" spans="1:42" s="69" customFormat="1" x14ac:dyDescent="0.6">
      <c r="A69" s="78">
        <f t="shared" si="10"/>
        <v>48</v>
      </c>
      <c r="B69" s="78" t="str">
        <f>IF(E69&lt;=$F$9,VLOOKUP(KALKULATOR!A69,Robocze!$B$23:$C$102,2),"")</f>
        <v>4 rok</v>
      </c>
      <c r="C69" s="78">
        <f t="shared" si="25"/>
        <v>2024</v>
      </c>
      <c r="D69" s="79">
        <f t="shared" si="40"/>
        <v>44.000000000000114</v>
      </c>
      <c r="E69" s="80">
        <f t="shared" si="41"/>
        <v>45597</v>
      </c>
      <c r="F69" s="81">
        <f t="shared" si="26"/>
        <v>45626</v>
      </c>
      <c r="G69" s="82">
        <f>IFERROR(IF(AND(F69&lt;=$F$9,$F$5=Robocze!$B$4,$E69&lt;=$F$9,MONTH($F$8)=MONTH(E69)),$F$4,0)+IF(AND(F69&lt;=$F$9,$F$5=Robocze!$B$3,E69&lt;=$F$9),KALKULATOR!$F$4/12,0),"")</f>
        <v>0</v>
      </c>
      <c r="H69" s="82">
        <f t="shared" si="27"/>
        <v>25089.599999999999</v>
      </c>
      <c r="I69" s="83">
        <f t="shared" si="11"/>
        <v>0.04</v>
      </c>
      <c r="J69" s="82">
        <f t="shared" si="53"/>
        <v>0</v>
      </c>
      <c r="K69" s="84">
        <f t="shared" si="54"/>
        <v>4</v>
      </c>
      <c r="L69" s="82">
        <f t="shared" si="55"/>
        <v>25089.599999999999</v>
      </c>
      <c r="M69" s="82">
        <f t="shared" si="56"/>
        <v>27611.571900822801</v>
      </c>
      <c r="N69" s="82">
        <f t="shared" si="57"/>
        <v>27611.571900822801</v>
      </c>
      <c r="O69" s="82">
        <f t="shared" si="58"/>
        <v>27245.596921238899</v>
      </c>
      <c r="P69" s="82">
        <f t="shared" si="59"/>
        <v>27245.596921238899</v>
      </c>
      <c r="Q69" s="82">
        <f t="shared" si="60"/>
        <v>27221.265833891026</v>
      </c>
      <c r="R69" s="82"/>
      <c r="S69" s="85">
        <f t="shared" si="28"/>
        <v>0.17</v>
      </c>
      <c r="T69" s="82">
        <f t="shared" si="42"/>
        <v>92.197091674824236</v>
      </c>
      <c r="U69" s="82">
        <f t="shared" si="29"/>
        <v>27751.324594122096</v>
      </c>
      <c r="V69" s="85">
        <f t="shared" si="30"/>
        <v>0.17</v>
      </c>
      <c r="W69" s="82">
        <f t="shared" si="31"/>
        <v>0</v>
      </c>
      <c r="X69" s="82">
        <f>IF(B69&lt;&gt;"",IF(MONTH(E69)=MONTH($F$13),SUMIF($C$22:C501,"="&amp;(C69-1),$G$22:G501),0)*S69,"")</f>
        <v>0</v>
      </c>
      <c r="Y69" s="82">
        <f>IF(B69&lt;&gt;"",SUM($X$22:X69),"")</f>
        <v>4265.232</v>
      </c>
      <c r="Z69" s="82">
        <f t="shared" si="43"/>
        <v>15.218817485128367</v>
      </c>
      <c r="AA69" s="82">
        <f t="shared" si="32"/>
        <v>2.8915753221743898</v>
      </c>
      <c r="AB69" s="82">
        <f t="shared" si="33"/>
        <v>312.74048770146345</v>
      </c>
      <c r="AC69" s="82">
        <f t="shared" si="34"/>
        <v>4577.9724877014633</v>
      </c>
      <c r="AD69" s="82">
        <f>IFERROR($U69*(1-$V69)+SUM($W$22:$W69)+$AB69,"")</f>
        <v>27611.571900822801</v>
      </c>
      <c r="AE69" s="73" t="b">
        <f t="shared" si="35"/>
        <v>0</v>
      </c>
      <c r="AF69" s="82">
        <f>IF(AND(AE69=TRUE,D69&gt;=65),$U69*(1-10%)+SUM($W$22:$W69)+$AB69,AD69)</f>
        <v>27611.571900822801</v>
      </c>
      <c r="AG69" s="82">
        <f t="shared" si="61"/>
        <v>92.19709167482425</v>
      </c>
      <c r="AH69" s="82">
        <f t="shared" si="62"/>
        <v>2661.7245941221004</v>
      </c>
      <c r="AI69" s="82">
        <f t="shared" si="63"/>
        <v>27751.324594122099</v>
      </c>
      <c r="AJ69" s="82">
        <f t="shared" si="64"/>
        <v>27245.596921238899</v>
      </c>
      <c r="AK69" s="73" t="b">
        <f t="shared" si="36"/>
        <v>0</v>
      </c>
      <c r="AL69" s="82">
        <f t="shared" si="65"/>
        <v>27245.596921238899</v>
      </c>
      <c r="AM69" s="82">
        <f t="shared" si="44"/>
        <v>90.493221082713433</v>
      </c>
      <c r="AN69" s="82">
        <f t="shared" si="37"/>
        <v>17.193712005715554</v>
      </c>
      <c r="AO69" s="82">
        <f t="shared" si="38"/>
        <v>2131.6658338910274</v>
      </c>
      <c r="AP69" s="82">
        <f t="shared" si="39"/>
        <v>27221.265833891026</v>
      </c>
    </row>
    <row r="70" spans="1:42" s="31" customFormat="1" x14ac:dyDescent="0.6">
      <c r="A70" s="70">
        <f t="shared" si="10"/>
        <v>49</v>
      </c>
      <c r="B70" s="70" t="str">
        <f>IF(E70&lt;=$F$9,VLOOKUP(KALKULATOR!A70,Robocze!$B$23:$C$102,2),"")</f>
        <v>5 rok</v>
      </c>
      <c r="C70" s="70">
        <f t="shared" si="25"/>
        <v>2024</v>
      </c>
      <c r="D70" s="71">
        <f t="shared" si="40"/>
        <v>44.083333333333449</v>
      </c>
      <c r="E70" s="72">
        <f t="shared" si="41"/>
        <v>45627</v>
      </c>
      <c r="F70" s="72">
        <f t="shared" si="26"/>
        <v>45657</v>
      </c>
      <c r="G70" s="73">
        <f>IFERROR(IF(AND(F70&lt;=$F$9,$F$5=Robocze!$B$4,$E70&lt;=$F$9,MONTH($F$8)=MONTH(E70)),$F$4,0)+IF(AND(F70&lt;=$F$9,$F$5=Robocze!$B$3,E70&lt;=$F$9),KALKULATOR!$F$4/12,0),"")</f>
        <v>6272.4</v>
      </c>
      <c r="H70" s="73">
        <f t="shared" si="27"/>
        <v>31362</v>
      </c>
      <c r="I70" s="74">
        <f t="shared" si="11"/>
        <v>0.04</v>
      </c>
      <c r="J70" s="73">
        <f t="shared" si="53"/>
        <v>0</v>
      </c>
      <c r="K70" s="75" t="str">
        <f t="shared" si="54"/>
        <v/>
      </c>
      <c r="L70" s="73">
        <f t="shared" si="55"/>
        <v>31362</v>
      </c>
      <c r="M70" s="73">
        <f t="shared" si="56"/>
        <v>33990.464731250002</v>
      </c>
      <c r="N70" s="73">
        <f t="shared" si="57"/>
        <v>33990.464731250002</v>
      </c>
      <c r="O70" s="73">
        <f t="shared" si="58"/>
        <v>33609.860977643031</v>
      </c>
      <c r="P70" s="73">
        <f t="shared" si="59"/>
        <v>33609.860977643031</v>
      </c>
      <c r="Q70" s="73">
        <f t="shared" si="60"/>
        <v>33584.098731642531</v>
      </c>
      <c r="R70" s="73"/>
      <c r="S70" s="76">
        <f t="shared" si="28"/>
        <v>0.17</v>
      </c>
      <c r="T70" s="73">
        <f t="shared" si="42"/>
        <v>113.41241531374033</v>
      </c>
      <c r="U70" s="73">
        <f t="shared" si="29"/>
        <v>34137.137009435835</v>
      </c>
      <c r="V70" s="76">
        <f t="shared" si="30"/>
        <v>0.17</v>
      </c>
      <c r="W70" s="73">
        <f t="shared" si="31"/>
        <v>1066.308</v>
      </c>
      <c r="X70" s="73">
        <f>IF(B70&lt;&gt;"",IF(MONTH(E70)=MONTH($F$13),SUMIF($C$22:C501,"="&amp;(C70-1),$G$22:G501),0)*S70,"")</f>
        <v>0</v>
      </c>
      <c r="Y70" s="73">
        <f>IF(B70&lt;&gt;"",SUM($X$22:X70),"")</f>
        <v>4265.232</v>
      </c>
      <c r="Z70" s="73">
        <f t="shared" si="43"/>
        <v>15.259908292338212</v>
      </c>
      <c r="AA70" s="73">
        <f t="shared" si="32"/>
        <v>2.8993825755442604</v>
      </c>
      <c r="AB70" s="73">
        <f t="shared" si="33"/>
        <v>325.10101341825737</v>
      </c>
      <c r="AC70" s="73">
        <f t="shared" si="34"/>
        <v>4590.333013418257</v>
      </c>
      <c r="AD70" s="73">
        <f>IFERROR($U70*(1-$V70)+SUM($W$22:$W70)+$AB70,"")</f>
        <v>33990.464731250002</v>
      </c>
      <c r="AE70" s="73" t="b">
        <f t="shared" si="35"/>
        <v>0</v>
      </c>
      <c r="AF70" s="73">
        <f>IF(AND(AE70=TRUE,D70&gt;=65),$U70*(1-10%)+SUM($W$22:$W70)+$AB70,AD70)</f>
        <v>33990.464731250002</v>
      </c>
      <c r="AG70" s="73">
        <f t="shared" si="61"/>
        <v>113.41241531374033</v>
      </c>
      <c r="AH70" s="73">
        <f t="shared" si="62"/>
        <v>2775.1370094358408</v>
      </c>
      <c r="AI70" s="73">
        <f t="shared" si="63"/>
        <v>34137.137009435843</v>
      </c>
      <c r="AJ70" s="73">
        <f t="shared" si="64"/>
        <v>33609.860977643031</v>
      </c>
      <c r="AK70" s="73" t="b">
        <f t="shared" si="36"/>
        <v>0</v>
      </c>
      <c r="AL70" s="73">
        <f t="shared" si="65"/>
        <v>33609.860977643031</v>
      </c>
      <c r="AM70" s="73">
        <f t="shared" si="44"/>
        <v>111.64555277963676</v>
      </c>
      <c r="AN70" s="73">
        <f t="shared" si="37"/>
        <v>21.212655028130985</v>
      </c>
      <c r="AO70" s="73">
        <f t="shared" si="38"/>
        <v>2222.0987316425308</v>
      </c>
      <c r="AP70" s="73">
        <f t="shared" si="39"/>
        <v>33584.098731642531</v>
      </c>
    </row>
    <row r="71" spans="1:42" s="31" customFormat="1" x14ac:dyDescent="0.6">
      <c r="A71" s="70">
        <f t="shared" si="10"/>
        <v>50</v>
      </c>
      <c r="B71" s="70" t="str">
        <f>IF(E71&lt;=$F$9,VLOOKUP(KALKULATOR!A71,Robocze!$B$23:$C$102,2),"")</f>
        <v>5 rok</v>
      </c>
      <c r="C71" s="70">
        <f t="shared" si="25"/>
        <v>2025</v>
      </c>
      <c r="D71" s="71">
        <f t="shared" si="40"/>
        <v>44.166666666666785</v>
      </c>
      <c r="E71" s="77">
        <f t="shared" si="41"/>
        <v>45658</v>
      </c>
      <c r="F71" s="72">
        <f t="shared" si="26"/>
        <v>45688</v>
      </c>
      <c r="G71" s="73">
        <f>IFERROR(IF(AND(F71&lt;=$F$9,$F$5=Robocze!$B$4,$E71&lt;=$F$9,MONTH($F$8)=MONTH(E71)),$F$4,0)+IF(AND(F71&lt;=$F$9,$F$5=Robocze!$B$3,E71&lt;=$F$9),KALKULATOR!$F$4/12,0),"")</f>
        <v>0</v>
      </c>
      <c r="H71" s="73">
        <f t="shared" si="27"/>
        <v>31362</v>
      </c>
      <c r="I71" s="74">
        <f t="shared" si="11"/>
        <v>0.04</v>
      </c>
      <c r="J71" s="73">
        <f t="shared" si="53"/>
        <v>0</v>
      </c>
      <c r="K71" s="75" t="str">
        <f t="shared" si="54"/>
        <v/>
      </c>
      <c r="L71" s="73">
        <f t="shared" si="55"/>
        <v>31362</v>
      </c>
      <c r="M71" s="73">
        <f t="shared" si="56"/>
        <v>34097.304709445663</v>
      </c>
      <c r="N71" s="73">
        <f t="shared" si="57"/>
        <v>34097.304709445663</v>
      </c>
      <c r="O71" s="73">
        <f t="shared" si="58"/>
        <v>33702.031247568506</v>
      </c>
      <c r="P71" s="73">
        <f t="shared" si="59"/>
        <v>33702.031247568506</v>
      </c>
      <c r="Q71" s="73">
        <f t="shared" si="60"/>
        <v>33674.775798217968</v>
      </c>
      <c r="R71" s="73"/>
      <c r="S71" s="76">
        <f t="shared" si="28"/>
        <v>0.17</v>
      </c>
      <c r="T71" s="73">
        <f t="shared" si="42"/>
        <v>113.79045669811946</v>
      </c>
      <c r="U71" s="73">
        <f t="shared" si="29"/>
        <v>34250.927466133951</v>
      </c>
      <c r="V71" s="76">
        <f t="shared" si="30"/>
        <v>0.17</v>
      </c>
      <c r="W71" s="73">
        <f t="shared" si="31"/>
        <v>0</v>
      </c>
      <c r="X71" s="73">
        <f>IF(B71&lt;&gt;"",IF(MONTH(E71)=MONTH($F$13),SUMIF($C$22:C501,"="&amp;(C71-1),$G$22:G501),0)*S71,"")</f>
        <v>0</v>
      </c>
      <c r="Y71" s="73">
        <f>IF(B71&lt;&gt;"",SUM($X$22:X71),"")</f>
        <v>4265.232</v>
      </c>
      <c r="Z71" s="73">
        <f t="shared" si="43"/>
        <v>15.301110044727523</v>
      </c>
      <c r="AA71" s="73">
        <f t="shared" si="32"/>
        <v>2.9072109084982292</v>
      </c>
      <c r="AB71" s="73">
        <f t="shared" si="33"/>
        <v>337.49491255448663</v>
      </c>
      <c r="AC71" s="73">
        <f t="shared" si="34"/>
        <v>4602.7269125544863</v>
      </c>
      <c r="AD71" s="73">
        <f>IFERROR($U71*(1-$V71)+SUM($W$22:$W71)+$AB71,"")</f>
        <v>34097.304709445663</v>
      </c>
      <c r="AE71" s="73" t="b">
        <f t="shared" si="35"/>
        <v>0</v>
      </c>
      <c r="AF71" s="73">
        <f>IF(AND(AE71=TRUE,D71&gt;=65),$U71*(1-10%)+SUM($W$22:$W71)+$AB71,AD71)</f>
        <v>34097.304709445663</v>
      </c>
      <c r="AG71" s="73">
        <f t="shared" si="61"/>
        <v>113.79045669811948</v>
      </c>
      <c r="AH71" s="73">
        <f t="shared" si="62"/>
        <v>2888.9274661339605</v>
      </c>
      <c r="AI71" s="73">
        <f t="shared" si="63"/>
        <v>34250.927466133959</v>
      </c>
      <c r="AJ71" s="73">
        <f t="shared" si="64"/>
        <v>33702.031247568506</v>
      </c>
      <c r="AK71" s="73" t="b">
        <f t="shared" si="36"/>
        <v>0</v>
      </c>
      <c r="AL71" s="73">
        <f t="shared" si="65"/>
        <v>33702.031247568506</v>
      </c>
      <c r="AM71" s="73">
        <f t="shared" si="44"/>
        <v>111.94699577214176</v>
      </c>
      <c r="AN71" s="73">
        <f t="shared" si="37"/>
        <v>21.269929196706936</v>
      </c>
      <c r="AO71" s="73">
        <f t="shared" si="38"/>
        <v>2312.7757982179683</v>
      </c>
      <c r="AP71" s="73">
        <f t="shared" si="39"/>
        <v>33674.775798217968</v>
      </c>
    </row>
    <row r="72" spans="1:42" s="31" customFormat="1" x14ac:dyDescent="0.6">
      <c r="A72" s="70">
        <f t="shared" si="10"/>
        <v>51</v>
      </c>
      <c r="B72" s="70" t="str">
        <f>IF(E72&lt;=$F$9,VLOOKUP(KALKULATOR!A72,Robocze!$B$23:$C$102,2),"")</f>
        <v>5 rok</v>
      </c>
      <c r="C72" s="70">
        <f t="shared" si="25"/>
        <v>2025</v>
      </c>
      <c r="D72" s="71">
        <f t="shared" si="40"/>
        <v>44.250000000000121</v>
      </c>
      <c r="E72" s="77">
        <f t="shared" si="41"/>
        <v>45689</v>
      </c>
      <c r="F72" s="72">
        <f t="shared" si="26"/>
        <v>45716</v>
      </c>
      <c r="G72" s="73">
        <f>IFERROR(IF(AND(F72&lt;=$F$9,$F$5=Robocze!$B$4,$E72&lt;=$F$9,MONTH($F$8)=MONTH(E72)),$F$4,0)+IF(AND(F72&lt;=$F$9,$F$5=Robocze!$B$3,E72&lt;=$F$9),KALKULATOR!$F$4/12,0),"")</f>
        <v>0</v>
      </c>
      <c r="H72" s="73">
        <f t="shared" si="27"/>
        <v>31362</v>
      </c>
      <c r="I72" s="74">
        <f t="shared" si="11"/>
        <v>0.04</v>
      </c>
      <c r="J72" s="73">
        <f t="shared" si="53"/>
        <v>0</v>
      </c>
      <c r="K72" s="75" t="str">
        <f t="shared" si="54"/>
        <v/>
      </c>
      <c r="L72" s="73">
        <f t="shared" si="55"/>
        <v>31362</v>
      </c>
      <c r="M72" s="73">
        <f t="shared" si="56"/>
        <v>34204.492971432534</v>
      </c>
      <c r="N72" s="73">
        <f t="shared" si="57"/>
        <v>34204.492971432534</v>
      </c>
      <c r="O72" s="73">
        <f t="shared" si="58"/>
        <v>33794.508751727073</v>
      </c>
      <c r="P72" s="73">
        <f t="shared" si="59"/>
        <v>33794.508751727073</v>
      </c>
      <c r="Q72" s="73">
        <f t="shared" si="60"/>
        <v>33765.697692873153</v>
      </c>
      <c r="R72" s="73"/>
      <c r="S72" s="76">
        <f t="shared" si="28"/>
        <v>0.17</v>
      </c>
      <c r="T72" s="73">
        <f t="shared" si="42"/>
        <v>114.16975822044651</v>
      </c>
      <c r="U72" s="73">
        <f t="shared" si="29"/>
        <v>34365.097224354395</v>
      </c>
      <c r="V72" s="76">
        <f t="shared" si="30"/>
        <v>0.17</v>
      </c>
      <c r="W72" s="73">
        <f t="shared" si="31"/>
        <v>0</v>
      </c>
      <c r="X72" s="73">
        <f>IF(B72&lt;&gt;"",IF(MONTH(E72)=MONTH($F$13),SUMIF($C$22:C501,"="&amp;(C72-1),$G$22:G501),0)*S72,"")</f>
        <v>0</v>
      </c>
      <c r="Y72" s="73">
        <f>IF(B72&lt;&gt;"",SUM($X$22:X72),"")</f>
        <v>4265.232</v>
      </c>
      <c r="Z72" s="73">
        <f t="shared" si="43"/>
        <v>15.342423041848287</v>
      </c>
      <c r="AA72" s="73">
        <f t="shared" si="32"/>
        <v>2.9150603779511743</v>
      </c>
      <c r="AB72" s="73">
        <f t="shared" si="33"/>
        <v>349.92227521838373</v>
      </c>
      <c r="AC72" s="73">
        <f t="shared" si="34"/>
        <v>4615.1542752183841</v>
      </c>
      <c r="AD72" s="73">
        <f>IFERROR($U72*(1-$V72)+SUM($W$22:$W72)+$AB72,"")</f>
        <v>34204.492971432534</v>
      </c>
      <c r="AE72" s="73" t="b">
        <f t="shared" si="35"/>
        <v>0</v>
      </c>
      <c r="AF72" s="73">
        <f>IF(AND(AE72=TRUE,D72&gt;=65),$U72*(1-10%)+SUM($W$22:$W72)+$AB72,AD72)</f>
        <v>34204.492971432534</v>
      </c>
      <c r="AG72" s="73">
        <f t="shared" si="61"/>
        <v>114.16975822044652</v>
      </c>
      <c r="AH72" s="73">
        <f t="shared" si="62"/>
        <v>3003.097224354407</v>
      </c>
      <c r="AI72" s="73">
        <f t="shared" si="63"/>
        <v>34365.097224354409</v>
      </c>
      <c r="AJ72" s="73">
        <f t="shared" si="64"/>
        <v>33794.508751727073</v>
      </c>
      <c r="AK72" s="73" t="b">
        <f t="shared" si="36"/>
        <v>0</v>
      </c>
      <c r="AL72" s="73">
        <f t="shared" si="65"/>
        <v>33794.508751727073</v>
      </c>
      <c r="AM72" s="73">
        <f t="shared" si="44"/>
        <v>112.24925266072655</v>
      </c>
      <c r="AN72" s="73">
        <f t="shared" si="37"/>
        <v>21.327358005538045</v>
      </c>
      <c r="AO72" s="73">
        <f t="shared" si="38"/>
        <v>2403.6976928731528</v>
      </c>
      <c r="AP72" s="73">
        <f t="shared" si="39"/>
        <v>33765.697692873153</v>
      </c>
    </row>
    <row r="73" spans="1:42" s="31" customFormat="1" x14ac:dyDescent="0.6">
      <c r="A73" s="70">
        <f t="shared" si="10"/>
        <v>52</v>
      </c>
      <c r="B73" s="70" t="str">
        <f>IF(E73&lt;=$F$9,VLOOKUP(KALKULATOR!A73,Robocze!$B$23:$C$102,2),"")</f>
        <v>5 rok</v>
      </c>
      <c r="C73" s="70">
        <f t="shared" si="25"/>
        <v>2025</v>
      </c>
      <c r="D73" s="71">
        <f t="shared" si="40"/>
        <v>44.333333333333456</v>
      </c>
      <c r="E73" s="77">
        <f t="shared" si="41"/>
        <v>45717</v>
      </c>
      <c r="F73" s="72">
        <f t="shared" si="26"/>
        <v>45747</v>
      </c>
      <c r="G73" s="73">
        <f>IFERROR(IF(AND(F73&lt;=$F$9,$F$5=Robocze!$B$4,$E73&lt;=$F$9,MONTH($F$8)=MONTH(E73)),$F$4,0)+IF(AND(F73&lt;=$F$9,$F$5=Robocze!$B$3,E73&lt;=$F$9),KALKULATOR!$F$4/12,0),"")</f>
        <v>0</v>
      </c>
      <c r="H73" s="73">
        <f t="shared" si="27"/>
        <v>31362</v>
      </c>
      <c r="I73" s="74">
        <f t="shared" si="11"/>
        <v>0.04</v>
      </c>
      <c r="J73" s="73">
        <f t="shared" si="53"/>
        <v>0</v>
      </c>
      <c r="K73" s="75" t="str">
        <f t="shared" si="54"/>
        <v/>
      </c>
      <c r="L73" s="73">
        <f t="shared" si="55"/>
        <v>31362</v>
      </c>
      <c r="M73" s="73">
        <f t="shared" si="56"/>
        <v>34312.030656962997</v>
      </c>
      <c r="N73" s="73">
        <f t="shared" si="57"/>
        <v>34312.030656962997</v>
      </c>
      <c r="O73" s="73">
        <f t="shared" si="58"/>
        <v>33887.294514232832</v>
      </c>
      <c r="P73" s="73">
        <f t="shared" si="59"/>
        <v>33887.294514232832</v>
      </c>
      <c r="Q73" s="73">
        <f t="shared" si="60"/>
        <v>33856.86507664391</v>
      </c>
      <c r="R73" s="73"/>
      <c r="S73" s="76">
        <f t="shared" si="28"/>
        <v>0.17</v>
      </c>
      <c r="T73" s="73">
        <f t="shared" si="42"/>
        <v>114.55032408118133</v>
      </c>
      <c r="U73" s="73">
        <f t="shared" si="29"/>
        <v>34479.647548435576</v>
      </c>
      <c r="V73" s="76">
        <f t="shared" si="30"/>
        <v>0.17</v>
      </c>
      <c r="W73" s="73">
        <f t="shared" si="31"/>
        <v>0</v>
      </c>
      <c r="X73" s="73">
        <f>IF(B73&lt;&gt;"",IF(MONTH(E73)=MONTH($F$13),SUMIF($C$22:C501,"="&amp;(C73-1),$G$22:G501),0)*S73,"")</f>
        <v>0</v>
      </c>
      <c r="Y73" s="73">
        <f>IF(B73&lt;&gt;"",SUM($X$22:X73),"")</f>
        <v>4265.232</v>
      </c>
      <c r="Z73" s="73">
        <f t="shared" si="43"/>
        <v>15.383847584061281</v>
      </c>
      <c r="AA73" s="73">
        <f t="shared" si="32"/>
        <v>2.9229310409716431</v>
      </c>
      <c r="AB73" s="73">
        <f t="shared" si="33"/>
        <v>362.38319176147337</v>
      </c>
      <c r="AC73" s="73">
        <f t="shared" si="34"/>
        <v>4627.6151917614734</v>
      </c>
      <c r="AD73" s="73">
        <f>IFERROR($U73*(1-$V73)+SUM($W$22:$W73)+$AB73,"")</f>
        <v>34312.030656962997</v>
      </c>
      <c r="AE73" s="73" t="b">
        <f t="shared" si="35"/>
        <v>0</v>
      </c>
      <c r="AF73" s="73">
        <f>IF(AND(AE73=TRUE,D73&gt;=65),$U73*(1-10%)+SUM($W$22:$W73)+$AB73,AD73)</f>
        <v>34312.030656962997</v>
      </c>
      <c r="AG73" s="73">
        <f t="shared" si="61"/>
        <v>114.55032408118137</v>
      </c>
      <c r="AH73" s="73">
        <f t="shared" si="62"/>
        <v>3117.6475484355883</v>
      </c>
      <c r="AI73" s="73">
        <f t="shared" si="63"/>
        <v>34479.647548435591</v>
      </c>
      <c r="AJ73" s="73">
        <f t="shared" si="64"/>
        <v>33887.294514232832</v>
      </c>
      <c r="AK73" s="73" t="b">
        <f t="shared" si="36"/>
        <v>0</v>
      </c>
      <c r="AL73" s="73">
        <f t="shared" si="65"/>
        <v>33887.294514232832</v>
      </c>
      <c r="AM73" s="73">
        <f t="shared" si="44"/>
        <v>112.5523256429105</v>
      </c>
      <c r="AN73" s="73">
        <f t="shared" si="37"/>
        <v>21.384941872152996</v>
      </c>
      <c r="AO73" s="73">
        <f t="shared" si="38"/>
        <v>2494.8650766439096</v>
      </c>
      <c r="AP73" s="73">
        <f t="shared" si="39"/>
        <v>33856.86507664391</v>
      </c>
    </row>
    <row r="74" spans="1:42" s="31" customFormat="1" x14ac:dyDescent="0.6">
      <c r="A74" s="70">
        <f t="shared" si="10"/>
        <v>53</v>
      </c>
      <c r="B74" s="70" t="str">
        <f>IF(E74&lt;=$F$9,VLOOKUP(KALKULATOR!A74,Robocze!$B$23:$C$102,2),"")</f>
        <v>5 rok</v>
      </c>
      <c r="C74" s="70">
        <f t="shared" si="25"/>
        <v>2025</v>
      </c>
      <c r="D74" s="71">
        <f t="shared" si="40"/>
        <v>44.416666666666792</v>
      </c>
      <c r="E74" s="77">
        <f t="shared" si="41"/>
        <v>45748</v>
      </c>
      <c r="F74" s="72">
        <f t="shared" si="26"/>
        <v>45777</v>
      </c>
      <c r="G74" s="73">
        <f>IFERROR(IF(AND(F74&lt;=$F$9,$F$5=Robocze!$B$4,$E74&lt;=$F$9,MONTH($F$8)=MONTH(E74)),$F$4,0)+IF(AND(F74&lt;=$F$9,$F$5=Robocze!$B$3,E74&lt;=$F$9),KALKULATOR!$F$4/12,0),"")</f>
        <v>0</v>
      </c>
      <c r="H74" s="73">
        <f t="shared" si="27"/>
        <v>31362</v>
      </c>
      <c r="I74" s="74">
        <f t="shared" si="11"/>
        <v>0.04</v>
      </c>
      <c r="J74" s="73">
        <f t="shared" si="53"/>
        <v>0</v>
      </c>
      <c r="K74" s="75" t="str">
        <f t="shared" si="54"/>
        <v/>
      </c>
      <c r="L74" s="73">
        <f t="shared" si="55"/>
        <v>31362</v>
      </c>
      <c r="M74" s="73">
        <f t="shared" si="56"/>
        <v>34422.797941131423</v>
      </c>
      <c r="N74" s="73">
        <f t="shared" si="57"/>
        <v>34422.797941131423</v>
      </c>
      <c r="O74" s="73">
        <f t="shared" si="58"/>
        <v>33980.3895626136</v>
      </c>
      <c r="P74" s="73">
        <f t="shared" si="59"/>
        <v>33980.3895626136</v>
      </c>
      <c r="Q74" s="73">
        <f t="shared" si="60"/>
        <v>33948.278612350849</v>
      </c>
      <c r="R74" s="73"/>
      <c r="S74" s="76">
        <f t="shared" si="28"/>
        <v>0.17</v>
      </c>
      <c r="T74" s="73">
        <f t="shared" si="42"/>
        <v>114.93215849478526</v>
      </c>
      <c r="U74" s="73">
        <f t="shared" si="29"/>
        <v>34594.579706930359</v>
      </c>
      <c r="V74" s="76">
        <f t="shared" si="30"/>
        <v>0.17</v>
      </c>
      <c r="W74" s="73">
        <f t="shared" si="31"/>
        <v>0</v>
      </c>
      <c r="X74" s="73">
        <f>IF(B74&lt;&gt;"",IF(MONTH(E74)=MONTH($F$13),SUMIF($C$22:C501,"="&amp;(C74-1),$G$22:G501),0)*S74,"")</f>
        <v>1066.308</v>
      </c>
      <c r="Y74" s="73">
        <f>IF(B74&lt;&gt;"",SUM($X$22:X74),"")</f>
        <v>5331.54</v>
      </c>
      <c r="Z74" s="73">
        <f t="shared" si="43"/>
        <v>18.979743972538245</v>
      </c>
      <c r="AA74" s="73">
        <f t="shared" si="32"/>
        <v>3.6061513547822663</v>
      </c>
      <c r="AB74" s="73">
        <f t="shared" si="33"/>
        <v>377.75678437922937</v>
      </c>
      <c r="AC74" s="73">
        <f t="shared" si="34"/>
        <v>5709.2967843792294</v>
      </c>
      <c r="AD74" s="73">
        <f>IFERROR($U74*(1-$V74)+SUM($W$22:$W74)+$AB74,"")</f>
        <v>34422.797941131423</v>
      </c>
      <c r="AE74" s="73" t="b">
        <f t="shared" si="35"/>
        <v>0</v>
      </c>
      <c r="AF74" s="73">
        <f>IF(AND(AE74=TRUE,D74&gt;=65),$U74*(1-10%)+SUM($W$22:$W74)+$AB74,AD74)</f>
        <v>34422.797941131423</v>
      </c>
      <c r="AG74" s="73">
        <f t="shared" si="61"/>
        <v>114.93215849478531</v>
      </c>
      <c r="AH74" s="73">
        <f t="shared" si="62"/>
        <v>3232.5797069303735</v>
      </c>
      <c r="AI74" s="73">
        <f t="shared" si="63"/>
        <v>34594.579706930374</v>
      </c>
      <c r="AJ74" s="73">
        <f t="shared" si="64"/>
        <v>33980.3895626136</v>
      </c>
      <c r="AK74" s="73" t="b">
        <f t="shared" si="36"/>
        <v>0</v>
      </c>
      <c r="AL74" s="73">
        <f t="shared" si="65"/>
        <v>33980.3895626136</v>
      </c>
      <c r="AM74" s="73">
        <f t="shared" si="44"/>
        <v>112.85621692214636</v>
      </c>
      <c r="AN74" s="73">
        <f t="shared" si="37"/>
        <v>21.442681215207809</v>
      </c>
      <c r="AO74" s="73">
        <f t="shared" si="38"/>
        <v>2586.2786123508486</v>
      </c>
      <c r="AP74" s="73">
        <f t="shared" si="39"/>
        <v>33948.278612350849</v>
      </c>
    </row>
    <row r="75" spans="1:42" s="31" customFormat="1" x14ac:dyDescent="0.6">
      <c r="A75" s="70">
        <f t="shared" si="10"/>
        <v>54</v>
      </c>
      <c r="B75" s="70" t="str">
        <f>IF(E75&lt;=$F$9,VLOOKUP(KALKULATOR!A75,Robocze!$B$23:$C$102,2),"")</f>
        <v>5 rok</v>
      </c>
      <c r="C75" s="70">
        <f t="shared" si="25"/>
        <v>2025</v>
      </c>
      <c r="D75" s="71">
        <f t="shared" si="40"/>
        <v>44.500000000000128</v>
      </c>
      <c r="E75" s="77">
        <f t="shared" si="41"/>
        <v>45778</v>
      </c>
      <c r="F75" s="72">
        <f t="shared" si="26"/>
        <v>45808</v>
      </c>
      <c r="G75" s="73">
        <f>IFERROR(IF(AND(F75&lt;=$F$9,$F$5=Robocze!$B$4,$E75&lt;=$F$9,MONTH($F$8)=MONTH(E75)),$F$4,0)+IF(AND(F75&lt;=$F$9,$F$5=Robocze!$B$3,E75&lt;=$F$9),KALKULATOR!$F$4/12,0),"")</f>
        <v>0</v>
      </c>
      <c r="H75" s="73">
        <f t="shared" si="27"/>
        <v>31362</v>
      </c>
      <c r="I75" s="74">
        <f t="shared" si="11"/>
        <v>0.04</v>
      </c>
      <c r="J75" s="73">
        <f t="shared" si="53"/>
        <v>0</v>
      </c>
      <c r="K75" s="75" t="str">
        <f t="shared" si="54"/>
        <v/>
      </c>
      <c r="L75" s="73">
        <f t="shared" si="55"/>
        <v>31362</v>
      </c>
      <c r="M75" s="73">
        <f t="shared" si="56"/>
        <v>34533.924712971755</v>
      </c>
      <c r="N75" s="73">
        <f t="shared" si="57"/>
        <v>34533.924712971755</v>
      </c>
      <c r="O75" s="73">
        <f t="shared" si="58"/>
        <v>34073.79492782231</v>
      </c>
      <c r="P75" s="73">
        <f t="shared" si="59"/>
        <v>34073.79492782231</v>
      </c>
      <c r="Q75" s="73">
        <f t="shared" si="60"/>
        <v>34039.938964604196</v>
      </c>
      <c r="R75" s="73"/>
      <c r="S75" s="76">
        <f t="shared" si="28"/>
        <v>0.17</v>
      </c>
      <c r="T75" s="73">
        <f t="shared" si="42"/>
        <v>115.31526568976787</v>
      </c>
      <c r="U75" s="73">
        <f t="shared" si="29"/>
        <v>34709.894972620124</v>
      </c>
      <c r="V75" s="76">
        <f t="shared" si="30"/>
        <v>0.17</v>
      </c>
      <c r="W75" s="73">
        <f t="shared" si="31"/>
        <v>0</v>
      </c>
      <c r="X75" s="73">
        <f>IF(B75&lt;&gt;"",IF(MONTH(E75)=MONTH($F$13),SUMIF($C$22:C501,"="&amp;(C75-1),$G$22:G501),0)*S75,"")</f>
        <v>0</v>
      </c>
      <c r="Y75" s="73">
        <f>IF(B75&lt;&gt;"",SUM($X$22:X75),"")</f>
        <v>5331.54</v>
      </c>
      <c r="Z75" s="73">
        <f t="shared" si="43"/>
        <v>19.030989281264098</v>
      </c>
      <c r="AA75" s="73">
        <f t="shared" si="32"/>
        <v>3.6158879634401786</v>
      </c>
      <c r="AB75" s="73">
        <f t="shared" si="33"/>
        <v>393.17188569705331</v>
      </c>
      <c r="AC75" s="73">
        <f t="shared" si="34"/>
        <v>5724.7118856970528</v>
      </c>
      <c r="AD75" s="73">
        <f>IFERROR($U75*(1-$V75)+SUM($W$22:$W75)+$AB75,"")</f>
        <v>34533.924712971755</v>
      </c>
      <c r="AE75" s="73" t="b">
        <f t="shared" si="35"/>
        <v>0</v>
      </c>
      <c r="AF75" s="73">
        <f>IF(AND(AE75=TRUE,D75&gt;=65),$U75*(1-10%)+SUM($W$22:$W75)+$AB75,AD75)</f>
        <v>34533.924712971755</v>
      </c>
      <c r="AG75" s="73">
        <f t="shared" si="61"/>
        <v>115.31526568976791</v>
      </c>
      <c r="AH75" s="73">
        <f t="shared" si="62"/>
        <v>3347.8949726201413</v>
      </c>
      <c r="AI75" s="73">
        <f t="shared" si="63"/>
        <v>34709.894972620139</v>
      </c>
      <c r="AJ75" s="73">
        <f t="shared" si="64"/>
        <v>34073.79492782231</v>
      </c>
      <c r="AK75" s="73" t="b">
        <f t="shared" si="36"/>
        <v>0</v>
      </c>
      <c r="AL75" s="73">
        <f t="shared" si="65"/>
        <v>34073.79492782231</v>
      </c>
      <c r="AM75" s="73">
        <f t="shared" si="44"/>
        <v>113.16092870783616</v>
      </c>
      <c r="AN75" s="73">
        <f t="shared" si="37"/>
        <v>21.500576454488872</v>
      </c>
      <c r="AO75" s="73">
        <f t="shared" si="38"/>
        <v>2677.9389646041964</v>
      </c>
      <c r="AP75" s="73">
        <f t="shared" si="39"/>
        <v>34039.938964604196</v>
      </c>
    </row>
    <row r="76" spans="1:42" s="31" customFormat="1" x14ac:dyDescent="0.6">
      <c r="A76" s="70">
        <f t="shared" si="10"/>
        <v>55</v>
      </c>
      <c r="B76" s="70" t="str">
        <f>IF(E76&lt;=$F$9,VLOOKUP(KALKULATOR!A76,Robocze!$B$23:$C$102,2),"")</f>
        <v>5 rok</v>
      </c>
      <c r="C76" s="70">
        <f t="shared" si="25"/>
        <v>2025</v>
      </c>
      <c r="D76" s="71">
        <f t="shared" si="40"/>
        <v>44.583333333333464</v>
      </c>
      <c r="E76" s="77">
        <f t="shared" si="41"/>
        <v>45809</v>
      </c>
      <c r="F76" s="72">
        <f t="shared" si="26"/>
        <v>45838</v>
      </c>
      <c r="G76" s="73">
        <f>IFERROR(IF(AND(F76&lt;=$F$9,$F$5=Robocze!$B$4,$E76&lt;=$F$9,MONTH($F$8)=MONTH(E76)),$F$4,0)+IF(AND(F76&lt;=$F$9,$F$5=Robocze!$B$3,E76&lt;=$F$9),KALKULATOR!$F$4/12,0),"")</f>
        <v>0</v>
      </c>
      <c r="H76" s="73">
        <f t="shared" si="27"/>
        <v>31362</v>
      </c>
      <c r="I76" s="74">
        <f t="shared" si="11"/>
        <v>0.04</v>
      </c>
      <c r="J76" s="73">
        <f t="shared" si="53"/>
        <v>0</v>
      </c>
      <c r="K76" s="75" t="str">
        <f t="shared" si="54"/>
        <v/>
      </c>
      <c r="L76" s="73">
        <f t="shared" si="55"/>
        <v>31362</v>
      </c>
      <c r="M76" s="73">
        <f t="shared" si="56"/>
        <v>34645.412144487382</v>
      </c>
      <c r="N76" s="73">
        <f t="shared" si="57"/>
        <v>34645.412144487382</v>
      </c>
      <c r="O76" s="73">
        <f t="shared" si="58"/>
        <v>34167.511644248385</v>
      </c>
      <c r="P76" s="73">
        <f t="shared" si="59"/>
        <v>34167.511644248385</v>
      </c>
      <c r="Q76" s="73">
        <f t="shared" si="60"/>
        <v>34131.846799808634</v>
      </c>
      <c r="R76" s="73"/>
      <c r="S76" s="76">
        <f t="shared" si="28"/>
        <v>0.17</v>
      </c>
      <c r="T76" s="73">
        <f t="shared" si="42"/>
        <v>115.69964990873376</v>
      </c>
      <c r="U76" s="73">
        <f t="shared" si="29"/>
        <v>34825.594622528857</v>
      </c>
      <c r="V76" s="76">
        <f t="shared" si="30"/>
        <v>0.17</v>
      </c>
      <c r="W76" s="73">
        <f t="shared" si="31"/>
        <v>0</v>
      </c>
      <c r="X76" s="73">
        <f>IF(B76&lt;&gt;"",IF(MONTH(E76)=MONTH($F$13),SUMIF($C$22:C501,"="&amp;(C76-1),$G$22:G501),0)*S76,"")</f>
        <v>0</v>
      </c>
      <c r="Y76" s="73">
        <f>IF(B76&lt;&gt;"",SUM($X$22:X76),"")</f>
        <v>5331.54</v>
      </c>
      <c r="Z76" s="73">
        <f t="shared" si="43"/>
        <v>19.08237295232351</v>
      </c>
      <c r="AA76" s="73">
        <f t="shared" si="32"/>
        <v>3.6256508609414668</v>
      </c>
      <c r="AB76" s="73">
        <f t="shared" si="33"/>
        <v>408.62860778843537</v>
      </c>
      <c r="AC76" s="73">
        <f t="shared" si="34"/>
        <v>5740.1686077884351</v>
      </c>
      <c r="AD76" s="73">
        <f>IFERROR($U76*(1-$V76)+SUM($W$22:$W76)+$AB76,"")</f>
        <v>34645.412144487382</v>
      </c>
      <c r="AE76" s="73" t="b">
        <f t="shared" si="35"/>
        <v>0</v>
      </c>
      <c r="AF76" s="73">
        <f>IF(AND(AE76=TRUE,D76&gt;=65),$U76*(1-10%)+SUM($W$22:$W76)+$AB76,AD76)</f>
        <v>34645.412144487382</v>
      </c>
      <c r="AG76" s="73">
        <f t="shared" si="61"/>
        <v>115.6996499087338</v>
      </c>
      <c r="AH76" s="73">
        <f t="shared" si="62"/>
        <v>3463.5946225288749</v>
      </c>
      <c r="AI76" s="73">
        <f t="shared" si="63"/>
        <v>34825.594622528872</v>
      </c>
      <c r="AJ76" s="73">
        <f t="shared" si="64"/>
        <v>34167.511644248385</v>
      </c>
      <c r="AK76" s="73" t="b">
        <f t="shared" si="36"/>
        <v>0</v>
      </c>
      <c r="AL76" s="73">
        <f t="shared" si="65"/>
        <v>34167.511644248385</v>
      </c>
      <c r="AM76" s="73">
        <f t="shared" si="44"/>
        <v>113.46646321534733</v>
      </c>
      <c r="AN76" s="73">
        <f t="shared" si="37"/>
        <v>21.558628010915992</v>
      </c>
      <c r="AO76" s="73">
        <f t="shared" si="38"/>
        <v>2769.8467998086344</v>
      </c>
      <c r="AP76" s="73">
        <f t="shared" si="39"/>
        <v>34131.846799808634</v>
      </c>
    </row>
    <row r="77" spans="1:42" s="31" customFormat="1" x14ac:dyDescent="0.6">
      <c r="A77" s="70">
        <f t="shared" si="10"/>
        <v>56</v>
      </c>
      <c r="B77" s="70" t="str">
        <f>IF(E77&lt;=$F$9,VLOOKUP(KALKULATOR!A77,Robocze!$B$23:$C$102,2),"")</f>
        <v>5 rok</v>
      </c>
      <c r="C77" s="70">
        <f t="shared" si="25"/>
        <v>2025</v>
      </c>
      <c r="D77" s="71">
        <f t="shared" si="40"/>
        <v>44.666666666666799</v>
      </c>
      <c r="E77" s="77">
        <f t="shared" si="41"/>
        <v>45839</v>
      </c>
      <c r="F77" s="72">
        <f t="shared" si="26"/>
        <v>45869</v>
      </c>
      <c r="G77" s="73">
        <f>IFERROR(IF(AND(F77&lt;=$F$9,$F$5=Robocze!$B$4,$E77&lt;=$F$9,MONTH($F$8)=MONTH(E77)),$F$4,0)+IF(AND(F77&lt;=$F$9,$F$5=Robocze!$B$3,E77&lt;=$F$9),KALKULATOR!$F$4/12,0),"")</f>
        <v>0</v>
      </c>
      <c r="H77" s="73">
        <f t="shared" si="27"/>
        <v>31362</v>
      </c>
      <c r="I77" s="74">
        <f t="shared" si="11"/>
        <v>0.04</v>
      </c>
      <c r="J77" s="73">
        <f t="shared" si="53"/>
        <v>0</v>
      </c>
      <c r="K77" s="75" t="str">
        <f t="shared" si="54"/>
        <v/>
      </c>
      <c r="L77" s="73">
        <f t="shared" si="55"/>
        <v>31362</v>
      </c>
      <c r="M77" s="73">
        <f t="shared" si="56"/>
        <v>34757.261411517415</v>
      </c>
      <c r="N77" s="73">
        <f t="shared" si="57"/>
        <v>34757.261411517415</v>
      </c>
      <c r="O77" s="73">
        <f t="shared" si="58"/>
        <v>34261.540749729218</v>
      </c>
      <c r="P77" s="73">
        <f t="shared" si="59"/>
        <v>34261.540749729218</v>
      </c>
      <c r="Q77" s="73">
        <f t="shared" si="60"/>
        <v>34224.002786168116</v>
      </c>
      <c r="R77" s="73"/>
      <c r="S77" s="76">
        <f t="shared" si="28"/>
        <v>0.17</v>
      </c>
      <c r="T77" s="73">
        <f t="shared" si="42"/>
        <v>116.08531540842954</v>
      </c>
      <c r="U77" s="73">
        <f t="shared" si="29"/>
        <v>34941.67993793729</v>
      </c>
      <c r="V77" s="76">
        <f t="shared" si="30"/>
        <v>0.17</v>
      </c>
      <c r="W77" s="73">
        <f t="shared" si="31"/>
        <v>0</v>
      </c>
      <c r="X77" s="73">
        <f>IF(B77&lt;&gt;"",IF(MONTH(E77)=MONTH($F$13),SUMIF($C$22:C501,"="&amp;(C77-1),$G$22:G501),0)*S77,"")</f>
        <v>0</v>
      </c>
      <c r="Y77" s="73">
        <f>IF(B77&lt;&gt;"",SUM($X$22:X77),"")</f>
        <v>5331.54</v>
      </c>
      <c r="Z77" s="73">
        <f t="shared" si="43"/>
        <v>19.133895359294783</v>
      </c>
      <c r="AA77" s="73">
        <f t="shared" si="32"/>
        <v>3.635440118266009</v>
      </c>
      <c r="AB77" s="73">
        <f t="shared" si="33"/>
        <v>424.12706302946418</v>
      </c>
      <c r="AC77" s="73">
        <f t="shared" si="34"/>
        <v>5755.6670630294639</v>
      </c>
      <c r="AD77" s="73">
        <f>IFERROR($U77*(1-$V77)+SUM($W$22:$W77)+$AB77,"")</f>
        <v>34757.261411517415</v>
      </c>
      <c r="AE77" s="73" t="b">
        <f t="shared" si="35"/>
        <v>0</v>
      </c>
      <c r="AF77" s="73">
        <f>IF(AND(AE77=TRUE,D77&gt;=65),$U77*(1-10%)+SUM($W$22:$W77)+$AB77,AD77)</f>
        <v>34757.261411517415</v>
      </c>
      <c r="AG77" s="73">
        <f t="shared" si="61"/>
        <v>116.08531540842957</v>
      </c>
      <c r="AH77" s="73">
        <f t="shared" si="62"/>
        <v>3579.6799379373047</v>
      </c>
      <c r="AI77" s="73">
        <f t="shared" si="63"/>
        <v>34941.679937937304</v>
      </c>
      <c r="AJ77" s="73">
        <f t="shared" si="64"/>
        <v>34261.540749729218</v>
      </c>
      <c r="AK77" s="73" t="b">
        <f t="shared" si="36"/>
        <v>0</v>
      </c>
      <c r="AL77" s="73">
        <f t="shared" si="65"/>
        <v>34261.540749729218</v>
      </c>
      <c r="AM77" s="73">
        <f t="shared" si="44"/>
        <v>113.77282266602879</v>
      </c>
      <c r="AN77" s="73">
        <f t="shared" si="37"/>
        <v>21.616836306545469</v>
      </c>
      <c r="AO77" s="73">
        <f t="shared" si="38"/>
        <v>2862.0027861681156</v>
      </c>
      <c r="AP77" s="73">
        <f t="shared" si="39"/>
        <v>34224.002786168116</v>
      </c>
    </row>
    <row r="78" spans="1:42" s="31" customFormat="1" x14ac:dyDescent="0.6">
      <c r="A78" s="70">
        <f t="shared" si="10"/>
        <v>57</v>
      </c>
      <c r="B78" s="70" t="str">
        <f>IF(E78&lt;=$F$9,VLOOKUP(KALKULATOR!A78,Robocze!$B$23:$C$102,2),"")</f>
        <v>5 rok</v>
      </c>
      <c r="C78" s="70">
        <f t="shared" si="25"/>
        <v>2025</v>
      </c>
      <c r="D78" s="71">
        <f t="shared" si="40"/>
        <v>44.750000000000135</v>
      </c>
      <c r="E78" s="77">
        <f t="shared" si="41"/>
        <v>45870</v>
      </c>
      <c r="F78" s="72">
        <f t="shared" si="26"/>
        <v>45900</v>
      </c>
      <c r="G78" s="73">
        <f>IFERROR(IF(AND(F78&lt;=$F$9,$F$5=Robocze!$B$4,$E78&lt;=$F$9,MONTH($F$8)=MONTH(E78)),$F$4,0)+IF(AND(F78&lt;=$F$9,$F$5=Robocze!$B$3,E78&lt;=$F$9),KALKULATOR!$F$4/12,0),"")</f>
        <v>0</v>
      </c>
      <c r="H78" s="73">
        <f t="shared" si="27"/>
        <v>31362</v>
      </c>
      <c r="I78" s="74">
        <f t="shared" si="11"/>
        <v>0.04</v>
      </c>
      <c r="J78" s="73">
        <f t="shared" si="53"/>
        <v>0</v>
      </c>
      <c r="K78" s="75" t="str">
        <f t="shared" si="54"/>
        <v/>
      </c>
      <c r="L78" s="73">
        <f t="shared" si="55"/>
        <v>31362</v>
      </c>
      <c r="M78" s="73">
        <f t="shared" si="56"/>
        <v>34869.47369374922</v>
      </c>
      <c r="N78" s="73">
        <f t="shared" si="57"/>
        <v>34869.47369374922</v>
      </c>
      <c r="O78" s="73">
        <f t="shared" si="58"/>
        <v>34355.883285561649</v>
      </c>
      <c r="P78" s="73">
        <f t="shared" si="59"/>
        <v>34355.883285561649</v>
      </c>
      <c r="Q78" s="73">
        <f t="shared" si="60"/>
        <v>34316.407593690776</v>
      </c>
      <c r="R78" s="73"/>
      <c r="S78" s="76">
        <f t="shared" si="28"/>
        <v>0.17</v>
      </c>
      <c r="T78" s="73">
        <f t="shared" si="42"/>
        <v>116.47226645979097</v>
      </c>
      <c r="U78" s="73">
        <f t="shared" si="29"/>
        <v>35058.152204397084</v>
      </c>
      <c r="V78" s="76">
        <f t="shared" si="30"/>
        <v>0.17</v>
      </c>
      <c r="W78" s="73">
        <f t="shared" si="31"/>
        <v>0</v>
      </c>
      <c r="X78" s="73">
        <f>IF(B78&lt;&gt;"",IF(MONTH(E78)=MONTH($F$13),SUMIF($C$22:C501,"="&amp;(C78-1),$G$22:G501),0)*S78,"")</f>
        <v>0</v>
      </c>
      <c r="Y78" s="73">
        <f>IF(B78&lt;&gt;"",SUM($X$22:X78),"")</f>
        <v>5331.54</v>
      </c>
      <c r="Z78" s="73">
        <f t="shared" si="43"/>
        <v>19.185556876764881</v>
      </c>
      <c r="AA78" s="73">
        <f t="shared" si="32"/>
        <v>3.6452558065853276</v>
      </c>
      <c r="AB78" s="73">
        <f t="shared" si="33"/>
        <v>439.66736409964375</v>
      </c>
      <c r="AC78" s="73">
        <f t="shared" si="34"/>
        <v>5771.2073640996432</v>
      </c>
      <c r="AD78" s="73">
        <f>IFERROR($U78*(1-$V78)+SUM($W$22:$W78)+$AB78,"")</f>
        <v>34869.47369374922</v>
      </c>
      <c r="AE78" s="73" t="b">
        <f t="shared" si="35"/>
        <v>0</v>
      </c>
      <c r="AF78" s="73">
        <f>IF(AND(AE78=TRUE,D78&gt;=65),$U78*(1-10%)+SUM($W$22:$W78)+$AB78,AD78)</f>
        <v>34869.47369374922</v>
      </c>
      <c r="AG78" s="73">
        <f t="shared" si="61"/>
        <v>116.47226645979102</v>
      </c>
      <c r="AH78" s="73">
        <f t="shared" si="62"/>
        <v>3696.1522043970958</v>
      </c>
      <c r="AI78" s="73">
        <f t="shared" si="63"/>
        <v>35058.152204397098</v>
      </c>
      <c r="AJ78" s="73">
        <f t="shared" si="64"/>
        <v>34355.883285561649</v>
      </c>
      <c r="AK78" s="73" t="b">
        <f t="shared" si="36"/>
        <v>0</v>
      </c>
      <c r="AL78" s="73">
        <f t="shared" si="65"/>
        <v>34355.883285561649</v>
      </c>
      <c r="AM78" s="73">
        <f t="shared" si="44"/>
        <v>114.08000928722704</v>
      </c>
      <c r="AN78" s="73">
        <f t="shared" si="37"/>
        <v>21.675201764573139</v>
      </c>
      <c r="AO78" s="73">
        <f t="shared" si="38"/>
        <v>2954.4075936907757</v>
      </c>
      <c r="AP78" s="73">
        <f t="shared" si="39"/>
        <v>34316.407593690776</v>
      </c>
    </row>
    <row r="79" spans="1:42" s="31" customFormat="1" x14ac:dyDescent="0.6">
      <c r="A79" s="70">
        <f t="shared" si="10"/>
        <v>58</v>
      </c>
      <c r="B79" s="70" t="str">
        <f>IF(E79&lt;=$F$9,VLOOKUP(KALKULATOR!A79,Robocze!$B$23:$C$102,2),"")</f>
        <v>5 rok</v>
      </c>
      <c r="C79" s="70">
        <f t="shared" si="25"/>
        <v>2025</v>
      </c>
      <c r="D79" s="71">
        <f t="shared" si="40"/>
        <v>44.833333333333471</v>
      </c>
      <c r="E79" s="77">
        <f t="shared" si="41"/>
        <v>45901</v>
      </c>
      <c r="F79" s="72">
        <f t="shared" si="26"/>
        <v>45930</v>
      </c>
      <c r="G79" s="73">
        <f>IFERROR(IF(AND(F79&lt;=$F$9,$F$5=Robocze!$B$4,$E79&lt;=$F$9,MONTH($F$8)=MONTH(E79)),$F$4,0)+IF(AND(F79&lt;=$F$9,$F$5=Robocze!$B$3,E79&lt;=$F$9),KALKULATOR!$F$4/12,0),"")</f>
        <v>0</v>
      </c>
      <c r="H79" s="73">
        <f t="shared" si="27"/>
        <v>31362</v>
      </c>
      <c r="I79" s="74">
        <f t="shared" si="11"/>
        <v>0.04</v>
      </c>
      <c r="J79" s="73">
        <f t="shared" si="53"/>
        <v>0</v>
      </c>
      <c r="K79" s="75" t="str">
        <f t="shared" si="54"/>
        <v/>
      </c>
      <c r="L79" s="73">
        <f t="shared" si="55"/>
        <v>31362</v>
      </c>
      <c r="M79" s="73">
        <f t="shared" si="56"/>
        <v>34982.050174731128</v>
      </c>
      <c r="N79" s="73">
        <f t="shared" si="57"/>
        <v>34982.050174731128</v>
      </c>
      <c r="O79" s="73">
        <f t="shared" si="58"/>
        <v>34450.540296513514</v>
      </c>
      <c r="P79" s="73">
        <f t="shared" si="59"/>
        <v>34450.540296513514</v>
      </c>
      <c r="Q79" s="73">
        <f t="shared" si="60"/>
        <v>34409.061894193743</v>
      </c>
      <c r="R79" s="73"/>
      <c r="S79" s="76">
        <f t="shared" si="28"/>
        <v>0.17</v>
      </c>
      <c r="T79" s="73">
        <f t="shared" si="42"/>
        <v>116.86050734799029</v>
      </c>
      <c r="U79" s="73">
        <f t="shared" si="29"/>
        <v>35175.012711745076</v>
      </c>
      <c r="V79" s="76">
        <f t="shared" si="30"/>
        <v>0.17</v>
      </c>
      <c r="W79" s="73">
        <f t="shared" si="31"/>
        <v>0</v>
      </c>
      <c r="X79" s="73">
        <f>IF(B79&lt;&gt;"",IF(MONTH(E79)=MONTH($F$13),SUMIF($C$22:C501,"="&amp;(C79-1),$G$22:G501),0)*S79,"")</f>
        <v>0</v>
      </c>
      <c r="Y79" s="73">
        <f>IF(B79&lt;&gt;"",SUM($X$22:X79),"")</f>
        <v>5331.54</v>
      </c>
      <c r="Z79" s="73">
        <f t="shared" si="43"/>
        <v>19.237357880332144</v>
      </c>
      <c r="AA79" s="73">
        <f t="shared" si="32"/>
        <v>3.6550979972631072</v>
      </c>
      <c r="AB79" s="73">
        <f t="shared" si="33"/>
        <v>455.24962398271276</v>
      </c>
      <c r="AC79" s="73">
        <f t="shared" si="34"/>
        <v>5786.7896239827114</v>
      </c>
      <c r="AD79" s="73">
        <f>IFERROR($U79*(1-$V79)+SUM($W$22:$W79)+$AB79,"")</f>
        <v>34982.050174731128</v>
      </c>
      <c r="AE79" s="73" t="b">
        <f t="shared" si="35"/>
        <v>0</v>
      </c>
      <c r="AF79" s="73">
        <f>IF(AND(AE79=TRUE,D79&gt;=65),$U79*(1-10%)+SUM($W$22:$W79)+$AB79,AD79)</f>
        <v>34982.050174731128</v>
      </c>
      <c r="AG79" s="73">
        <f t="shared" si="61"/>
        <v>116.86050734799034</v>
      </c>
      <c r="AH79" s="73">
        <f t="shared" si="62"/>
        <v>3813.0127117450861</v>
      </c>
      <c r="AI79" s="73">
        <f t="shared" si="63"/>
        <v>35175.012711745083</v>
      </c>
      <c r="AJ79" s="73">
        <f t="shared" si="64"/>
        <v>34450.540296513514</v>
      </c>
      <c r="AK79" s="73" t="b">
        <f t="shared" si="36"/>
        <v>0</v>
      </c>
      <c r="AL79" s="73">
        <f t="shared" si="65"/>
        <v>34450.540296513514</v>
      </c>
      <c r="AM79" s="73">
        <f t="shared" si="44"/>
        <v>114.38802531230259</v>
      </c>
      <c r="AN79" s="73">
        <f t="shared" si="37"/>
        <v>21.733724809337492</v>
      </c>
      <c r="AO79" s="73">
        <f t="shared" si="38"/>
        <v>3047.0618941937428</v>
      </c>
      <c r="AP79" s="73">
        <f t="shared" si="39"/>
        <v>34409.061894193743</v>
      </c>
    </row>
    <row r="80" spans="1:42" s="31" customFormat="1" x14ac:dyDescent="0.6">
      <c r="A80" s="70">
        <f t="shared" si="10"/>
        <v>59</v>
      </c>
      <c r="B80" s="70" t="str">
        <f>IF(E80&lt;=$F$9,VLOOKUP(KALKULATOR!A80,Robocze!$B$23:$C$102,2),"")</f>
        <v>5 rok</v>
      </c>
      <c r="C80" s="70">
        <f t="shared" si="25"/>
        <v>2025</v>
      </c>
      <c r="D80" s="71">
        <f t="shared" si="40"/>
        <v>44.916666666666806</v>
      </c>
      <c r="E80" s="77">
        <f t="shared" si="41"/>
        <v>45931</v>
      </c>
      <c r="F80" s="72">
        <f t="shared" si="26"/>
        <v>45961</v>
      </c>
      <c r="G80" s="73">
        <f>IFERROR(IF(AND(F80&lt;=$F$9,$F$5=Robocze!$B$4,$E80&lt;=$F$9,MONTH($F$8)=MONTH(E80)),$F$4,0)+IF(AND(F80&lt;=$F$9,$F$5=Robocze!$B$3,E80&lt;=$F$9),KALKULATOR!$F$4/12,0),"")</f>
        <v>0</v>
      </c>
      <c r="H80" s="73">
        <f t="shared" si="27"/>
        <v>31362</v>
      </c>
      <c r="I80" s="74">
        <f t="shared" si="11"/>
        <v>0.04</v>
      </c>
      <c r="J80" s="73">
        <f t="shared" si="53"/>
        <v>0</v>
      </c>
      <c r="K80" s="75" t="str">
        <f t="shared" si="54"/>
        <v/>
      </c>
      <c r="L80" s="73">
        <f t="shared" si="55"/>
        <v>31362</v>
      </c>
      <c r="M80" s="73">
        <f t="shared" si="56"/>
        <v>35094.992041885038</v>
      </c>
      <c r="N80" s="73">
        <f t="shared" si="57"/>
        <v>35094.992041885038</v>
      </c>
      <c r="O80" s="73">
        <f t="shared" si="58"/>
        <v>34545.512830835229</v>
      </c>
      <c r="P80" s="73">
        <f t="shared" si="59"/>
        <v>34545.512830835229</v>
      </c>
      <c r="Q80" s="73">
        <f t="shared" si="60"/>
        <v>34501.96636130807</v>
      </c>
      <c r="R80" s="73"/>
      <c r="S80" s="76">
        <f t="shared" si="28"/>
        <v>0.17</v>
      </c>
      <c r="T80" s="73">
        <f t="shared" si="42"/>
        <v>117.25004237248359</v>
      </c>
      <c r="U80" s="73">
        <f t="shared" si="29"/>
        <v>35292.262754117561</v>
      </c>
      <c r="V80" s="76">
        <f t="shared" si="30"/>
        <v>0.17</v>
      </c>
      <c r="W80" s="73">
        <f t="shared" si="31"/>
        <v>0</v>
      </c>
      <c r="X80" s="73">
        <f>IF(B80&lt;&gt;"",IF(MONTH(E80)=MONTH($F$13),SUMIF($C$22:C501,"="&amp;(C80-1),$G$22:G501),0)*S80,"")</f>
        <v>0</v>
      </c>
      <c r="Y80" s="73">
        <f>IF(B80&lt;&gt;"",SUM($X$22:X80),"")</f>
        <v>5331.54</v>
      </c>
      <c r="Z80" s="73">
        <f t="shared" si="43"/>
        <v>19.289298746609038</v>
      </c>
      <c r="AA80" s="73">
        <f t="shared" si="32"/>
        <v>3.6649667618557173</v>
      </c>
      <c r="AB80" s="73">
        <f t="shared" si="33"/>
        <v>470.87395596746609</v>
      </c>
      <c r="AC80" s="73">
        <f t="shared" si="34"/>
        <v>5802.413955967465</v>
      </c>
      <c r="AD80" s="73">
        <f>IFERROR($U80*(1-$V80)+SUM($W$22:$W80)+$AB80,"")</f>
        <v>35094.992041885038</v>
      </c>
      <c r="AE80" s="73" t="b">
        <f t="shared" si="35"/>
        <v>0</v>
      </c>
      <c r="AF80" s="73">
        <f>IF(AND(AE80=TRUE,D80&gt;=65),$U80*(1-10%)+SUM($W$22:$W80)+$AB80,AD80)</f>
        <v>35094.992041885038</v>
      </c>
      <c r="AG80" s="73">
        <f t="shared" si="61"/>
        <v>117.25004237248362</v>
      </c>
      <c r="AH80" s="73">
        <f t="shared" si="62"/>
        <v>3930.2627541175698</v>
      </c>
      <c r="AI80" s="73">
        <f t="shared" si="63"/>
        <v>35292.262754117568</v>
      </c>
      <c r="AJ80" s="73">
        <f t="shared" si="64"/>
        <v>34545.512830835229</v>
      </c>
      <c r="AK80" s="73" t="b">
        <f t="shared" si="36"/>
        <v>0</v>
      </c>
      <c r="AL80" s="73">
        <f t="shared" si="65"/>
        <v>34545.512830835229</v>
      </c>
      <c r="AM80" s="73">
        <f t="shared" si="44"/>
        <v>114.69687298064581</v>
      </c>
      <c r="AN80" s="73">
        <f t="shared" si="37"/>
        <v>21.792405866322703</v>
      </c>
      <c r="AO80" s="73">
        <f t="shared" si="38"/>
        <v>3139.9663613080702</v>
      </c>
      <c r="AP80" s="73">
        <f t="shared" si="39"/>
        <v>34501.96636130807</v>
      </c>
    </row>
    <row r="81" spans="1:42" s="69" customFormat="1" x14ac:dyDescent="0.6">
      <c r="A81" s="78">
        <f t="shared" si="10"/>
        <v>60</v>
      </c>
      <c r="B81" s="78" t="str">
        <f>IF(E81&lt;=$F$9,VLOOKUP(KALKULATOR!A81,Robocze!$B$23:$C$102,2),"")</f>
        <v>5 rok</v>
      </c>
      <c r="C81" s="78">
        <f t="shared" si="25"/>
        <v>2025</v>
      </c>
      <c r="D81" s="79">
        <f t="shared" si="40"/>
        <v>45.000000000000142</v>
      </c>
      <c r="E81" s="80">
        <f t="shared" si="41"/>
        <v>45962</v>
      </c>
      <c r="F81" s="81">
        <f t="shared" si="26"/>
        <v>45991</v>
      </c>
      <c r="G81" s="82">
        <f>IFERROR(IF(AND(F81&lt;=$F$9,$F$5=Robocze!$B$4,$E81&lt;=$F$9,MONTH($F$8)=MONTH(E81)),$F$4,0)+IF(AND(F81&lt;=$F$9,$F$5=Robocze!$B$3,E81&lt;=$F$9),KALKULATOR!$F$4/12,0),"")</f>
        <v>0</v>
      </c>
      <c r="H81" s="82">
        <f t="shared" si="27"/>
        <v>31362</v>
      </c>
      <c r="I81" s="83">
        <f t="shared" si="11"/>
        <v>0.04</v>
      </c>
      <c r="J81" s="82">
        <f t="shared" si="53"/>
        <v>0</v>
      </c>
      <c r="K81" s="84">
        <f t="shared" si="54"/>
        <v>5</v>
      </c>
      <c r="L81" s="82">
        <f t="shared" si="55"/>
        <v>31362</v>
      </c>
      <c r="M81" s="82">
        <f t="shared" si="56"/>
        <v>35208.300486519212</v>
      </c>
      <c r="N81" s="82">
        <f t="shared" si="57"/>
        <v>35208.300486519212</v>
      </c>
      <c r="O81" s="82">
        <f t="shared" si="58"/>
        <v>34640.801940271347</v>
      </c>
      <c r="P81" s="82">
        <f t="shared" si="59"/>
        <v>34640.801940271347</v>
      </c>
      <c r="Q81" s="82">
        <f t="shared" si="60"/>
        <v>34595.121670483604</v>
      </c>
      <c r="R81" s="82"/>
      <c r="S81" s="85">
        <f t="shared" si="28"/>
        <v>0.17</v>
      </c>
      <c r="T81" s="82">
        <f t="shared" si="42"/>
        <v>117.64087584705854</v>
      </c>
      <c r="U81" s="82">
        <f t="shared" si="29"/>
        <v>35409.903629964618</v>
      </c>
      <c r="V81" s="85">
        <f t="shared" si="30"/>
        <v>0.17</v>
      </c>
      <c r="W81" s="82">
        <f t="shared" si="31"/>
        <v>0</v>
      </c>
      <c r="X81" s="82">
        <f>IF(B81&lt;&gt;"",IF(MONTH(E81)=MONTH($F$13),SUMIF($C$22:C501,"="&amp;(C81-1),$G$22:G501),0)*S81,"")</f>
        <v>0</v>
      </c>
      <c r="Y81" s="82">
        <f>IF(B81&lt;&gt;"",SUM($X$22:X81),"")</f>
        <v>5331.54</v>
      </c>
      <c r="Z81" s="82">
        <f t="shared" si="43"/>
        <v>19.341379853224883</v>
      </c>
      <c r="AA81" s="82">
        <f t="shared" si="32"/>
        <v>3.6748621721127277</v>
      </c>
      <c r="AB81" s="82">
        <f t="shared" si="33"/>
        <v>486.54047364857826</v>
      </c>
      <c r="AC81" s="82">
        <f t="shared" si="34"/>
        <v>5818.080473648577</v>
      </c>
      <c r="AD81" s="82">
        <f>IFERROR($U81*(1-$V81)+SUM($W$22:$W81)+$AB81,"")</f>
        <v>35208.300486519212</v>
      </c>
      <c r="AE81" s="73" t="b">
        <f t="shared" si="35"/>
        <v>0</v>
      </c>
      <c r="AF81" s="82">
        <f>IF(AND(AE81=TRUE,D81&gt;=65),$U81*(1-10%)+SUM($W$22:$W81)+$AB81,AD81)</f>
        <v>35208.300486519212</v>
      </c>
      <c r="AG81" s="82">
        <f t="shared" si="61"/>
        <v>117.64087584705857</v>
      </c>
      <c r="AH81" s="82">
        <f t="shared" si="62"/>
        <v>4047.9036299646282</v>
      </c>
      <c r="AI81" s="82">
        <f t="shared" si="63"/>
        <v>35409.903629964625</v>
      </c>
      <c r="AJ81" s="82">
        <f t="shared" si="64"/>
        <v>34640.801940271347</v>
      </c>
      <c r="AK81" s="73" t="b">
        <f t="shared" si="36"/>
        <v>0</v>
      </c>
      <c r="AL81" s="82">
        <f t="shared" si="65"/>
        <v>34640.801940271347</v>
      </c>
      <c r="AM81" s="82">
        <f t="shared" si="44"/>
        <v>115.00655453769356</v>
      </c>
      <c r="AN81" s="82">
        <f t="shared" si="37"/>
        <v>21.851245362161777</v>
      </c>
      <c r="AO81" s="82">
        <f t="shared" si="38"/>
        <v>3233.1216704836042</v>
      </c>
      <c r="AP81" s="82">
        <f t="shared" si="39"/>
        <v>34595.121670483604</v>
      </c>
    </row>
    <row r="82" spans="1:42" s="31" customFormat="1" x14ac:dyDescent="0.6">
      <c r="A82" s="70">
        <f t="shared" si="10"/>
        <v>61</v>
      </c>
      <c r="B82" s="70" t="str">
        <f>IF(E82&lt;=$F$9,VLOOKUP(KALKULATOR!A82,Robocze!$B$23:$C$102,2),"")</f>
        <v>6 rok</v>
      </c>
      <c r="C82" s="70">
        <f t="shared" si="25"/>
        <v>2025</v>
      </c>
      <c r="D82" s="71">
        <f t="shared" si="40"/>
        <v>45.083333333333478</v>
      </c>
      <c r="E82" s="72">
        <f t="shared" si="41"/>
        <v>45992</v>
      </c>
      <c r="F82" s="72">
        <f t="shared" si="26"/>
        <v>46022</v>
      </c>
      <c r="G82" s="73">
        <f>IFERROR(IF(AND(F82&lt;=$F$9,$F$5=Robocze!$B$4,$E82&lt;=$F$9,MONTH($F$8)=MONTH(E82)),$F$4,0)+IF(AND(F82&lt;=$F$9,$F$5=Robocze!$B$3,E82&lt;=$F$9),KALKULATOR!$F$4/12,0),"")</f>
        <v>6272.4</v>
      </c>
      <c r="H82" s="73">
        <f t="shared" si="27"/>
        <v>37634.400000000001</v>
      </c>
      <c r="I82" s="74">
        <f t="shared" si="11"/>
        <v>0.04</v>
      </c>
      <c r="J82" s="73">
        <f t="shared" si="53"/>
        <v>0</v>
      </c>
      <c r="K82" s="75" t="str">
        <f t="shared" si="54"/>
        <v/>
      </c>
      <c r="L82" s="73">
        <f t="shared" si="55"/>
        <v>37634.400000000001</v>
      </c>
      <c r="M82" s="73">
        <f t="shared" si="56"/>
        <v>41611.730343840958</v>
      </c>
      <c r="N82" s="73">
        <f t="shared" si="57"/>
        <v>41611.730343840958</v>
      </c>
      <c r="O82" s="73">
        <f t="shared" si="58"/>
        <v>41025.74416007226</v>
      </c>
      <c r="P82" s="73">
        <f t="shared" si="59"/>
        <v>41025.74416007226</v>
      </c>
      <c r="Q82" s="73">
        <f t="shared" si="60"/>
        <v>40977.863978993904</v>
      </c>
      <c r="R82" s="73"/>
      <c r="S82" s="76">
        <f t="shared" si="28"/>
        <v>0.17</v>
      </c>
      <c r="T82" s="73">
        <f t="shared" si="42"/>
        <v>138.94101209988207</v>
      </c>
      <c r="U82" s="73">
        <f t="shared" si="29"/>
        <v>41821.244642064499</v>
      </c>
      <c r="V82" s="76">
        <f t="shared" si="30"/>
        <v>0.17</v>
      </c>
      <c r="W82" s="73">
        <f t="shared" si="31"/>
        <v>1066.308</v>
      </c>
      <c r="X82" s="73">
        <f>IF(B82&lt;&gt;"",IF(MONTH(E82)=MONTH($F$13),SUMIF($C$22:C501,"="&amp;(C82-1),$G$22:G501),0)*S82,"")</f>
        <v>0</v>
      </c>
      <c r="Y82" s="73">
        <f>IF(B82&lt;&gt;"",SUM($X$22:X82),"")</f>
        <v>5331.54</v>
      </c>
      <c r="Z82" s="73">
        <f t="shared" si="43"/>
        <v>19.393601578828591</v>
      </c>
      <c r="AA82" s="73">
        <f t="shared" si="32"/>
        <v>3.6847842999774323</v>
      </c>
      <c r="AB82" s="73">
        <f t="shared" si="33"/>
        <v>502.2492909274294</v>
      </c>
      <c r="AC82" s="73">
        <f t="shared" si="34"/>
        <v>5833.7892909274278</v>
      </c>
      <c r="AD82" s="73">
        <f>IFERROR($U82*(1-$V82)+SUM($W$22:$W82)+$AB82,"")</f>
        <v>41611.730343840958</v>
      </c>
      <c r="AE82" s="73" t="b">
        <f t="shared" si="35"/>
        <v>0</v>
      </c>
      <c r="AF82" s="73">
        <f>IF(AND(AE82=TRUE,D82&gt;=65),$U82*(1-10%)+SUM($W$22:$W82)+$AB82,AD82)</f>
        <v>41611.730343840958</v>
      </c>
      <c r="AG82" s="73">
        <f t="shared" si="61"/>
        <v>138.9410120998821</v>
      </c>
      <c r="AH82" s="73">
        <f t="shared" si="62"/>
        <v>4186.8446420645105</v>
      </c>
      <c r="AI82" s="73">
        <f t="shared" si="63"/>
        <v>41821.244642064514</v>
      </c>
      <c r="AJ82" s="73">
        <f t="shared" si="64"/>
        <v>41025.74416007226</v>
      </c>
      <c r="AK82" s="73" t="b">
        <f t="shared" si="36"/>
        <v>0</v>
      </c>
      <c r="AL82" s="73">
        <f t="shared" si="65"/>
        <v>41025.74416007226</v>
      </c>
      <c r="AM82" s="73">
        <f t="shared" si="44"/>
        <v>136.22507223494537</v>
      </c>
      <c r="AN82" s="73">
        <f t="shared" si="37"/>
        <v>25.88276372463962</v>
      </c>
      <c r="AO82" s="73">
        <f t="shared" si="38"/>
        <v>3343.4639789939029</v>
      </c>
      <c r="AP82" s="73">
        <f t="shared" si="39"/>
        <v>40977.863978993904</v>
      </c>
    </row>
    <row r="83" spans="1:42" s="31" customFormat="1" x14ac:dyDescent="0.6">
      <c r="A83" s="70">
        <f t="shared" si="10"/>
        <v>62</v>
      </c>
      <c r="B83" s="70" t="str">
        <f>IF(E83&lt;=$F$9,VLOOKUP(KALKULATOR!A83,Robocze!$B$23:$C$102,2),"")</f>
        <v>6 rok</v>
      </c>
      <c r="C83" s="70">
        <f t="shared" si="25"/>
        <v>2026</v>
      </c>
      <c r="D83" s="71">
        <f t="shared" si="40"/>
        <v>45.166666666666814</v>
      </c>
      <c r="E83" s="77">
        <f t="shared" si="41"/>
        <v>46023</v>
      </c>
      <c r="F83" s="72">
        <f t="shared" si="26"/>
        <v>46053</v>
      </c>
      <c r="G83" s="73">
        <f>IFERROR(IF(AND(F83&lt;=$F$9,$F$5=Robocze!$B$4,$E83&lt;=$F$9,MONTH($F$8)=MONTH(E83)),$F$4,0)+IF(AND(F83&lt;=$F$9,$F$5=Robocze!$B$3,E83&lt;=$F$9),KALKULATOR!$F$4/12,0),"")</f>
        <v>0</v>
      </c>
      <c r="H83" s="73">
        <f t="shared" si="27"/>
        <v>37634.400000000001</v>
      </c>
      <c r="I83" s="74">
        <f t="shared" si="11"/>
        <v>0.04</v>
      </c>
      <c r="J83" s="73">
        <f t="shared" si="53"/>
        <v>0</v>
      </c>
      <c r="K83" s="75" t="str">
        <f t="shared" si="54"/>
        <v/>
      </c>
      <c r="L83" s="73">
        <f t="shared" si="55"/>
        <v>37634.400000000001</v>
      </c>
      <c r="M83" s="73">
        <f t="shared" si="56"/>
        <v>41743.187018436176</v>
      </c>
      <c r="N83" s="73">
        <f t="shared" si="57"/>
        <v>41743.187018436176</v>
      </c>
      <c r="O83" s="73">
        <f t="shared" si="58"/>
        <v>41138.661520605827</v>
      </c>
      <c r="P83" s="73">
        <f t="shared" si="59"/>
        <v>41138.661520605827</v>
      </c>
      <c r="Q83" s="73">
        <f t="shared" si="60"/>
        <v>41088.504211737185</v>
      </c>
      <c r="R83" s="73"/>
      <c r="S83" s="76">
        <f t="shared" si="28"/>
        <v>0.17</v>
      </c>
      <c r="T83" s="73">
        <f t="shared" si="42"/>
        <v>139.40414880688166</v>
      </c>
      <c r="U83" s="73">
        <f t="shared" si="29"/>
        <v>41960.648790871383</v>
      </c>
      <c r="V83" s="76">
        <f t="shared" si="30"/>
        <v>0.17</v>
      </c>
      <c r="W83" s="73">
        <f t="shared" si="31"/>
        <v>0</v>
      </c>
      <c r="X83" s="73">
        <f>IF(B83&lt;&gt;"",IF(MONTH(E83)=MONTH($F$13),SUMIF($C$22:C501,"="&amp;(C83-1),$G$22:G501),0)*S83,"")</f>
        <v>0</v>
      </c>
      <c r="Y83" s="73">
        <f>IF(B83&lt;&gt;"",SUM($X$22:X83),"")</f>
        <v>5331.54</v>
      </c>
      <c r="Z83" s="73">
        <f t="shared" si="43"/>
        <v>19.445964303091426</v>
      </c>
      <c r="AA83" s="73">
        <f t="shared" si="32"/>
        <v>3.6947332175873711</v>
      </c>
      <c r="AB83" s="73">
        <f t="shared" si="33"/>
        <v>518.00052201293352</v>
      </c>
      <c r="AC83" s="73">
        <f t="shared" si="34"/>
        <v>5849.5405220129314</v>
      </c>
      <c r="AD83" s="73">
        <f>IFERROR($U83*(1-$V83)+SUM($W$22:$W83)+$AB83,"")</f>
        <v>41743.187018436176</v>
      </c>
      <c r="AE83" s="73" t="b">
        <f t="shared" si="35"/>
        <v>0</v>
      </c>
      <c r="AF83" s="73">
        <f>IF(AND(AE83=TRUE,D83&gt;=65),$U83*(1-10%)+SUM($W$22:$W83)+$AB83,AD83)</f>
        <v>41743.187018436176</v>
      </c>
      <c r="AG83" s="73">
        <f t="shared" si="61"/>
        <v>139.40414880688172</v>
      </c>
      <c r="AH83" s="73">
        <f t="shared" si="62"/>
        <v>4326.248790871392</v>
      </c>
      <c r="AI83" s="73">
        <f t="shared" si="63"/>
        <v>41960.64879087139</v>
      </c>
      <c r="AJ83" s="73">
        <f t="shared" si="64"/>
        <v>41138.661520605827</v>
      </c>
      <c r="AK83" s="73" t="b">
        <f t="shared" si="36"/>
        <v>0</v>
      </c>
      <c r="AL83" s="73">
        <f t="shared" si="65"/>
        <v>41138.661520605827</v>
      </c>
      <c r="AM83" s="73">
        <f t="shared" si="44"/>
        <v>136.59287992997969</v>
      </c>
      <c r="AN83" s="73">
        <f t="shared" si="37"/>
        <v>25.95264718669614</v>
      </c>
      <c r="AO83" s="73">
        <f t="shared" si="38"/>
        <v>3454.1042117371835</v>
      </c>
      <c r="AP83" s="73">
        <f t="shared" si="39"/>
        <v>41088.504211737185</v>
      </c>
    </row>
    <row r="84" spans="1:42" s="31" customFormat="1" x14ac:dyDescent="0.6">
      <c r="A84" s="70">
        <f t="shared" si="10"/>
        <v>63</v>
      </c>
      <c r="B84" s="70" t="str">
        <f>IF(E84&lt;=$F$9,VLOOKUP(KALKULATOR!A84,Robocze!$B$23:$C$102,2),"")</f>
        <v>6 rok</v>
      </c>
      <c r="C84" s="70">
        <f t="shared" si="25"/>
        <v>2026</v>
      </c>
      <c r="D84" s="71">
        <f t="shared" si="40"/>
        <v>45.250000000000149</v>
      </c>
      <c r="E84" s="77">
        <f t="shared" si="41"/>
        <v>46054</v>
      </c>
      <c r="F84" s="72">
        <f t="shared" si="26"/>
        <v>46081</v>
      </c>
      <c r="G84" s="73">
        <f>IFERROR(IF(AND(F84&lt;=$F$9,$F$5=Robocze!$B$4,$E84&lt;=$F$9,MONTH($F$8)=MONTH(E84)),$F$4,0)+IF(AND(F84&lt;=$F$9,$F$5=Robocze!$B$3,E84&lt;=$F$9),KALKULATOR!$F$4/12,0),"")</f>
        <v>0</v>
      </c>
      <c r="H84" s="73">
        <f t="shared" si="27"/>
        <v>37634.400000000001</v>
      </c>
      <c r="I84" s="74">
        <f t="shared" si="11"/>
        <v>0.04</v>
      </c>
      <c r="J84" s="73">
        <f t="shared" si="53"/>
        <v>0</v>
      </c>
      <c r="K84" s="75" t="str">
        <f t="shared" si="54"/>
        <v/>
      </c>
      <c r="L84" s="73">
        <f t="shared" si="55"/>
        <v>37634.400000000001</v>
      </c>
      <c r="M84" s="73">
        <f t="shared" si="56"/>
        <v>41875.071906167024</v>
      </c>
      <c r="N84" s="73">
        <f t="shared" si="57"/>
        <v>41875.071906167024</v>
      </c>
      <c r="O84" s="73">
        <f t="shared" si="58"/>
        <v>41251.955272341183</v>
      </c>
      <c r="P84" s="73">
        <f t="shared" si="59"/>
        <v>41251.955272341183</v>
      </c>
      <c r="Q84" s="73">
        <f t="shared" si="60"/>
        <v>41199.443173108877</v>
      </c>
      <c r="R84" s="73"/>
      <c r="S84" s="76">
        <f t="shared" si="28"/>
        <v>0.17</v>
      </c>
      <c r="T84" s="73">
        <f t="shared" si="42"/>
        <v>139.86882930290463</v>
      </c>
      <c r="U84" s="73">
        <f t="shared" si="29"/>
        <v>42100.517620174287</v>
      </c>
      <c r="V84" s="76">
        <f t="shared" si="30"/>
        <v>0.17</v>
      </c>
      <c r="W84" s="73">
        <f t="shared" si="31"/>
        <v>0</v>
      </c>
      <c r="X84" s="73">
        <f>IF(B84&lt;&gt;"",IF(MONTH(E84)=MONTH($F$13),SUMIF($C$22:C501,"="&amp;(C84-1),$G$22:G501),0)*S84,"")</f>
        <v>0</v>
      </c>
      <c r="Y84" s="73">
        <f>IF(B84&lt;&gt;"",SUM($X$22:X84),"")</f>
        <v>5331.54</v>
      </c>
      <c r="Z84" s="73">
        <f t="shared" si="43"/>
        <v>19.498468406709772</v>
      </c>
      <c r="AA84" s="73">
        <f t="shared" si="32"/>
        <v>3.7047089972748566</v>
      </c>
      <c r="AB84" s="73">
        <f t="shared" si="33"/>
        <v>533.79428142236839</v>
      </c>
      <c r="AC84" s="73">
        <f t="shared" si="34"/>
        <v>5865.3342814223661</v>
      </c>
      <c r="AD84" s="73">
        <f>IFERROR($U84*(1-$V84)+SUM($W$22:$W84)+$AB84,"")</f>
        <v>41875.071906167024</v>
      </c>
      <c r="AE84" s="73" t="b">
        <f t="shared" si="35"/>
        <v>0</v>
      </c>
      <c r="AF84" s="73">
        <f>IF(AND(AE84=TRUE,D84&gt;=65),$U84*(1-10%)+SUM($W$22:$W84)+$AB84,AD84)</f>
        <v>41875.071906167024</v>
      </c>
      <c r="AG84" s="73">
        <f t="shared" si="61"/>
        <v>139.86882930290463</v>
      </c>
      <c r="AH84" s="73">
        <f t="shared" si="62"/>
        <v>4466.1176201742965</v>
      </c>
      <c r="AI84" s="73">
        <f t="shared" si="63"/>
        <v>42100.517620174302</v>
      </c>
      <c r="AJ84" s="73">
        <f t="shared" si="64"/>
        <v>41251.955272341183</v>
      </c>
      <c r="AK84" s="73" t="b">
        <f t="shared" si="36"/>
        <v>0</v>
      </c>
      <c r="AL84" s="73">
        <f t="shared" si="65"/>
        <v>41251.955272341183</v>
      </c>
      <c r="AM84" s="73">
        <f t="shared" si="44"/>
        <v>136.96168070579063</v>
      </c>
      <c r="AN84" s="73">
        <f t="shared" si="37"/>
        <v>26.02271933410022</v>
      </c>
      <c r="AO84" s="73">
        <f t="shared" si="38"/>
        <v>3565.0431731088756</v>
      </c>
      <c r="AP84" s="73">
        <f t="shared" si="39"/>
        <v>41199.443173108877</v>
      </c>
    </row>
    <row r="85" spans="1:42" s="31" customFormat="1" x14ac:dyDescent="0.6">
      <c r="A85" s="70">
        <f t="shared" si="10"/>
        <v>64</v>
      </c>
      <c r="B85" s="70" t="str">
        <f>IF(E85&lt;=$F$9,VLOOKUP(KALKULATOR!A85,Robocze!$B$23:$C$102,2),"")</f>
        <v>6 rok</v>
      </c>
      <c r="C85" s="70">
        <f t="shared" si="25"/>
        <v>2026</v>
      </c>
      <c r="D85" s="71">
        <f t="shared" si="40"/>
        <v>45.333333333333485</v>
      </c>
      <c r="E85" s="77">
        <f t="shared" si="41"/>
        <v>46082</v>
      </c>
      <c r="F85" s="72">
        <f t="shared" si="26"/>
        <v>46112</v>
      </c>
      <c r="G85" s="73">
        <f>IFERROR(IF(AND(F85&lt;=$F$9,$F$5=Robocze!$B$4,$E85&lt;=$F$9,MONTH($F$8)=MONTH(E85)),$F$4,0)+IF(AND(F85&lt;=$F$9,$F$5=Robocze!$B$3,E85&lt;=$F$9),KALKULATOR!$F$4/12,0),"")</f>
        <v>0</v>
      </c>
      <c r="H85" s="73">
        <f t="shared" si="27"/>
        <v>37634.400000000001</v>
      </c>
      <c r="I85" s="74">
        <f t="shared" si="11"/>
        <v>0.04</v>
      </c>
      <c r="J85" s="73">
        <f t="shared" si="53"/>
        <v>0</v>
      </c>
      <c r="K85" s="75" t="str">
        <f t="shared" si="54"/>
        <v/>
      </c>
      <c r="L85" s="73">
        <f t="shared" si="55"/>
        <v>37634.400000000001</v>
      </c>
      <c r="M85" s="73">
        <f t="shared" si="56"/>
        <v>42007.386407476013</v>
      </c>
      <c r="N85" s="73">
        <f t="shared" si="57"/>
        <v>42007.386407476013</v>
      </c>
      <c r="O85" s="73">
        <f t="shared" si="58"/>
        <v>41365.626669915648</v>
      </c>
      <c r="P85" s="73">
        <f t="shared" si="59"/>
        <v>41365.626669915648</v>
      </c>
      <c r="Q85" s="73">
        <f t="shared" si="60"/>
        <v>41310.681669676269</v>
      </c>
      <c r="R85" s="73"/>
      <c r="S85" s="76">
        <f t="shared" si="28"/>
        <v>0.17</v>
      </c>
      <c r="T85" s="73">
        <f t="shared" si="42"/>
        <v>140.33505873391431</v>
      </c>
      <c r="U85" s="73">
        <f t="shared" si="29"/>
        <v>42240.852678908203</v>
      </c>
      <c r="V85" s="76">
        <f t="shared" si="30"/>
        <v>0.17</v>
      </c>
      <c r="W85" s="73">
        <f t="shared" si="31"/>
        <v>0</v>
      </c>
      <c r="X85" s="73">
        <f>IF(B85&lt;&gt;"",IF(MONTH(E85)=MONTH($F$13),SUMIF($C$22:C501,"="&amp;(C85-1),$G$22:G501),0)*S85,"")</f>
        <v>0</v>
      </c>
      <c r="Y85" s="73">
        <f>IF(B85&lt;&gt;"",SUM($X$22:X85),"")</f>
        <v>5331.54</v>
      </c>
      <c r="Z85" s="73">
        <f t="shared" si="43"/>
        <v>19.551114271407886</v>
      </c>
      <c r="AA85" s="73">
        <f t="shared" si="32"/>
        <v>3.7147117115674986</v>
      </c>
      <c r="AB85" s="73">
        <f t="shared" si="33"/>
        <v>549.63068398220878</v>
      </c>
      <c r="AC85" s="73">
        <f t="shared" si="34"/>
        <v>5881.1706839822064</v>
      </c>
      <c r="AD85" s="73">
        <f>IFERROR($U85*(1-$V85)+SUM($W$22:$W85)+$AB85,"")</f>
        <v>42007.386407476013</v>
      </c>
      <c r="AE85" s="73" t="b">
        <f t="shared" si="35"/>
        <v>0</v>
      </c>
      <c r="AF85" s="73">
        <f>IF(AND(AE85=TRUE,D85&gt;=65),$U85*(1-10%)+SUM($W$22:$W85)+$AB85,AD85)</f>
        <v>42007.386407476013</v>
      </c>
      <c r="AG85" s="73">
        <f t="shared" si="61"/>
        <v>140.33505873391434</v>
      </c>
      <c r="AH85" s="73">
        <f t="shared" si="62"/>
        <v>4606.4526789082111</v>
      </c>
      <c r="AI85" s="73">
        <f t="shared" si="63"/>
        <v>42240.85267890821</v>
      </c>
      <c r="AJ85" s="73">
        <f t="shared" si="64"/>
        <v>41365.626669915648</v>
      </c>
      <c r="AK85" s="73" t="b">
        <f t="shared" si="36"/>
        <v>0</v>
      </c>
      <c r="AL85" s="73">
        <f t="shared" si="65"/>
        <v>41365.626669915648</v>
      </c>
      <c r="AM85" s="73">
        <f t="shared" si="44"/>
        <v>137.33147724369624</v>
      </c>
      <c r="AN85" s="73">
        <f t="shared" si="37"/>
        <v>26.092980676302286</v>
      </c>
      <c r="AO85" s="73">
        <f t="shared" si="38"/>
        <v>3676.2816696762675</v>
      </c>
      <c r="AP85" s="73">
        <f t="shared" si="39"/>
        <v>41310.681669676269</v>
      </c>
    </row>
    <row r="86" spans="1:42" s="31" customFormat="1" x14ac:dyDescent="0.6">
      <c r="A86" s="70">
        <f t="shared" ref="A86:A149" si="66">IFERROR(IF((A85+1)&lt;=$F$7*12,A85+1,""),"")</f>
        <v>65</v>
      </c>
      <c r="B86" s="70" t="str">
        <f>IF(E86&lt;=$F$9,VLOOKUP(KALKULATOR!A86,Robocze!$B$23:$C$102,2),"")</f>
        <v>6 rok</v>
      </c>
      <c r="C86" s="70">
        <f t="shared" si="25"/>
        <v>2026</v>
      </c>
      <c r="D86" s="71">
        <f t="shared" si="40"/>
        <v>45.416666666666821</v>
      </c>
      <c r="E86" s="77">
        <f t="shared" si="41"/>
        <v>46113</v>
      </c>
      <c r="F86" s="72">
        <f t="shared" si="26"/>
        <v>46142</v>
      </c>
      <c r="G86" s="73">
        <f>IFERROR(IF(AND(F86&lt;=$F$9,$F$5=Robocze!$B$4,$E86&lt;=$F$9,MONTH($F$8)=MONTH(E86)),$F$4,0)+IF(AND(F86&lt;=$F$9,$F$5=Robocze!$B$3,E86&lt;=$F$9),KALKULATOR!$F$4/12,0),"")</f>
        <v>0</v>
      </c>
      <c r="H86" s="73">
        <f t="shared" si="27"/>
        <v>37634.400000000001</v>
      </c>
      <c r="I86" s="74">
        <f t="shared" ref="I86:I149" si="67">IF(E86&lt;=$F$9,$F$2,"")</f>
        <v>0.04</v>
      </c>
      <c r="J86" s="73">
        <f t="shared" si="53"/>
        <v>0</v>
      </c>
      <c r="K86" s="75" t="str">
        <f t="shared" si="54"/>
        <v/>
      </c>
      <c r="L86" s="73">
        <f t="shared" si="55"/>
        <v>37634.400000000001</v>
      </c>
      <c r="M86" s="73">
        <f t="shared" si="56"/>
        <v>42143.010959001076</v>
      </c>
      <c r="N86" s="73">
        <f t="shared" si="57"/>
        <v>42143.010959001076</v>
      </c>
      <c r="O86" s="73">
        <f t="shared" si="58"/>
        <v>41479.676972148707</v>
      </c>
      <c r="P86" s="73">
        <f t="shared" si="59"/>
        <v>41479.676972148707</v>
      </c>
      <c r="Q86" s="73">
        <f t="shared" si="60"/>
        <v>41422.220510184394</v>
      </c>
      <c r="R86" s="73"/>
      <c r="S86" s="76">
        <f t="shared" ref="S86:S149" si="68">IF(B86&lt;&gt;"",$F$11,"")</f>
        <v>0.17</v>
      </c>
      <c r="T86" s="73">
        <f t="shared" si="42"/>
        <v>140.80284226302734</v>
      </c>
      <c r="U86" s="73">
        <f t="shared" si="29"/>
        <v>42381.655521171233</v>
      </c>
      <c r="V86" s="76">
        <f t="shared" si="30"/>
        <v>0.17</v>
      </c>
      <c r="W86" s="73">
        <f t="shared" si="31"/>
        <v>0</v>
      </c>
      <c r="X86" s="73">
        <f>IF(B86&lt;&gt;"",IF(MONTH(E86)=MONTH($F$13),SUMIF($C$22:C501,"="&amp;(C86-1),$G$22:G501),0)*S86,"")</f>
        <v>1066.308</v>
      </c>
      <c r="Y86" s="73">
        <f>IF(B86&lt;&gt;"",SUM($X$22:X86),"")</f>
        <v>6397.848</v>
      </c>
      <c r="Z86" s="73">
        <f t="shared" si="43"/>
        <v>23.158262279940686</v>
      </c>
      <c r="AA86" s="73">
        <f t="shared" si="32"/>
        <v>4.4000698331887307</v>
      </c>
      <c r="AB86" s="73">
        <f t="shared" si="33"/>
        <v>568.38887642896077</v>
      </c>
      <c r="AC86" s="73">
        <f t="shared" si="34"/>
        <v>6966.2368764289586</v>
      </c>
      <c r="AD86" s="73">
        <f>IFERROR($U86*(1-$V86)+SUM($W$22:$W86)+$AB86,"")</f>
        <v>42143.010959001076</v>
      </c>
      <c r="AE86" s="73" t="b">
        <f t="shared" si="35"/>
        <v>0</v>
      </c>
      <c r="AF86" s="73">
        <f>IF(AND(AE86=TRUE,D86&gt;=65),$U86*(1-10%)+SUM($W$22:$W86)+$AB86,AD86)</f>
        <v>42143.010959001076</v>
      </c>
      <c r="AG86" s="73">
        <f t="shared" si="61"/>
        <v>140.80284226302737</v>
      </c>
      <c r="AH86" s="73">
        <f t="shared" si="62"/>
        <v>4747.2555211712388</v>
      </c>
      <c r="AI86" s="73">
        <f t="shared" si="63"/>
        <v>42381.65552117124</v>
      </c>
      <c r="AJ86" s="73">
        <f t="shared" si="64"/>
        <v>41479.676972148707</v>
      </c>
      <c r="AK86" s="73" t="b">
        <f t="shared" si="36"/>
        <v>0</v>
      </c>
      <c r="AL86" s="73">
        <f t="shared" si="65"/>
        <v>41479.676972148707</v>
      </c>
      <c r="AM86" s="73">
        <f t="shared" si="44"/>
        <v>137.70227223225422</v>
      </c>
      <c r="AN86" s="73">
        <f t="shared" si="37"/>
        <v>26.163431724128301</v>
      </c>
      <c r="AO86" s="73">
        <f t="shared" si="38"/>
        <v>3787.8205101843923</v>
      </c>
      <c r="AP86" s="73">
        <f t="shared" si="39"/>
        <v>41422.220510184394</v>
      </c>
    </row>
    <row r="87" spans="1:42" s="31" customFormat="1" x14ac:dyDescent="0.6">
      <c r="A87" s="70">
        <f t="shared" si="66"/>
        <v>66</v>
      </c>
      <c r="B87" s="70" t="str">
        <f>IF(E87&lt;=$F$9,VLOOKUP(KALKULATOR!A87,Robocze!$B$23:$C$102,2),"")</f>
        <v>6 rok</v>
      </c>
      <c r="C87" s="70">
        <f t="shared" ref="C87:C150" si="69">IF(B87="","",YEAR(E87))</f>
        <v>2026</v>
      </c>
      <c r="D87" s="71">
        <f t="shared" si="40"/>
        <v>45.500000000000156</v>
      </c>
      <c r="E87" s="77">
        <f t="shared" si="41"/>
        <v>46143</v>
      </c>
      <c r="F87" s="72">
        <f t="shared" ref="F87:F150" si="70">IFERROR(EOMONTH(E87,0),"")</f>
        <v>46173</v>
      </c>
      <c r="G87" s="73">
        <f>IFERROR(IF(AND(F87&lt;=$F$9,$F$5=Robocze!$B$4,$E87&lt;=$F$9,MONTH($F$8)=MONTH(E87)),$F$4,0)+IF(AND(F87&lt;=$F$9,$F$5=Robocze!$B$3,E87&lt;=$F$9),KALKULATOR!$F$4/12,0),"")</f>
        <v>0</v>
      </c>
      <c r="H87" s="73">
        <f t="shared" ref="H87:H150" si="71">IFERROR(H86+G87,"")</f>
        <v>37634.400000000001</v>
      </c>
      <c r="I87" s="74">
        <f t="shared" si="67"/>
        <v>0.04</v>
      </c>
      <c r="J87" s="73">
        <f t="shared" si="53"/>
        <v>0</v>
      </c>
      <c r="K87" s="75" t="str">
        <f t="shared" si="54"/>
        <v/>
      </c>
      <c r="L87" s="73">
        <f t="shared" si="55"/>
        <v>37634.400000000001</v>
      </c>
      <c r="M87" s="73">
        <f t="shared" si="56"/>
        <v>42279.075712176011</v>
      </c>
      <c r="N87" s="73">
        <f t="shared" si="57"/>
        <v>42279.075712176011</v>
      </c>
      <c r="O87" s="73">
        <f t="shared" si="58"/>
        <v>41594.107442055865</v>
      </c>
      <c r="P87" s="73">
        <f t="shared" si="59"/>
        <v>41594.107442055865</v>
      </c>
      <c r="Q87" s="73">
        <f t="shared" si="60"/>
        <v>41534.060505561894</v>
      </c>
      <c r="R87" s="73"/>
      <c r="S87" s="76">
        <f t="shared" si="68"/>
        <v>0.17</v>
      </c>
      <c r="T87" s="73">
        <f t="shared" si="42"/>
        <v>141.2721850705708</v>
      </c>
      <c r="U87" s="73">
        <f t="shared" ref="U87:U150" si="72">IF(B87&lt;&gt;"",U86+T87-J87+G87,"")</f>
        <v>42522.927706241804</v>
      </c>
      <c r="V87" s="76">
        <f t="shared" ref="V87:V150" si="73">IF(B87&lt;&gt;"",$F$12,"")</f>
        <v>0.17</v>
      </c>
      <c r="W87" s="73">
        <f t="shared" ref="W87:W150" si="74">IF(B87&lt;&gt;"",G87*S87,"")</f>
        <v>0</v>
      </c>
      <c r="X87" s="73">
        <f>IF(B87&lt;&gt;"",IF(MONTH(E87)=MONTH($F$13),SUMIF($C$22:C501,"="&amp;(C87-1),$G$22:G501),0)*S87,"")</f>
        <v>0</v>
      </c>
      <c r="Y87" s="73">
        <f>IF(B87&lt;&gt;"",SUM($X$22:X87),"")</f>
        <v>6397.848</v>
      </c>
      <c r="Z87" s="73">
        <f t="shared" si="43"/>
        <v>23.220789588096526</v>
      </c>
      <c r="AA87" s="73">
        <f t="shared" ref="AA87:AA150" si="75">IF(B87&lt;&gt;"",MAX(0,Z87*$F$14),"")</f>
        <v>4.4119500217383401</v>
      </c>
      <c r="AB87" s="73">
        <f t="shared" ref="AB87:AB150" si="76">IF(B87&lt;&gt;"",AB86+Z87-AA87,"")</f>
        <v>587.19771599531896</v>
      </c>
      <c r="AC87" s="73">
        <f t="shared" ref="AC87:AC150" si="77">IF(B87&lt;&gt;"",AC86+Z87-AA87+X87,"")</f>
        <v>6985.0457159953166</v>
      </c>
      <c r="AD87" s="73">
        <f>IFERROR($U87*(1-$V87)+SUM($W$22:$W87)+$AB87,"")</f>
        <v>42279.075712176011</v>
      </c>
      <c r="AE87" s="73" t="b">
        <f t="shared" ref="AE87:AE150" si="78">IFERROR(IF(AE86=TRUE,AE86,AND(YEAR(E87)-YEAR($F$8)&gt;=5,D87&gt;=65)),"")</f>
        <v>0</v>
      </c>
      <c r="AF87" s="73">
        <f>IF(AND(AE87=TRUE,D87&gt;=65),$U87*(1-10%)+SUM($W$22:$W87)+$AB87,AD87)</f>
        <v>42279.075712176011</v>
      </c>
      <c r="AG87" s="73">
        <f t="shared" si="61"/>
        <v>141.2721850705708</v>
      </c>
      <c r="AH87" s="73">
        <f t="shared" si="62"/>
        <v>4888.5277062418099</v>
      </c>
      <c r="AI87" s="73">
        <f t="shared" si="63"/>
        <v>42522.927706241811</v>
      </c>
      <c r="AJ87" s="73">
        <f t="shared" si="64"/>
        <v>41594.107442055865</v>
      </c>
      <c r="AK87" s="73" t="b">
        <f t="shared" ref="AK87:AK150" si="79">IFERROR(IF(AK86=TRUE,AK86,AND(YEAR(E87)-YEAR($F$8)&gt;=5,D87&gt;=55,OR(D87&gt;=60,D87&gt;=$F$10))),"")</f>
        <v>0</v>
      </c>
      <c r="AL87" s="73">
        <f t="shared" si="65"/>
        <v>41594.107442055865</v>
      </c>
      <c r="AM87" s="73">
        <f t="shared" si="44"/>
        <v>138.07406836728131</v>
      </c>
      <c r="AN87" s="73">
        <f t="shared" ref="AN87:AN150" si="80">IF(B87&lt;&gt;"",MAX(0,AM87*$F$14),"")</f>
        <v>26.234072989783449</v>
      </c>
      <c r="AO87" s="73">
        <f t="shared" ref="AO87:AO150" si="81">IF(B87&lt;&gt;"",AP87-H87,"")</f>
        <v>3899.6605055618929</v>
      </c>
      <c r="AP87" s="73">
        <f t="shared" ref="AP87:AP150" si="82">IF(B87&lt;&gt;"",AP86+G87+AM87-AN87,"")</f>
        <v>41534.060505561894</v>
      </c>
    </row>
    <row r="88" spans="1:42" s="31" customFormat="1" x14ac:dyDescent="0.6">
      <c r="A88" s="70">
        <f t="shared" si="66"/>
        <v>67</v>
      </c>
      <c r="B88" s="70" t="str">
        <f>IF(E88&lt;=$F$9,VLOOKUP(KALKULATOR!A88,Robocze!$B$23:$C$102,2),"")</f>
        <v>6 rok</v>
      </c>
      <c r="C88" s="70">
        <f t="shared" si="69"/>
        <v>2026</v>
      </c>
      <c r="D88" s="71">
        <f t="shared" ref="D88:D151" si="83">IF(B88="","",D87+1/12)</f>
        <v>45.583333333333492</v>
      </c>
      <c r="E88" s="77">
        <f t="shared" ref="E88:E151" si="84">IF(OR(B87="",E87&gt;$F$9,A88=""),"",EDATE(E87,1))</f>
        <v>46174</v>
      </c>
      <c r="F88" s="72">
        <f t="shared" si="70"/>
        <v>46203</v>
      </c>
      <c r="G88" s="73">
        <f>IFERROR(IF(AND(F88&lt;=$F$9,$F$5=Robocze!$B$4,$E88&lt;=$F$9,MONTH($F$8)=MONTH(E88)),$F$4,0)+IF(AND(F88&lt;=$F$9,$F$5=Robocze!$B$3,E88&lt;=$F$9),KALKULATOR!$F$4/12,0),"")</f>
        <v>0</v>
      </c>
      <c r="H88" s="73">
        <f t="shared" si="71"/>
        <v>37634.400000000001</v>
      </c>
      <c r="I88" s="74">
        <f t="shared" si="67"/>
        <v>0.04</v>
      </c>
      <c r="J88" s="73">
        <f t="shared" si="53"/>
        <v>0</v>
      </c>
      <c r="K88" s="75" t="str">
        <f t="shared" si="54"/>
        <v/>
      </c>
      <c r="L88" s="73">
        <f t="shared" si="55"/>
        <v>37634.400000000001</v>
      </c>
      <c r="M88" s="73">
        <f t="shared" si="56"/>
        <v>42415.582102263143</v>
      </c>
      <c r="N88" s="73">
        <f t="shared" si="57"/>
        <v>42415.582102263143</v>
      </c>
      <c r="O88" s="73">
        <f t="shared" si="58"/>
        <v>41708.91934686272</v>
      </c>
      <c r="P88" s="73">
        <f t="shared" si="59"/>
        <v>41708.91934686272</v>
      </c>
      <c r="Q88" s="73">
        <f t="shared" si="60"/>
        <v>41646.202468926909</v>
      </c>
      <c r="R88" s="73"/>
      <c r="S88" s="76">
        <f t="shared" si="68"/>
        <v>0.17</v>
      </c>
      <c r="T88" s="73">
        <f t="shared" ref="T88:T151" si="85">IF(B88&lt;&gt;"",(U87-J88+G88)*(I88/12),"")</f>
        <v>141.74309235413935</v>
      </c>
      <c r="U88" s="73">
        <f t="shared" si="72"/>
        <v>42664.670798595944</v>
      </c>
      <c r="V88" s="76">
        <f t="shared" si="73"/>
        <v>0.17</v>
      </c>
      <c r="W88" s="73">
        <f t="shared" si="74"/>
        <v>0</v>
      </c>
      <c r="X88" s="73">
        <f>IF(B88&lt;&gt;"",IF(MONTH(E88)=MONTH($F$13),SUMIF($C$22:C501,"="&amp;(C88-1),$G$22:G501),0)*S88,"")</f>
        <v>0</v>
      </c>
      <c r="Y88" s="73">
        <f>IF(B88&lt;&gt;"",SUM($X$22:X88),"")</f>
        <v>6397.848</v>
      </c>
      <c r="Z88" s="73">
        <f t="shared" ref="Z88:Z151" si="86">IF(B88&lt;&gt;"",(AC87+X88)*I88/12,"")</f>
        <v>23.283485719984387</v>
      </c>
      <c r="AA88" s="73">
        <f t="shared" si="75"/>
        <v>4.4238622867970339</v>
      </c>
      <c r="AB88" s="73">
        <f t="shared" si="76"/>
        <v>606.05733942850622</v>
      </c>
      <c r="AC88" s="73">
        <f t="shared" si="77"/>
        <v>7003.9053394285038</v>
      </c>
      <c r="AD88" s="73">
        <f>IFERROR($U88*(1-$V88)+SUM($W$22:$W88)+$AB88,"")</f>
        <v>42415.582102263143</v>
      </c>
      <c r="AE88" s="73" t="b">
        <f t="shared" si="78"/>
        <v>0</v>
      </c>
      <c r="AF88" s="73">
        <f>IF(AND(AE88=TRUE,D88&gt;=65),$U88*(1-10%)+SUM($W$22:$W88)+$AB88,AD88)</f>
        <v>42415.582102263143</v>
      </c>
      <c r="AG88" s="73">
        <f t="shared" si="61"/>
        <v>141.74309235413938</v>
      </c>
      <c r="AH88" s="73">
        <f t="shared" si="62"/>
        <v>5030.2707985959496</v>
      </c>
      <c r="AI88" s="73">
        <f t="shared" si="63"/>
        <v>42664.670798595951</v>
      </c>
      <c r="AJ88" s="73">
        <f t="shared" si="64"/>
        <v>41708.91934686272</v>
      </c>
      <c r="AK88" s="73" t="b">
        <f t="shared" si="79"/>
        <v>0</v>
      </c>
      <c r="AL88" s="73">
        <f t="shared" si="65"/>
        <v>41708.91934686272</v>
      </c>
      <c r="AM88" s="73">
        <f t="shared" ref="AM88:AM151" si="87">IF(B88&lt;&gt;"",(AP87+G88)*I88/12,"")</f>
        <v>138.44686835187298</v>
      </c>
      <c r="AN88" s="73">
        <f t="shared" si="80"/>
        <v>26.304904986855867</v>
      </c>
      <c r="AO88" s="73">
        <f t="shared" si="81"/>
        <v>4011.8024689269077</v>
      </c>
      <c r="AP88" s="73">
        <f t="shared" si="82"/>
        <v>41646.202468926909</v>
      </c>
    </row>
    <row r="89" spans="1:42" s="31" customFormat="1" x14ac:dyDescent="0.6">
      <c r="A89" s="70">
        <f t="shared" si="66"/>
        <v>68</v>
      </c>
      <c r="B89" s="70" t="str">
        <f>IF(E89&lt;=$F$9,VLOOKUP(KALKULATOR!A89,Robocze!$B$23:$C$102,2),"")</f>
        <v>6 rok</v>
      </c>
      <c r="C89" s="70">
        <f t="shared" si="69"/>
        <v>2026</v>
      </c>
      <c r="D89" s="71">
        <f t="shared" si="83"/>
        <v>45.666666666666828</v>
      </c>
      <c r="E89" s="77">
        <f t="shared" si="84"/>
        <v>46204</v>
      </c>
      <c r="F89" s="72">
        <f t="shared" si="70"/>
        <v>46234</v>
      </c>
      <c r="G89" s="73">
        <f>IFERROR(IF(AND(F89&lt;=$F$9,$F$5=Robocze!$B$4,$E89&lt;=$F$9,MONTH($F$8)=MONTH(E89)),$F$4,0)+IF(AND(F89&lt;=$F$9,$F$5=Robocze!$B$3,E89&lt;=$F$9),KALKULATOR!$F$4/12,0),"")</f>
        <v>0</v>
      </c>
      <c r="H89" s="73">
        <f t="shared" si="71"/>
        <v>37634.400000000001</v>
      </c>
      <c r="I89" s="74">
        <f t="shared" si="67"/>
        <v>0.04</v>
      </c>
      <c r="J89" s="73">
        <f t="shared" si="53"/>
        <v>0</v>
      </c>
      <c r="K89" s="75" t="str">
        <f t="shared" si="54"/>
        <v/>
      </c>
      <c r="L89" s="73">
        <f t="shared" si="55"/>
        <v>37634.400000000001</v>
      </c>
      <c r="M89" s="73">
        <f t="shared" si="56"/>
        <v>42552.531569222374</v>
      </c>
      <c r="N89" s="73">
        <f t="shared" si="57"/>
        <v>42552.531569222374</v>
      </c>
      <c r="O89" s="73">
        <f t="shared" si="58"/>
        <v>41824.113958018934</v>
      </c>
      <c r="P89" s="73">
        <f t="shared" si="59"/>
        <v>41824.113958018934</v>
      </c>
      <c r="Q89" s="73">
        <f t="shared" si="60"/>
        <v>41758.64721559301</v>
      </c>
      <c r="R89" s="73"/>
      <c r="S89" s="76">
        <f t="shared" si="68"/>
        <v>0.17</v>
      </c>
      <c r="T89" s="73">
        <f t="shared" si="85"/>
        <v>142.21556932865315</v>
      </c>
      <c r="U89" s="73">
        <f t="shared" si="72"/>
        <v>42806.886367924599</v>
      </c>
      <c r="V89" s="76">
        <f t="shared" si="73"/>
        <v>0.17</v>
      </c>
      <c r="W89" s="73">
        <f t="shared" si="74"/>
        <v>0</v>
      </c>
      <c r="X89" s="73">
        <f>IF(B89&lt;&gt;"",IF(MONTH(E89)=MONTH($F$13),SUMIF($C$22:C501,"="&amp;(C89-1),$G$22:G501),0)*S89,"")</f>
        <v>0</v>
      </c>
      <c r="Y89" s="73">
        <f>IF(B89&lt;&gt;"",SUM($X$22:X89),"")</f>
        <v>6397.848</v>
      </c>
      <c r="Z89" s="73">
        <f t="shared" si="86"/>
        <v>23.346351131428346</v>
      </c>
      <c r="AA89" s="73">
        <f t="shared" si="75"/>
        <v>4.4358067149713856</v>
      </c>
      <c r="AB89" s="73">
        <f t="shared" si="76"/>
        <v>624.96788384496324</v>
      </c>
      <c r="AC89" s="73">
        <f t="shared" si="77"/>
        <v>7022.8158838449608</v>
      </c>
      <c r="AD89" s="73">
        <f>IFERROR($U89*(1-$V89)+SUM($W$22:$W89)+$AB89,"")</f>
        <v>42552.531569222374</v>
      </c>
      <c r="AE89" s="73" t="b">
        <f t="shared" si="78"/>
        <v>0</v>
      </c>
      <c r="AF89" s="73">
        <f>IF(AND(AE89=TRUE,D89&gt;=65),$U89*(1-10%)+SUM($W$22:$W89)+$AB89,AD89)</f>
        <v>42552.531569222374</v>
      </c>
      <c r="AG89" s="73">
        <f t="shared" si="61"/>
        <v>142.21556932865317</v>
      </c>
      <c r="AH89" s="73">
        <f t="shared" si="62"/>
        <v>5172.4863679246027</v>
      </c>
      <c r="AI89" s="73">
        <f t="shared" si="63"/>
        <v>42806.886367924606</v>
      </c>
      <c r="AJ89" s="73">
        <f t="shared" si="64"/>
        <v>41824.113958018934</v>
      </c>
      <c r="AK89" s="73" t="b">
        <f t="shared" si="79"/>
        <v>0</v>
      </c>
      <c r="AL89" s="73">
        <f t="shared" si="65"/>
        <v>41824.113958018934</v>
      </c>
      <c r="AM89" s="73">
        <f t="shared" si="87"/>
        <v>138.82067489642304</v>
      </c>
      <c r="AN89" s="73">
        <f t="shared" si="80"/>
        <v>26.37592823032038</v>
      </c>
      <c r="AO89" s="73">
        <f t="shared" si="81"/>
        <v>4124.2472155930081</v>
      </c>
      <c r="AP89" s="73">
        <f t="shared" si="82"/>
        <v>41758.64721559301</v>
      </c>
    </row>
    <row r="90" spans="1:42" s="31" customFormat="1" x14ac:dyDescent="0.6">
      <c r="A90" s="70">
        <f t="shared" si="66"/>
        <v>69</v>
      </c>
      <c r="B90" s="70" t="str">
        <f>IF(E90&lt;=$F$9,VLOOKUP(KALKULATOR!A90,Robocze!$B$23:$C$102,2),"")</f>
        <v>6 rok</v>
      </c>
      <c r="C90" s="70">
        <f t="shared" si="69"/>
        <v>2026</v>
      </c>
      <c r="D90" s="71">
        <f t="shared" si="83"/>
        <v>45.750000000000163</v>
      </c>
      <c r="E90" s="77">
        <f t="shared" si="84"/>
        <v>46235</v>
      </c>
      <c r="F90" s="72">
        <f t="shared" si="70"/>
        <v>46265</v>
      </c>
      <c r="G90" s="73">
        <f>IFERROR(IF(AND(F90&lt;=$F$9,$F$5=Robocze!$B$4,$E90&lt;=$F$9,MONTH($F$8)=MONTH(E90)),$F$4,0)+IF(AND(F90&lt;=$F$9,$F$5=Robocze!$B$3,E90&lt;=$F$9),KALKULATOR!$F$4/12,0),"")</f>
        <v>0</v>
      </c>
      <c r="H90" s="73">
        <f t="shared" si="71"/>
        <v>37634.400000000001</v>
      </c>
      <c r="I90" s="74">
        <f t="shared" si="67"/>
        <v>0.04</v>
      </c>
      <c r="J90" s="73">
        <f t="shared" si="53"/>
        <v>0</v>
      </c>
      <c r="K90" s="75" t="str">
        <f t="shared" si="54"/>
        <v/>
      </c>
      <c r="L90" s="73">
        <f t="shared" si="55"/>
        <v>37634.400000000001</v>
      </c>
      <c r="M90" s="73">
        <f t="shared" si="56"/>
        <v>42689.925557726681</v>
      </c>
      <c r="N90" s="73">
        <f t="shared" si="57"/>
        <v>42689.925557726681</v>
      </c>
      <c r="O90" s="73">
        <f t="shared" si="58"/>
        <v>41939.692551212327</v>
      </c>
      <c r="P90" s="73">
        <f t="shared" si="59"/>
        <v>41939.692551212327</v>
      </c>
      <c r="Q90" s="73">
        <f t="shared" si="60"/>
        <v>41871.395563075115</v>
      </c>
      <c r="R90" s="73"/>
      <c r="S90" s="76">
        <f t="shared" si="68"/>
        <v>0.17</v>
      </c>
      <c r="T90" s="73">
        <f t="shared" si="85"/>
        <v>142.68962122641534</v>
      </c>
      <c r="U90" s="73">
        <f t="shared" si="72"/>
        <v>42949.575989151017</v>
      </c>
      <c r="V90" s="76">
        <f t="shared" si="73"/>
        <v>0.17</v>
      </c>
      <c r="W90" s="73">
        <f t="shared" si="74"/>
        <v>0</v>
      </c>
      <c r="X90" s="73">
        <f>IF(B90&lt;&gt;"",IF(MONTH(E90)=MONTH($F$13),SUMIF($C$22:C501,"="&amp;(C90-1),$G$22:G501),0)*S90,"")</f>
        <v>0</v>
      </c>
      <c r="Y90" s="73">
        <f>IF(B90&lt;&gt;"",SUM($X$22:X90),"")</f>
        <v>6397.848</v>
      </c>
      <c r="Z90" s="73">
        <f t="shared" si="86"/>
        <v>23.409386279483204</v>
      </c>
      <c r="AA90" s="73">
        <f t="shared" si="75"/>
        <v>4.4477833931018091</v>
      </c>
      <c r="AB90" s="73">
        <f t="shared" si="76"/>
        <v>643.9294867313447</v>
      </c>
      <c r="AC90" s="73">
        <f t="shared" si="77"/>
        <v>7041.7774867313428</v>
      </c>
      <c r="AD90" s="73">
        <f>IFERROR($U90*(1-$V90)+SUM($W$22:$W90)+$AB90,"")</f>
        <v>42689.925557726681</v>
      </c>
      <c r="AE90" s="73" t="b">
        <f t="shared" si="78"/>
        <v>0</v>
      </c>
      <c r="AF90" s="73">
        <f>IF(AND(AE90=TRUE,D90&gt;=65),$U90*(1-10%)+SUM($W$22:$W90)+$AB90,AD90)</f>
        <v>42689.925557726681</v>
      </c>
      <c r="AG90" s="73">
        <f t="shared" si="61"/>
        <v>142.68962122641537</v>
      </c>
      <c r="AH90" s="73">
        <f t="shared" si="62"/>
        <v>5315.1759891510183</v>
      </c>
      <c r="AI90" s="73">
        <f t="shared" si="63"/>
        <v>42949.575989151017</v>
      </c>
      <c r="AJ90" s="73">
        <f t="shared" si="64"/>
        <v>41939.692551212327</v>
      </c>
      <c r="AK90" s="73" t="b">
        <f t="shared" si="79"/>
        <v>0</v>
      </c>
      <c r="AL90" s="73">
        <f t="shared" si="65"/>
        <v>41939.692551212327</v>
      </c>
      <c r="AM90" s="73">
        <f t="shared" si="87"/>
        <v>139.19549071864336</v>
      </c>
      <c r="AN90" s="73">
        <f t="shared" si="80"/>
        <v>26.447143236542239</v>
      </c>
      <c r="AO90" s="73">
        <f t="shared" si="81"/>
        <v>4236.9955630751138</v>
      </c>
      <c r="AP90" s="73">
        <f t="shared" si="82"/>
        <v>41871.395563075115</v>
      </c>
    </row>
    <row r="91" spans="1:42" s="31" customFormat="1" x14ac:dyDescent="0.6">
      <c r="A91" s="70">
        <f t="shared" si="66"/>
        <v>70</v>
      </c>
      <c r="B91" s="70" t="str">
        <f>IF(E91&lt;=$F$9,VLOOKUP(KALKULATOR!A91,Robocze!$B$23:$C$102,2),"")</f>
        <v>6 rok</v>
      </c>
      <c r="C91" s="70">
        <f t="shared" si="69"/>
        <v>2026</v>
      </c>
      <c r="D91" s="71">
        <f t="shared" si="83"/>
        <v>45.833333333333499</v>
      </c>
      <c r="E91" s="77">
        <f t="shared" si="84"/>
        <v>46266</v>
      </c>
      <c r="F91" s="72">
        <f t="shared" si="70"/>
        <v>46295</v>
      </c>
      <c r="G91" s="73">
        <f>IFERROR(IF(AND(F91&lt;=$F$9,$F$5=Robocze!$B$4,$E91&lt;=$F$9,MONTH($F$8)=MONTH(E91)),$F$4,0)+IF(AND(F91&lt;=$F$9,$F$5=Robocze!$B$3,E91&lt;=$F$9),KALKULATOR!$F$4/12,0),"")</f>
        <v>0</v>
      </c>
      <c r="H91" s="73">
        <f t="shared" si="71"/>
        <v>37634.400000000001</v>
      </c>
      <c r="I91" s="74">
        <f t="shared" si="67"/>
        <v>0.04</v>
      </c>
      <c r="J91" s="73">
        <f t="shared" si="53"/>
        <v>0</v>
      </c>
      <c r="K91" s="75" t="str">
        <f t="shared" si="54"/>
        <v/>
      </c>
      <c r="L91" s="73">
        <f t="shared" si="55"/>
        <v>37634.400000000001</v>
      </c>
      <c r="M91" s="73">
        <f t="shared" si="56"/>
        <v>42827.765517177519</v>
      </c>
      <c r="N91" s="73">
        <f t="shared" si="57"/>
        <v>42827.765517177519</v>
      </c>
      <c r="O91" s="73">
        <f t="shared" si="58"/>
        <v>42055.65640638303</v>
      </c>
      <c r="P91" s="73">
        <f t="shared" si="59"/>
        <v>42055.65640638303</v>
      </c>
      <c r="Q91" s="73">
        <f t="shared" si="60"/>
        <v>41984.448331095417</v>
      </c>
      <c r="R91" s="73"/>
      <c r="S91" s="76">
        <f t="shared" si="68"/>
        <v>0.17</v>
      </c>
      <c r="T91" s="73">
        <f t="shared" si="85"/>
        <v>143.16525329717007</v>
      </c>
      <c r="U91" s="73">
        <f t="shared" si="72"/>
        <v>43092.741242448188</v>
      </c>
      <c r="V91" s="76">
        <f t="shared" si="73"/>
        <v>0.17</v>
      </c>
      <c r="W91" s="73">
        <f t="shared" si="74"/>
        <v>0</v>
      </c>
      <c r="X91" s="73">
        <f>IF(B91&lt;&gt;"",IF(MONTH(E91)=MONTH($F$13),SUMIF($C$22:C501,"="&amp;(C91-1),$G$22:G501),0)*S91,"")</f>
        <v>0</v>
      </c>
      <c r="Y91" s="73">
        <f>IF(B91&lt;&gt;"",SUM($X$22:X91),"")</f>
        <v>6397.848</v>
      </c>
      <c r="Z91" s="73">
        <f t="shared" si="86"/>
        <v>23.472591622437808</v>
      </c>
      <c r="AA91" s="73">
        <f t="shared" si="75"/>
        <v>4.4597924082631835</v>
      </c>
      <c r="AB91" s="73">
        <f t="shared" si="76"/>
        <v>662.9422859455193</v>
      </c>
      <c r="AC91" s="73">
        <f t="shared" si="77"/>
        <v>7060.7902859455171</v>
      </c>
      <c r="AD91" s="73">
        <f>IFERROR($U91*(1-$V91)+SUM($W$22:$W91)+$AB91,"")</f>
        <v>42827.765517177519</v>
      </c>
      <c r="AE91" s="73" t="b">
        <f t="shared" si="78"/>
        <v>0</v>
      </c>
      <c r="AF91" s="73">
        <f>IF(AND(AE91=TRUE,D91&gt;=65),$U91*(1-10%)+SUM($W$22:$W91)+$AB91,AD91)</f>
        <v>42827.765517177519</v>
      </c>
      <c r="AG91" s="73">
        <f t="shared" si="61"/>
        <v>143.16525329717007</v>
      </c>
      <c r="AH91" s="73">
        <f t="shared" si="62"/>
        <v>5458.3412424481885</v>
      </c>
      <c r="AI91" s="73">
        <f t="shared" si="63"/>
        <v>43092.741242448188</v>
      </c>
      <c r="AJ91" s="73">
        <f t="shared" si="64"/>
        <v>42055.65640638303</v>
      </c>
      <c r="AK91" s="73" t="b">
        <f t="shared" si="79"/>
        <v>0</v>
      </c>
      <c r="AL91" s="73">
        <f t="shared" si="65"/>
        <v>42055.65640638303</v>
      </c>
      <c r="AM91" s="73">
        <f t="shared" si="87"/>
        <v>139.57131854358371</v>
      </c>
      <c r="AN91" s="73">
        <f t="shared" si="80"/>
        <v>26.518550523280908</v>
      </c>
      <c r="AO91" s="73">
        <f t="shared" si="81"/>
        <v>4350.0483310954151</v>
      </c>
      <c r="AP91" s="73">
        <f t="shared" si="82"/>
        <v>41984.448331095417</v>
      </c>
    </row>
    <row r="92" spans="1:42" s="31" customFormat="1" x14ac:dyDescent="0.6">
      <c r="A92" s="70">
        <f t="shared" si="66"/>
        <v>71</v>
      </c>
      <c r="B92" s="70" t="str">
        <f>IF(E92&lt;=$F$9,VLOOKUP(KALKULATOR!A92,Robocze!$B$23:$C$102,2),"")</f>
        <v>6 rok</v>
      </c>
      <c r="C92" s="70">
        <f t="shared" si="69"/>
        <v>2026</v>
      </c>
      <c r="D92" s="71">
        <f t="shared" si="83"/>
        <v>45.916666666666835</v>
      </c>
      <c r="E92" s="77">
        <f t="shared" si="84"/>
        <v>46296</v>
      </c>
      <c r="F92" s="72">
        <f t="shared" si="70"/>
        <v>46326</v>
      </c>
      <c r="G92" s="73">
        <f>IFERROR(IF(AND(F92&lt;=$F$9,$F$5=Robocze!$B$4,$E92&lt;=$F$9,MONTH($F$8)=MONTH(E92)),$F$4,0)+IF(AND(F92&lt;=$F$9,$F$5=Robocze!$B$3,E92&lt;=$F$9),KALKULATOR!$F$4/12,0),"")</f>
        <v>0</v>
      </c>
      <c r="H92" s="73">
        <f t="shared" si="71"/>
        <v>37634.400000000001</v>
      </c>
      <c r="I92" s="74">
        <f t="shared" si="67"/>
        <v>0.04</v>
      </c>
      <c r="J92" s="73">
        <f t="shared" si="53"/>
        <v>0</v>
      </c>
      <c r="K92" s="75" t="str">
        <f t="shared" si="54"/>
        <v/>
      </c>
      <c r="L92" s="73">
        <f t="shared" si="55"/>
        <v>37634.400000000001</v>
      </c>
      <c r="M92" s="73">
        <f t="shared" si="56"/>
        <v>42966.052901720344</v>
      </c>
      <c r="N92" s="73">
        <f t="shared" si="57"/>
        <v>42966.052901720344</v>
      </c>
      <c r="O92" s="73">
        <f t="shared" si="58"/>
        <v>42172.006807737642</v>
      </c>
      <c r="P92" s="73">
        <f t="shared" si="59"/>
        <v>42172.006807737642</v>
      </c>
      <c r="Q92" s="73">
        <f t="shared" si="60"/>
        <v>42097.806341589378</v>
      </c>
      <c r="R92" s="73"/>
      <c r="S92" s="76">
        <f t="shared" si="68"/>
        <v>0.17</v>
      </c>
      <c r="T92" s="73">
        <f t="shared" si="85"/>
        <v>143.64247080816062</v>
      </c>
      <c r="U92" s="73">
        <f t="shared" si="72"/>
        <v>43236.383713256349</v>
      </c>
      <c r="V92" s="76">
        <f t="shared" si="73"/>
        <v>0.17</v>
      </c>
      <c r="W92" s="73">
        <f t="shared" si="74"/>
        <v>0</v>
      </c>
      <c r="X92" s="73">
        <f>IF(B92&lt;&gt;"",IF(MONTH(E92)=MONTH($F$13),SUMIF($C$22:C501,"="&amp;(C92-1),$G$22:G501),0)*S92,"")</f>
        <v>0</v>
      </c>
      <c r="Y92" s="73">
        <f>IF(B92&lt;&gt;"",SUM($X$22:X92),"")</f>
        <v>6397.848</v>
      </c>
      <c r="Z92" s="73">
        <f t="shared" si="86"/>
        <v>23.53596761981839</v>
      </c>
      <c r="AA92" s="73">
        <f t="shared" si="75"/>
        <v>4.4718338477654944</v>
      </c>
      <c r="AB92" s="73">
        <f t="shared" si="76"/>
        <v>682.00641971757216</v>
      </c>
      <c r="AC92" s="73">
        <f t="shared" si="77"/>
        <v>7079.8544197175706</v>
      </c>
      <c r="AD92" s="73">
        <f>IFERROR($U92*(1-$V92)+SUM($W$22:$W92)+$AB92,"")</f>
        <v>42966.052901720344</v>
      </c>
      <c r="AE92" s="73" t="b">
        <f t="shared" si="78"/>
        <v>0</v>
      </c>
      <c r="AF92" s="73">
        <f>IF(AND(AE92=TRUE,D92&gt;=65),$U92*(1-10%)+SUM($W$22:$W92)+$AB92,AD92)</f>
        <v>42966.052901720344</v>
      </c>
      <c r="AG92" s="73">
        <f t="shared" si="61"/>
        <v>143.64247080816062</v>
      </c>
      <c r="AH92" s="73">
        <f t="shared" si="62"/>
        <v>5601.9837132563489</v>
      </c>
      <c r="AI92" s="73">
        <f t="shared" si="63"/>
        <v>43236.383713256349</v>
      </c>
      <c r="AJ92" s="73">
        <f t="shared" si="64"/>
        <v>42172.006807737642</v>
      </c>
      <c r="AK92" s="73" t="b">
        <f t="shared" si="79"/>
        <v>0</v>
      </c>
      <c r="AL92" s="73">
        <f t="shared" si="65"/>
        <v>42172.006807737642</v>
      </c>
      <c r="AM92" s="73">
        <f t="shared" si="87"/>
        <v>139.94816110365139</v>
      </c>
      <c r="AN92" s="73">
        <f t="shared" si="80"/>
        <v>26.590150609693765</v>
      </c>
      <c r="AO92" s="73">
        <f t="shared" si="81"/>
        <v>4463.4063415893761</v>
      </c>
      <c r="AP92" s="73">
        <f t="shared" si="82"/>
        <v>42097.806341589378</v>
      </c>
    </row>
    <row r="93" spans="1:42" s="69" customFormat="1" x14ac:dyDescent="0.6">
      <c r="A93" s="78">
        <f t="shared" si="66"/>
        <v>72</v>
      </c>
      <c r="B93" s="78" t="str">
        <f>IF(E93&lt;=$F$9,VLOOKUP(KALKULATOR!A93,Robocze!$B$23:$C$102,2),"")</f>
        <v>6 rok</v>
      </c>
      <c r="C93" s="78">
        <f t="shared" si="69"/>
        <v>2026</v>
      </c>
      <c r="D93" s="79">
        <f t="shared" si="83"/>
        <v>46.000000000000171</v>
      </c>
      <c r="E93" s="80">
        <f t="shared" si="84"/>
        <v>46327</v>
      </c>
      <c r="F93" s="81">
        <f t="shared" si="70"/>
        <v>46356</v>
      </c>
      <c r="G93" s="82">
        <f>IFERROR(IF(AND(F93&lt;=$F$9,$F$5=Robocze!$B$4,$E93&lt;=$F$9,MONTH($F$8)=MONTH(E93)),$F$4,0)+IF(AND(F93&lt;=$F$9,$F$5=Robocze!$B$3,E93&lt;=$F$9),KALKULATOR!$F$4/12,0),"")</f>
        <v>0</v>
      </c>
      <c r="H93" s="82">
        <f t="shared" si="71"/>
        <v>37634.400000000001</v>
      </c>
      <c r="I93" s="83">
        <f t="shared" si="67"/>
        <v>0.04</v>
      </c>
      <c r="J93" s="82">
        <f t="shared" si="53"/>
        <v>0</v>
      </c>
      <c r="K93" s="84">
        <f t="shared" si="54"/>
        <v>6</v>
      </c>
      <c r="L93" s="82">
        <f t="shared" si="55"/>
        <v>37634.400000000001</v>
      </c>
      <c r="M93" s="82">
        <f t="shared" si="56"/>
        <v>43104.78917026025</v>
      </c>
      <c r="N93" s="82">
        <f t="shared" si="57"/>
        <v>43104.78917026025</v>
      </c>
      <c r="O93" s="82">
        <f t="shared" si="58"/>
        <v>42288.745043763432</v>
      </c>
      <c r="P93" s="82">
        <f t="shared" si="59"/>
        <v>42288.745043763432</v>
      </c>
      <c r="Q93" s="82">
        <f t="shared" si="60"/>
        <v>42211.470418711666</v>
      </c>
      <c r="R93" s="82"/>
      <c r="S93" s="85">
        <f t="shared" si="68"/>
        <v>0.17</v>
      </c>
      <c r="T93" s="82">
        <f t="shared" si="85"/>
        <v>144.12127904418784</v>
      </c>
      <c r="U93" s="82">
        <f t="shared" si="72"/>
        <v>43380.504992300535</v>
      </c>
      <c r="V93" s="85">
        <f t="shared" si="73"/>
        <v>0.17</v>
      </c>
      <c r="W93" s="82">
        <f t="shared" si="74"/>
        <v>0</v>
      </c>
      <c r="X93" s="82">
        <f>IF(B93&lt;&gt;"",IF(MONTH(E93)=MONTH($F$13),SUMIF($C$22:C501,"="&amp;(C93-1),$G$22:G501),0)*S93,"")</f>
        <v>0</v>
      </c>
      <c r="Y93" s="82">
        <f>IF(B93&lt;&gt;"",SUM($X$22:X93),"")</f>
        <v>6397.848</v>
      </c>
      <c r="Z93" s="82">
        <f t="shared" si="86"/>
        <v>23.599514732391899</v>
      </c>
      <c r="AA93" s="82">
        <f t="shared" si="75"/>
        <v>4.4839077991544611</v>
      </c>
      <c r="AB93" s="82">
        <f t="shared" si="76"/>
        <v>701.12202665080952</v>
      </c>
      <c r="AC93" s="82">
        <f t="shared" si="77"/>
        <v>7098.970026650808</v>
      </c>
      <c r="AD93" s="82">
        <f>IFERROR($U93*(1-$V93)+SUM($W$22:$W93)+$AB93,"")</f>
        <v>43104.78917026025</v>
      </c>
      <c r="AE93" s="73" t="b">
        <f t="shared" si="78"/>
        <v>0</v>
      </c>
      <c r="AF93" s="82">
        <f>IF(AND(AE93=TRUE,D93&gt;=65),$U93*(1-10%)+SUM($W$22:$W93)+$AB93,AD93)</f>
        <v>43104.78917026025</v>
      </c>
      <c r="AG93" s="82">
        <f t="shared" si="61"/>
        <v>144.12127904418784</v>
      </c>
      <c r="AH93" s="82">
        <f t="shared" si="62"/>
        <v>5746.1049923005367</v>
      </c>
      <c r="AI93" s="82">
        <f t="shared" si="63"/>
        <v>43380.504992300535</v>
      </c>
      <c r="AJ93" s="82">
        <f t="shared" si="64"/>
        <v>42288.745043763432</v>
      </c>
      <c r="AK93" s="73" t="b">
        <f t="shared" si="79"/>
        <v>0</v>
      </c>
      <c r="AL93" s="82">
        <f t="shared" si="65"/>
        <v>42288.745043763432</v>
      </c>
      <c r="AM93" s="82">
        <f t="shared" si="87"/>
        <v>140.32602113863126</v>
      </c>
      <c r="AN93" s="82">
        <f t="shared" si="80"/>
        <v>26.661944016339941</v>
      </c>
      <c r="AO93" s="82">
        <f t="shared" si="81"/>
        <v>4577.0704187116644</v>
      </c>
      <c r="AP93" s="82">
        <f t="shared" si="82"/>
        <v>42211.470418711666</v>
      </c>
    </row>
    <row r="94" spans="1:42" s="31" customFormat="1" x14ac:dyDescent="0.6">
      <c r="A94" s="70">
        <f t="shared" si="66"/>
        <v>73</v>
      </c>
      <c r="B94" s="70" t="str">
        <f>IF(E94&lt;=$F$9,VLOOKUP(KALKULATOR!A94,Robocze!$B$23:$C$102,2),"")</f>
        <v>7 rok</v>
      </c>
      <c r="C94" s="70">
        <f t="shared" si="69"/>
        <v>2026</v>
      </c>
      <c r="D94" s="71">
        <f t="shared" si="83"/>
        <v>46.083333333333506</v>
      </c>
      <c r="E94" s="72">
        <f t="shared" si="84"/>
        <v>46357</v>
      </c>
      <c r="F94" s="72">
        <f t="shared" si="70"/>
        <v>46387</v>
      </c>
      <c r="G94" s="73">
        <f>IFERROR(IF(AND(F94&lt;=$F$9,$F$5=Robocze!$B$4,$E94&lt;=$F$9,MONTH($F$8)=MONTH(E94)),$F$4,0)+IF(AND(F94&lt;=$F$9,$F$5=Robocze!$B$3,E94&lt;=$F$9),KALKULATOR!$F$4/12,0),"")</f>
        <v>6272.4</v>
      </c>
      <c r="H94" s="73">
        <f t="shared" si="71"/>
        <v>43906.8</v>
      </c>
      <c r="I94" s="74">
        <f t="shared" si="67"/>
        <v>0.04</v>
      </c>
      <c r="J94" s="73">
        <f t="shared" si="53"/>
        <v>0</v>
      </c>
      <c r="K94" s="75" t="str">
        <f t="shared" si="54"/>
        <v/>
      </c>
      <c r="L94" s="73">
        <f t="shared" si="55"/>
        <v>43906.8</v>
      </c>
      <c r="M94" s="73">
        <f t="shared" si="56"/>
        <v>49533.729426477577</v>
      </c>
      <c r="N94" s="73">
        <f t="shared" si="57"/>
        <v>49533.729426477577</v>
      </c>
      <c r="O94" s="73">
        <f t="shared" si="58"/>
        <v>48695.207887242643</v>
      </c>
      <c r="P94" s="73">
        <f t="shared" si="59"/>
        <v>48695.207887242643</v>
      </c>
      <c r="Q94" s="73">
        <f t="shared" si="60"/>
        <v>48614.776868842186</v>
      </c>
      <c r="R94" s="73"/>
      <c r="S94" s="76">
        <f t="shared" si="68"/>
        <v>0.17</v>
      </c>
      <c r="T94" s="73">
        <f t="shared" si="85"/>
        <v>165.50968330766847</v>
      </c>
      <c r="U94" s="73">
        <f t="shared" si="72"/>
        <v>49818.414675608205</v>
      </c>
      <c r="V94" s="76">
        <f t="shared" si="73"/>
        <v>0.17</v>
      </c>
      <c r="W94" s="73">
        <f t="shared" si="74"/>
        <v>1066.308</v>
      </c>
      <c r="X94" s="73">
        <f>IF(B94&lt;&gt;"",IF(MONTH(E94)=MONTH($F$13),SUMIF($C$22:C501,"="&amp;(C94-1),$G$22:G501),0)*S94,"")</f>
        <v>0</v>
      </c>
      <c r="Y94" s="73">
        <f>IF(B94&lt;&gt;"",SUM($X$22:X94),"")</f>
        <v>6397.848</v>
      </c>
      <c r="Z94" s="73">
        <f t="shared" si="86"/>
        <v>23.663233422169359</v>
      </c>
      <c r="AA94" s="73">
        <f t="shared" si="75"/>
        <v>4.4960143502121781</v>
      </c>
      <c r="AB94" s="73">
        <f t="shared" si="76"/>
        <v>720.28924572276674</v>
      </c>
      <c r="AC94" s="73">
        <f t="shared" si="77"/>
        <v>7118.1372457227653</v>
      </c>
      <c r="AD94" s="73">
        <f>IFERROR($U94*(1-$V94)+SUM($W$22:$W94)+$AB94,"")</f>
        <v>49533.729426477577</v>
      </c>
      <c r="AE94" s="73" t="b">
        <f t="shared" si="78"/>
        <v>0</v>
      </c>
      <c r="AF94" s="73">
        <f>IF(AND(AE94=TRUE,D94&gt;=65),$U94*(1-10%)+SUM($W$22:$W94)+$AB94,AD94)</f>
        <v>49533.729426477577</v>
      </c>
      <c r="AG94" s="73">
        <f t="shared" si="61"/>
        <v>165.50968330766847</v>
      </c>
      <c r="AH94" s="73">
        <f t="shared" si="62"/>
        <v>5911.6146756082053</v>
      </c>
      <c r="AI94" s="73">
        <f t="shared" si="63"/>
        <v>49818.414675608205</v>
      </c>
      <c r="AJ94" s="73">
        <f t="shared" si="64"/>
        <v>48695.207887242643</v>
      </c>
      <c r="AK94" s="73" t="b">
        <f t="shared" si="79"/>
        <v>0</v>
      </c>
      <c r="AL94" s="73">
        <f t="shared" si="65"/>
        <v>48695.207887242643</v>
      </c>
      <c r="AM94" s="73">
        <f t="shared" si="87"/>
        <v>161.61290139570556</v>
      </c>
      <c r="AN94" s="73">
        <f t="shared" si="80"/>
        <v>30.706451265184057</v>
      </c>
      <c r="AO94" s="73">
        <f t="shared" si="81"/>
        <v>4707.9768688421827</v>
      </c>
      <c r="AP94" s="73">
        <f t="shared" si="82"/>
        <v>48614.776868842186</v>
      </c>
    </row>
    <row r="95" spans="1:42" s="31" customFormat="1" x14ac:dyDescent="0.6">
      <c r="A95" s="70">
        <f t="shared" si="66"/>
        <v>74</v>
      </c>
      <c r="B95" s="70" t="str">
        <f>IF(E95&lt;=$F$9,VLOOKUP(KALKULATOR!A95,Robocze!$B$23:$C$102,2),"")</f>
        <v>7 rok</v>
      </c>
      <c r="C95" s="70">
        <f t="shared" si="69"/>
        <v>2027</v>
      </c>
      <c r="D95" s="71">
        <f t="shared" si="83"/>
        <v>46.166666666666842</v>
      </c>
      <c r="E95" s="77">
        <f t="shared" si="84"/>
        <v>46388</v>
      </c>
      <c r="F95" s="72">
        <f t="shared" si="70"/>
        <v>46418</v>
      </c>
      <c r="G95" s="73">
        <f>IFERROR(IF(AND(F95&lt;=$F$9,$F$5=Robocze!$B$4,$E95&lt;=$F$9,MONTH($F$8)=MONTH(E95)),$F$4,0)+IF(AND(F95&lt;=$F$9,$F$5=Robocze!$B$3,E95&lt;=$F$9),KALKULATOR!$F$4/12,0),"")</f>
        <v>0</v>
      </c>
      <c r="H95" s="73">
        <f t="shared" si="71"/>
        <v>43906.8</v>
      </c>
      <c r="I95" s="74">
        <f t="shared" si="67"/>
        <v>0.04</v>
      </c>
      <c r="J95" s="73">
        <f t="shared" si="53"/>
        <v>0</v>
      </c>
      <c r="K95" s="75" t="str">
        <f t="shared" si="54"/>
        <v/>
      </c>
      <c r="L95" s="73">
        <f t="shared" si="55"/>
        <v>43906.8</v>
      </c>
      <c r="M95" s="73">
        <f t="shared" si="56"/>
        <v>49690.779344310205</v>
      </c>
      <c r="N95" s="73">
        <f t="shared" si="57"/>
        <v>49690.779344310205</v>
      </c>
      <c r="O95" s="73">
        <f t="shared" si="58"/>
        <v>48829.71760686679</v>
      </c>
      <c r="P95" s="73">
        <f t="shared" si="59"/>
        <v>48829.71760686679</v>
      </c>
      <c r="Q95" s="73">
        <f t="shared" si="60"/>
        <v>48746.036766388061</v>
      </c>
      <c r="R95" s="73"/>
      <c r="S95" s="76">
        <f t="shared" si="68"/>
        <v>0.17</v>
      </c>
      <c r="T95" s="73">
        <f t="shared" si="85"/>
        <v>166.06138225202736</v>
      </c>
      <c r="U95" s="73">
        <f t="shared" si="72"/>
        <v>49984.476057860229</v>
      </c>
      <c r="V95" s="76">
        <f t="shared" si="73"/>
        <v>0.17</v>
      </c>
      <c r="W95" s="73">
        <f t="shared" si="74"/>
        <v>0</v>
      </c>
      <c r="X95" s="73">
        <f>IF(B95&lt;&gt;"",IF(MONTH(E95)=MONTH($F$13),SUMIF($C$22:C501,"="&amp;(C95-1),$G$22:G501),0)*S95,"")</f>
        <v>0</v>
      </c>
      <c r="Y95" s="73">
        <f>IF(B95&lt;&gt;"",SUM($X$22:X95),"")</f>
        <v>6397.848</v>
      </c>
      <c r="Z95" s="73">
        <f t="shared" si="86"/>
        <v>23.727124152409218</v>
      </c>
      <c r="AA95" s="73">
        <f t="shared" si="75"/>
        <v>4.5081535889577511</v>
      </c>
      <c r="AB95" s="73">
        <f t="shared" si="76"/>
        <v>739.50821628621827</v>
      </c>
      <c r="AC95" s="73">
        <f t="shared" si="77"/>
        <v>7137.3562162862172</v>
      </c>
      <c r="AD95" s="73">
        <f>IFERROR($U95*(1-$V95)+SUM($W$22:$W95)+$AB95,"")</f>
        <v>49690.779344310205</v>
      </c>
      <c r="AE95" s="73" t="b">
        <f t="shared" si="78"/>
        <v>0</v>
      </c>
      <c r="AF95" s="73">
        <f>IF(AND(AE95=TRUE,D95&gt;=65),$U95*(1-10%)+SUM($W$22:$W95)+$AB95,AD95)</f>
        <v>49690.779344310205</v>
      </c>
      <c r="AG95" s="73">
        <f t="shared" si="61"/>
        <v>166.06138225202736</v>
      </c>
      <c r="AH95" s="73">
        <f t="shared" si="62"/>
        <v>6077.6760578602325</v>
      </c>
      <c r="AI95" s="73">
        <f t="shared" si="63"/>
        <v>49984.476057860236</v>
      </c>
      <c r="AJ95" s="73">
        <f t="shared" si="64"/>
        <v>48829.71760686679</v>
      </c>
      <c r="AK95" s="73" t="b">
        <f t="shared" si="79"/>
        <v>0</v>
      </c>
      <c r="AL95" s="73">
        <f t="shared" si="65"/>
        <v>48829.71760686679</v>
      </c>
      <c r="AM95" s="73">
        <f t="shared" si="87"/>
        <v>162.04925622947397</v>
      </c>
      <c r="AN95" s="73">
        <f t="shared" si="80"/>
        <v>30.789358683600053</v>
      </c>
      <c r="AO95" s="73">
        <f t="shared" si="81"/>
        <v>4839.2367663880577</v>
      </c>
      <c r="AP95" s="73">
        <f t="shared" si="82"/>
        <v>48746.036766388061</v>
      </c>
    </row>
    <row r="96" spans="1:42" s="31" customFormat="1" x14ac:dyDescent="0.6">
      <c r="A96" s="70">
        <f t="shared" si="66"/>
        <v>75</v>
      </c>
      <c r="B96" s="70" t="str">
        <f>IF(E96&lt;=$F$9,VLOOKUP(KALKULATOR!A96,Robocze!$B$23:$C$102,2),"")</f>
        <v>7 rok</v>
      </c>
      <c r="C96" s="70">
        <f t="shared" si="69"/>
        <v>2027</v>
      </c>
      <c r="D96" s="71">
        <f t="shared" si="83"/>
        <v>46.250000000000178</v>
      </c>
      <c r="E96" s="77">
        <f t="shared" si="84"/>
        <v>46419</v>
      </c>
      <c r="F96" s="72">
        <f t="shared" si="70"/>
        <v>46446</v>
      </c>
      <c r="G96" s="73">
        <f>IFERROR(IF(AND(F96&lt;=$F$9,$F$5=Robocze!$B$4,$E96&lt;=$F$9,MONTH($F$8)=MONTH(E96)),$F$4,0)+IF(AND(F96&lt;=$F$9,$F$5=Robocze!$B$3,E96&lt;=$F$9),KALKULATOR!$F$4/12,0),"")</f>
        <v>0</v>
      </c>
      <c r="H96" s="73">
        <f t="shared" si="71"/>
        <v>43906.8</v>
      </c>
      <c r="I96" s="74">
        <f t="shared" si="67"/>
        <v>0.04</v>
      </c>
      <c r="J96" s="73">
        <f t="shared" si="53"/>
        <v>0</v>
      </c>
      <c r="K96" s="75" t="str">
        <f t="shared" si="54"/>
        <v/>
      </c>
      <c r="L96" s="73">
        <f t="shared" si="55"/>
        <v>43906.8</v>
      </c>
      <c r="M96" s="73">
        <f t="shared" si="56"/>
        <v>49848.340589854255</v>
      </c>
      <c r="N96" s="73">
        <f t="shared" si="57"/>
        <v>49848.340589854255</v>
      </c>
      <c r="O96" s="73">
        <f t="shared" si="58"/>
        <v>48964.675692223012</v>
      </c>
      <c r="P96" s="73">
        <f t="shared" si="59"/>
        <v>48964.675692223012</v>
      </c>
      <c r="Q96" s="73">
        <f t="shared" si="60"/>
        <v>48877.651065657308</v>
      </c>
      <c r="R96" s="73"/>
      <c r="S96" s="76">
        <f t="shared" si="68"/>
        <v>0.17</v>
      </c>
      <c r="T96" s="73">
        <f t="shared" si="85"/>
        <v>166.61492019286743</v>
      </c>
      <c r="U96" s="73">
        <f t="shared" si="72"/>
        <v>50151.090978053093</v>
      </c>
      <c r="V96" s="76">
        <f t="shared" si="73"/>
        <v>0.17</v>
      </c>
      <c r="W96" s="73">
        <f t="shared" si="74"/>
        <v>0</v>
      </c>
      <c r="X96" s="73">
        <f>IF(B96&lt;&gt;"",IF(MONTH(E96)=MONTH($F$13),SUMIF($C$22:C501,"="&amp;(C96-1),$G$22:G501),0)*S96,"")</f>
        <v>0</v>
      </c>
      <c r="Y96" s="73">
        <f>IF(B96&lt;&gt;"",SUM($X$22:X96),"")</f>
        <v>6397.848</v>
      </c>
      <c r="Z96" s="73">
        <f t="shared" si="86"/>
        <v>23.791187387620724</v>
      </c>
      <c r="AA96" s="73">
        <f t="shared" si="75"/>
        <v>4.5203256036479376</v>
      </c>
      <c r="AB96" s="73">
        <f t="shared" si="76"/>
        <v>758.77907807019108</v>
      </c>
      <c r="AC96" s="73">
        <f t="shared" si="77"/>
        <v>7156.6270780701907</v>
      </c>
      <c r="AD96" s="73">
        <f>IFERROR($U96*(1-$V96)+SUM($W$22:$W96)+$AB96,"")</f>
        <v>49848.340589854255</v>
      </c>
      <c r="AE96" s="73" t="b">
        <f t="shared" si="78"/>
        <v>0</v>
      </c>
      <c r="AF96" s="73">
        <f>IF(AND(AE96=TRUE,D96&gt;=65),$U96*(1-10%)+SUM($W$22:$W96)+$AB96,AD96)</f>
        <v>49848.340589854255</v>
      </c>
      <c r="AG96" s="73">
        <f t="shared" si="61"/>
        <v>166.61492019286746</v>
      </c>
      <c r="AH96" s="73">
        <f t="shared" si="62"/>
        <v>6244.2909780530999</v>
      </c>
      <c r="AI96" s="73">
        <f t="shared" si="63"/>
        <v>50151.0909780531</v>
      </c>
      <c r="AJ96" s="73">
        <f t="shared" si="64"/>
        <v>48964.675692223012</v>
      </c>
      <c r="AK96" s="73" t="b">
        <f t="shared" si="79"/>
        <v>0</v>
      </c>
      <c r="AL96" s="73">
        <f t="shared" si="65"/>
        <v>48964.675692223012</v>
      </c>
      <c r="AM96" s="73">
        <f t="shared" si="87"/>
        <v>162.48678922129355</v>
      </c>
      <c r="AN96" s="73">
        <f t="shared" si="80"/>
        <v>30.872489952045775</v>
      </c>
      <c r="AO96" s="73">
        <f t="shared" si="81"/>
        <v>4970.8510656573053</v>
      </c>
      <c r="AP96" s="73">
        <f t="shared" si="82"/>
        <v>48877.651065657308</v>
      </c>
    </row>
    <row r="97" spans="1:42" s="31" customFormat="1" x14ac:dyDescent="0.6">
      <c r="A97" s="70">
        <f t="shared" si="66"/>
        <v>76</v>
      </c>
      <c r="B97" s="70" t="str">
        <f>IF(E97&lt;=$F$9,VLOOKUP(KALKULATOR!A97,Robocze!$B$23:$C$102,2),"")</f>
        <v>7 rok</v>
      </c>
      <c r="C97" s="70">
        <f t="shared" si="69"/>
        <v>2027</v>
      </c>
      <c r="D97" s="71">
        <f t="shared" si="83"/>
        <v>46.333333333333513</v>
      </c>
      <c r="E97" s="77">
        <f t="shared" si="84"/>
        <v>46447</v>
      </c>
      <c r="F97" s="72">
        <f t="shared" si="70"/>
        <v>46477</v>
      </c>
      <c r="G97" s="73">
        <f>IFERROR(IF(AND(F97&lt;=$F$9,$F$5=Robocze!$B$4,$E97&lt;=$F$9,MONTH($F$8)=MONTH(E97)),$F$4,0)+IF(AND(F97&lt;=$F$9,$F$5=Robocze!$B$3,E97&lt;=$F$9),KALKULATOR!$F$4/12,0),"")</f>
        <v>0</v>
      </c>
      <c r="H97" s="73">
        <f t="shared" si="71"/>
        <v>43906.8</v>
      </c>
      <c r="I97" s="74">
        <f t="shared" si="67"/>
        <v>0.04</v>
      </c>
      <c r="J97" s="73">
        <f t="shared" si="53"/>
        <v>0</v>
      </c>
      <c r="K97" s="75" t="str">
        <f t="shared" si="54"/>
        <v/>
      </c>
      <c r="L97" s="73">
        <f t="shared" si="55"/>
        <v>43906.8</v>
      </c>
      <c r="M97" s="73">
        <f t="shared" si="56"/>
        <v>50006.414834670999</v>
      </c>
      <c r="N97" s="73">
        <f t="shared" si="57"/>
        <v>50006.414834670999</v>
      </c>
      <c r="O97" s="73">
        <f t="shared" si="58"/>
        <v>49100.083637863754</v>
      </c>
      <c r="P97" s="73">
        <f t="shared" si="59"/>
        <v>49100.083637863754</v>
      </c>
      <c r="Q97" s="73">
        <f t="shared" si="60"/>
        <v>49009.620723534586</v>
      </c>
      <c r="R97" s="73"/>
      <c r="S97" s="76">
        <f t="shared" si="68"/>
        <v>0.17</v>
      </c>
      <c r="T97" s="73">
        <f t="shared" si="85"/>
        <v>167.17030326017698</v>
      </c>
      <c r="U97" s="73">
        <f t="shared" si="72"/>
        <v>50318.261281313273</v>
      </c>
      <c r="V97" s="76">
        <f t="shared" si="73"/>
        <v>0.17</v>
      </c>
      <c r="W97" s="73">
        <f t="shared" si="74"/>
        <v>0</v>
      </c>
      <c r="X97" s="73">
        <f>IF(B97&lt;&gt;"",IF(MONTH(E97)=MONTH($F$13),SUMIF($C$22:C501,"="&amp;(C97-1),$G$22:G501),0)*S97,"")</f>
        <v>0</v>
      </c>
      <c r="Y97" s="73">
        <f>IF(B97&lt;&gt;"",SUM($X$22:X97),"")</f>
        <v>6397.848</v>
      </c>
      <c r="Z97" s="73">
        <f t="shared" si="86"/>
        <v>23.855423593567306</v>
      </c>
      <c r="AA97" s="73">
        <f t="shared" si="75"/>
        <v>4.5325304827777879</v>
      </c>
      <c r="AB97" s="73">
        <f t="shared" si="76"/>
        <v>778.10197118098051</v>
      </c>
      <c r="AC97" s="73">
        <f t="shared" si="77"/>
        <v>7175.9499711809804</v>
      </c>
      <c r="AD97" s="73">
        <f>IFERROR($U97*(1-$V97)+SUM($W$22:$W97)+$AB97,"")</f>
        <v>50006.414834670999</v>
      </c>
      <c r="AE97" s="73" t="b">
        <f t="shared" si="78"/>
        <v>0</v>
      </c>
      <c r="AF97" s="73">
        <f>IF(AND(AE97=TRUE,D97&gt;=65),$U97*(1-10%)+SUM($W$22:$W97)+$AB97,AD97)</f>
        <v>50006.414834670999</v>
      </c>
      <c r="AG97" s="73">
        <f t="shared" si="61"/>
        <v>167.17030326017701</v>
      </c>
      <c r="AH97" s="73">
        <f t="shared" si="62"/>
        <v>6411.4612813132771</v>
      </c>
      <c r="AI97" s="73">
        <f t="shared" si="63"/>
        <v>50318.26128131328</v>
      </c>
      <c r="AJ97" s="73">
        <f t="shared" si="64"/>
        <v>49100.083637863754</v>
      </c>
      <c r="AK97" s="73" t="b">
        <f t="shared" si="79"/>
        <v>0</v>
      </c>
      <c r="AL97" s="73">
        <f t="shared" si="65"/>
        <v>49100.083637863754</v>
      </c>
      <c r="AM97" s="73">
        <f t="shared" si="87"/>
        <v>162.92550355219103</v>
      </c>
      <c r="AN97" s="73">
        <f t="shared" si="80"/>
        <v>30.955845674916297</v>
      </c>
      <c r="AO97" s="73">
        <f t="shared" si="81"/>
        <v>5102.8207235345835</v>
      </c>
      <c r="AP97" s="73">
        <f t="shared" si="82"/>
        <v>49009.620723534586</v>
      </c>
    </row>
    <row r="98" spans="1:42" s="31" customFormat="1" x14ac:dyDescent="0.6">
      <c r="A98" s="70">
        <f t="shared" si="66"/>
        <v>77</v>
      </c>
      <c r="B98" s="70" t="str">
        <f>IF(E98&lt;=$F$9,VLOOKUP(KALKULATOR!A98,Robocze!$B$23:$C$102,2),"")</f>
        <v>7 rok</v>
      </c>
      <c r="C98" s="70">
        <f t="shared" si="69"/>
        <v>2027</v>
      </c>
      <c r="D98" s="71">
        <f t="shared" si="83"/>
        <v>46.416666666666849</v>
      </c>
      <c r="E98" s="77">
        <f t="shared" si="84"/>
        <v>46478</v>
      </c>
      <c r="F98" s="72">
        <f t="shared" si="70"/>
        <v>46507</v>
      </c>
      <c r="G98" s="73">
        <f>IFERROR(IF(AND(F98&lt;=$F$9,$F$5=Robocze!$B$4,$E98&lt;=$F$9,MONTH($F$8)=MONTH(E98)),$F$4,0)+IF(AND(F98&lt;=$F$9,$F$5=Robocze!$B$3,E98&lt;=$F$9),KALKULATOR!$F$4/12,0),"")</f>
        <v>0</v>
      </c>
      <c r="H98" s="73">
        <f t="shared" si="71"/>
        <v>43906.8</v>
      </c>
      <c r="I98" s="74">
        <f t="shared" si="67"/>
        <v>0.04</v>
      </c>
      <c r="J98" s="73">
        <f t="shared" si="53"/>
        <v>0</v>
      </c>
      <c r="K98" s="75" t="str">
        <f t="shared" si="54"/>
        <v/>
      </c>
      <c r="L98" s="73">
        <f t="shared" si="55"/>
        <v>43906.8</v>
      </c>
      <c r="M98" s="73">
        <f t="shared" si="56"/>
        <v>50167.882787404822</v>
      </c>
      <c r="N98" s="73">
        <f t="shared" si="57"/>
        <v>50167.882787404822</v>
      </c>
      <c r="O98" s="73">
        <f t="shared" si="58"/>
        <v>49235.942943323302</v>
      </c>
      <c r="P98" s="73">
        <f t="shared" si="59"/>
        <v>49235.942943323302</v>
      </c>
      <c r="Q98" s="73">
        <f t="shared" si="60"/>
        <v>49141.94669948813</v>
      </c>
      <c r="R98" s="73"/>
      <c r="S98" s="76">
        <f t="shared" si="68"/>
        <v>0.17</v>
      </c>
      <c r="T98" s="73">
        <f t="shared" si="85"/>
        <v>167.72753760437757</v>
      </c>
      <c r="U98" s="73">
        <f t="shared" si="72"/>
        <v>50485.988818917649</v>
      </c>
      <c r="V98" s="76">
        <f t="shared" si="73"/>
        <v>0.17</v>
      </c>
      <c r="W98" s="73">
        <f t="shared" si="74"/>
        <v>0</v>
      </c>
      <c r="X98" s="73">
        <f>IF(B98&lt;&gt;"",IF(MONTH(E98)=MONTH($F$13),SUMIF($C$22:C501,"="&amp;(C98-1),$G$22:G501),0)*S98,"")</f>
        <v>1066.308</v>
      </c>
      <c r="Y98" s="73">
        <f>IF(B98&lt;&gt;"",SUM($X$22:X98),"")</f>
        <v>7464.1559999999999</v>
      </c>
      <c r="Z98" s="73">
        <f t="shared" si="86"/>
        <v>27.47419323726994</v>
      </c>
      <c r="AA98" s="73">
        <f t="shared" si="75"/>
        <v>5.2200967150812891</v>
      </c>
      <c r="AB98" s="73">
        <f t="shared" si="76"/>
        <v>800.35606770316917</v>
      </c>
      <c r="AC98" s="73">
        <f t="shared" si="77"/>
        <v>8264.51206770317</v>
      </c>
      <c r="AD98" s="73">
        <f>IFERROR($U98*(1-$V98)+SUM($W$22:$W98)+$AB98,"")</f>
        <v>50167.882787404822</v>
      </c>
      <c r="AE98" s="73" t="b">
        <f t="shared" si="78"/>
        <v>0</v>
      </c>
      <c r="AF98" s="73">
        <f>IF(AND(AE98=TRUE,D98&gt;=65),$U98*(1-10%)+SUM($W$22:$W98)+$AB98,AD98)</f>
        <v>50167.882787404822</v>
      </c>
      <c r="AG98" s="73">
        <f t="shared" si="61"/>
        <v>167.7275376043776</v>
      </c>
      <c r="AH98" s="73">
        <f t="shared" si="62"/>
        <v>6579.1888189176543</v>
      </c>
      <c r="AI98" s="73">
        <f t="shared" si="63"/>
        <v>50485.988818917656</v>
      </c>
      <c r="AJ98" s="73">
        <f t="shared" si="64"/>
        <v>49235.942943323302</v>
      </c>
      <c r="AK98" s="73" t="b">
        <f t="shared" si="79"/>
        <v>0</v>
      </c>
      <c r="AL98" s="73">
        <f t="shared" si="65"/>
        <v>49235.942943323302</v>
      </c>
      <c r="AM98" s="73">
        <f t="shared" si="87"/>
        <v>163.36540241178196</v>
      </c>
      <c r="AN98" s="73">
        <f t="shared" si="80"/>
        <v>31.039426458238573</v>
      </c>
      <c r="AO98" s="73">
        <f t="shared" si="81"/>
        <v>5235.1466994881266</v>
      </c>
      <c r="AP98" s="73">
        <f t="shared" si="82"/>
        <v>49141.94669948813</v>
      </c>
    </row>
    <row r="99" spans="1:42" s="31" customFormat="1" x14ac:dyDescent="0.6">
      <c r="A99" s="70">
        <f t="shared" si="66"/>
        <v>78</v>
      </c>
      <c r="B99" s="70" t="str">
        <f>IF(E99&lt;=$F$9,VLOOKUP(KALKULATOR!A99,Robocze!$B$23:$C$102,2),"")</f>
        <v>7 rok</v>
      </c>
      <c r="C99" s="70">
        <f t="shared" si="69"/>
        <v>2027</v>
      </c>
      <c r="D99" s="71">
        <f t="shared" si="83"/>
        <v>46.500000000000185</v>
      </c>
      <c r="E99" s="77">
        <f t="shared" si="84"/>
        <v>46508</v>
      </c>
      <c r="F99" s="72">
        <f t="shared" si="70"/>
        <v>46538</v>
      </c>
      <c r="G99" s="73">
        <f>IFERROR(IF(AND(F99&lt;=$F$9,$F$5=Robocze!$B$4,$E99&lt;=$F$9,MONTH($F$8)=MONTH(E99)),$F$4,0)+IF(AND(F99&lt;=$F$9,$F$5=Robocze!$B$3,E99&lt;=$F$9),KALKULATOR!$F$4/12,0),"")</f>
        <v>0</v>
      </c>
      <c r="H99" s="73">
        <f t="shared" si="71"/>
        <v>43906.8</v>
      </c>
      <c r="I99" s="74">
        <f t="shared" si="67"/>
        <v>0.04</v>
      </c>
      <c r="J99" s="73">
        <f t="shared" si="53"/>
        <v>0</v>
      </c>
      <c r="K99" s="75" t="str">
        <f t="shared" si="54"/>
        <v/>
      </c>
      <c r="L99" s="73">
        <f t="shared" si="55"/>
        <v>43906.8</v>
      </c>
      <c r="M99" s="73">
        <f t="shared" si="56"/>
        <v>50329.874872386623</v>
      </c>
      <c r="N99" s="73">
        <f t="shared" si="57"/>
        <v>50329.874872386623</v>
      </c>
      <c r="O99" s="73">
        <f t="shared" si="58"/>
        <v>49372.255113134386</v>
      </c>
      <c r="P99" s="73">
        <f t="shared" si="59"/>
        <v>49372.255113134386</v>
      </c>
      <c r="Q99" s="73">
        <f t="shared" si="60"/>
        <v>49274.629955576747</v>
      </c>
      <c r="R99" s="73"/>
      <c r="S99" s="76">
        <f t="shared" si="68"/>
        <v>0.17</v>
      </c>
      <c r="T99" s="73">
        <f t="shared" si="85"/>
        <v>168.28662939639219</v>
      </c>
      <c r="U99" s="73">
        <f t="shared" si="72"/>
        <v>50654.275448314038</v>
      </c>
      <c r="V99" s="76">
        <f t="shared" si="73"/>
        <v>0.17</v>
      </c>
      <c r="W99" s="73">
        <f t="shared" si="74"/>
        <v>0</v>
      </c>
      <c r="X99" s="73">
        <f>IF(B99&lt;&gt;"",IF(MONTH(E99)=MONTH($F$13),SUMIF($C$22:C501,"="&amp;(C99-1),$G$22:G501),0)*S99,"")</f>
        <v>0</v>
      </c>
      <c r="Y99" s="73">
        <f>IF(B99&lt;&gt;"",SUM($X$22:X99),"")</f>
        <v>7464.1559999999999</v>
      </c>
      <c r="Z99" s="73">
        <f t="shared" si="86"/>
        <v>27.548373559010567</v>
      </c>
      <c r="AA99" s="73">
        <f t="shared" si="75"/>
        <v>5.234190976212008</v>
      </c>
      <c r="AB99" s="73">
        <f t="shared" si="76"/>
        <v>822.67025028596765</v>
      </c>
      <c r="AC99" s="73">
        <f t="shared" si="77"/>
        <v>8286.8262502859689</v>
      </c>
      <c r="AD99" s="73">
        <f>IFERROR($U99*(1-$V99)+SUM($W$22:$W99)+$AB99,"")</f>
        <v>50329.874872386623</v>
      </c>
      <c r="AE99" s="73" t="b">
        <f t="shared" si="78"/>
        <v>0</v>
      </c>
      <c r="AF99" s="73">
        <f>IF(AND(AE99=TRUE,D99&gt;=65),$U99*(1-10%)+SUM($W$22:$W99)+$AB99,AD99)</f>
        <v>50329.874872386623</v>
      </c>
      <c r="AG99" s="73">
        <f t="shared" si="61"/>
        <v>168.28662939639219</v>
      </c>
      <c r="AH99" s="73">
        <f t="shared" si="62"/>
        <v>6747.4754483140468</v>
      </c>
      <c r="AI99" s="73">
        <f t="shared" si="63"/>
        <v>50654.275448314052</v>
      </c>
      <c r="AJ99" s="73">
        <f t="shared" si="64"/>
        <v>49372.255113134386</v>
      </c>
      <c r="AK99" s="73" t="b">
        <f t="shared" si="79"/>
        <v>0</v>
      </c>
      <c r="AL99" s="73">
        <f t="shared" si="65"/>
        <v>49372.255113134386</v>
      </c>
      <c r="AM99" s="73">
        <f t="shared" si="87"/>
        <v>163.80648899829376</v>
      </c>
      <c r="AN99" s="73">
        <f t="shared" si="80"/>
        <v>31.123232909675814</v>
      </c>
      <c r="AO99" s="73">
        <f t="shared" si="81"/>
        <v>5367.8299555767444</v>
      </c>
      <c r="AP99" s="73">
        <f t="shared" si="82"/>
        <v>49274.629955576747</v>
      </c>
    </row>
    <row r="100" spans="1:42" s="31" customFormat="1" x14ac:dyDescent="0.6">
      <c r="A100" s="70">
        <f t="shared" si="66"/>
        <v>79</v>
      </c>
      <c r="B100" s="70" t="str">
        <f>IF(E100&lt;=$F$9,VLOOKUP(KALKULATOR!A100,Robocze!$B$23:$C$102,2),"")</f>
        <v>7 rok</v>
      </c>
      <c r="C100" s="70">
        <f t="shared" si="69"/>
        <v>2027</v>
      </c>
      <c r="D100" s="71">
        <f t="shared" si="83"/>
        <v>46.58333333333352</v>
      </c>
      <c r="E100" s="77">
        <f t="shared" si="84"/>
        <v>46539</v>
      </c>
      <c r="F100" s="72">
        <f t="shared" si="70"/>
        <v>46568</v>
      </c>
      <c r="G100" s="73">
        <f>IFERROR(IF(AND(F100&lt;=$F$9,$F$5=Robocze!$B$4,$E100&lt;=$F$9,MONTH($F$8)=MONTH(E100)),$F$4,0)+IF(AND(F100&lt;=$F$9,$F$5=Robocze!$B$3,E100&lt;=$F$9),KALKULATOR!$F$4/12,0),"")</f>
        <v>0</v>
      </c>
      <c r="H100" s="73">
        <f t="shared" si="71"/>
        <v>43906.8</v>
      </c>
      <c r="I100" s="74">
        <f t="shared" si="67"/>
        <v>0.04</v>
      </c>
      <c r="J100" s="73">
        <f t="shared" si="53"/>
        <v>0</v>
      </c>
      <c r="K100" s="75" t="str">
        <f t="shared" si="54"/>
        <v/>
      </c>
      <c r="L100" s="73">
        <f t="shared" si="55"/>
        <v>43906.8</v>
      </c>
      <c r="M100" s="73">
        <f t="shared" si="56"/>
        <v>50492.392798669396</v>
      </c>
      <c r="N100" s="73">
        <f t="shared" si="57"/>
        <v>50492.392798669396</v>
      </c>
      <c r="O100" s="73">
        <f t="shared" si="58"/>
        <v>49509.021656844823</v>
      </c>
      <c r="P100" s="73">
        <f t="shared" si="59"/>
        <v>49509.021656844823</v>
      </c>
      <c r="Q100" s="73">
        <f t="shared" si="60"/>
        <v>49407.671456456803</v>
      </c>
      <c r="R100" s="73"/>
      <c r="S100" s="76">
        <f t="shared" si="68"/>
        <v>0.17</v>
      </c>
      <c r="T100" s="73">
        <f t="shared" si="85"/>
        <v>168.84758482771346</v>
      </c>
      <c r="U100" s="73">
        <f t="shared" si="72"/>
        <v>50823.123033141754</v>
      </c>
      <c r="V100" s="76">
        <f t="shared" si="73"/>
        <v>0.17</v>
      </c>
      <c r="W100" s="73">
        <f t="shared" si="74"/>
        <v>0</v>
      </c>
      <c r="X100" s="73">
        <f>IF(B100&lt;&gt;"",IF(MONTH(E100)=MONTH($F$13),SUMIF($C$22:C501,"="&amp;(C100-1),$G$22:G501),0)*S100,"")</f>
        <v>0</v>
      </c>
      <c r="Y100" s="73">
        <f>IF(B100&lt;&gt;"",SUM($X$22:X100),"")</f>
        <v>7464.1559999999999</v>
      </c>
      <c r="Z100" s="73">
        <f t="shared" si="86"/>
        <v>27.622754167619899</v>
      </c>
      <c r="AA100" s="73">
        <f t="shared" si="75"/>
        <v>5.2483232918477807</v>
      </c>
      <c r="AB100" s="73">
        <f t="shared" si="76"/>
        <v>845.04468116173973</v>
      </c>
      <c r="AC100" s="73">
        <f t="shared" si="77"/>
        <v>8309.2006811617412</v>
      </c>
      <c r="AD100" s="73">
        <f>IFERROR($U100*(1-$V100)+SUM($W$22:$W100)+$AB100,"")</f>
        <v>50492.392798669396</v>
      </c>
      <c r="AE100" s="73" t="b">
        <f t="shared" si="78"/>
        <v>0</v>
      </c>
      <c r="AF100" s="73">
        <f>IF(AND(AE100=TRUE,D100&gt;=65),$U100*(1-10%)+SUM($W$22:$W100)+$AB100,AD100)</f>
        <v>50492.392798669396</v>
      </c>
      <c r="AG100" s="73">
        <f t="shared" si="61"/>
        <v>168.84758482771352</v>
      </c>
      <c r="AH100" s="73">
        <f t="shared" si="62"/>
        <v>6916.3230331417608</v>
      </c>
      <c r="AI100" s="73">
        <f t="shared" si="63"/>
        <v>50823.123033141761</v>
      </c>
      <c r="AJ100" s="73">
        <f t="shared" si="64"/>
        <v>49509.021656844823</v>
      </c>
      <c r="AK100" s="73" t="b">
        <f t="shared" si="79"/>
        <v>0</v>
      </c>
      <c r="AL100" s="73">
        <f t="shared" si="65"/>
        <v>49509.021656844823</v>
      </c>
      <c r="AM100" s="73">
        <f t="shared" si="87"/>
        <v>164.24876651858918</v>
      </c>
      <c r="AN100" s="73">
        <f t="shared" si="80"/>
        <v>31.207265638531943</v>
      </c>
      <c r="AO100" s="73">
        <f t="shared" si="81"/>
        <v>5500.8714564567999</v>
      </c>
      <c r="AP100" s="73">
        <f t="shared" si="82"/>
        <v>49407.671456456803</v>
      </c>
    </row>
    <row r="101" spans="1:42" s="31" customFormat="1" x14ac:dyDescent="0.6">
      <c r="A101" s="70">
        <f t="shared" si="66"/>
        <v>80</v>
      </c>
      <c r="B101" s="70" t="str">
        <f>IF(E101&lt;=$F$9,VLOOKUP(KALKULATOR!A101,Robocze!$B$23:$C$102,2),"")</f>
        <v>7 rok</v>
      </c>
      <c r="C101" s="70">
        <f t="shared" si="69"/>
        <v>2027</v>
      </c>
      <c r="D101" s="71">
        <f t="shared" si="83"/>
        <v>46.666666666666856</v>
      </c>
      <c r="E101" s="77">
        <f t="shared" si="84"/>
        <v>46569</v>
      </c>
      <c r="F101" s="72">
        <f t="shared" si="70"/>
        <v>46599</v>
      </c>
      <c r="G101" s="73">
        <f>IFERROR(IF(AND(F101&lt;=$F$9,$F$5=Robocze!$B$4,$E101&lt;=$F$9,MONTH($F$8)=MONTH(E101)),$F$4,0)+IF(AND(F101&lt;=$F$9,$F$5=Robocze!$B$3,E101&lt;=$F$9),KALKULATOR!$F$4/12,0),"")</f>
        <v>0</v>
      </c>
      <c r="H101" s="73">
        <f t="shared" si="71"/>
        <v>43906.8</v>
      </c>
      <c r="I101" s="74">
        <f t="shared" si="67"/>
        <v>0.04</v>
      </c>
      <c r="J101" s="73">
        <f t="shared" si="53"/>
        <v>0</v>
      </c>
      <c r="K101" s="75" t="str">
        <f t="shared" si="54"/>
        <v/>
      </c>
      <c r="L101" s="73">
        <f t="shared" si="55"/>
        <v>43906.8</v>
      </c>
      <c r="M101" s="73">
        <f t="shared" si="56"/>
        <v>50655.438280900227</v>
      </c>
      <c r="N101" s="73">
        <f t="shared" si="57"/>
        <v>50655.438280900227</v>
      </c>
      <c r="O101" s="73">
        <f t="shared" si="58"/>
        <v>49646.244089034313</v>
      </c>
      <c r="P101" s="73">
        <f t="shared" si="59"/>
        <v>49646.244089034313</v>
      </c>
      <c r="Q101" s="73">
        <f t="shared" si="60"/>
        <v>49541.072169389234</v>
      </c>
      <c r="R101" s="73"/>
      <c r="S101" s="76">
        <f t="shared" si="68"/>
        <v>0.17</v>
      </c>
      <c r="T101" s="73">
        <f t="shared" si="85"/>
        <v>169.41041011047253</v>
      </c>
      <c r="U101" s="73">
        <f t="shared" si="72"/>
        <v>50992.533443252229</v>
      </c>
      <c r="V101" s="76">
        <f t="shared" si="73"/>
        <v>0.17</v>
      </c>
      <c r="W101" s="73">
        <f t="shared" si="74"/>
        <v>0</v>
      </c>
      <c r="X101" s="73">
        <f>IF(B101&lt;&gt;"",IF(MONTH(E101)=MONTH($F$13),SUMIF($C$22:C501,"="&amp;(C101-1),$G$22:G501),0)*S101,"")</f>
        <v>0</v>
      </c>
      <c r="Y101" s="73">
        <f>IF(B101&lt;&gt;"",SUM($X$22:X101),"")</f>
        <v>7464.1559999999999</v>
      </c>
      <c r="Z101" s="73">
        <f t="shared" si="86"/>
        <v>27.697335603872471</v>
      </c>
      <c r="AA101" s="73">
        <f t="shared" si="75"/>
        <v>5.2624937647357699</v>
      </c>
      <c r="AB101" s="73">
        <f t="shared" si="76"/>
        <v>867.4795230008765</v>
      </c>
      <c r="AC101" s="73">
        <f t="shared" si="77"/>
        <v>8331.6355230008776</v>
      </c>
      <c r="AD101" s="73">
        <f>IFERROR($U101*(1-$V101)+SUM($W$22:$W101)+$AB101,"")</f>
        <v>50655.438280900227</v>
      </c>
      <c r="AE101" s="73" t="b">
        <f t="shared" si="78"/>
        <v>0</v>
      </c>
      <c r="AF101" s="73">
        <f>IF(AND(AE101=TRUE,D101&gt;=65),$U101*(1-10%)+SUM($W$22:$W101)+$AB101,AD101)</f>
        <v>50655.438280900227</v>
      </c>
      <c r="AG101" s="73">
        <f t="shared" si="61"/>
        <v>169.41041011047255</v>
      </c>
      <c r="AH101" s="73">
        <f t="shared" si="62"/>
        <v>7085.733443252233</v>
      </c>
      <c r="AI101" s="73">
        <f t="shared" si="63"/>
        <v>50992.533443252236</v>
      </c>
      <c r="AJ101" s="73">
        <f t="shared" si="64"/>
        <v>49646.244089034313</v>
      </c>
      <c r="AK101" s="73" t="b">
        <f t="shared" si="79"/>
        <v>0</v>
      </c>
      <c r="AL101" s="73">
        <f t="shared" si="65"/>
        <v>49646.244089034313</v>
      </c>
      <c r="AM101" s="73">
        <f t="shared" si="87"/>
        <v>164.69223818818935</v>
      </c>
      <c r="AN101" s="73">
        <f t="shared" si="80"/>
        <v>31.291525255755978</v>
      </c>
      <c r="AO101" s="73">
        <f t="shared" si="81"/>
        <v>5634.2721693892308</v>
      </c>
      <c r="AP101" s="73">
        <f t="shared" si="82"/>
        <v>49541.072169389234</v>
      </c>
    </row>
    <row r="102" spans="1:42" s="31" customFormat="1" x14ac:dyDescent="0.6">
      <c r="A102" s="70">
        <f t="shared" si="66"/>
        <v>81</v>
      </c>
      <c r="B102" s="70" t="str">
        <f>IF(E102&lt;=$F$9,VLOOKUP(KALKULATOR!A102,Robocze!$B$23:$C$102,2),"")</f>
        <v>7 rok</v>
      </c>
      <c r="C102" s="70">
        <f t="shared" si="69"/>
        <v>2027</v>
      </c>
      <c r="D102" s="71">
        <f t="shared" si="83"/>
        <v>46.750000000000192</v>
      </c>
      <c r="E102" s="77">
        <f t="shared" si="84"/>
        <v>46600</v>
      </c>
      <c r="F102" s="72">
        <f t="shared" si="70"/>
        <v>46630</v>
      </c>
      <c r="G102" s="73">
        <f>IFERROR(IF(AND(F102&lt;=$F$9,$F$5=Robocze!$B$4,$E102&lt;=$F$9,MONTH($F$8)=MONTH(E102)),$F$4,0)+IF(AND(F102&lt;=$F$9,$F$5=Robocze!$B$3,E102&lt;=$F$9),KALKULATOR!$F$4/12,0),"")</f>
        <v>0</v>
      </c>
      <c r="H102" s="73">
        <f t="shared" si="71"/>
        <v>43906.8</v>
      </c>
      <c r="I102" s="74">
        <f t="shared" si="67"/>
        <v>0.04</v>
      </c>
      <c r="J102" s="73">
        <f t="shared" si="53"/>
        <v>0</v>
      </c>
      <c r="K102" s="75" t="str">
        <f t="shared" si="54"/>
        <v/>
      </c>
      <c r="L102" s="73">
        <f t="shared" si="55"/>
        <v>43906.8</v>
      </c>
      <c r="M102" s="73">
        <f t="shared" si="56"/>
        <v>50819.013039338657</v>
      </c>
      <c r="N102" s="73">
        <f t="shared" si="57"/>
        <v>50819.013039338657</v>
      </c>
      <c r="O102" s="73">
        <f t="shared" si="58"/>
        <v>49783.923929331089</v>
      </c>
      <c r="P102" s="73">
        <f t="shared" si="59"/>
        <v>49783.923929331089</v>
      </c>
      <c r="Q102" s="73">
        <f t="shared" si="60"/>
        <v>49674.833064246581</v>
      </c>
      <c r="R102" s="73"/>
      <c r="S102" s="76">
        <f t="shared" si="68"/>
        <v>0.17</v>
      </c>
      <c r="T102" s="73">
        <f t="shared" si="85"/>
        <v>169.97511147750743</v>
      </c>
      <c r="U102" s="73">
        <f t="shared" si="72"/>
        <v>51162.508554729735</v>
      </c>
      <c r="V102" s="76">
        <f t="shared" si="73"/>
        <v>0.17</v>
      </c>
      <c r="W102" s="73">
        <f t="shared" si="74"/>
        <v>0</v>
      </c>
      <c r="X102" s="73">
        <f>IF(B102&lt;&gt;"",IF(MONTH(E102)=MONTH($F$13),SUMIF($C$22:C501,"="&amp;(C102-1),$G$22:G501),0)*S102,"")</f>
        <v>0</v>
      </c>
      <c r="Y102" s="73">
        <f>IF(B102&lt;&gt;"",SUM($X$22:X102),"")</f>
        <v>7464.1559999999999</v>
      </c>
      <c r="Z102" s="73">
        <f t="shared" si="86"/>
        <v>27.772118410002928</v>
      </c>
      <c r="AA102" s="73">
        <f t="shared" si="75"/>
        <v>5.2767024979005566</v>
      </c>
      <c r="AB102" s="73">
        <f t="shared" si="76"/>
        <v>889.97493891297881</v>
      </c>
      <c r="AC102" s="73">
        <f t="shared" si="77"/>
        <v>8354.1309389129801</v>
      </c>
      <c r="AD102" s="73">
        <f>IFERROR($U102*(1-$V102)+SUM($W$22:$W102)+$AB102,"")</f>
        <v>50819.013039338657</v>
      </c>
      <c r="AE102" s="73" t="b">
        <f t="shared" si="78"/>
        <v>0</v>
      </c>
      <c r="AF102" s="73">
        <f>IF(AND(AE102=TRUE,D102&gt;=65),$U102*(1-10%)+SUM($W$22:$W102)+$AB102,AD102)</f>
        <v>50819.013039338657</v>
      </c>
      <c r="AG102" s="73">
        <f t="shared" si="61"/>
        <v>169.97511147750745</v>
      </c>
      <c r="AH102" s="73">
        <f t="shared" si="62"/>
        <v>7255.7085547297402</v>
      </c>
      <c r="AI102" s="73">
        <f t="shared" si="63"/>
        <v>51162.508554729742</v>
      </c>
      <c r="AJ102" s="73">
        <f t="shared" si="64"/>
        <v>49783.923929331089</v>
      </c>
      <c r="AK102" s="73" t="b">
        <f t="shared" si="79"/>
        <v>0</v>
      </c>
      <c r="AL102" s="73">
        <f t="shared" si="65"/>
        <v>49783.923929331089</v>
      </c>
      <c r="AM102" s="73">
        <f t="shared" si="87"/>
        <v>165.13690723129744</v>
      </c>
      <c r="AN102" s="73">
        <f t="shared" si="80"/>
        <v>31.376012373946516</v>
      </c>
      <c r="AO102" s="73">
        <f t="shared" si="81"/>
        <v>5768.0330642465779</v>
      </c>
      <c r="AP102" s="73">
        <f t="shared" si="82"/>
        <v>49674.833064246581</v>
      </c>
    </row>
    <row r="103" spans="1:42" s="31" customFormat="1" x14ac:dyDescent="0.6">
      <c r="A103" s="70">
        <f t="shared" si="66"/>
        <v>82</v>
      </c>
      <c r="B103" s="70" t="str">
        <f>IF(E103&lt;=$F$9,VLOOKUP(KALKULATOR!A103,Robocze!$B$23:$C$102,2),"")</f>
        <v>7 rok</v>
      </c>
      <c r="C103" s="70">
        <f t="shared" si="69"/>
        <v>2027</v>
      </c>
      <c r="D103" s="71">
        <f t="shared" si="83"/>
        <v>46.833333333333528</v>
      </c>
      <c r="E103" s="77">
        <f t="shared" si="84"/>
        <v>46631</v>
      </c>
      <c r="F103" s="72">
        <f t="shared" si="70"/>
        <v>46660</v>
      </c>
      <c r="G103" s="73">
        <f>IFERROR(IF(AND(F103&lt;=$F$9,$F$5=Robocze!$B$4,$E103&lt;=$F$9,MONTH($F$8)=MONTH(E103)),$F$4,0)+IF(AND(F103&lt;=$F$9,$F$5=Robocze!$B$3,E103&lt;=$F$9),KALKULATOR!$F$4/12,0),"")</f>
        <v>0</v>
      </c>
      <c r="H103" s="73">
        <f t="shared" si="71"/>
        <v>43906.8</v>
      </c>
      <c r="I103" s="74">
        <f t="shared" si="67"/>
        <v>0.04</v>
      </c>
      <c r="J103" s="73">
        <f t="shared" si="53"/>
        <v>0</v>
      </c>
      <c r="K103" s="75" t="str">
        <f t="shared" si="54"/>
        <v/>
      </c>
      <c r="L103" s="73">
        <f t="shared" si="55"/>
        <v>43906.8</v>
      </c>
      <c r="M103" s="73">
        <f t="shared" si="56"/>
        <v>50983.118799875141</v>
      </c>
      <c r="N103" s="73">
        <f t="shared" si="57"/>
        <v>50983.118799875141</v>
      </c>
      <c r="O103" s="73">
        <f t="shared" si="58"/>
        <v>49922.06270242887</v>
      </c>
      <c r="P103" s="73">
        <f t="shared" si="59"/>
        <v>49922.06270242887</v>
      </c>
      <c r="Q103" s="73">
        <f t="shared" si="60"/>
        <v>49808.955113520045</v>
      </c>
      <c r="R103" s="73"/>
      <c r="S103" s="76">
        <f t="shared" si="68"/>
        <v>0.17</v>
      </c>
      <c r="T103" s="73">
        <f t="shared" si="85"/>
        <v>170.54169518243245</v>
      </c>
      <c r="U103" s="73">
        <f t="shared" si="72"/>
        <v>51333.050249912165</v>
      </c>
      <c r="V103" s="76">
        <f t="shared" si="73"/>
        <v>0.17</v>
      </c>
      <c r="W103" s="73">
        <f t="shared" si="74"/>
        <v>0</v>
      </c>
      <c r="X103" s="73">
        <f>IF(B103&lt;&gt;"",IF(MONTH(E103)=MONTH($F$13),SUMIF($C$22:C501,"="&amp;(C103-1),$G$22:G501),0)*S103,"")</f>
        <v>0</v>
      </c>
      <c r="Y103" s="73">
        <f>IF(B103&lt;&gt;"",SUM($X$22:X103),"")</f>
        <v>7464.1559999999999</v>
      </c>
      <c r="Z103" s="73">
        <f t="shared" si="86"/>
        <v>27.847103129709936</v>
      </c>
      <c r="AA103" s="73">
        <f t="shared" si="75"/>
        <v>5.2909495946448875</v>
      </c>
      <c r="AB103" s="73">
        <f t="shared" si="76"/>
        <v>912.53109244804386</v>
      </c>
      <c r="AC103" s="73">
        <f t="shared" si="77"/>
        <v>8376.6870924480463</v>
      </c>
      <c r="AD103" s="73">
        <f>IFERROR($U103*(1-$V103)+SUM($W$22:$W103)+$AB103,"")</f>
        <v>50983.118799875141</v>
      </c>
      <c r="AE103" s="73" t="b">
        <f t="shared" si="78"/>
        <v>0</v>
      </c>
      <c r="AF103" s="73">
        <f>IF(AND(AE103=TRUE,D103&gt;=65),$U103*(1-10%)+SUM($W$22:$W103)+$AB103,AD103)</f>
        <v>50983.118799875141</v>
      </c>
      <c r="AG103" s="73">
        <f t="shared" si="61"/>
        <v>170.54169518243248</v>
      </c>
      <c r="AH103" s="73">
        <f t="shared" si="62"/>
        <v>7426.2502499121729</v>
      </c>
      <c r="AI103" s="73">
        <f t="shared" si="63"/>
        <v>51333.050249912179</v>
      </c>
      <c r="AJ103" s="73">
        <f t="shared" si="64"/>
        <v>49922.06270242887</v>
      </c>
      <c r="AK103" s="73" t="b">
        <f t="shared" si="79"/>
        <v>0</v>
      </c>
      <c r="AL103" s="73">
        <f t="shared" si="65"/>
        <v>49922.06270242887</v>
      </c>
      <c r="AM103" s="73">
        <f t="shared" si="87"/>
        <v>165.58277688082194</v>
      </c>
      <c r="AN103" s="73">
        <f t="shared" si="80"/>
        <v>31.460727607356169</v>
      </c>
      <c r="AO103" s="73">
        <f t="shared" si="81"/>
        <v>5902.1551135200425</v>
      </c>
      <c r="AP103" s="73">
        <f t="shared" si="82"/>
        <v>49808.955113520045</v>
      </c>
    </row>
    <row r="104" spans="1:42" s="31" customFormat="1" x14ac:dyDescent="0.6">
      <c r="A104" s="70">
        <f t="shared" si="66"/>
        <v>83</v>
      </c>
      <c r="B104" s="70" t="str">
        <f>IF(E104&lt;=$F$9,VLOOKUP(KALKULATOR!A104,Robocze!$B$23:$C$102,2),"")</f>
        <v>7 rok</v>
      </c>
      <c r="C104" s="70">
        <f t="shared" si="69"/>
        <v>2027</v>
      </c>
      <c r="D104" s="71">
        <f t="shared" si="83"/>
        <v>46.916666666666863</v>
      </c>
      <c r="E104" s="77">
        <f t="shared" si="84"/>
        <v>46661</v>
      </c>
      <c r="F104" s="72">
        <f t="shared" si="70"/>
        <v>46691</v>
      </c>
      <c r="G104" s="73">
        <f>IFERROR(IF(AND(F104&lt;=$F$9,$F$5=Robocze!$B$4,$E104&lt;=$F$9,MONTH($F$8)=MONTH(E104)),$F$4,0)+IF(AND(F104&lt;=$F$9,$F$5=Robocze!$B$3,E104&lt;=$F$9),KALKULATOR!$F$4/12,0),"")</f>
        <v>0</v>
      </c>
      <c r="H104" s="73">
        <f t="shared" si="71"/>
        <v>43906.8</v>
      </c>
      <c r="I104" s="74">
        <f t="shared" si="67"/>
        <v>0.04</v>
      </c>
      <c r="J104" s="73">
        <f t="shared" si="53"/>
        <v>0</v>
      </c>
      <c r="K104" s="75" t="str">
        <f t="shared" si="54"/>
        <v/>
      </c>
      <c r="L104" s="73">
        <f t="shared" si="55"/>
        <v>43906.8</v>
      </c>
      <c r="M104" s="73">
        <f t="shared" si="56"/>
        <v>51147.757294049508</v>
      </c>
      <c r="N104" s="73">
        <f t="shared" si="57"/>
        <v>51147.757294049508</v>
      </c>
      <c r="O104" s="73">
        <f t="shared" si="58"/>
        <v>50060.661938103629</v>
      </c>
      <c r="P104" s="73">
        <f t="shared" si="59"/>
        <v>50060.661938103629</v>
      </c>
      <c r="Q104" s="73">
        <f t="shared" si="60"/>
        <v>49943.439292326548</v>
      </c>
      <c r="R104" s="73"/>
      <c r="S104" s="76">
        <f t="shared" si="68"/>
        <v>0.17</v>
      </c>
      <c r="T104" s="73">
        <f t="shared" si="85"/>
        <v>171.11016749970722</v>
      </c>
      <c r="U104" s="73">
        <f t="shared" si="72"/>
        <v>51504.160417411869</v>
      </c>
      <c r="V104" s="76">
        <f t="shared" si="73"/>
        <v>0.17</v>
      </c>
      <c r="W104" s="73">
        <f t="shared" si="74"/>
        <v>0</v>
      </c>
      <c r="X104" s="73">
        <f>IF(B104&lt;&gt;"",IF(MONTH(E104)=MONTH($F$13),SUMIF($C$22:C501,"="&amp;(C104-1),$G$22:G501),0)*S104,"")</f>
        <v>0</v>
      </c>
      <c r="Y104" s="73">
        <f>IF(B104&lt;&gt;"",SUM($X$22:X104),"")</f>
        <v>7464.1559999999999</v>
      </c>
      <c r="Z104" s="73">
        <f t="shared" si="86"/>
        <v>27.922290308160157</v>
      </c>
      <c r="AA104" s="73">
        <f t="shared" si="75"/>
        <v>5.3052351585504303</v>
      </c>
      <c r="AB104" s="73">
        <f t="shared" si="76"/>
        <v>935.14814759765363</v>
      </c>
      <c r="AC104" s="73">
        <f t="shared" si="77"/>
        <v>8399.304147597657</v>
      </c>
      <c r="AD104" s="73">
        <f>IFERROR($U104*(1-$V104)+SUM($W$22:$W104)+$AB104,"")</f>
        <v>51147.757294049508</v>
      </c>
      <c r="AE104" s="73" t="b">
        <f t="shared" si="78"/>
        <v>0</v>
      </c>
      <c r="AF104" s="73">
        <f>IF(AND(AE104=TRUE,D104&gt;=65),$U104*(1-10%)+SUM($W$22:$W104)+$AB104,AD104)</f>
        <v>51147.757294049508</v>
      </c>
      <c r="AG104" s="73">
        <f t="shared" si="61"/>
        <v>171.11016749970727</v>
      </c>
      <c r="AH104" s="73">
        <f t="shared" si="62"/>
        <v>7597.36041741188</v>
      </c>
      <c r="AI104" s="73">
        <f t="shared" si="63"/>
        <v>51504.160417411884</v>
      </c>
      <c r="AJ104" s="73">
        <f t="shared" si="64"/>
        <v>50060.661938103629</v>
      </c>
      <c r="AK104" s="73" t="b">
        <f t="shared" si="79"/>
        <v>0</v>
      </c>
      <c r="AL104" s="73">
        <f t="shared" si="65"/>
        <v>50060.661938103629</v>
      </c>
      <c r="AM104" s="73">
        <f t="shared" si="87"/>
        <v>166.02985037840014</v>
      </c>
      <c r="AN104" s="73">
        <f t="shared" si="80"/>
        <v>31.545671571896026</v>
      </c>
      <c r="AO104" s="73">
        <f t="shared" si="81"/>
        <v>6036.6392923265448</v>
      </c>
      <c r="AP104" s="73">
        <f t="shared" si="82"/>
        <v>49943.439292326548</v>
      </c>
    </row>
    <row r="105" spans="1:42" s="69" customFormat="1" x14ac:dyDescent="0.6">
      <c r="A105" s="78">
        <f t="shared" si="66"/>
        <v>84</v>
      </c>
      <c r="B105" s="78" t="str">
        <f>IF(E105&lt;=$F$9,VLOOKUP(KALKULATOR!A105,Robocze!$B$23:$C$102,2),"")</f>
        <v>7 rok</v>
      </c>
      <c r="C105" s="78">
        <f t="shared" si="69"/>
        <v>2027</v>
      </c>
      <c r="D105" s="79">
        <f t="shared" si="83"/>
        <v>47.000000000000199</v>
      </c>
      <c r="E105" s="80">
        <f t="shared" si="84"/>
        <v>46692</v>
      </c>
      <c r="F105" s="81">
        <f t="shared" si="70"/>
        <v>46721</v>
      </c>
      <c r="G105" s="82">
        <f>IFERROR(IF(AND(F105&lt;=$F$9,$F$5=Robocze!$B$4,$E105&lt;=$F$9,MONTH($F$8)=MONTH(E105)),$F$4,0)+IF(AND(F105&lt;=$F$9,$F$5=Robocze!$B$3,E105&lt;=$F$9),KALKULATOR!$F$4/12,0),"")</f>
        <v>0</v>
      </c>
      <c r="H105" s="82">
        <f t="shared" si="71"/>
        <v>43906.8</v>
      </c>
      <c r="I105" s="83">
        <f t="shared" si="67"/>
        <v>0.04</v>
      </c>
      <c r="J105" s="82">
        <f t="shared" si="53"/>
        <v>0</v>
      </c>
      <c r="K105" s="84">
        <f t="shared" si="54"/>
        <v>7</v>
      </c>
      <c r="L105" s="82">
        <f t="shared" si="55"/>
        <v>43906.8</v>
      </c>
      <c r="M105" s="82">
        <f t="shared" si="56"/>
        <v>51312.93025906953</v>
      </c>
      <c r="N105" s="82">
        <f t="shared" si="57"/>
        <v>51312.93025906953</v>
      </c>
      <c r="O105" s="82">
        <f t="shared" si="58"/>
        <v>50199.723171230638</v>
      </c>
      <c r="P105" s="82">
        <f t="shared" si="59"/>
        <v>50199.723171230638</v>
      </c>
      <c r="Q105" s="82">
        <f t="shared" si="60"/>
        <v>50078.286578415828</v>
      </c>
      <c r="R105" s="82"/>
      <c r="S105" s="85">
        <f t="shared" si="68"/>
        <v>0.17</v>
      </c>
      <c r="T105" s="82">
        <f t="shared" si="85"/>
        <v>171.68053472470623</v>
      </c>
      <c r="U105" s="82">
        <f t="shared" si="72"/>
        <v>51675.840952136576</v>
      </c>
      <c r="V105" s="85">
        <f t="shared" si="73"/>
        <v>0.17</v>
      </c>
      <c r="W105" s="82">
        <f t="shared" si="74"/>
        <v>0</v>
      </c>
      <c r="X105" s="82">
        <f>IF(B105&lt;&gt;"",IF(MONTH(E105)=MONTH($F$13),SUMIF($C$22:C501,"="&amp;(C105-1),$G$22:G501),0)*S105,"")</f>
        <v>0</v>
      </c>
      <c r="Y105" s="82">
        <f>IF(B105&lt;&gt;"",SUM($X$22:X105),"")</f>
        <v>7464.1559999999999</v>
      </c>
      <c r="Z105" s="82">
        <f t="shared" si="86"/>
        <v>27.997680491992188</v>
      </c>
      <c r="AA105" s="82">
        <f t="shared" si="75"/>
        <v>5.3195592934785161</v>
      </c>
      <c r="AB105" s="82">
        <f t="shared" si="76"/>
        <v>957.82626879616737</v>
      </c>
      <c r="AC105" s="82">
        <f t="shared" si="77"/>
        <v>8421.9822687961696</v>
      </c>
      <c r="AD105" s="82">
        <f>IFERROR($U105*(1-$V105)+SUM($W$22:$W105)+$AB105,"")</f>
        <v>51312.93025906953</v>
      </c>
      <c r="AE105" s="73" t="b">
        <f t="shared" si="78"/>
        <v>0</v>
      </c>
      <c r="AF105" s="82">
        <f>IF(AND(AE105=TRUE,D105&gt;=65),$U105*(1-10%)+SUM($W$22:$W105)+$AB105,AD105)</f>
        <v>51312.93025906953</v>
      </c>
      <c r="AG105" s="82">
        <f t="shared" si="61"/>
        <v>171.68053472470629</v>
      </c>
      <c r="AH105" s="82">
        <f t="shared" si="62"/>
        <v>7769.0409521365864</v>
      </c>
      <c r="AI105" s="82">
        <f t="shared" si="63"/>
        <v>51675.84095213659</v>
      </c>
      <c r="AJ105" s="82">
        <f t="shared" si="64"/>
        <v>50199.723171230638</v>
      </c>
      <c r="AK105" s="73" t="b">
        <f t="shared" si="79"/>
        <v>0</v>
      </c>
      <c r="AL105" s="82">
        <f t="shared" si="65"/>
        <v>50199.723171230638</v>
      </c>
      <c r="AM105" s="82">
        <f t="shared" si="87"/>
        <v>166.47813097442182</v>
      </c>
      <c r="AN105" s="82">
        <f t="shared" si="80"/>
        <v>31.630844885140146</v>
      </c>
      <c r="AO105" s="82">
        <f t="shared" si="81"/>
        <v>6171.4865784158246</v>
      </c>
      <c r="AP105" s="82">
        <f t="shared" si="82"/>
        <v>50078.286578415828</v>
      </c>
    </row>
    <row r="106" spans="1:42" s="31" customFormat="1" x14ac:dyDescent="0.6">
      <c r="A106" s="70">
        <f t="shared" si="66"/>
        <v>85</v>
      </c>
      <c r="B106" s="70" t="str">
        <f>IF(E106&lt;=$F$9,VLOOKUP(KALKULATOR!A106,Robocze!$B$23:$C$102,2),"")</f>
        <v>8 rok</v>
      </c>
      <c r="C106" s="70">
        <f t="shared" si="69"/>
        <v>2027</v>
      </c>
      <c r="D106" s="71">
        <f t="shared" si="83"/>
        <v>47.083333333333535</v>
      </c>
      <c r="E106" s="72">
        <f t="shared" si="84"/>
        <v>46722</v>
      </c>
      <c r="F106" s="72">
        <f t="shared" si="70"/>
        <v>46752</v>
      </c>
      <c r="G106" s="73">
        <f>IFERROR(IF(AND(F106&lt;=$F$9,$F$5=Robocze!$B$4,$E106&lt;=$F$9,MONTH($F$8)=MONTH(E106)),$F$4,0)+IF(AND(F106&lt;=$F$9,$F$5=Robocze!$B$3,E106&lt;=$F$9),KALKULATOR!$F$4/12,0),"")</f>
        <v>6272.4</v>
      </c>
      <c r="H106" s="73">
        <f t="shared" si="71"/>
        <v>50179.200000000004</v>
      </c>
      <c r="I106" s="74">
        <f t="shared" si="67"/>
        <v>0.04</v>
      </c>
      <c r="J106" s="73">
        <f t="shared" si="53"/>
        <v>0</v>
      </c>
      <c r="K106" s="75" t="str">
        <f t="shared" si="54"/>
        <v/>
      </c>
      <c r="L106" s="73">
        <f t="shared" si="55"/>
        <v>50179.200000000004</v>
      </c>
      <c r="M106" s="73">
        <f t="shared" si="56"/>
        <v>57768.393077829511</v>
      </c>
      <c r="N106" s="73">
        <f t="shared" si="57"/>
        <v>57768.393077829511</v>
      </c>
      <c r="O106" s="73">
        <f t="shared" si="58"/>
        <v>56628.583421801406</v>
      </c>
      <c r="P106" s="73">
        <f t="shared" si="59"/>
        <v>56628.583421801406</v>
      </c>
      <c r="Q106" s="73">
        <f t="shared" si="60"/>
        <v>56502.833432177555</v>
      </c>
      <c r="R106" s="73"/>
      <c r="S106" s="76">
        <f t="shared" si="68"/>
        <v>0.17</v>
      </c>
      <c r="T106" s="73">
        <f t="shared" si="85"/>
        <v>193.16080317378859</v>
      </c>
      <c r="U106" s="73">
        <f t="shared" si="72"/>
        <v>58141.401755310362</v>
      </c>
      <c r="V106" s="76">
        <f t="shared" si="73"/>
        <v>0.17</v>
      </c>
      <c r="W106" s="73">
        <f t="shared" si="74"/>
        <v>1066.308</v>
      </c>
      <c r="X106" s="73">
        <f>IF(B106&lt;&gt;"",IF(MONTH(E106)=MONTH($F$13),SUMIF($C$22:C501,"="&amp;(C106-1),$G$22:G501),0)*S106,"")</f>
        <v>0</v>
      </c>
      <c r="Y106" s="73">
        <f>IF(B106&lt;&gt;"",SUM($X$22:X106),"")</f>
        <v>7464.1559999999999</v>
      </c>
      <c r="Z106" s="73">
        <f t="shared" si="86"/>
        <v>28.073274229320564</v>
      </c>
      <c r="AA106" s="73">
        <f t="shared" si="75"/>
        <v>5.3339221035709068</v>
      </c>
      <c r="AB106" s="73">
        <f t="shared" si="76"/>
        <v>980.565620921917</v>
      </c>
      <c r="AC106" s="73">
        <f t="shared" si="77"/>
        <v>8444.7216209219187</v>
      </c>
      <c r="AD106" s="73">
        <f>IFERROR($U106*(1-$V106)+SUM($W$22:$W106)+$AB106,"")</f>
        <v>57768.393077829511</v>
      </c>
      <c r="AE106" s="73" t="b">
        <f t="shared" si="78"/>
        <v>0</v>
      </c>
      <c r="AF106" s="73">
        <f>IF(AND(AE106=TRUE,D106&gt;=65),$U106*(1-10%)+SUM($W$22:$W106)+$AB106,AD106)</f>
        <v>57768.393077829511</v>
      </c>
      <c r="AG106" s="73">
        <f t="shared" si="61"/>
        <v>193.16080317378865</v>
      </c>
      <c r="AH106" s="73">
        <f t="shared" si="62"/>
        <v>7962.2017553103751</v>
      </c>
      <c r="AI106" s="73">
        <f t="shared" si="63"/>
        <v>58141.401755310377</v>
      </c>
      <c r="AJ106" s="73">
        <f t="shared" si="64"/>
        <v>56628.583421801406</v>
      </c>
      <c r="AK106" s="73" t="b">
        <f t="shared" si="79"/>
        <v>0</v>
      </c>
      <c r="AL106" s="73">
        <f t="shared" si="65"/>
        <v>56628.583421801406</v>
      </c>
      <c r="AM106" s="73">
        <f t="shared" si="87"/>
        <v>187.83562192805277</v>
      </c>
      <c r="AN106" s="73">
        <f t="shared" si="80"/>
        <v>35.688768166330028</v>
      </c>
      <c r="AO106" s="73">
        <f t="shared" si="81"/>
        <v>6323.6334321775503</v>
      </c>
      <c r="AP106" s="73">
        <f t="shared" si="82"/>
        <v>56502.833432177555</v>
      </c>
    </row>
    <row r="107" spans="1:42" s="31" customFormat="1" x14ac:dyDescent="0.6">
      <c r="A107" s="70">
        <f t="shared" si="66"/>
        <v>86</v>
      </c>
      <c r="B107" s="70" t="str">
        <f>IF(E107&lt;=$F$9,VLOOKUP(KALKULATOR!A107,Robocze!$B$23:$C$102,2),"")</f>
        <v>8 rok</v>
      </c>
      <c r="C107" s="70">
        <f t="shared" si="69"/>
        <v>2028</v>
      </c>
      <c r="D107" s="71">
        <f t="shared" si="83"/>
        <v>47.16666666666687</v>
      </c>
      <c r="E107" s="77">
        <f t="shared" si="84"/>
        <v>46753</v>
      </c>
      <c r="F107" s="72">
        <f t="shared" si="70"/>
        <v>46783</v>
      </c>
      <c r="G107" s="73">
        <f>IFERROR(IF(AND(F107&lt;=$F$9,$F$5=Robocze!$B$4,$E107&lt;=$F$9,MONTH($F$8)=MONTH(E107)),$F$4,0)+IF(AND(F107&lt;=$F$9,$F$5=Robocze!$B$3,E107&lt;=$F$9),KALKULATOR!$F$4/12,0),"")</f>
        <v>0</v>
      </c>
      <c r="H107" s="73">
        <f t="shared" si="71"/>
        <v>50179.200000000004</v>
      </c>
      <c r="I107" s="74">
        <f t="shared" si="67"/>
        <v>0.04</v>
      </c>
      <c r="J107" s="73">
        <f t="shared" si="53"/>
        <v>0</v>
      </c>
      <c r="K107" s="75" t="str">
        <f t="shared" si="54"/>
        <v/>
      </c>
      <c r="L107" s="73">
        <f t="shared" si="55"/>
        <v>50179.200000000004</v>
      </c>
      <c r="M107" s="73">
        <f t="shared" si="56"/>
        <v>57952.051704395701</v>
      </c>
      <c r="N107" s="73">
        <f t="shared" si="57"/>
        <v>57952.051704395701</v>
      </c>
      <c r="O107" s="73">
        <f t="shared" si="58"/>
        <v>56785.565206540748</v>
      </c>
      <c r="P107" s="73">
        <f t="shared" si="59"/>
        <v>56785.565206540748</v>
      </c>
      <c r="Q107" s="73">
        <f t="shared" si="60"/>
        <v>56655.391082444439</v>
      </c>
      <c r="R107" s="73"/>
      <c r="S107" s="76">
        <f t="shared" si="68"/>
        <v>0.17</v>
      </c>
      <c r="T107" s="73">
        <f t="shared" si="85"/>
        <v>193.80467251770122</v>
      </c>
      <c r="U107" s="73">
        <f t="shared" si="72"/>
        <v>58335.206427828067</v>
      </c>
      <c r="V107" s="76">
        <f t="shared" si="73"/>
        <v>0.17</v>
      </c>
      <c r="W107" s="73">
        <f t="shared" si="74"/>
        <v>0</v>
      </c>
      <c r="X107" s="73">
        <f>IF(B107&lt;&gt;"",IF(MONTH(E107)=MONTH($F$13),SUMIF($C$22:C501,"="&amp;(C107-1),$G$22:G501),0)*S107,"")</f>
        <v>0</v>
      </c>
      <c r="Y107" s="73">
        <f>IF(B107&lt;&gt;"",SUM($X$22:X107),"")</f>
        <v>7464.1559999999999</v>
      </c>
      <c r="Z107" s="73">
        <f t="shared" si="86"/>
        <v>28.149072069739731</v>
      </c>
      <c r="AA107" s="73">
        <f t="shared" si="75"/>
        <v>5.3483236932505491</v>
      </c>
      <c r="AB107" s="73">
        <f t="shared" si="76"/>
        <v>1003.3663692984062</v>
      </c>
      <c r="AC107" s="73">
        <f t="shared" si="77"/>
        <v>8467.5223692984091</v>
      </c>
      <c r="AD107" s="73">
        <f>IFERROR($U107*(1-$V107)+SUM($W$22:$W107)+$AB107,"")</f>
        <v>57952.051704395701</v>
      </c>
      <c r="AE107" s="73" t="b">
        <f t="shared" si="78"/>
        <v>0</v>
      </c>
      <c r="AF107" s="73">
        <f>IF(AND(AE107=TRUE,D107&gt;=65),$U107*(1-10%)+SUM($W$22:$W107)+$AB107,AD107)</f>
        <v>57952.051704395701</v>
      </c>
      <c r="AG107" s="73">
        <f t="shared" si="61"/>
        <v>193.80467251770128</v>
      </c>
      <c r="AH107" s="73">
        <f t="shared" si="62"/>
        <v>8156.0064278280761</v>
      </c>
      <c r="AI107" s="73">
        <f t="shared" si="63"/>
        <v>58335.206427828081</v>
      </c>
      <c r="AJ107" s="73">
        <f t="shared" si="64"/>
        <v>56785.565206540748</v>
      </c>
      <c r="AK107" s="73" t="b">
        <f t="shared" si="79"/>
        <v>0</v>
      </c>
      <c r="AL107" s="73">
        <f t="shared" si="65"/>
        <v>56785.565206540748</v>
      </c>
      <c r="AM107" s="73">
        <f t="shared" si="87"/>
        <v>188.34277810725851</v>
      </c>
      <c r="AN107" s="73">
        <f t="shared" si="80"/>
        <v>35.785127840379118</v>
      </c>
      <c r="AO107" s="73">
        <f t="shared" si="81"/>
        <v>6476.1910824444349</v>
      </c>
      <c r="AP107" s="73">
        <f t="shared" si="82"/>
        <v>56655.391082444439</v>
      </c>
    </row>
    <row r="108" spans="1:42" s="31" customFormat="1" x14ac:dyDescent="0.6">
      <c r="A108" s="70">
        <f t="shared" si="66"/>
        <v>87</v>
      </c>
      <c r="B108" s="70" t="str">
        <f>IF(E108&lt;=$F$9,VLOOKUP(KALKULATOR!A108,Robocze!$B$23:$C$102,2),"")</f>
        <v>8 rok</v>
      </c>
      <c r="C108" s="70">
        <f t="shared" si="69"/>
        <v>2028</v>
      </c>
      <c r="D108" s="71">
        <f t="shared" si="83"/>
        <v>47.250000000000206</v>
      </c>
      <c r="E108" s="77">
        <f t="shared" si="84"/>
        <v>46784</v>
      </c>
      <c r="F108" s="72">
        <f t="shared" si="70"/>
        <v>46812</v>
      </c>
      <c r="G108" s="73">
        <f>IFERROR(IF(AND(F108&lt;=$F$9,$F$5=Robocze!$B$4,$E108&lt;=$F$9,MONTH($F$8)=MONTH(E108)),$F$4,0)+IF(AND(F108&lt;=$F$9,$F$5=Robocze!$B$3,E108&lt;=$F$9),KALKULATOR!$F$4/12,0),"")</f>
        <v>0</v>
      </c>
      <c r="H108" s="73">
        <f t="shared" si="71"/>
        <v>50179.200000000004</v>
      </c>
      <c r="I108" s="74">
        <f t="shared" si="67"/>
        <v>0.04</v>
      </c>
      <c r="J108" s="73">
        <f t="shared" si="53"/>
        <v>0</v>
      </c>
      <c r="K108" s="75" t="str">
        <f t="shared" si="54"/>
        <v/>
      </c>
      <c r="L108" s="73">
        <f t="shared" si="55"/>
        <v>50179.200000000004</v>
      </c>
      <c r="M108" s="73">
        <f t="shared" si="56"/>
        <v>58136.30808590979</v>
      </c>
      <c r="N108" s="73">
        <f t="shared" si="57"/>
        <v>58136.30808590979</v>
      </c>
      <c r="O108" s="73">
        <f t="shared" si="58"/>
        <v>56943.070263895883</v>
      </c>
      <c r="P108" s="73">
        <f t="shared" si="59"/>
        <v>56943.070263895883</v>
      </c>
      <c r="Q108" s="73">
        <f t="shared" si="60"/>
        <v>56808.360638367041</v>
      </c>
      <c r="R108" s="73"/>
      <c r="S108" s="76">
        <f t="shared" si="68"/>
        <v>0.17</v>
      </c>
      <c r="T108" s="73">
        <f t="shared" si="85"/>
        <v>194.45068809276023</v>
      </c>
      <c r="U108" s="73">
        <f t="shared" si="72"/>
        <v>58529.657115920825</v>
      </c>
      <c r="V108" s="76">
        <f t="shared" si="73"/>
        <v>0.17</v>
      </c>
      <c r="W108" s="73">
        <f t="shared" si="74"/>
        <v>0</v>
      </c>
      <c r="X108" s="73">
        <f>IF(B108&lt;&gt;"",IF(MONTH(E108)=MONTH($F$13),SUMIF($C$22:C501,"="&amp;(C108-1),$G$22:G501),0)*S108,"")</f>
        <v>0</v>
      </c>
      <c r="Y108" s="73">
        <f>IF(B108&lt;&gt;"",SUM($X$22:X108),"")</f>
        <v>7464.1559999999999</v>
      </c>
      <c r="Z108" s="73">
        <f t="shared" si="86"/>
        <v>28.225074564328029</v>
      </c>
      <c r="AA108" s="73">
        <f t="shared" si="75"/>
        <v>5.3627641672223252</v>
      </c>
      <c r="AB108" s="73">
        <f t="shared" si="76"/>
        <v>1026.2286796955118</v>
      </c>
      <c r="AC108" s="73">
        <f t="shared" si="77"/>
        <v>8490.3846796955149</v>
      </c>
      <c r="AD108" s="73">
        <f>IFERROR($U108*(1-$V108)+SUM($W$22:$W108)+$AB108,"")</f>
        <v>58136.30808590979</v>
      </c>
      <c r="AE108" s="73" t="b">
        <f t="shared" si="78"/>
        <v>0</v>
      </c>
      <c r="AF108" s="73">
        <f>IF(AND(AE108=TRUE,D108&gt;=65),$U108*(1-10%)+SUM($W$22:$W108)+$AB108,AD108)</f>
        <v>58136.30808590979</v>
      </c>
      <c r="AG108" s="73">
        <f t="shared" si="61"/>
        <v>194.45068809276029</v>
      </c>
      <c r="AH108" s="73">
        <f t="shared" si="62"/>
        <v>8350.4571159208372</v>
      </c>
      <c r="AI108" s="73">
        <f t="shared" si="63"/>
        <v>58529.65711592084</v>
      </c>
      <c r="AJ108" s="73">
        <f t="shared" si="64"/>
        <v>56943.070263895883</v>
      </c>
      <c r="AK108" s="73" t="b">
        <f t="shared" si="79"/>
        <v>0</v>
      </c>
      <c r="AL108" s="73">
        <f t="shared" si="65"/>
        <v>56943.070263895883</v>
      </c>
      <c r="AM108" s="73">
        <f t="shared" si="87"/>
        <v>188.85130360814813</v>
      </c>
      <c r="AN108" s="73">
        <f t="shared" si="80"/>
        <v>35.881747685548142</v>
      </c>
      <c r="AO108" s="73">
        <f t="shared" si="81"/>
        <v>6629.1606383670369</v>
      </c>
      <c r="AP108" s="73">
        <f t="shared" si="82"/>
        <v>56808.360638367041</v>
      </c>
    </row>
    <row r="109" spans="1:42" s="31" customFormat="1" x14ac:dyDescent="0.6">
      <c r="A109" s="70">
        <f t="shared" si="66"/>
        <v>88</v>
      </c>
      <c r="B109" s="70" t="str">
        <f>IF(E109&lt;=$F$9,VLOOKUP(KALKULATOR!A109,Robocze!$B$23:$C$102,2),"")</f>
        <v>8 rok</v>
      </c>
      <c r="C109" s="70">
        <f t="shared" si="69"/>
        <v>2028</v>
      </c>
      <c r="D109" s="71">
        <f t="shared" si="83"/>
        <v>47.333333333333542</v>
      </c>
      <c r="E109" s="77">
        <f t="shared" si="84"/>
        <v>46813</v>
      </c>
      <c r="F109" s="72">
        <f t="shared" si="70"/>
        <v>46843</v>
      </c>
      <c r="G109" s="73">
        <f>IFERROR(IF(AND(F109&lt;=$F$9,$F$5=Robocze!$B$4,$E109&lt;=$F$9,MONTH($F$8)=MONTH(E109)),$F$4,0)+IF(AND(F109&lt;=$F$9,$F$5=Robocze!$B$3,E109&lt;=$F$9),KALKULATOR!$F$4/12,0),"")</f>
        <v>0</v>
      </c>
      <c r="H109" s="73">
        <f t="shared" si="71"/>
        <v>50179.200000000004</v>
      </c>
      <c r="I109" s="74">
        <f t="shared" si="67"/>
        <v>0.04</v>
      </c>
      <c r="J109" s="73">
        <f t="shared" si="53"/>
        <v>0</v>
      </c>
      <c r="K109" s="75" t="str">
        <f t="shared" si="54"/>
        <v/>
      </c>
      <c r="L109" s="73">
        <f t="shared" si="55"/>
        <v>50179.200000000004</v>
      </c>
      <c r="M109" s="73">
        <f t="shared" si="56"/>
        <v>58321.164175899015</v>
      </c>
      <c r="N109" s="73">
        <f t="shared" si="57"/>
        <v>58321.164175899015</v>
      </c>
      <c r="O109" s="73">
        <f t="shared" si="58"/>
        <v>57101.100338108874</v>
      </c>
      <c r="P109" s="73">
        <f t="shared" si="59"/>
        <v>57101.100338108874</v>
      </c>
      <c r="Q109" s="73">
        <f t="shared" si="60"/>
        <v>56961.743212090631</v>
      </c>
      <c r="R109" s="73"/>
      <c r="S109" s="76">
        <f t="shared" si="68"/>
        <v>0.17</v>
      </c>
      <c r="T109" s="73">
        <f t="shared" si="85"/>
        <v>195.09885705306942</v>
      </c>
      <c r="U109" s="73">
        <f t="shared" si="72"/>
        <v>58724.755972973893</v>
      </c>
      <c r="V109" s="76">
        <f t="shared" si="73"/>
        <v>0.17</v>
      </c>
      <c r="W109" s="73">
        <f t="shared" si="74"/>
        <v>0</v>
      </c>
      <c r="X109" s="73">
        <f>IF(B109&lt;&gt;"",IF(MONTH(E109)=MONTH($F$13),SUMIF($C$22:C501,"="&amp;(C109-1),$G$22:G501),0)*S109,"")</f>
        <v>0</v>
      </c>
      <c r="Y109" s="73">
        <f>IF(B109&lt;&gt;"",SUM($X$22:X109),"")</f>
        <v>7464.1559999999999</v>
      </c>
      <c r="Z109" s="73">
        <f t="shared" si="86"/>
        <v>28.301282265651718</v>
      </c>
      <c r="AA109" s="73">
        <f t="shared" si="75"/>
        <v>5.3772436304738269</v>
      </c>
      <c r="AB109" s="73">
        <f t="shared" si="76"/>
        <v>1049.1527183306896</v>
      </c>
      <c r="AC109" s="73">
        <f t="shared" si="77"/>
        <v>8513.3087183306925</v>
      </c>
      <c r="AD109" s="73">
        <f>IFERROR($U109*(1-$V109)+SUM($W$22:$W109)+$AB109,"")</f>
        <v>58321.164175899015</v>
      </c>
      <c r="AE109" s="73" t="b">
        <f t="shared" si="78"/>
        <v>0</v>
      </c>
      <c r="AF109" s="73">
        <f>IF(AND(AE109=TRUE,D109&gt;=65),$U109*(1-10%)+SUM($W$22:$W109)+$AB109,AD109)</f>
        <v>58321.164175899015</v>
      </c>
      <c r="AG109" s="73">
        <f t="shared" si="61"/>
        <v>195.09885705306945</v>
      </c>
      <c r="AH109" s="73">
        <f t="shared" si="62"/>
        <v>8545.555972973907</v>
      </c>
      <c r="AI109" s="73">
        <f t="shared" si="63"/>
        <v>58724.755972973915</v>
      </c>
      <c r="AJ109" s="73">
        <f t="shared" si="64"/>
        <v>57101.100338108874</v>
      </c>
      <c r="AK109" s="73" t="b">
        <f t="shared" si="79"/>
        <v>0</v>
      </c>
      <c r="AL109" s="73">
        <f t="shared" si="65"/>
        <v>57101.100338108874</v>
      </c>
      <c r="AM109" s="73">
        <f t="shared" si="87"/>
        <v>189.36120212789012</v>
      </c>
      <c r="AN109" s="73">
        <f t="shared" si="80"/>
        <v>35.978628404299123</v>
      </c>
      <c r="AO109" s="73">
        <f t="shared" si="81"/>
        <v>6782.5432120906262</v>
      </c>
      <c r="AP109" s="73">
        <f t="shared" si="82"/>
        <v>56961.743212090631</v>
      </c>
    </row>
    <row r="110" spans="1:42" s="31" customFormat="1" x14ac:dyDescent="0.6">
      <c r="A110" s="70">
        <f t="shared" si="66"/>
        <v>89</v>
      </c>
      <c r="B110" s="70" t="str">
        <f>IF(E110&lt;=$F$9,VLOOKUP(KALKULATOR!A110,Robocze!$B$23:$C$102,2),"")</f>
        <v>8 rok</v>
      </c>
      <c r="C110" s="70">
        <f t="shared" si="69"/>
        <v>2028</v>
      </c>
      <c r="D110" s="71">
        <f t="shared" si="83"/>
        <v>47.416666666666877</v>
      </c>
      <c r="E110" s="77">
        <f t="shared" si="84"/>
        <v>46844</v>
      </c>
      <c r="F110" s="72">
        <f t="shared" si="70"/>
        <v>46873</v>
      </c>
      <c r="G110" s="73">
        <f>IFERROR(IF(AND(F110&lt;=$F$9,$F$5=Robocze!$B$4,$E110&lt;=$F$9,MONTH($F$8)=MONTH(E110)),$F$4,0)+IF(AND(F110&lt;=$F$9,$F$5=Robocze!$B$3,E110&lt;=$F$9),KALKULATOR!$F$4/12,0),"")</f>
        <v>0</v>
      </c>
      <c r="H110" s="73">
        <f t="shared" si="71"/>
        <v>50179.200000000004</v>
      </c>
      <c r="I110" s="74">
        <f t="shared" si="67"/>
        <v>0.04</v>
      </c>
      <c r="J110" s="73">
        <f t="shared" si="53"/>
        <v>0</v>
      </c>
      <c r="K110" s="75" t="str">
        <f t="shared" si="54"/>
        <v/>
      </c>
      <c r="L110" s="73">
        <f t="shared" si="55"/>
        <v>50179.200000000004</v>
      </c>
      <c r="M110" s="73">
        <f t="shared" si="56"/>
        <v>58509.500965897074</v>
      </c>
      <c r="N110" s="73">
        <f t="shared" si="57"/>
        <v>58509.500965897074</v>
      </c>
      <c r="O110" s="73">
        <f t="shared" si="58"/>
        <v>57259.657179235903</v>
      </c>
      <c r="P110" s="73">
        <f t="shared" si="59"/>
        <v>57259.657179235903</v>
      </c>
      <c r="Q110" s="73">
        <f t="shared" si="60"/>
        <v>57115.539918763272</v>
      </c>
      <c r="R110" s="73"/>
      <c r="S110" s="76">
        <f t="shared" si="68"/>
        <v>0.17</v>
      </c>
      <c r="T110" s="73">
        <f t="shared" si="85"/>
        <v>195.74918657657966</v>
      </c>
      <c r="U110" s="73">
        <f t="shared" si="72"/>
        <v>58920.50515955047</v>
      </c>
      <c r="V110" s="76">
        <f t="shared" si="73"/>
        <v>0.17</v>
      </c>
      <c r="W110" s="73">
        <f t="shared" si="74"/>
        <v>0</v>
      </c>
      <c r="X110" s="73">
        <f>IF(B110&lt;&gt;"",IF(MONTH(E110)=MONTH($F$13),SUMIF($C$22:C501,"="&amp;(C110-1),$G$22:G501),0)*S110,"")</f>
        <v>1066.308</v>
      </c>
      <c r="Y110" s="73">
        <f>IF(B110&lt;&gt;"",SUM($X$22:X110),"")</f>
        <v>8530.4639999999999</v>
      </c>
      <c r="Z110" s="73">
        <f t="shared" si="86"/>
        <v>31.932055727768979</v>
      </c>
      <c r="AA110" s="73">
        <f t="shared" si="75"/>
        <v>6.0670905882761064</v>
      </c>
      <c r="AB110" s="73">
        <f t="shared" si="76"/>
        <v>1075.0176834701824</v>
      </c>
      <c r="AC110" s="73">
        <f t="shared" si="77"/>
        <v>9605.4816834701851</v>
      </c>
      <c r="AD110" s="73">
        <f>IFERROR($U110*(1-$V110)+SUM($W$22:$W110)+$AB110,"")</f>
        <v>58509.500965897074</v>
      </c>
      <c r="AE110" s="73" t="b">
        <f t="shared" si="78"/>
        <v>0</v>
      </c>
      <c r="AF110" s="73">
        <f>IF(AND(AE110=TRUE,D110&gt;=65),$U110*(1-10%)+SUM($W$22:$W110)+$AB110,AD110)</f>
        <v>58509.500965897074</v>
      </c>
      <c r="AG110" s="73">
        <f t="shared" si="61"/>
        <v>195.74918657657972</v>
      </c>
      <c r="AH110" s="73">
        <f t="shared" si="62"/>
        <v>8741.3051595504876</v>
      </c>
      <c r="AI110" s="73">
        <f t="shared" si="63"/>
        <v>58920.505159550492</v>
      </c>
      <c r="AJ110" s="73">
        <f t="shared" si="64"/>
        <v>57259.657179235903</v>
      </c>
      <c r="AK110" s="73" t="b">
        <f t="shared" si="79"/>
        <v>0</v>
      </c>
      <c r="AL110" s="73">
        <f t="shared" si="65"/>
        <v>57259.657179235903</v>
      </c>
      <c r="AM110" s="73">
        <f t="shared" si="87"/>
        <v>189.87247737363543</v>
      </c>
      <c r="AN110" s="73">
        <f t="shared" si="80"/>
        <v>36.075770700990731</v>
      </c>
      <c r="AO110" s="73">
        <f t="shared" si="81"/>
        <v>6936.3399187632676</v>
      </c>
      <c r="AP110" s="73">
        <f t="shared" si="82"/>
        <v>57115.539918763272</v>
      </c>
    </row>
    <row r="111" spans="1:42" s="31" customFormat="1" x14ac:dyDescent="0.6">
      <c r="A111" s="70">
        <f t="shared" si="66"/>
        <v>90</v>
      </c>
      <c r="B111" s="70" t="str">
        <f>IF(E111&lt;=$F$9,VLOOKUP(KALKULATOR!A111,Robocze!$B$23:$C$102,2),"")</f>
        <v>8 rok</v>
      </c>
      <c r="C111" s="70">
        <f t="shared" si="69"/>
        <v>2028</v>
      </c>
      <c r="D111" s="71">
        <f t="shared" si="83"/>
        <v>47.500000000000213</v>
      </c>
      <c r="E111" s="77">
        <f t="shared" si="84"/>
        <v>46874</v>
      </c>
      <c r="F111" s="72">
        <f t="shared" si="70"/>
        <v>46904</v>
      </c>
      <c r="G111" s="73">
        <f>IFERROR(IF(AND(F111&lt;=$F$9,$F$5=Robocze!$B$4,$E111&lt;=$F$9,MONTH($F$8)=MONTH(E111)),$F$4,0)+IF(AND(F111&lt;=$F$9,$F$5=Robocze!$B$3,E111&lt;=$F$9),KALKULATOR!$F$4/12,0),"")</f>
        <v>0</v>
      </c>
      <c r="H111" s="73">
        <f t="shared" si="71"/>
        <v>50179.200000000004</v>
      </c>
      <c r="I111" s="74">
        <f t="shared" si="67"/>
        <v>0.04</v>
      </c>
      <c r="J111" s="73">
        <f t="shared" si="53"/>
        <v>0</v>
      </c>
      <c r="K111" s="75" t="str">
        <f t="shared" si="54"/>
        <v/>
      </c>
      <c r="L111" s="73">
        <f t="shared" si="55"/>
        <v>50179.200000000004</v>
      </c>
      <c r="M111" s="73">
        <f t="shared" si="56"/>
        <v>58698.449164050522</v>
      </c>
      <c r="N111" s="73">
        <f t="shared" si="57"/>
        <v>58698.449164050522</v>
      </c>
      <c r="O111" s="73">
        <f t="shared" si="58"/>
        <v>57418.742543166685</v>
      </c>
      <c r="P111" s="73">
        <f t="shared" si="59"/>
        <v>57418.742543166685</v>
      </c>
      <c r="Q111" s="73">
        <f t="shared" si="60"/>
        <v>57269.751876543938</v>
      </c>
      <c r="R111" s="73"/>
      <c r="S111" s="76">
        <f t="shared" si="68"/>
        <v>0.17</v>
      </c>
      <c r="T111" s="73">
        <f t="shared" si="85"/>
        <v>196.40168386516825</v>
      </c>
      <c r="U111" s="73">
        <f t="shared" si="72"/>
        <v>59116.906843415636</v>
      </c>
      <c r="V111" s="76">
        <f t="shared" si="73"/>
        <v>0.17</v>
      </c>
      <c r="W111" s="73">
        <f t="shared" si="74"/>
        <v>0</v>
      </c>
      <c r="X111" s="73">
        <f>IF(B111&lt;&gt;"",IF(MONTH(E111)=MONTH($F$13),SUMIF($C$22:C501,"="&amp;(C111-1),$G$22:G501),0)*S111,"")</f>
        <v>0</v>
      </c>
      <c r="Y111" s="73">
        <f>IF(B111&lt;&gt;"",SUM($X$22:X111),"")</f>
        <v>8530.4639999999999</v>
      </c>
      <c r="Z111" s="73">
        <f t="shared" si="86"/>
        <v>32.018272278233951</v>
      </c>
      <c r="AA111" s="73">
        <f t="shared" si="75"/>
        <v>6.0834717328644512</v>
      </c>
      <c r="AB111" s="73">
        <f t="shared" si="76"/>
        <v>1100.952484015552</v>
      </c>
      <c r="AC111" s="73">
        <f t="shared" si="77"/>
        <v>9631.4164840155536</v>
      </c>
      <c r="AD111" s="73">
        <f>IFERROR($U111*(1-$V111)+SUM($W$22:$W111)+$AB111,"")</f>
        <v>58698.449164050522</v>
      </c>
      <c r="AE111" s="73" t="b">
        <f t="shared" si="78"/>
        <v>0</v>
      </c>
      <c r="AF111" s="73">
        <f>IF(AND(AE111=TRUE,D111&gt;=65),$U111*(1-10%)+SUM($W$22:$W111)+$AB111,AD111)</f>
        <v>58698.449164050522</v>
      </c>
      <c r="AG111" s="73">
        <f t="shared" si="61"/>
        <v>196.40168386516834</v>
      </c>
      <c r="AH111" s="73">
        <f t="shared" si="62"/>
        <v>8937.7068434156554</v>
      </c>
      <c r="AI111" s="73">
        <f t="shared" si="63"/>
        <v>59116.906843415658</v>
      </c>
      <c r="AJ111" s="73">
        <f t="shared" si="64"/>
        <v>57418.742543166685</v>
      </c>
      <c r="AK111" s="73" t="b">
        <f t="shared" si="79"/>
        <v>0</v>
      </c>
      <c r="AL111" s="73">
        <f t="shared" si="65"/>
        <v>57418.742543166685</v>
      </c>
      <c r="AM111" s="73">
        <f t="shared" si="87"/>
        <v>190.38513306254424</v>
      </c>
      <c r="AN111" s="73">
        <f t="shared" si="80"/>
        <v>36.17317528188341</v>
      </c>
      <c r="AO111" s="73">
        <f t="shared" si="81"/>
        <v>7090.5518765439338</v>
      </c>
      <c r="AP111" s="73">
        <f t="shared" si="82"/>
        <v>57269.751876543938</v>
      </c>
    </row>
    <row r="112" spans="1:42" s="31" customFormat="1" x14ac:dyDescent="0.6">
      <c r="A112" s="70">
        <f t="shared" si="66"/>
        <v>91</v>
      </c>
      <c r="B112" s="70" t="str">
        <f>IF(E112&lt;=$F$9,VLOOKUP(KALKULATOR!A112,Robocze!$B$23:$C$102,2),"")</f>
        <v>8 rok</v>
      </c>
      <c r="C112" s="70">
        <f t="shared" si="69"/>
        <v>2028</v>
      </c>
      <c r="D112" s="71">
        <f t="shared" si="83"/>
        <v>47.583333333333549</v>
      </c>
      <c r="E112" s="77">
        <f t="shared" si="84"/>
        <v>46905</v>
      </c>
      <c r="F112" s="72">
        <f t="shared" si="70"/>
        <v>46934</v>
      </c>
      <c r="G112" s="73">
        <f>IFERROR(IF(AND(F112&lt;=$F$9,$F$5=Robocze!$B$4,$E112&lt;=$F$9,MONTH($F$8)=MONTH(E112)),$F$4,0)+IF(AND(F112&lt;=$F$9,$F$5=Robocze!$B$3,E112&lt;=$F$9),KALKULATOR!$F$4/12,0),"")</f>
        <v>0</v>
      </c>
      <c r="H112" s="73">
        <f t="shared" si="71"/>
        <v>50179.200000000004</v>
      </c>
      <c r="I112" s="74">
        <f t="shared" si="67"/>
        <v>0.04</v>
      </c>
      <c r="J112" s="73">
        <f t="shared" si="53"/>
        <v>0</v>
      </c>
      <c r="K112" s="75" t="str">
        <f t="shared" si="54"/>
        <v/>
      </c>
      <c r="L112" s="73">
        <f t="shared" si="55"/>
        <v>50179.200000000004</v>
      </c>
      <c r="M112" s="73">
        <f t="shared" si="56"/>
        <v>58888.010764157487</v>
      </c>
      <c r="N112" s="73">
        <f t="shared" si="57"/>
        <v>58888.010764157487</v>
      </c>
      <c r="O112" s="73">
        <f t="shared" si="58"/>
        <v>57578.358191643907</v>
      </c>
      <c r="P112" s="73">
        <f t="shared" si="59"/>
        <v>57578.358191643907</v>
      </c>
      <c r="Q112" s="73">
        <f t="shared" si="60"/>
        <v>57424.380206610607</v>
      </c>
      <c r="R112" s="73"/>
      <c r="S112" s="76">
        <f t="shared" si="68"/>
        <v>0.17</v>
      </c>
      <c r="T112" s="73">
        <f t="shared" si="85"/>
        <v>197.05635614471879</v>
      </c>
      <c r="U112" s="73">
        <f t="shared" si="72"/>
        <v>59313.963199560356</v>
      </c>
      <c r="V112" s="76">
        <f t="shared" si="73"/>
        <v>0.17</v>
      </c>
      <c r="W112" s="73">
        <f t="shared" si="74"/>
        <v>0</v>
      </c>
      <c r="X112" s="73">
        <f>IF(B112&lt;&gt;"",IF(MONTH(E112)=MONTH($F$13),SUMIF($C$22:C501,"="&amp;(C112-1),$G$22:G501),0)*S112,"")</f>
        <v>0</v>
      </c>
      <c r="Y112" s="73">
        <f>IF(B112&lt;&gt;"",SUM($X$22:X112),"")</f>
        <v>8530.4639999999999</v>
      </c>
      <c r="Z112" s="73">
        <f t="shared" si="86"/>
        <v>32.10472161338518</v>
      </c>
      <c r="AA112" s="73">
        <f t="shared" si="75"/>
        <v>6.0998971065431844</v>
      </c>
      <c r="AB112" s="73">
        <f t="shared" si="76"/>
        <v>1126.957308522394</v>
      </c>
      <c r="AC112" s="73">
        <f t="shared" si="77"/>
        <v>9657.4213085223946</v>
      </c>
      <c r="AD112" s="73">
        <f>IFERROR($U112*(1-$V112)+SUM($W$22:$W112)+$AB112,"")</f>
        <v>58888.010764157487</v>
      </c>
      <c r="AE112" s="73" t="b">
        <f t="shared" si="78"/>
        <v>0</v>
      </c>
      <c r="AF112" s="73">
        <f>IF(AND(AE112=TRUE,D112&gt;=65),$U112*(1-10%)+SUM($W$22:$W112)+$AB112,AD112)</f>
        <v>58888.010764157487</v>
      </c>
      <c r="AG112" s="73">
        <f t="shared" si="61"/>
        <v>197.05635614471885</v>
      </c>
      <c r="AH112" s="73">
        <f t="shared" si="62"/>
        <v>9134.7631995603733</v>
      </c>
      <c r="AI112" s="73">
        <f t="shared" si="63"/>
        <v>59313.963199560378</v>
      </c>
      <c r="AJ112" s="73">
        <f t="shared" si="64"/>
        <v>57578.358191643907</v>
      </c>
      <c r="AK112" s="73" t="b">
        <f t="shared" si="79"/>
        <v>0</v>
      </c>
      <c r="AL112" s="73">
        <f t="shared" si="65"/>
        <v>57578.358191643907</v>
      </c>
      <c r="AM112" s="73">
        <f t="shared" si="87"/>
        <v>190.89917292181315</v>
      </c>
      <c r="AN112" s="73">
        <f t="shared" si="80"/>
        <v>36.270842855144501</v>
      </c>
      <c r="AO112" s="73">
        <f t="shared" si="81"/>
        <v>7245.1802066106029</v>
      </c>
      <c r="AP112" s="73">
        <f t="shared" si="82"/>
        <v>57424.380206610607</v>
      </c>
    </row>
    <row r="113" spans="1:42" s="31" customFormat="1" x14ac:dyDescent="0.6">
      <c r="A113" s="70">
        <f t="shared" si="66"/>
        <v>92</v>
      </c>
      <c r="B113" s="70" t="str">
        <f>IF(E113&lt;=$F$9,VLOOKUP(KALKULATOR!A113,Robocze!$B$23:$C$102,2),"")</f>
        <v>8 rok</v>
      </c>
      <c r="C113" s="70">
        <f t="shared" si="69"/>
        <v>2028</v>
      </c>
      <c r="D113" s="71">
        <f t="shared" si="83"/>
        <v>47.666666666666885</v>
      </c>
      <c r="E113" s="77">
        <f t="shared" si="84"/>
        <v>46935</v>
      </c>
      <c r="F113" s="72">
        <f t="shared" si="70"/>
        <v>46965</v>
      </c>
      <c r="G113" s="73">
        <f>IFERROR(IF(AND(F113&lt;=$F$9,$F$5=Robocze!$B$4,$E113&lt;=$F$9,MONTH($F$8)=MONTH(E113)),$F$4,0)+IF(AND(F113&lt;=$F$9,$F$5=Robocze!$B$3,E113&lt;=$F$9),KALKULATOR!$F$4/12,0),"")</f>
        <v>0</v>
      </c>
      <c r="H113" s="73">
        <f t="shared" si="71"/>
        <v>50179.200000000004</v>
      </c>
      <c r="I113" s="74">
        <f t="shared" si="67"/>
        <v>0.04</v>
      </c>
      <c r="J113" s="73">
        <f t="shared" si="53"/>
        <v>0</v>
      </c>
      <c r="K113" s="75" t="str">
        <f t="shared" si="54"/>
        <v/>
      </c>
      <c r="L113" s="73">
        <f t="shared" si="55"/>
        <v>50179.200000000004</v>
      </c>
      <c r="M113" s="73">
        <f t="shared" si="56"/>
        <v>59078.187766542615</v>
      </c>
      <c r="N113" s="73">
        <f t="shared" si="57"/>
        <v>59078.187766542615</v>
      </c>
      <c r="O113" s="73">
        <f t="shared" si="58"/>
        <v>57738.505892282716</v>
      </c>
      <c r="P113" s="73">
        <f t="shared" si="59"/>
        <v>57738.505892282716</v>
      </c>
      <c r="Q113" s="73">
        <f t="shared" si="60"/>
        <v>57579.426033168456</v>
      </c>
      <c r="R113" s="73"/>
      <c r="S113" s="76">
        <f t="shared" si="68"/>
        <v>0.17</v>
      </c>
      <c r="T113" s="73">
        <f t="shared" si="85"/>
        <v>197.71321066520119</v>
      </c>
      <c r="U113" s="73">
        <f t="shared" si="72"/>
        <v>59511.676410225555</v>
      </c>
      <c r="V113" s="76">
        <f t="shared" si="73"/>
        <v>0.17</v>
      </c>
      <c r="W113" s="73">
        <f t="shared" si="74"/>
        <v>0</v>
      </c>
      <c r="X113" s="73">
        <f>IF(B113&lt;&gt;"",IF(MONTH(E113)=MONTH($F$13),SUMIF($C$22:C501,"="&amp;(C113-1),$G$22:G501),0)*S113,"")</f>
        <v>0</v>
      </c>
      <c r="Y113" s="73">
        <f>IF(B113&lt;&gt;"",SUM($X$22:X113),"")</f>
        <v>8530.4639999999999</v>
      </c>
      <c r="Z113" s="73">
        <f t="shared" si="86"/>
        <v>32.191404361741313</v>
      </c>
      <c r="AA113" s="73">
        <f t="shared" si="75"/>
        <v>6.1163668287308495</v>
      </c>
      <c r="AB113" s="73">
        <f t="shared" si="76"/>
        <v>1153.0323460554043</v>
      </c>
      <c r="AC113" s="73">
        <f t="shared" si="77"/>
        <v>9683.4963460554063</v>
      </c>
      <c r="AD113" s="73">
        <f>IFERROR($U113*(1-$V113)+SUM($W$22:$W113)+$AB113,"")</f>
        <v>59078.187766542615</v>
      </c>
      <c r="AE113" s="73" t="b">
        <f t="shared" si="78"/>
        <v>0</v>
      </c>
      <c r="AF113" s="73">
        <f>IF(AND(AE113=TRUE,D113&gt;=65),$U113*(1-10%)+SUM($W$22:$W113)+$AB113,AD113)</f>
        <v>59078.187766542615</v>
      </c>
      <c r="AG113" s="73">
        <f t="shared" si="61"/>
        <v>197.71321066520125</v>
      </c>
      <c r="AH113" s="73">
        <f t="shared" si="62"/>
        <v>9332.476410225574</v>
      </c>
      <c r="AI113" s="73">
        <f t="shared" si="63"/>
        <v>59511.676410225577</v>
      </c>
      <c r="AJ113" s="73">
        <f t="shared" si="64"/>
        <v>57738.505892282716</v>
      </c>
      <c r="AK113" s="73" t="b">
        <f t="shared" si="79"/>
        <v>0</v>
      </c>
      <c r="AL113" s="73">
        <f t="shared" si="65"/>
        <v>57738.505892282716</v>
      </c>
      <c r="AM113" s="73">
        <f t="shared" si="87"/>
        <v>191.41460068870205</v>
      </c>
      <c r="AN113" s="73">
        <f t="shared" si="80"/>
        <v>36.368774130853389</v>
      </c>
      <c r="AO113" s="73">
        <f t="shared" si="81"/>
        <v>7400.226033168452</v>
      </c>
      <c r="AP113" s="73">
        <f t="shared" si="82"/>
        <v>57579.426033168456</v>
      </c>
    </row>
    <row r="114" spans="1:42" s="31" customFormat="1" x14ac:dyDescent="0.6">
      <c r="A114" s="70">
        <f t="shared" si="66"/>
        <v>93</v>
      </c>
      <c r="B114" s="70" t="str">
        <f>IF(E114&lt;=$F$9,VLOOKUP(KALKULATOR!A114,Robocze!$B$23:$C$102,2),"")</f>
        <v>8 rok</v>
      </c>
      <c r="C114" s="70">
        <f t="shared" si="69"/>
        <v>2028</v>
      </c>
      <c r="D114" s="71">
        <f t="shared" si="83"/>
        <v>47.75000000000022</v>
      </c>
      <c r="E114" s="77">
        <f t="shared" si="84"/>
        <v>46966</v>
      </c>
      <c r="F114" s="72">
        <f t="shared" si="70"/>
        <v>46996</v>
      </c>
      <c r="G114" s="73">
        <f>IFERROR(IF(AND(F114&lt;=$F$9,$F$5=Robocze!$B$4,$E114&lt;=$F$9,MONTH($F$8)=MONTH(E114)),$F$4,0)+IF(AND(F114&lt;=$F$9,$F$5=Robocze!$B$3,E114&lt;=$F$9),KALKULATOR!$F$4/12,0),"")</f>
        <v>0</v>
      </c>
      <c r="H114" s="73">
        <f t="shared" si="71"/>
        <v>50179.200000000004</v>
      </c>
      <c r="I114" s="74">
        <f t="shared" si="67"/>
        <v>0.04</v>
      </c>
      <c r="J114" s="73">
        <f t="shared" si="53"/>
        <v>0</v>
      </c>
      <c r="K114" s="75" t="str">
        <f t="shared" si="54"/>
        <v/>
      </c>
      <c r="L114" s="73">
        <f t="shared" si="55"/>
        <v>50179.200000000004</v>
      </c>
      <c r="M114" s="73">
        <f t="shared" si="56"/>
        <v>59268.982178078586</v>
      </c>
      <c r="N114" s="73">
        <f t="shared" si="57"/>
        <v>59268.982178078586</v>
      </c>
      <c r="O114" s="73">
        <f t="shared" si="58"/>
        <v>57899.187418590329</v>
      </c>
      <c r="P114" s="73">
        <f t="shared" si="59"/>
        <v>57899.187418590329</v>
      </c>
      <c r="Q114" s="73">
        <f t="shared" si="60"/>
        <v>57734.89048345801</v>
      </c>
      <c r="R114" s="73"/>
      <c r="S114" s="76">
        <f t="shared" si="68"/>
        <v>0.17</v>
      </c>
      <c r="T114" s="73">
        <f t="shared" si="85"/>
        <v>198.37225470075185</v>
      </c>
      <c r="U114" s="73">
        <f t="shared" si="72"/>
        <v>59710.048664926304</v>
      </c>
      <c r="V114" s="76">
        <f t="shared" si="73"/>
        <v>0.17</v>
      </c>
      <c r="W114" s="73">
        <f t="shared" si="74"/>
        <v>0</v>
      </c>
      <c r="X114" s="73">
        <f>IF(B114&lt;&gt;"",IF(MONTH(E114)=MONTH($F$13),SUMIF($C$22:C501,"="&amp;(C114-1),$G$22:G501),0)*S114,"")</f>
        <v>0</v>
      </c>
      <c r="Y114" s="73">
        <f>IF(B114&lt;&gt;"",SUM($X$22:X114),"")</f>
        <v>8530.4639999999999</v>
      </c>
      <c r="Z114" s="73">
        <f t="shared" si="86"/>
        <v>32.278321153518021</v>
      </c>
      <c r="AA114" s="73">
        <f t="shared" si="75"/>
        <v>6.1328810191684244</v>
      </c>
      <c r="AB114" s="73">
        <f t="shared" si="76"/>
        <v>1179.1777861897538</v>
      </c>
      <c r="AC114" s="73">
        <f t="shared" si="77"/>
        <v>9709.6417861897571</v>
      </c>
      <c r="AD114" s="73">
        <f>IFERROR($U114*(1-$V114)+SUM($W$22:$W114)+$AB114,"")</f>
        <v>59268.982178078586</v>
      </c>
      <c r="AE114" s="73" t="b">
        <f t="shared" si="78"/>
        <v>0</v>
      </c>
      <c r="AF114" s="73">
        <f>IF(AND(AE114=TRUE,D114&gt;=65),$U114*(1-10%)+SUM($W$22:$W114)+$AB114,AD114)</f>
        <v>59268.982178078586</v>
      </c>
      <c r="AG114" s="73">
        <f t="shared" si="61"/>
        <v>198.37225470075191</v>
      </c>
      <c r="AH114" s="73">
        <f t="shared" si="62"/>
        <v>9530.848664926325</v>
      </c>
      <c r="AI114" s="73">
        <f t="shared" si="63"/>
        <v>59710.048664926333</v>
      </c>
      <c r="AJ114" s="73">
        <f t="shared" si="64"/>
        <v>57899.187418590329</v>
      </c>
      <c r="AK114" s="73" t="b">
        <f t="shared" si="79"/>
        <v>0</v>
      </c>
      <c r="AL114" s="73">
        <f t="shared" si="65"/>
        <v>57899.187418590329</v>
      </c>
      <c r="AM114" s="73">
        <f t="shared" si="87"/>
        <v>191.9314201105615</v>
      </c>
      <c r="AN114" s="73">
        <f t="shared" si="80"/>
        <v>36.466969821006685</v>
      </c>
      <c r="AO114" s="73">
        <f t="shared" si="81"/>
        <v>7555.6904834580055</v>
      </c>
      <c r="AP114" s="73">
        <f t="shared" si="82"/>
        <v>57734.89048345801</v>
      </c>
    </row>
    <row r="115" spans="1:42" s="31" customFormat="1" x14ac:dyDescent="0.6">
      <c r="A115" s="70">
        <f t="shared" si="66"/>
        <v>94</v>
      </c>
      <c r="B115" s="70" t="str">
        <f>IF(E115&lt;=$F$9,VLOOKUP(KALKULATOR!A115,Robocze!$B$23:$C$102,2),"")</f>
        <v>8 rok</v>
      </c>
      <c r="C115" s="70">
        <f t="shared" si="69"/>
        <v>2028</v>
      </c>
      <c r="D115" s="71">
        <f t="shared" si="83"/>
        <v>47.833333333333556</v>
      </c>
      <c r="E115" s="77">
        <f t="shared" si="84"/>
        <v>46997</v>
      </c>
      <c r="F115" s="72">
        <f t="shared" si="70"/>
        <v>47026</v>
      </c>
      <c r="G115" s="73">
        <f>IFERROR(IF(AND(F115&lt;=$F$9,$F$5=Robocze!$B$4,$E115&lt;=$F$9,MONTH($F$8)=MONTH(E115)),$F$4,0)+IF(AND(F115&lt;=$F$9,$F$5=Robocze!$B$3,E115&lt;=$F$9),KALKULATOR!$F$4/12,0),"")</f>
        <v>0</v>
      </c>
      <c r="H115" s="73">
        <f t="shared" si="71"/>
        <v>50179.200000000004</v>
      </c>
      <c r="I115" s="74">
        <f t="shared" si="67"/>
        <v>0.04</v>
      </c>
      <c r="J115" s="73">
        <f t="shared" si="53"/>
        <v>0</v>
      </c>
      <c r="K115" s="75" t="str">
        <f t="shared" si="54"/>
        <v/>
      </c>
      <c r="L115" s="73">
        <f t="shared" si="55"/>
        <v>50179.200000000004</v>
      </c>
      <c r="M115" s="73">
        <f t="shared" si="56"/>
        <v>59460.396012207595</v>
      </c>
      <c r="N115" s="73">
        <f t="shared" si="57"/>
        <v>59460.396012207595</v>
      </c>
      <c r="O115" s="73">
        <f t="shared" si="58"/>
        <v>58060.404549985629</v>
      </c>
      <c r="P115" s="73">
        <f t="shared" si="59"/>
        <v>58060.404549985629</v>
      </c>
      <c r="Q115" s="73">
        <f t="shared" si="60"/>
        <v>57890.774687763347</v>
      </c>
      <c r="R115" s="73"/>
      <c r="S115" s="76">
        <f t="shared" si="68"/>
        <v>0.17</v>
      </c>
      <c r="T115" s="73">
        <f t="shared" si="85"/>
        <v>199.03349554975435</v>
      </c>
      <c r="U115" s="73">
        <f t="shared" si="72"/>
        <v>59909.082160476057</v>
      </c>
      <c r="V115" s="76">
        <f t="shared" si="73"/>
        <v>0.17</v>
      </c>
      <c r="W115" s="73">
        <f t="shared" si="74"/>
        <v>0</v>
      </c>
      <c r="X115" s="73">
        <f>IF(B115&lt;&gt;"",IF(MONTH(E115)=MONTH($F$13),SUMIF($C$22:C501,"="&amp;(C115-1),$G$22:G501),0)*S115,"")</f>
        <v>0</v>
      </c>
      <c r="Y115" s="73">
        <f>IF(B115&lt;&gt;"",SUM($X$22:X115),"")</f>
        <v>8530.4639999999999</v>
      </c>
      <c r="Z115" s="73">
        <f t="shared" si="86"/>
        <v>32.365472620632524</v>
      </c>
      <c r="AA115" s="73">
        <f t="shared" si="75"/>
        <v>6.1494397979201798</v>
      </c>
      <c r="AB115" s="73">
        <f t="shared" si="76"/>
        <v>1205.3938190124661</v>
      </c>
      <c r="AC115" s="73">
        <f t="shared" si="77"/>
        <v>9735.8578190124699</v>
      </c>
      <c r="AD115" s="73">
        <f>IFERROR($U115*(1-$V115)+SUM($W$22:$W115)+$AB115,"")</f>
        <v>59460.396012207595</v>
      </c>
      <c r="AE115" s="73" t="b">
        <f t="shared" si="78"/>
        <v>0</v>
      </c>
      <c r="AF115" s="73">
        <f>IF(AND(AE115=TRUE,D115&gt;=65),$U115*(1-10%)+SUM($W$22:$W115)+$AB115,AD115)</f>
        <v>59460.396012207595</v>
      </c>
      <c r="AG115" s="73">
        <f t="shared" si="61"/>
        <v>199.03349554975443</v>
      </c>
      <c r="AH115" s="73">
        <f t="shared" si="62"/>
        <v>9729.8821604760797</v>
      </c>
      <c r="AI115" s="73">
        <f t="shared" si="63"/>
        <v>59909.082160476086</v>
      </c>
      <c r="AJ115" s="73">
        <f t="shared" si="64"/>
        <v>58060.404549985629</v>
      </c>
      <c r="AK115" s="73" t="b">
        <f t="shared" si="79"/>
        <v>0</v>
      </c>
      <c r="AL115" s="73">
        <f t="shared" si="65"/>
        <v>58060.404549985629</v>
      </c>
      <c r="AM115" s="73">
        <f t="shared" si="87"/>
        <v>192.44963494486004</v>
      </c>
      <c r="AN115" s="73">
        <f t="shared" si="80"/>
        <v>36.565430639523406</v>
      </c>
      <c r="AO115" s="73">
        <f t="shared" si="81"/>
        <v>7711.5746877633428</v>
      </c>
      <c r="AP115" s="73">
        <f t="shared" si="82"/>
        <v>57890.774687763347</v>
      </c>
    </row>
    <row r="116" spans="1:42" s="31" customFormat="1" x14ac:dyDescent="0.6">
      <c r="A116" s="70">
        <f t="shared" si="66"/>
        <v>95</v>
      </c>
      <c r="B116" s="70" t="str">
        <f>IF(E116&lt;=$F$9,VLOOKUP(KALKULATOR!A116,Robocze!$B$23:$C$102,2),"")</f>
        <v>8 rok</v>
      </c>
      <c r="C116" s="70">
        <f t="shared" si="69"/>
        <v>2028</v>
      </c>
      <c r="D116" s="71">
        <f t="shared" si="83"/>
        <v>47.916666666666892</v>
      </c>
      <c r="E116" s="77">
        <f t="shared" si="84"/>
        <v>47027</v>
      </c>
      <c r="F116" s="72">
        <f t="shared" si="70"/>
        <v>47057</v>
      </c>
      <c r="G116" s="73">
        <f>IFERROR(IF(AND(F116&lt;=$F$9,$F$5=Robocze!$B$4,$E116&lt;=$F$9,MONTH($F$8)=MONTH(E116)),$F$4,0)+IF(AND(F116&lt;=$F$9,$F$5=Robocze!$B$3,E116&lt;=$F$9),KALKULATOR!$F$4/12,0),"")</f>
        <v>0</v>
      </c>
      <c r="H116" s="73">
        <f t="shared" si="71"/>
        <v>50179.200000000004</v>
      </c>
      <c r="I116" s="74">
        <f t="shared" si="67"/>
        <v>0.04</v>
      </c>
      <c r="J116" s="73">
        <f t="shared" si="53"/>
        <v>0</v>
      </c>
      <c r="K116" s="75" t="str">
        <f t="shared" si="54"/>
        <v/>
      </c>
      <c r="L116" s="73">
        <f t="shared" si="55"/>
        <v>50179.200000000004</v>
      </c>
      <c r="M116" s="73">
        <f t="shared" si="56"/>
        <v>59652.431288962907</v>
      </c>
      <c r="N116" s="73">
        <f t="shared" si="57"/>
        <v>59652.431288962907</v>
      </c>
      <c r="O116" s="73">
        <f t="shared" si="58"/>
        <v>58222.159071818918</v>
      </c>
      <c r="P116" s="73">
        <f t="shared" si="59"/>
        <v>58222.159071818918</v>
      </c>
      <c r="Q116" s="73">
        <f t="shared" si="60"/>
        <v>58047.07977942031</v>
      </c>
      <c r="R116" s="73"/>
      <c r="S116" s="76">
        <f t="shared" si="68"/>
        <v>0.17</v>
      </c>
      <c r="T116" s="73">
        <f t="shared" si="85"/>
        <v>199.6969405349202</v>
      </c>
      <c r="U116" s="73">
        <f t="shared" si="72"/>
        <v>60108.77910101098</v>
      </c>
      <c r="V116" s="76">
        <f t="shared" si="73"/>
        <v>0.17</v>
      </c>
      <c r="W116" s="73">
        <f t="shared" si="74"/>
        <v>0</v>
      </c>
      <c r="X116" s="73">
        <f>IF(B116&lt;&gt;"",IF(MONTH(E116)=MONTH($F$13),SUMIF($C$22:C501,"="&amp;(C116-1),$G$22:G501),0)*S116,"")</f>
        <v>0</v>
      </c>
      <c r="Y116" s="73">
        <f>IF(B116&lt;&gt;"",SUM($X$22:X116),"")</f>
        <v>8530.4639999999999</v>
      </c>
      <c r="Z116" s="73">
        <f t="shared" si="86"/>
        <v>32.452859396708234</v>
      </c>
      <c r="AA116" s="73">
        <f t="shared" si="75"/>
        <v>6.166043285374565</v>
      </c>
      <c r="AB116" s="73">
        <f t="shared" si="76"/>
        <v>1231.6806351237997</v>
      </c>
      <c r="AC116" s="73">
        <f t="shared" si="77"/>
        <v>9762.1446351238028</v>
      </c>
      <c r="AD116" s="73">
        <f>IFERROR($U116*(1-$V116)+SUM($W$22:$W116)+$AB116,"")</f>
        <v>59652.431288962907</v>
      </c>
      <c r="AE116" s="73" t="b">
        <f t="shared" si="78"/>
        <v>0</v>
      </c>
      <c r="AF116" s="73">
        <f>IF(AND(AE116=TRUE,D116&gt;=65),$U116*(1-10%)+SUM($W$22:$W116)+$AB116,AD116)</f>
        <v>59652.431288962907</v>
      </c>
      <c r="AG116" s="73">
        <f t="shared" si="61"/>
        <v>199.69694053492029</v>
      </c>
      <c r="AH116" s="73">
        <f t="shared" si="62"/>
        <v>9929.5791010110006</v>
      </c>
      <c r="AI116" s="73">
        <f t="shared" si="63"/>
        <v>60108.779101011009</v>
      </c>
      <c r="AJ116" s="73">
        <f t="shared" si="64"/>
        <v>58222.159071818918</v>
      </c>
      <c r="AK116" s="73" t="b">
        <f t="shared" si="79"/>
        <v>0</v>
      </c>
      <c r="AL116" s="73">
        <f t="shared" si="65"/>
        <v>58222.159071818918</v>
      </c>
      <c r="AM116" s="73">
        <f t="shared" si="87"/>
        <v>192.96924895921117</v>
      </c>
      <c r="AN116" s="73">
        <f t="shared" si="80"/>
        <v>36.664157302250125</v>
      </c>
      <c r="AO116" s="73">
        <f t="shared" si="81"/>
        <v>7867.8797794203056</v>
      </c>
      <c r="AP116" s="73">
        <f t="shared" si="82"/>
        <v>58047.07977942031</v>
      </c>
    </row>
    <row r="117" spans="1:42" s="69" customFormat="1" x14ac:dyDescent="0.6">
      <c r="A117" s="78">
        <f t="shared" si="66"/>
        <v>96</v>
      </c>
      <c r="B117" s="78" t="str">
        <f>IF(E117&lt;=$F$9,VLOOKUP(KALKULATOR!A117,Robocze!$B$23:$C$102,2),"")</f>
        <v>8 rok</v>
      </c>
      <c r="C117" s="78">
        <f t="shared" si="69"/>
        <v>2028</v>
      </c>
      <c r="D117" s="79">
        <f t="shared" si="83"/>
        <v>48.000000000000227</v>
      </c>
      <c r="E117" s="80">
        <f t="shared" si="84"/>
        <v>47058</v>
      </c>
      <c r="F117" s="81">
        <f t="shared" si="70"/>
        <v>47087</v>
      </c>
      <c r="G117" s="82">
        <f>IFERROR(IF(AND(F117&lt;=$F$9,$F$5=Robocze!$B$4,$E117&lt;=$F$9,MONTH($F$8)=MONTH(E117)),$F$4,0)+IF(AND(F117&lt;=$F$9,$F$5=Robocze!$B$3,E117&lt;=$F$9),KALKULATOR!$F$4/12,0),"")</f>
        <v>0</v>
      </c>
      <c r="H117" s="82">
        <f t="shared" si="71"/>
        <v>50179.200000000004</v>
      </c>
      <c r="I117" s="83">
        <f t="shared" si="67"/>
        <v>0.04</v>
      </c>
      <c r="J117" s="82">
        <f t="shared" si="53"/>
        <v>0</v>
      </c>
      <c r="K117" s="84">
        <f t="shared" si="54"/>
        <v>8</v>
      </c>
      <c r="L117" s="82">
        <f t="shared" si="55"/>
        <v>50179.200000000004</v>
      </c>
      <c r="M117" s="82">
        <f t="shared" si="56"/>
        <v>59845.090034990535</v>
      </c>
      <c r="N117" s="82">
        <f t="shared" si="57"/>
        <v>59845.090034990535</v>
      </c>
      <c r="O117" s="82">
        <f t="shared" si="58"/>
        <v>58384.452775391648</v>
      </c>
      <c r="P117" s="82">
        <f t="shared" si="59"/>
        <v>58384.452775391648</v>
      </c>
      <c r="Q117" s="82">
        <f t="shared" si="60"/>
        <v>58203.806894824746</v>
      </c>
      <c r="R117" s="82"/>
      <c r="S117" s="85">
        <f t="shared" si="68"/>
        <v>0.17</v>
      </c>
      <c r="T117" s="82">
        <f t="shared" si="85"/>
        <v>200.36259700336996</v>
      </c>
      <c r="U117" s="82">
        <f t="shared" si="72"/>
        <v>60309.141698014348</v>
      </c>
      <c r="V117" s="85">
        <f t="shared" si="73"/>
        <v>0.17</v>
      </c>
      <c r="W117" s="82">
        <f t="shared" si="74"/>
        <v>0</v>
      </c>
      <c r="X117" s="82">
        <f>IF(B117&lt;&gt;"",IF(MONTH(E117)=MONTH($F$13),SUMIF($C$22:C501,"="&amp;(C117-1),$G$22:G501),0)*S117,"")</f>
        <v>0</v>
      </c>
      <c r="Y117" s="82">
        <f>IF(B117&lt;&gt;"",SUM($X$22:X117),"")</f>
        <v>8530.4639999999999</v>
      </c>
      <c r="Z117" s="82">
        <f t="shared" si="86"/>
        <v>32.540482117079343</v>
      </c>
      <c r="AA117" s="82">
        <f t="shared" si="75"/>
        <v>6.1826916022450753</v>
      </c>
      <c r="AB117" s="82">
        <f t="shared" si="76"/>
        <v>1258.038425638634</v>
      </c>
      <c r="AC117" s="82">
        <f t="shared" si="77"/>
        <v>9788.5024256386369</v>
      </c>
      <c r="AD117" s="82">
        <f>IFERROR($U117*(1-$V117)+SUM($W$22:$W117)+$AB117,"")</f>
        <v>59845.090034990535</v>
      </c>
      <c r="AE117" s="73" t="b">
        <f t="shared" si="78"/>
        <v>0</v>
      </c>
      <c r="AF117" s="82">
        <f>IF(AND(AE117=TRUE,D117&gt;=65),$U117*(1-10%)+SUM($W$22:$W117)+$AB117,AD117)</f>
        <v>59845.090034990535</v>
      </c>
      <c r="AG117" s="82">
        <f t="shared" si="61"/>
        <v>200.36259700337004</v>
      </c>
      <c r="AH117" s="82">
        <f t="shared" si="62"/>
        <v>10129.941698014371</v>
      </c>
      <c r="AI117" s="82">
        <f t="shared" si="63"/>
        <v>60309.141698014377</v>
      </c>
      <c r="AJ117" s="82">
        <f t="shared" si="64"/>
        <v>58384.452775391648</v>
      </c>
      <c r="AK117" s="73" t="b">
        <f t="shared" si="79"/>
        <v>0</v>
      </c>
      <c r="AL117" s="82">
        <f t="shared" si="65"/>
        <v>58384.452775391648</v>
      </c>
      <c r="AM117" s="82">
        <f t="shared" si="87"/>
        <v>193.49026593140104</v>
      </c>
      <c r="AN117" s="82">
        <f t="shared" si="80"/>
        <v>36.7631505269662</v>
      </c>
      <c r="AO117" s="82">
        <f t="shared" si="81"/>
        <v>8024.6068948247412</v>
      </c>
      <c r="AP117" s="82">
        <f t="shared" si="82"/>
        <v>58203.806894824746</v>
      </c>
    </row>
    <row r="118" spans="1:42" s="31" customFormat="1" x14ac:dyDescent="0.6">
      <c r="A118" s="70">
        <f t="shared" si="66"/>
        <v>97</v>
      </c>
      <c r="B118" s="70" t="str">
        <f>IF(E118&lt;=$F$9,VLOOKUP(KALKULATOR!A118,Robocze!$B$23:$C$102,2),"")</f>
        <v>9 rok</v>
      </c>
      <c r="C118" s="70">
        <f t="shared" si="69"/>
        <v>2028</v>
      </c>
      <c r="D118" s="71">
        <f t="shared" si="83"/>
        <v>48.083333333333563</v>
      </c>
      <c r="E118" s="72">
        <f t="shared" si="84"/>
        <v>47088</v>
      </c>
      <c r="F118" s="72">
        <f t="shared" si="70"/>
        <v>47118</v>
      </c>
      <c r="G118" s="73">
        <f>IFERROR(IF(AND(F118&lt;=$F$9,$F$5=Robocze!$B$4,$E118&lt;=$F$9,MONTH($F$8)=MONTH(E118)),$F$4,0)+IF(AND(F118&lt;=$F$9,$F$5=Robocze!$B$3,E118&lt;=$F$9),KALKULATOR!$F$4/12,0),"")</f>
        <v>6272.4</v>
      </c>
      <c r="H118" s="73">
        <f t="shared" si="71"/>
        <v>56451.600000000006</v>
      </c>
      <c r="I118" s="74">
        <f t="shared" si="67"/>
        <v>0.04</v>
      </c>
      <c r="J118" s="73">
        <f t="shared" si="53"/>
        <v>0</v>
      </c>
      <c r="K118" s="75" t="str">
        <f t="shared" si="54"/>
        <v/>
      </c>
      <c r="L118" s="73">
        <f t="shared" si="55"/>
        <v>56451.600000000006</v>
      </c>
      <c r="M118" s="73">
        <f t="shared" si="56"/>
        <v>66328.127923570937</v>
      </c>
      <c r="N118" s="73">
        <f t="shared" si="57"/>
        <v>66328.127923570937</v>
      </c>
      <c r="O118" s="73">
        <f t="shared" si="58"/>
        <v>64836.622937976288</v>
      </c>
      <c r="P118" s="73">
        <f t="shared" si="59"/>
        <v>64836.622937976288</v>
      </c>
      <c r="Q118" s="73">
        <f t="shared" si="60"/>
        <v>64650.292653440774</v>
      </c>
      <c r="R118" s="73"/>
      <c r="S118" s="76">
        <f t="shared" si="68"/>
        <v>0.17</v>
      </c>
      <c r="T118" s="73">
        <f t="shared" si="85"/>
        <v>221.9384723267145</v>
      </c>
      <c r="U118" s="73">
        <f t="shared" si="72"/>
        <v>66803.480170341063</v>
      </c>
      <c r="V118" s="76">
        <f t="shared" si="73"/>
        <v>0.17</v>
      </c>
      <c r="W118" s="73">
        <f t="shared" si="74"/>
        <v>1066.308</v>
      </c>
      <c r="X118" s="73">
        <f>IF(B118&lt;&gt;"",IF(MONTH(E118)=MONTH($F$13),SUMIF($C$22:C501,"="&amp;(C118-1),$G$22:G501),0)*S118,"")</f>
        <v>0</v>
      </c>
      <c r="Y118" s="73">
        <f>IF(B118&lt;&gt;"",SUM($X$22:X118),"")</f>
        <v>8530.4639999999999</v>
      </c>
      <c r="Z118" s="73">
        <f t="shared" si="86"/>
        <v>32.628341418795458</v>
      </c>
      <c r="AA118" s="73">
        <f t="shared" si="75"/>
        <v>6.1993848695711371</v>
      </c>
      <c r="AB118" s="73">
        <f t="shared" si="76"/>
        <v>1284.4673821878582</v>
      </c>
      <c r="AC118" s="73">
        <f t="shared" si="77"/>
        <v>9814.9313821878604</v>
      </c>
      <c r="AD118" s="73">
        <f>IFERROR($U118*(1-$V118)+SUM($W$22:$W118)+$AB118,"")</f>
        <v>66328.127923570937</v>
      </c>
      <c r="AE118" s="73" t="b">
        <f t="shared" si="78"/>
        <v>0</v>
      </c>
      <c r="AF118" s="73">
        <f>IF(AND(AE118=TRUE,D118&gt;=65),$U118*(1-10%)+SUM($W$22:$W118)+$AB118,AD118)</f>
        <v>66328.127923570937</v>
      </c>
      <c r="AG118" s="73">
        <f t="shared" si="61"/>
        <v>221.93847232671462</v>
      </c>
      <c r="AH118" s="73">
        <f t="shared" si="62"/>
        <v>10351.880170341085</v>
      </c>
      <c r="AI118" s="73">
        <f t="shared" si="63"/>
        <v>66803.480170341092</v>
      </c>
      <c r="AJ118" s="73">
        <f t="shared" si="64"/>
        <v>64836.622937976288</v>
      </c>
      <c r="AK118" s="73" t="b">
        <f t="shared" si="79"/>
        <v>0</v>
      </c>
      <c r="AL118" s="73">
        <f t="shared" si="65"/>
        <v>64836.622937976288</v>
      </c>
      <c r="AM118" s="73">
        <f t="shared" si="87"/>
        <v>214.92068964941583</v>
      </c>
      <c r="AN118" s="73">
        <f t="shared" si="80"/>
        <v>40.834931033389012</v>
      </c>
      <c r="AO118" s="73">
        <f t="shared" si="81"/>
        <v>8198.6926534407685</v>
      </c>
      <c r="AP118" s="73">
        <f t="shared" si="82"/>
        <v>64650.292653440774</v>
      </c>
    </row>
    <row r="119" spans="1:42" s="31" customFormat="1" x14ac:dyDescent="0.6">
      <c r="A119" s="70">
        <f t="shared" si="66"/>
        <v>98</v>
      </c>
      <c r="B119" s="70" t="str">
        <f>IF(E119&lt;=$F$9,VLOOKUP(KALKULATOR!A119,Robocze!$B$23:$C$102,2),"")</f>
        <v>9 rok</v>
      </c>
      <c r="C119" s="70">
        <f t="shared" si="69"/>
        <v>2029</v>
      </c>
      <c r="D119" s="71">
        <f t="shared" si="83"/>
        <v>48.166666666666899</v>
      </c>
      <c r="E119" s="77">
        <f t="shared" si="84"/>
        <v>47119</v>
      </c>
      <c r="F119" s="72">
        <f t="shared" si="70"/>
        <v>47149</v>
      </c>
      <c r="G119" s="73">
        <f>IFERROR(IF(AND(F119&lt;=$F$9,$F$5=Robocze!$B$4,$E119&lt;=$F$9,MONTH($F$8)=MONTH(E119)),$F$4,0)+IF(AND(F119&lt;=$F$9,$F$5=Robocze!$B$3,E119&lt;=$F$9),KALKULATOR!$F$4/12,0),"")</f>
        <v>0</v>
      </c>
      <c r="H119" s="73">
        <f t="shared" si="71"/>
        <v>56451.600000000006</v>
      </c>
      <c r="I119" s="74">
        <f t="shared" si="67"/>
        <v>0.04</v>
      </c>
      <c r="J119" s="73">
        <f t="shared" si="53"/>
        <v>0</v>
      </c>
      <c r="K119" s="75" t="str">
        <f t="shared" si="54"/>
        <v/>
      </c>
      <c r="L119" s="73">
        <f t="shared" si="55"/>
        <v>56451.600000000006</v>
      </c>
      <c r="M119" s="73">
        <f t="shared" si="56"/>
        <v>66539.451200107447</v>
      </c>
      <c r="N119" s="73">
        <f t="shared" si="57"/>
        <v>66539.451200107447</v>
      </c>
      <c r="O119" s="73">
        <f t="shared" si="58"/>
        <v>65016.992334436211</v>
      </c>
      <c r="P119" s="73">
        <f t="shared" si="59"/>
        <v>65016.992334436211</v>
      </c>
      <c r="Q119" s="73">
        <f t="shared" si="60"/>
        <v>64824.848443605064</v>
      </c>
      <c r="R119" s="73"/>
      <c r="S119" s="76">
        <f t="shared" si="68"/>
        <v>0.17</v>
      </c>
      <c r="T119" s="73">
        <f t="shared" si="85"/>
        <v>222.67826723447021</v>
      </c>
      <c r="U119" s="73">
        <f t="shared" si="72"/>
        <v>67026.158437575534</v>
      </c>
      <c r="V119" s="76">
        <f t="shared" si="73"/>
        <v>0.17</v>
      </c>
      <c r="W119" s="73">
        <f t="shared" si="74"/>
        <v>0</v>
      </c>
      <c r="X119" s="73">
        <f>IF(B119&lt;&gt;"",IF(MONTH(E119)=MONTH($F$13),SUMIF($C$22:C501,"="&amp;(C119-1),$G$22:G501),0)*S119,"")</f>
        <v>0</v>
      </c>
      <c r="Y119" s="73">
        <f>IF(B119&lt;&gt;"",SUM($X$22:X119),"")</f>
        <v>8530.4639999999999</v>
      </c>
      <c r="Z119" s="73">
        <f t="shared" si="86"/>
        <v>32.7164379406262</v>
      </c>
      <c r="AA119" s="73">
        <f t="shared" si="75"/>
        <v>6.2161232087189777</v>
      </c>
      <c r="AB119" s="73">
        <f t="shared" si="76"/>
        <v>1310.9676969197656</v>
      </c>
      <c r="AC119" s="73">
        <f t="shared" si="77"/>
        <v>9841.431696919768</v>
      </c>
      <c r="AD119" s="73">
        <f>IFERROR($U119*(1-$V119)+SUM($W$22:$W119)+$AB119,"")</f>
        <v>66539.451200107447</v>
      </c>
      <c r="AE119" s="73" t="b">
        <f t="shared" si="78"/>
        <v>0</v>
      </c>
      <c r="AF119" s="73">
        <f>IF(AND(AE119=TRUE,D119&gt;=65),$U119*(1-10%)+SUM($W$22:$W119)+$AB119,AD119)</f>
        <v>66539.451200107447</v>
      </c>
      <c r="AG119" s="73">
        <f t="shared" si="61"/>
        <v>222.67826723447033</v>
      </c>
      <c r="AH119" s="73">
        <f t="shared" si="62"/>
        <v>10574.558437575555</v>
      </c>
      <c r="AI119" s="73">
        <f t="shared" si="63"/>
        <v>67026.158437575563</v>
      </c>
      <c r="AJ119" s="73">
        <f t="shared" si="64"/>
        <v>65016.992334436211</v>
      </c>
      <c r="AK119" s="73" t="b">
        <f t="shared" si="79"/>
        <v>0</v>
      </c>
      <c r="AL119" s="73">
        <f t="shared" si="65"/>
        <v>65016.992334436211</v>
      </c>
      <c r="AM119" s="73">
        <f t="shared" si="87"/>
        <v>215.50097551146925</v>
      </c>
      <c r="AN119" s="73">
        <f t="shared" si="80"/>
        <v>40.945185347179155</v>
      </c>
      <c r="AO119" s="73">
        <f t="shared" si="81"/>
        <v>8373.2484436050581</v>
      </c>
      <c r="AP119" s="73">
        <f t="shared" si="82"/>
        <v>64824.848443605064</v>
      </c>
    </row>
    <row r="120" spans="1:42" s="31" customFormat="1" x14ac:dyDescent="0.6">
      <c r="A120" s="70">
        <f t="shared" si="66"/>
        <v>99</v>
      </c>
      <c r="B120" s="70" t="str">
        <f>IF(E120&lt;=$F$9,VLOOKUP(KALKULATOR!A120,Robocze!$B$23:$C$102,2),"")</f>
        <v>9 rok</v>
      </c>
      <c r="C120" s="70">
        <f t="shared" si="69"/>
        <v>2029</v>
      </c>
      <c r="D120" s="71">
        <f t="shared" si="83"/>
        <v>48.250000000000234</v>
      </c>
      <c r="E120" s="77">
        <f t="shared" si="84"/>
        <v>47150</v>
      </c>
      <c r="F120" s="72">
        <f t="shared" si="70"/>
        <v>47177</v>
      </c>
      <c r="G120" s="73">
        <f>IFERROR(IF(AND(F120&lt;=$F$9,$F$5=Robocze!$B$4,$E120&lt;=$F$9,MONTH($F$8)=MONTH(E120)),$F$4,0)+IF(AND(F120&lt;=$F$9,$F$5=Robocze!$B$3,E120&lt;=$F$9),KALKULATOR!$F$4/12,0),"")</f>
        <v>0</v>
      </c>
      <c r="H120" s="73">
        <f t="shared" si="71"/>
        <v>56451.600000000006</v>
      </c>
      <c r="I120" s="74">
        <f t="shared" si="67"/>
        <v>0.04</v>
      </c>
      <c r="J120" s="73">
        <f t="shared" si="53"/>
        <v>0</v>
      </c>
      <c r="K120" s="75" t="str">
        <f t="shared" si="54"/>
        <v/>
      </c>
      <c r="L120" s="73">
        <f t="shared" si="55"/>
        <v>56451.600000000006</v>
      </c>
      <c r="M120" s="73">
        <f t="shared" si="56"/>
        <v>66751.462104033097</v>
      </c>
      <c r="N120" s="73">
        <f t="shared" si="57"/>
        <v>66751.462104033097</v>
      </c>
      <c r="O120" s="73">
        <f t="shared" si="58"/>
        <v>65197.962962217658</v>
      </c>
      <c r="P120" s="73">
        <f t="shared" si="59"/>
        <v>65197.962962217658</v>
      </c>
      <c r="Q120" s="73">
        <f t="shared" si="60"/>
        <v>64999.875534402796</v>
      </c>
      <c r="R120" s="73"/>
      <c r="S120" s="76">
        <f t="shared" si="68"/>
        <v>0.17</v>
      </c>
      <c r="T120" s="73">
        <f t="shared" si="85"/>
        <v>223.42052812525179</v>
      </c>
      <c r="U120" s="73">
        <f t="shared" si="72"/>
        <v>67249.578965700784</v>
      </c>
      <c r="V120" s="76">
        <f t="shared" si="73"/>
        <v>0.17</v>
      </c>
      <c r="W120" s="73">
        <f t="shared" si="74"/>
        <v>0</v>
      </c>
      <c r="X120" s="73">
        <f>IF(B120&lt;&gt;"",IF(MONTH(E120)=MONTH($F$13),SUMIF($C$22:C502,"="&amp;(C120-1),$G$22:G502),0)*S120,"")</f>
        <v>0</v>
      </c>
      <c r="Y120" s="73">
        <f>IF(B120&lt;&gt;"",SUM($X$22:X120),"")</f>
        <v>8530.4639999999999</v>
      </c>
      <c r="Z120" s="73">
        <f t="shared" si="86"/>
        <v>32.804772323065897</v>
      </c>
      <c r="AA120" s="73">
        <f t="shared" si="75"/>
        <v>6.2329067413825205</v>
      </c>
      <c r="AB120" s="73">
        <f t="shared" si="76"/>
        <v>1337.5395625014489</v>
      </c>
      <c r="AC120" s="73">
        <f t="shared" si="77"/>
        <v>9868.0035625014516</v>
      </c>
      <c r="AD120" s="73">
        <f>IFERROR($U120*(1-$V120)+SUM($W$22:$W120)+$AB120,"")</f>
        <v>66751.462104033097</v>
      </c>
      <c r="AE120" s="73" t="b">
        <f t="shared" si="78"/>
        <v>0</v>
      </c>
      <c r="AF120" s="73">
        <f>IF(AND(AE120=TRUE,D120&gt;=65),$U120*(1-10%)+SUM($W$22:$W120)+$AB120,AD120)</f>
        <v>66751.462104033097</v>
      </c>
      <c r="AG120" s="73">
        <f t="shared" si="61"/>
        <v>223.42052812525188</v>
      </c>
      <c r="AH120" s="73">
        <f t="shared" si="62"/>
        <v>10797.978965700808</v>
      </c>
      <c r="AI120" s="73">
        <f t="shared" si="63"/>
        <v>67249.578965700814</v>
      </c>
      <c r="AJ120" s="73">
        <f t="shared" si="64"/>
        <v>65197.962962217658</v>
      </c>
      <c r="AK120" s="73" t="b">
        <f t="shared" si="79"/>
        <v>0</v>
      </c>
      <c r="AL120" s="73">
        <f t="shared" si="65"/>
        <v>65197.962962217658</v>
      </c>
      <c r="AM120" s="73">
        <f t="shared" si="87"/>
        <v>216.08282814535019</v>
      </c>
      <c r="AN120" s="73">
        <f t="shared" si="80"/>
        <v>41.055737347616535</v>
      </c>
      <c r="AO120" s="73">
        <f t="shared" si="81"/>
        <v>8548.2755344027901</v>
      </c>
      <c r="AP120" s="73">
        <f t="shared" si="82"/>
        <v>64999.875534402796</v>
      </c>
    </row>
    <row r="121" spans="1:42" s="31" customFormat="1" x14ac:dyDescent="0.6">
      <c r="A121" s="70">
        <f t="shared" si="66"/>
        <v>100</v>
      </c>
      <c r="B121" s="70" t="str">
        <f>IF(E121&lt;=$F$9,VLOOKUP(KALKULATOR!A121,Robocze!$B$23:$C$102,2),"")</f>
        <v>9 rok</v>
      </c>
      <c r="C121" s="70">
        <f t="shared" si="69"/>
        <v>2029</v>
      </c>
      <c r="D121" s="71">
        <f t="shared" si="83"/>
        <v>48.33333333333357</v>
      </c>
      <c r="E121" s="77">
        <f t="shared" si="84"/>
        <v>47178</v>
      </c>
      <c r="F121" s="72">
        <f t="shared" si="70"/>
        <v>47208</v>
      </c>
      <c r="G121" s="73">
        <f>IFERROR(IF(AND(F121&lt;=$F$9,$F$5=Robocze!$B$4,$E121&lt;=$F$9,MONTH($F$8)=MONTH(E121)),$F$4,0)+IF(AND(F121&lt;=$F$9,$F$5=Robocze!$B$3,E121&lt;=$F$9),KALKULATOR!$F$4/12,0),"")</f>
        <v>0</v>
      </c>
      <c r="H121" s="73">
        <f t="shared" si="71"/>
        <v>56451.600000000006</v>
      </c>
      <c r="I121" s="74">
        <f t="shared" si="67"/>
        <v>0.04</v>
      </c>
      <c r="J121" s="73">
        <f t="shared" si="53"/>
        <v>0</v>
      </c>
      <c r="K121" s="75" t="str">
        <f t="shared" si="54"/>
        <v/>
      </c>
      <c r="L121" s="73">
        <f t="shared" si="55"/>
        <v>56451.600000000006</v>
      </c>
      <c r="M121" s="73">
        <f t="shared" si="56"/>
        <v>66964.162882123637</v>
      </c>
      <c r="N121" s="73">
        <f t="shared" si="57"/>
        <v>66964.162882123637</v>
      </c>
      <c r="O121" s="73">
        <f t="shared" si="58"/>
        <v>65379.536825425057</v>
      </c>
      <c r="P121" s="73">
        <f t="shared" si="59"/>
        <v>65379.536825425057</v>
      </c>
      <c r="Q121" s="73">
        <f t="shared" si="60"/>
        <v>65175.37519834569</v>
      </c>
      <c r="R121" s="73"/>
      <c r="S121" s="76">
        <f t="shared" si="68"/>
        <v>0.17</v>
      </c>
      <c r="T121" s="73">
        <f t="shared" si="85"/>
        <v>224.16526321900264</v>
      </c>
      <c r="U121" s="73">
        <f t="shared" si="72"/>
        <v>67473.744228919793</v>
      </c>
      <c r="V121" s="76">
        <f t="shared" si="73"/>
        <v>0.17</v>
      </c>
      <c r="W121" s="73">
        <f t="shared" si="74"/>
        <v>0</v>
      </c>
      <c r="X121" s="73">
        <f>IF(B121&lt;&gt;"",IF(MONTH(E121)=MONTH($F$13),SUMIF($C$22:C503,"="&amp;(C121-1),$G$22:G503),0)*S121,"")</f>
        <v>0</v>
      </c>
      <c r="Y121" s="73">
        <f>IF(B121&lt;&gt;"",SUM($X$22:X121),"")</f>
        <v>8530.4639999999999</v>
      </c>
      <c r="Z121" s="73">
        <f t="shared" si="86"/>
        <v>32.893345208338168</v>
      </c>
      <c r="AA121" s="73">
        <f t="shared" si="75"/>
        <v>6.2497355895842519</v>
      </c>
      <c r="AB121" s="73">
        <f t="shared" si="76"/>
        <v>1364.1831721202027</v>
      </c>
      <c r="AC121" s="73">
        <f t="shared" si="77"/>
        <v>9894.6471721202051</v>
      </c>
      <c r="AD121" s="73">
        <f>IFERROR($U121*(1-$V121)+SUM($W$22:$W121)+$AB121,"")</f>
        <v>66964.162882123637</v>
      </c>
      <c r="AE121" s="73" t="b">
        <f t="shared" si="78"/>
        <v>0</v>
      </c>
      <c r="AF121" s="73">
        <f>IF(AND(AE121=TRUE,D121&gt;=65),$U121*(1-10%)+SUM($W$22:$W121)+$AB121,AD121)</f>
        <v>66964.162882123637</v>
      </c>
      <c r="AG121" s="73">
        <f t="shared" si="61"/>
        <v>224.1652632190027</v>
      </c>
      <c r="AH121" s="73">
        <f t="shared" si="62"/>
        <v>11022.144228919811</v>
      </c>
      <c r="AI121" s="73">
        <f t="shared" si="63"/>
        <v>67473.744228919822</v>
      </c>
      <c r="AJ121" s="73">
        <f t="shared" si="64"/>
        <v>65379.536825425057</v>
      </c>
      <c r="AK121" s="73" t="b">
        <f t="shared" si="79"/>
        <v>0</v>
      </c>
      <c r="AL121" s="73">
        <f t="shared" si="65"/>
        <v>65379.536825425057</v>
      </c>
      <c r="AM121" s="73">
        <f t="shared" si="87"/>
        <v>216.66625178134265</v>
      </c>
      <c r="AN121" s="73">
        <f t="shared" si="80"/>
        <v>41.166587838455108</v>
      </c>
      <c r="AO121" s="73">
        <f t="shared" si="81"/>
        <v>8723.7751983456837</v>
      </c>
      <c r="AP121" s="73">
        <f t="shared" si="82"/>
        <v>65175.37519834569</v>
      </c>
    </row>
    <row r="122" spans="1:42" s="31" customFormat="1" x14ac:dyDescent="0.6">
      <c r="A122" s="70">
        <f t="shared" si="66"/>
        <v>101</v>
      </c>
      <c r="B122" s="70" t="str">
        <f>IF(E122&lt;=$F$9,VLOOKUP(KALKULATOR!A122,Robocze!$B$23:$C$102,2),"")</f>
        <v>9 rok</v>
      </c>
      <c r="C122" s="70">
        <f t="shared" si="69"/>
        <v>2029</v>
      </c>
      <c r="D122" s="71">
        <f t="shared" si="83"/>
        <v>48.416666666666906</v>
      </c>
      <c r="E122" s="77">
        <f t="shared" si="84"/>
        <v>47209</v>
      </c>
      <c r="F122" s="72">
        <f t="shared" si="70"/>
        <v>47238</v>
      </c>
      <c r="G122" s="73">
        <f>IFERROR(IF(AND(F122&lt;=$F$9,$F$5=Robocze!$B$4,$E122&lt;=$F$9,MONTH($F$8)=MONTH(E122)),$F$4,0)+IF(AND(F122&lt;=$F$9,$F$5=Robocze!$B$3,E122&lt;=$F$9),KALKULATOR!$F$4/12,0),"")</f>
        <v>0</v>
      </c>
      <c r="H122" s="73">
        <f t="shared" si="71"/>
        <v>56451.600000000006</v>
      </c>
      <c r="I122" s="74">
        <f t="shared" si="67"/>
        <v>0.04</v>
      </c>
      <c r="J122" s="73">
        <f t="shared" si="53"/>
        <v>0</v>
      </c>
      <c r="K122" s="75" t="str">
        <f t="shared" si="54"/>
        <v/>
      </c>
      <c r="L122" s="73">
        <f t="shared" si="55"/>
        <v>56451.600000000006</v>
      </c>
      <c r="M122" s="73">
        <f t="shared" si="56"/>
        <v>67180.434820121707</v>
      </c>
      <c r="N122" s="73">
        <f t="shared" si="57"/>
        <v>67180.434820121707</v>
      </c>
      <c r="O122" s="73">
        <f t="shared" si="58"/>
        <v>65561.715934843131</v>
      </c>
      <c r="P122" s="73">
        <f t="shared" si="59"/>
        <v>65561.715934843131</v>
      </c>
      <c r="Q122" s="73">
        <f t="shared" si="60"/>
        <v>65351.348711381223</v>
      </c>
      <c r="R122" s="73"/>
      <c r="S122" s="76">
        <f t="shared" si="68"/>
        <v>0.17</v>
      </c>
      <c r="T122" s="73">
        <f t="shared" si="85"/>
        <v>224.91248076306599</v>
      </c>
      <c r="U122" s="73">
        <f t="shared" si="72"/>
        <v>67698.656709682866</v>
      </c>
      <c r="V122" s="76">
        <f t="shared" si="73"/>
        <v>0.17</v>
      </c>
      <c r="W122" s="73">
        <f t="shared" si="74"/>
        <v>0</v>
      </c>
      <c r="X122" s="73">
        <f>IF(B122&lt;&gt;"",IF(MONTH(E122)=MONTH($F$13),SUMIF($C$22:C504,"="&amp;(C122-1),$G$22:G504),0)*S122,"")</f>
        <v>1066.308</v>
      </c>
      <c r="Y122" s="73">
        <f>IF(B122&lt;&gt;"",SUM($X$22:X122),"")</f>
        <v>9596.7720000000008</v>
      </c>
      <c r="Z122" s="73">
        <f t="shared" si="86"/>
        <v>36.536517240400677</v>
      </c>
      <c r="AA122" s="73">
        <f t="shared" si="75"/>
        <v>6.9419382756761285</v>
      </c>
      <c r="AB122" s="73">
        <f t="shared" si="76"/>
        <v>1393.7777510849271</v>
      </c>
      <c r="AC122" s="73">
        <f t="shared" si="77"/>
        <v>10990.549751084927</v>
      </c>
      <c r="AD122" s="73">
        <f>IFERROR($U122*(1-$V122)+SUM($W$22:$W122)+$AB122,"")</f>
        <v>67180.434820121707</v>
      </c>
      <c r="AE122" s="73" t="b">
        <f t="shared" si="78"/>
        <v>0</v>
      </c>
      <c r="AF122" s="73">
        <f>IF(AND(AE122=TRUE,D122&gt;=65),$U122*(1-10%)+SUM($W$22:$W122)+$AB122,AD122)</f>
        <v>67180.434820121707</v>
      </c>
      <c r="AG122" s="73">
        <f t="shared" si="61"/>
        <v>224.9124807630661</v>
      </c>
      <c r="AH122" s="73">
        <f t="shared" si="62"/>
        <v>11247.056709682878</v>
      </c>
      <c r="AI122" s="73">
        <f t="shared" si="63"/>
        <v>67698.65670968288</v>
      </c>
      <c r="AJ122" s="73">
        <f t="shared" si="64"/>
        <v>65561.715934843131</v>
      </c>
      <c r="AK122" s="73" t="b">
        <f t="shared" si="79"/>
        <v>0</v>
      </c>
      <c r="AL122" s="73">
        <f t="shared" si="65"/>
        <v>65561.715934843131</v>
      </c>
      <c r="AM122" s="73">
        <f t="shared" si="87"/>
        <v>217.25125066115231</v>
      </c>
      <c r="AN122" s="73">
        <f t="shared" si="80"/>
        <v>41.27773762561894</v>
      </c>
      <c r="AO122" s="73">
        <f t="shared" si="81"/>
        <v>8899.7487113812167</v>
      </c>
      <c r="AP122" s="73">
        <f t="shared" si="82"/>
        <v>65351.348711381223</v>
      </c>
    </row>
    <row r="123" spans="1:42" s="31" customFormat="1" x14ac:dyDescent="0.6">
      <c r="A123" s="70">
        <f t="shared" si="66"/>
        <v>102</v>
      </c>
      <c r="B123" s="70" t="str">
        <f>IF(E123&lt;=$F$9,VLOOKUP(KALKULATOR!A123,Robocze!$B$23:$C$102,2),"")</f>
        <v>9 rok</v>
      </c>
      <c r="C123" s="70">
        <f t="shared" si="69"/>
        <v>2029</v>
      </c>
      <c r="D123" s="71">
        <f t="shared" si="83"/>
        <v>48.500000000000242</v>
      </c>
      <c r="E123" s="77">
        <f t="shared" si="84"/>
        <v>47239</v>
      </c>
      <c r="F123" s="72">
        <f t="shared" si="70"/>
        <v>47269</v>
      </c>
      <c r="G123" s="73">
        <f>IFERROR(IF(AND(F123&lt;=$F$9,$F$5=Robocze!$B$4,$E123&lt;=$F$9,MONTH($F$8)=MONTH(E123)),$F$4,0)+IF(AND(F123&lt;=$F$9,$F$5=Robocze!$B$3,E123&lt;=$F$9),KALKULATOR!$F$4/12,0),"")</f>
        <v>0</v>
      </c>
      <c r="H123" s="73">
        <f t="shared" si="71"/>
        <v>56451.600000000006</v>
      </c>
      <c r="I123" s="74">
        <f t="shared" si="67"/>
        <v>0.04</v>
      </c>
      <c r="J123" s="73">
        <f t="shared" ref="J123:J186" si="88">IFERROR(IF(MONTH($F$8)=MONTH(E123),$F$15,0),"")</f>
        <v>0</v>
      </c>
      <c r="K123" s="75" t="str">
        <f t="shared" ref="K123:K186" si="89">IFERROR(IF(AND(MOD(A123,12)=0,A123&lt;&gt;""),A123/12,""),"")</f>
        <v/>
      </c>
      <c r="L123" s="73">
        <f t="shared" ref="L123:L186" si="90">H123</f>
        <v>56451.600000000006</v>
      </c>
      <c r="M123" s="73">
        <f t="shared" ref="M123:M186" si="91">IFERROR(AF123,"")</f>
        <v>67397.408921346418</v>
      </c>
      <c r="N123" s="73">
        <f t="shared" ref="N123:N186" si="92">IFERROR(AD123,"")</f>
        <v>67397.408921346418</v>
      </c>
      <c r="O123" s="73">
        <f t="shared" ref="O123:O186" si="93">IFERROR(AL123,"")</f>
        <v>65744.502307959279</v>
      </c>
      <c r="P123" s="73">
        <f t="shared" ref="P123:P186" si="94">AJ123</f>
        <v>65744.502307959279</v>
      </c>
      <c r="Q123" s="73">
        <f t="shared" ref="Q123:Q186" si="95">AP123</f>
        <v>65527.797352901958</v>
      </c>
      <c r="R123" s="73"/>
      <c r="S123" s="76">
        <f t="shared" si="68"/>
        <v>0.17</v>
      </c>
      <c r="T123" s="73">
        <f t="shared" si="85"/>
        <v>225.66218903227625</v>
      </c>
      <c r="U123" s="73">
        <f t="shared" si="72"/>
        <v>67924.318898715137</v>
      </c>
      <c r="V123" s="76">
        <f t="shared" si="73"/>
        <v>0.17</v>
      </c>
      <c r="W123" s="73">
        <f t="shared" si="74"/>
        <v>0</v>
      </c>
      <c r="X123" s="73">
        <f>IF(B123&lt;&gt;"",IF(MONTH(E123)=MONTH($F$13),SUMIF($C$22:C505,"="&amp;(C123-1),$G$22:G505),0)*S123,"")</f>
        <v>0</v>
      </c>
      <c r="Y123" s="73">
        <f>IF(B123&lt;&gt;"",SUM($X$22:X123),"")</f>
        <v>9596.7720000000008</v>
      </c>
      <c r="Z123" s="73">
        <f t="shared" si="86"/>
        <v>36.63516583694976</v>
      </c>
      <c r="AA123" s="73">
        <f t="shared" si="75"/>
        <v>6.9606815090204543</v>
      </c>
      <c r="AB123" s="73">
        <f t="shared" si="76"/>
        <v>1423.4522354128562</v>
      </c>
      <c r="AC123" s="73">
        <f t="shared" si="77"/>
        <v>11020.224235412856</v>
      </c>
      <c r="AD123" s="73">
        <f>IFERROR($U123*(1-$V123)+SUM($W$22:$W123)+$AB123,"")</f>
        <v>67397.408921346418</v>
      </c>
      <c r="AE123" s="73" t="b">
        <f t="shared" si="78"/>
        <v>0</v>
      </c>
      <c r="AF123" s="73">
        <f>IF(AND(AE123=TRUE,D123&gt;=65),$U123*(1-10%)+SUM($W$22:$W123)+$AB123,AD123)</f>
        <v>67397.408921346418</v>
      </c>
      <c r="AG123" s="73">
        <f t="shared" ref="AG123:AG186" si="96">IF(B123&lt;&gt;"",(AI122+G123)*I123/12-J123,"")</f>
        <v>225.66218903227627</v>
      </c>
      <c r="AH123" s="73">
        <f t="shared" ref="AH123:AH186" si="97">IF(B123&lt;&gt;"",AH122+AG123,"")</f>
        <v>11472.718898715155</v>
      </c>
      <c r="AI123" s="73">
        <f t="shared" ref="AI123:AI186" si="98">IF(B123&lt;&gt;"",H123+AH123,"")</f>
        <v>67924.318898715166</v>
      </c>
      <c r="AJ123" s="73">
        <f t="shared" ref="AJ123:AJ186" si="99">IF(B123&lt;&gt;"",IF(AI123&gt;H123,AI123-AH123*$F$14,AI123),"")</f>
        <v>65744.502307959279</v>
      </c>
      <c r="AK123" s="73" t="b">
        <f t="shared" si="79"/>
        <v>0</v>
      </c>
      <c r="AL123" s="73">
        <f t="shared" ref="AL123:AL186" si="100">IF(AK123=TRUE,AI123,AJ123)</f>
        <v>65744.502307959279</v>
      </c>
      <c r="AM123" s="73">
        <f t="shared" si="87"/>
        <v>217.83782903793744</v>
      </c>
      <c r="AN123" s="73">
        <f t="shared" si="80"/>
        <v>41.389187517208114</v>
      </c>
      <c r="AO123" s="73">
        <f t="shared" si="81"/>
        <v>9076.1973529019524</v>
      </c>
      <c r="AP123" s="73">
        <f t="shared" si="82"/>
        <v>65527.797352901958</v>
      </c>
    </row>
    <row r="124" spans="1:42" s="31" customFormat="1" x14ac:dyDescent="0.6">
      <c r="A124" s="70">
        <f t="shared" si="66"/>
        <v>103</v>
      </c>
      <c r="B124" s="70" t="str">
        <f>IF(E124&lt;=$F$9,VLOOKUP(KALKULATOR!A124,Robocze!$B$23:$C$102,2),"")</f>
        <v>9 rok</v>
      </c>
      <c r="C124" s="70">
        <f t="shared" si="69"/>
        <v>2029</v>
      </c>
      <c r="D124" s="71">
        <f t="shared" si="83"/>
        <v>48.583333333333577</v>
      </c>
      <c r="E124" s="77">
        <f t="shared" si="84"/>
        <v>47270</v>
      </c>
      <c r="F124" s="72">
        <f t="shared" si="70"/>
        <v>47299</v>
      </c>
      <c r="G124" s="73">
        <f>IFERROR(IF(AND(F124&lt;=$F$9,$F$5=Robocze!$B$4,$E124&lt;=$F$9,MONTH($F$8)=MONTH(E124)),$F$4,0)+IF(AND(F124&lt;=$F$9,$F$5=Robocze!$B$3,E124&lt;=$F$9),KALKULATOR!$F$4/12,0),"")</f>
        <v>0</v>
      </c>
      <c r="H124" s="73">
        <f t="shared" si="71"/>
        <v>56451.600000000006</v>
      </c>
      <c r="I124" s="74">
        <f t="shared" si="67"/>
        <v>0.04</v>
      </c>
      <c r="J124" s="73">
        <f t="shared" si="88"/>
        <v>0</v>
      </c>
      <c r="K124" s="75" t="str">
        <f t="shared" si="89"/>
        <v/>
      </c>
      <c r="L124" s="73">
        <f t="shared" si="90"/>
        <v>56451.600000000006</v>
      </c>
      <c r="M124" s="73">
        <f t="shared" si="91"/>
        <v>67615.087475735156</v>
      </c>
      <c r="N124" s="73">
        <f t="shared" si="92"/>
        <v>67615.087475735156</v>
      </c>
      <c r="O124" s="73">
        <f t="shared" si="93"/>
        <v>65927.89796898581</v>
      </c>
      <c r="P124" s="73">
        <f t="shared" si="94"/>
        <v>65927.89796898581</v>
      </c>
      <c r="Q124" s="73">
        <f t="shared" si="95"/>
        <v>65704.722405754801</v>
      </c>
      <c r="R124" s="73"/>
      <c r="S124" s="76">
        <f t="shared" si="68"/>
        <v>0.17</v>
      </c>
      <c r="T124" s="73">
        <f t="shared" si="85"/>
        <v>226.41439632905048</v>
      </c>
      <c r="U124" s="73">
        <f t="shared" si="72"/>
        <v>68150.733295044192</v>
      </c>
      <c r="V124" s="76">
        <f t="shared" si="73"/>
        <v>0.17</v>
      </c>
      <c r="W124" s="73">
        <f t="shared" si="74"/>
        <v>0</v>
      </c>
      <c r="X124" s="73">
        <f>IF(B124&lt;&gt;"",IF(MONTH(E124)=MONTH($F$13),SUMIF($C$22:C506,"="&amp;(C124-1),$G$22:G506),0)*S124,"")</f>
        <v>0</v>
      </c>
      <c r="Y124" s="73">
        <f>IF(B124&lt;&gt;"",SUM($X$22:X124),"")</f>
        <v>9596.7720000000008</v>
      </c>
      <c r="Z124" s="73">
        <f t="shared" si="86"/>
        <v>36.734080784709519</v>
      </c>
      <c r="AA124" s="73">
        <f t="shared" si="75"/>
        <v>6.9794753490948089</v>
      </c>
      <c r="AB124" s="73">
        <f t="shared" si="76"/>
        <v>1453.2068408484708</v>
      </c>
      <c r="AC124" s="73">
        <f t="shared" si="77"/>
        <v>11049.978840848471</v>
      </c>
      <c r="AD124" s="73">
        <f>IFERROR($U124*(1-$V124)+SUM($W$22:$W124)+$AB124,"")</f>
        <v>67615.087475735156</v>
      </c>
      <c r="AE124" s="73" t="b">
        <f t="shared" si="78"/>
        <v>0</v>
      </c>
      <c r="AF124" s="73">
        <f>IF(AND(AE124=TRUE,D124&gt;=65),$U124*(1-10%)+SUM($W$22:$W124)+$AB124,AD124)</f>
        <v>67615.087475735156</v>
      </c>
      <c r="AG124" s="73">
        <f t="shared" si="96"/>
        <v>226.41439632905056</v>
      </c>
      <c r="AH124" s="73">
        <f t="shared" si="97"/>
        <v>11699.133295044205</v>
      </c>
      <c r="AI124" s="73">
        <f t="shared" si="98"/>
        <v>68150.733295044207</v>
      </c>
      <c r="AJ124" s="73">
        <f t="shared" si="99"/>
        <v>65927.89796898581</v>
      </c>
      <c r="AK124" s="73" t="b">
        <f t="shared" si="79"/>
        <v>0</v>
      </c>
      <c r="AL124" s="73">
        <f t="shared" si="100"/>
        <v>65927.89796898581</v>
      </c>
      <c r="AM124" s="73">
        <f t="shared" si="87"/>
        <v>218.42599117633986</v>
      </c>
      <c r="AN124" s="73">
        <f t="shared" si="80"/>
        <v>41.500938323504577</v>
      </c>
      <c r="AO124" s="73">
        <f t="shared" si="81"/>
        <v>9253.1224057547952</v>
      </c>
      <c r="AP124" s="73">
        <f t="shared" si="82"/>
        <v>65704.722405754801</v>
      </c>
    </row>
    <row r="125" spans="1:42" s="31" customFormat="1" x14ac:dyDescent="0.6">
      <c r="A125" s="70">
        <f t="shared" si="66"/>
        <v>104</v>
      </c>
      <c r="B125" s="70" t="str">
        <f>IF(E125&lt;=$F$9,VLOOKUP(KALKULATOR!A125,Robocze!$B$23:$C$102,2),"")</f>
        <v>9 rok</v>
      </c>
      <c r="C125" s="70">
        <f t="shared" si="69"/>
        <v>2029</v>
      </c>
      <c r="D125" s="71">
        <f t="shared" si="83"/>
        <v>48.666666666666913</v>
      </c>
      <c r="E125" s="77">
        <f t="shared" si="84"/>
        <v>47300</v>
      </c>
      <c r="F125" s="72">
        <f t="shared" si="70"/>
        <v>47330</v>
      </c>
      <c r="G125" s="73">
        <f>IFERROR(IF(AND(F125&lt;=$F$9,$F$5=Robocze!$B$4,$E125&lt;=$F$9,MONTH($F$8)=MONTH(E125)),$F$4,0)+IF(AND(F125&lt;=$F$9,$F$5=Robocze!$B$3,E125&lt;=$F$9),KALKULATOR!$F$4/12,0),"")</f>
        <v>0</v>
      </c>
      <c r="H125" s="73">
        <f t="shared" si="71"/>
        <v>56451.600000000006</v>
      </c>
      <c r="I125" s="74">
        <f t="shared" si="67"/>
        <v>0.04</v>
      </c>
      <c r="J125" s="73">
        <f t="shared" si="88"/>
        <v>0</v>
      </c>
      <c r="K125" s="75" t="str">
        <f t="shared" si="89"/>
        <v/>
      </c>
      <c r="L125" s="73">
        <f t="shared" si="90"/>
        <v>56451.600000000006</v>
      </c>
      <c r="M125" s="73">
        <f t="shared" si="91"/>
        <v>67833.472780721728</v>
      </c>
      <c r="N125" s="73">
        <f t="shared" si="92"/>
        <v>67833.472780721728</v>
      </c>
      <c r="O125" s="73">
        <f t="shared" si="93"/>
        <v>66111.904948882424</v>
      </c>
      <c r="P125" s="73">
        <f t="shared" si="94"/>
        <v>66111.904948882424</v>
      </c>
      <c r="Q125" s="73">
        <f t="shared" si="95"/>
        <v>65882.125156250346</v>
      </c>
      <c r="R125" s="73"/>
      <c r="S125" s="76">
        <f t="shared" si="68"/>
        <v>0.17</v>
      </c>
      <c r="T125" s="73">
        <f t="shared" si="85"/>
        <v>227.16911098348066</v>
      </c>
      <c r="U125" s="73">
        <f t="shared" si="72"/>
        <v>68377.902406027672</v>
      </c>
      <c r="V125" s="76">
        <f t="shared" si="73"/>
        <v>0.17</v>
      </c>
      <c r="W125" s="73">
        <f t="shared" si="74"/>
        <v>0</v>
      </c>
      <c r="X125" s="73">
        <f>IF(B125&lt;&gt;"",IF(MONTH(E125)=MONTH($F$13),SUMIF($C$22:C507,"="&amp;(C125-1),$G$22:G507),0)*S125,"")</f>
        <v>0</v>
      </c>
      <c r="Y125" s="73">
        <f>IF(B125&lt;&gt;"",SUM($X$22:X125),"")</f>
        <v>9596.7720000000008</v>
      </c>
      <c r="Z125" s="73">
        <f t="shared" si="86"/>
        <v>36.833262802828237</v>
      </c>
      <c r="AA125" s="73">
        <f t="shared" si="75"/>
        <v>6.9983199325373651</v>
      </c>
      <c r="AB125" s="73">
        <f t="shared" si="76"/>
        <v>1483.0417837187615</v>
      </c>
      <c r="AC125" s="73">
        <f t="shared" si="77"/>
        <v>11079.813783718761</v>
      </c>
      <c r="AD125" s="73">
        <f>IFERROR($U125*(1-$V125)+SUM($W$22:$W125)+$AB125,"")</f>
        <v>67833.472780721728</v>
      </c>
      <c r="AE125" s="73" t="b">
        <f t="shared" si="78"/>
        <v>0</v>
      </c>
      <c r="AF125" s="73">
        <f>IF(AND(AE125=TRUE,D125&gt;=65),$U125*(1-10%)+SUM($W$22:$W125)+$AB125,AD125)</f>
        <v>67833.472780721728</v>
      </c>
      <c r="AG125" s="73">
        <f t="shared" si="96"/>
        <v>227.16911098348069</v>
      </c>
      <c r="AH125" s="73">
        <f t="shared" si="97"/>
        <v>11926.302406027686</v>
      </c>
      <c r="AI125" s="73">
        <f t="shared" si="98"/>
        <v>68377.902406027686</v>
      </c>
      <c r="AJ125" s="73">
        <f t="shared" si="99"/>
        <v>66111.904948882424</v>
      </c>
      <c r="AK125" s="73" t="b">
        <f t="shared" si="79"/>
        <v>0</v>
      </c>
      <c r="AL125" s="73">
        <f t="shared" si="100"/>
        <v>66111.904948882424</v>
      </c>
      <c r="AM125" s="73">
        <f t="shared" si="87"/>
        <v>219.01574135251602</v>
      </c>
      <c r="AN125" s="73">
        <f t="shared" si="80"/>
        <v>41.612990856978044</v>
      </c>
      <c r="AO125" s="73">
        <f t="shared" si="81"/>
        <v>9430.5251562503399</v>
      </c>
      <c r="AP125" s="73">
        <f t="shared" si="82"/>
        <v>65882.125156250346</v>
      </c>
    </row>
    <row r="126" spans="1:42" s="31" customFormat="1" x14ac:dyDescent="0.6">
      <c r="A126" s="70">
        <f t="shared" si="66"/>
        <v>105</v>
      </c>
      <c r="B126" s="70" t="str">
        <f>IF(E126&lt;=$F$9,VLOOKUP(KALKULATOR!A126,Robocze!$B$23:$C$102,2),"")</f>
        <v>9 rok</v>
      </c>
      <c r="C126" s="70">
        <f t="shared" si="69"/>
        <v>2029</v>
      </c>
      <c r="D126" s="71">
        <f t="shared" si="83"/>
        <v>48.750000000000249</v>
      </c>
      <c r="E126" s="77">
        <f t="shared" si="84"/>
        <v>47331</v>
      </c>
      <c r="F126" s="72">
        <f t="shared" si="70"/>
        <v>47361</v>
      </c>
      <c r="G126" s="73">
        <f>IFERROR(IF(AND(F126&lt;=$F$9,$F$5=Robocze!$B$4,$E126&lt;=$F$9,MONTH($F$8)=MONTH(E126)),$F$4,0)+IF(AND(F126&lt;=$F$9,$F$5=Robocze!$B$3,E126&lt;=$F$9),KALKULATOR!$F$4/12,0),"")</f>
        <v>0</v>
      </c>
      <c r="H126" s="73">
        <f t="shared" si="71"/>
        <v>56451.600000000006</v>
      </c>
      <c r="I126" s="74">
        <f t="shared" si="67"/>
        <v>0.04</v>
      </c>
      <c r="J126" s="73">
        <f t="shared" si="88"/>
        <v>0</v>
      </c>
      <c r="K126" s="75" t="str">
        <f t="shared" si="89"/>
        <v/>
      </c>
      <c r="L126" s="73">
        <f t="shared" si="90"/>
        <v>56451.600000000006</v>
      </c>
      <c r="M126" s="73">
        <f t="shared" si="91"/>
        <v>68052.567141261112</v>
      </c>
      <c r="N126" s="73">
        <f t="shared" si="92"/>
        <v>68052.567141261112</v>
      </c>
      <c r="O126" s="73">
        <f t="shared" si="93"/>
        <v>66296.52528537871</v>
      </c>
      <c r="P126" s="73">
        <f t="shared" si="94"/>
        <v>66296.52528537871</v>
      </c>
      <c r="Q126" s="73">
        <f t="shared" si="95"/>
        <v>66060.006894172213</v>
      </c>
      <c r="R126" s="73"/>
      <c r="S126" s="76">
        <f t="shared" si="68"/>
        <v>0.17</v>
      </c>
      <c r="T126" s="73">
        <f t="shared" si="85"/>
        <v>227.92634135342558</v>
      </c>
      <c r="U126" s="73">
        <f t="shared" si="72"/>
        <v>68605.828747381092</v>
      </c>
      <c r="V126" s="76">
        <f t="shared" si="73"/>
        <v>0.17</v>
      </c>
      <c r="W126" s="73">
        <f t="shared" si="74"/>
        <v>0</v>
      </c>
      <c r="X126" s="73">
        <f>IF(B126&lt;&gt;"",IF(MONTH(E126)=MONTH($F$13),SUMIF($C$22:C508,"="&amp;(C126-1),$G$22:G508),0)*S126,"")</f>
        <v>0</v>
      </c>
      <c r="Y126" s="73">
        <f>IF(B126&lt;&gt;"",SUM($X$22:X126),"")</f>
        <v>9596.7720000000008</v>
      </c>
      <c r="Z126" s="73">
        <f t="shared" si="86"/>
        <v>36.932712612395868</v>
      </c>
      <c r="AA126" s="73">
        <f t="shared" si="75"/>
        <v>7.0172153963552146</v>
      </c>
      <c r="AB126" s="73">
        <f t="shared" si="76"/>
        <v>1512.9572809348022</v>
      </c>
      <c r="AC126" s="73">
        <f t="shared" si="77"/>
        <v>11109.7292809348</v>
      </c>
      <c r="AD126" s="73">
        <f>IFERROR($U126*(1-$V126)+SUM($W$22:$W126)+$AB126,"")</f>
        <v>68052.567141261112</v>
      </c>
      <c r="AE126" s="73" t="b">
        <f t="shared" si="78"/>
        <v>0</v>
      </c>
      <c r="AF126" s="73">
        <f>IF(AND(AE126=TRUE,D126&gt;=65),$U126*(1-10%)+SUM($W$22:$W126)+$AB126,AD126)</f>
        <v>68052.567141261112</v>
      </c>
      <c r="AG126" s="73">
        <f t="shared" si="96"/>
        <v>227.92634135342564</v>
      </c>
      <c r="AH126" s="73">
        <f t="shared" si="97"/>
        <v>12154.228747381112</v>
      </c>
      <c r="AI126" s="73">
        <f t="shared" si="98"/>
        <v>68605.828747381122</v>
      </c>
      <c r="AJ126" s="73">
        <f t="shared" si="99"/>
        <v>66296.52528537871</v>
      </c>
      <c r="AK126" s="73" t="b">
        <f t="shared" si="79"/>
        <v>0</v>
      </c>
      <c r="AL126" s="73">
        <f t="shared" si="100"/>
        <v>66296.52528537871</v>
      </c>
      <c r="AM126" s="73">
        <f t="shared" si="87"/>
        <v>219.60708385416783</v>
      </c>
      <c r="AN126" s="73">
        <f t="shared" si="80"/>
        <v>41.725345932291887</v>
      </c>
      <c r="AO126" s="73">
        <f t="shared" si="81"/>
        <v>9608.4068941722071</v>
      </c>
      <c r="AP126" s="73">
        <f t="shared" si="82"/>
        <v>66060.006894172213</v>
      </c>
    </row>
    <row r="127" spans="1:42" s="31" customFormat="1" x14ac:dyDescent="0.6">
      <c r="A127" s="70">
        <f t="shared" si="66"/>
        <v>106</v>
      </c>
      <c r="B127" s="70" t="str">
        <f>IF(E127&lt;=$F$9,VLOOKUP(KALKULATOR!A127,Robocze!$B$23:$C$102,2),"")</f>
        <v>9 rok</v>
      </c>
      <c r="C127" s="70">
        <f t="shared" si="69"/>
        <v>2029</v>
      </c>
      <c r="D127" s="71">
        <f t="shared" si="83"/>
        <v>48.833333333333584</v>
      </c>
      <c r="E127" s="77">
        <f t="shared" si="84"/>
        <v>47362</v>
      </c>
      <c r="F127" s="72">
        <f t="shared" si="70"/>
        <v>47391</v>
      </c>
      <c r="G127" s="73">
        <f>IFERROR(IF(AND(F127&lt;=$F$9,$F$5=Robocze!$B$4,$E127&lt;=$F$9,MONTH($F$8)=MONTH(E127)),$F$4,0)+IF(AND(F127&lt;=$F$9,$F$5=Robocze!$B$3,E127&lt;=$F$9),KALKULATOR!$F$4/12,0),"")</f>
        <v>0</v>
      </c>
      <c r="H127" s="73">
        <f t="shared" si="71"/>
        <v>56451.600000000006</v>
      </c>
      <c r="I127" s="74">
        <f t="shared" si="67"/>
        <v>0.04</v>
      </c>
      <c r="J127" s="73">
        <f t="shared" si="88"/>
        <v>0</v>
      </c>
      <c r="K127" s="75" t="str">
        <f t="shared" si="89"/>
        <v/>
      </c>
      <c r="L127" s="73">
        <f t="shared" si="90"/>
        <v>56451.600000000006</v>
      </c>
      <c r="M127" s="73">
        <f t="shared" si="91"/>
        <v>68272.372869854051</v>
      </c>
      <c r="N127" s="73">
        <f t="shared" si="92"/>
        <v>68272.372869854051</v>
      </c>
      <c r="O127" s="73">
        <f t="shared" si="93"/>
        <v>66481.761022996638</v>
      </c>
      <c r="P127" s="73">
        <f t="shared" si="94"/>
        <v>66481.761022996638</v>
      </c>
      <c r="Q127" s="73">
        <f t="shared" si="95"/>
        <v>66238.368912786478</v>
      </c>
      <c r="R127" s="73"/>
      <c r="S127" s="76">
        <f t="shared" si="68"/>
        <v>0.17</v>
      </c>
      <c r="T127" s="73">
        <f t="shared" si="85"/>
        <v>228.68609582460365</v>
      </c>
      <c r="U127" s="73">
        <f t="shared" si="72"/>
        <v>68834.514843205703</v>
      </c>
      <c r="V127" s="76">
        <f t="shared" si="73"/>
        <v>0.17</v>
      </c>
      <c r="W127" s="73">
        <f t="shared" si="74"/>
        <v>0</v>
      </c>
      <c r="X127" s="73">
        <f>IF(B127&lt;&gt;"",IF(MONTH(E127)=MONTH($F$13),SUMIF($C$22:C509,"="&amp;(C127-1),$G$22:G509),0)*S127,"")</f>
        <v>0</v>
      </c>
      <c r="Y127" s="73">
        <f>IF(B127&lt;&gt;"",SUM($X$22:X127),"")</f>
        <v>9596.7720000000008</v>
      </c>
      <c r="Z127" s="73">
        <f t="shared" si="86"/>
        <v>37.032430936449337</v>
      </c>
      <c r="AA127" s="73">
        <f t="shared" si="75"/>
        <v>7.0361618779253741</v>
      </c>
      <c r="AB127" s="73">
        <f t="shared" si="76"/>
        <v>1542.9535499933261</v>
      </c>
      <c r="AC127" s="73">
        <f t="shared" si="77"/>
        <v>11139.725549993324</v>
      </c>
      <c r="AD127" s="73">
        <f>IFERROR($U127*(1-$V127)+SUM($W$22:$W127)+$AB127,"")</f>
        <v>68272.372869854051</v>
      </c>
      <c r="AE127" s="73" t="b">
        <f t="shared" si="78"/>
        <v>0</v>
      </c>
      <c r="AF127" s="73">
        <f>IF(AND(AE127=TRUE,D127&gt;=65),$U127*(1-10%)+SUM($W$22:$W127)+$AB127,AD127)</f>
        <v>68272.372869854051</v>
      </c>
      <c r="AG127" s="73">
        <f t="shared" si="96"/>
        <v>228.68609582460374</v>
      </c>
      <c r="AH127" s="73">
        <f t="shared" si="97"/>
        <v>12382.914843205715</v>
      </c>
      <c r="AI127" s="73">
        <f t="shared" si="98"/>
        <v>68834.514843205718</v>
      </c>
      <c r="AJ127" s="73">
        <f t="shared" si="99"/>
        <v>66481.761022996638</v>
      </c>
      <c r="AK127" s="73" t="b">
        <f t="shared" si="79"/>
        <v>0</v>
      </c>
      <c r="AL127" s="73">
        <f t="shared" si="100"/>
        <v>66481.761022996638</v>
      </c>
      <c r="AM127" s="73">
        <f t="shared" si="87"/>
        <v>220.20002298057406</v>
      </c>
      <c r="AN127" s="73">
        <f t="shared" si="80"/>
        <v>41.838004366309072</v>
      </c>
      <c r="AO127" s="73">
        <f t="shared" si="81"/>
        <v>9786.7689127864724</v>
      </c>
      <c r="AP127" s="73">
        <f t="shared" si="82"/>
        <v>66238.368912786478</v>
      </c>
    </row>
    <row r="128" spans="1:42" s="31" customFormat="1" x14ac:dyDescent="0.6">
      <c r="A128" s="70">
        <f t="shared" si="66"/>
        <v>107</v>
      </c>
      <c r="B128" s="70" t="str">
        <f>IF(E128&lt;=$F$9,VLOOKUP(KALKULATOR!A128,Robocze!$B$23:$C$102,2),"")</f>
        <v>9 rok</v>
      </c>
      <c r="C128" s="70">
        <f t="shared" si="69"/>
        <v>2029</v>
      </c>
      <c r="D128" s="71">
        <f t="shared" si="83"/>
        <v>48.91666666666692</v>
      </c>
      <c r="E128" s="77">
        <f t="shared" si="84"/>
        <v>47392</v>
      </c>
      <c r="F128" s="72">
        <f t="shared" si="70"/>
        <v>47422</v>
      </c>
      <c r="G128" s="73">
        <f>IFERROR(IF(AND(F128&lt;=$F$9,$F$5=Robocze!$B$4,$E128&lt;=$F$9,MONTH($F$8)=MONTH(E128)),$F$4,0)+IF(AND(F128&lt;=$F$9,$F$5=Robocze!$B$3,E128&lt;=$F$9),KALKULATOR!$F$4/12,0),"")</f>
        <v>0</v>
      </c>
      <c r="H128" s="73">
        <f t="shared" si="71"/>
        <v>56451.600000000006</v>
      </c>
      <c r="I128" s="74">
        <f t="shared" si="67"/>
        <v>0.04</v>
      </c>
      <c r="J128" s="73">
        <f t="shared" si="88"/>
        <v>0</v>
      </c>
      <c r="K128" s="75" t="str">
        <f t="shared" si="89"/>
        <v/>
      </c>
      <c r="L128" s="73">
        <f t="shared" si="90"/>
        <v>56451.600000000006</v>
      </c>
      <c r="M128" s="73">
        <f t="shared" si="91"/>
        <v>68492.892286571907</v>
      </c>
      <c r="N128" s="73">
        <f t="shared" si="92"/>
        <v>68492.892286571907</v>
      </c>
      <c r="O128" s="73">
        <f t="shared" si="93"/>
        <v>66667.614213073291</v>
      </c>
      <c r="P128" s="73">
        <f t="shared" si="94"/>
        <v>66667.614213073291</v>
      </c>
      <c r="Q128" s="73">
        <f t="shared" si="95"/>
        <v>66417.212508851007</v>
      </c>
      <c r="R128" s="73"/>
      <c r="S128" s="76">
        <f t="shared" si="68"/>
        <v>0.17</v>
      </c>
      <c r="T128" s="73">
        <f t="shared" si="85"/>
        <v>229.4483828106857</v>
      </c>
      <c r="U128" s="73">
        <f t="shared" si="72"/>
        <v>69063.963226016393</v>
      </c>
      <c r="V128" s="76">
        <f t="shared" si="73"/>
        <v>0.17</v>
      </c>
      <c r="W128" s="73">
        <f t="shared" si="74"/>
        <v>0</v>
      </c>
      <c r="X128" s="73">
        <f>IF(B128&lt;&gt;"",IF(MONTH(E128)=MONTH($F$13),SUMIF($C$22:C510,"="&amp;(C128-1),$G$22:G510),0)*S128,"")</f>
        <v>0</v>
      </c>
      <c r="Y128" s="73">
        <f>IF(B128&lt;&gt;"",SUM($X$22:X128),"")</f>
        <v>9596.7720000000008</v>
      </c>
      <c r="Z128" s="73">
        <f t="shared" si="86"/>
        <v>37.132418499977746</v>
      </c>
      <c r="AA128" s="73">
        <f t="shared" si="75"/>
        <v>7.055159514995772</v>
      </c>
      <c r="AB128" s="73">
        <f t="shared" si="76"/>
        <v>1573.0308089783082</v>
      </c>
      <c r="AC128" s="73">
        <f t="shared" si="77"/>
        <v>11169.802808978306</v>
      </c>
      <c r="AD128" s="73">
        <f>IFERROR($U128*(1-$V128)+SUM($W$22:$W128)+$AB128,"")</f>
        <v>68492.892286571907</v>
      </c>
      <c r="AE128" s="73" t="b">
        <f t="shared" si="78"/>
        <v>0</v>
      </c>
      <c r="AF128" s="73">
        <f>IF(AND(AE128=TRUE,D128&gt;=65),$U128*(1-10%)+SUM($W$22:$W128)+$AB128,AD128)</f>
        <v>68492.892286571907</v>
      </c>
      <c r="AG128" s="73">
        <f t="shared" si="96"/>
        <v>229.44838281068573</v>
      </c>
      <c r="AH128" s="73">
        <f t="shared" si="97"/>
        <v>12612.363226016401</v>
      </c>
      <c r="AI128" s="73">
        <f t="shared" si="98"/>
        <v>69063.963226016407</v>
      </c>
      <c r="AJ128" s="73">
        <f t="shared" si="99"/>
        <v>66667.614213073291</v>
      </c>
      <c r="AK128" s="73" t="b">
        <f t="shared" si="79"/>
        <v>0</v>
      </c>
      <c r="AL128" s="73">
        <f t="shared" si="100"/>
        <v>66667.614213073291</v>
      </c>
      <c r="AM128" s="73">
        <f t="shared" si="87"/>
        <v>220.7945630426216</v>
      </c>
      <c r="AN128" s="73">
        <f t="shared" si="80"/>
        <v>41.950966978098108</v>
      </c>
      <c r="AO128" s="73">
        <f t="shared" si="81"/>
        <v>9965.6125088510016</v>
      </c>
      <c r="AP128" s="73">
        <f t="shared" si="82"/>
        <v>66417.212508851007</v>
      </c>
    </row>
    <row r="129" spans="1:42" s="69" customFormat="1" x14ac:dyDescent="0.6">
      <c r="A129" s="78">
        <f t="shared" si="66"/>
        <v>108</v>
      </c>
      <c r="B129" s="78" t="str">
        <f>IF(E129&lt;=$F$9,VLOOKUP(KALKULATOR!A129,Robocze!$B$23:$C$102,2),"")</f>
        <v>9 rok</v>
      </c>
      <c r="C129" s="78">
        <f t="shared" si="69"/>
        <v>2029</v>
      </c>
      <c r="D129" s="79">
        <f t="shared" si="83"/>
        <v>49.000000000000256</v>
      </c>
      <c r="E129" s="80">
        <f t="shared" si="84"/>
        <v>47423</v>
      </c>
      <c r="F129" s="81">
        <f t="shared" si="70"/>
        <v>47452</v>
      </c>
      <c r="G129" s="82">
        <f>IFERROR(IF(AND(F129&lt;=$F$9,$F$5=Robocze!$B$4,$E129&lt;=$F$9,MONTH($F$8)=MONTH(E129)),$F$4,0)+IF(AND(F129&lt;=$F$9,$F$5=Robocze!$B$3,E129&lt;=$F$9),KALKULATOR!$F$4/12,0),"")</f>
        <v>0</v>
      </c>
      <c r="H129" s="82">
        <f t="shared" si="71"/>
        <v>56451.600000000006</v>
      </c>
      <c r="I129" s="83">
        <f t="shared" si="67"/>
        <v>0.04</v>
      </c>
      <c r="J129" s="82">
        <f t="shared" si="88"/>
        <v>0</v>
      </c>
      <c r="K129" s="84">
        <f t="shared" si="89"/>
        <v>9</v>
      </c>
      <c r="L129" s="82">
        <f t="shared" si="90"/>
        <v>56451.600000000006</v>
      </c>
      <c r="M129" s="82">
        <f t="shared" si="91"/>
        <v>68714.127719081458</v>
      </c>
      <c r="N129" s="82">
        <f t="shared" si="92"/>
        <v>68714.127719081458</v>
      </c>
      <c r="O129" s="82">
        <f t="shared" si="93"/>
        <v>66854.086913783525</v>
      </c>
      <c r="P129" s="82">
        <f t="shared" si="94"/>
        <v>66854.086913783525</v>
      </c>
      <c r="Q129" s="82">
        <f t="shared" si="95"/>
        <v>66596.538982624916</v>
      </c>
      <c r="R129" s="82"/>
      <c r="S129" s="85">
        <f t="shared" si="68"/>
        <v>0.17</v>
      </c>
      <c r="T129" s="82">
        <f t="shared" si="85"/>
        <v>230.21321075338798</v>
      </c>
      <c r="U129" s="82">
        <f t="shared" si="72"/>
        <v>69294.176436769776</v>
      </c>
      <c r="V129" s="85">
        <f t="shared" si="73"/>
        <v>0.17</v>
      </c>
      <c r="W129" s="82">
        <f t="shared" si="74"/>
        <v>0</v>
      </c>
      <c r="X129" s="82">
        <f>IF(B129&lt;&gt;"",IF(MONTH(E129)=MONTH($F$13),SUMIF($C$22:C511,"="&amp;(C129-1),$G$22:G511),0)*S129,"")</f>
        <v>0</v>
      </c>
      <c r="Y129" s="82">
        <f>IF(B129&lt;&gt;"",SUM($X$22:X129),"")</f>
        <v>9596.7720000000008</v>
      </c>
      <c r="Z129" s="82">
        <f t="shared" si="86"/>
        <v>37.232676029927688</v>
      </c>
      <c r="AA129" s="82">
        <f t="shared" si="75"/>
        <v>7.0742084456862608</v>
      </c>
      <c r="AB129" s="82">
        <f t="shared" si="76"/>
        <v>1603.1892765625496</v>
      </c>
      <c r="AC129" s="82">
        <f t="shared" si="77"/>
        <v>11199.961276562546</v>
      </c>
      <c r="AD129" s="82">
        <f>IFERROR($U129*(1-$V129)+SUM($W$22:$W129)+$AB129,"")</f>
        <v>68714.127719081458</v>
      </c>
      <c r="AE129" s="73" t="b">
        <f t="shared" si="78"/>
        <v>0</v>
      </c>
      <c r="AF129" s="82">
        <f>IF(AND(AE129=TRUE,D129&gt;=65),$U129*(1-10%)+SUM($W$22:$W129)+$AB129,AD129)</f>
        <v>68714.127719081458</v>
      </c>
      <c r="AG129" s="82">
        <f t="shared" si="96"/>
        <v>230.21321075338801</v>
      </c>
      <c r="AH129" s="82">
        <f t="shared" si="97"/>
        <v>12842.576436769788</v>
      </c>
      <c r="AI129" s="82">
        <f t="shared" si="98"/>
        <v>69294.176436769791</v>
      </c>
      <c r="AJ129" s="82">
        <f t="shared" si="99"/>
        <v>66854.086913783525</v>
      </c>
      <c r="AK129" s="73" t="b">
        <f t="shared" si="79"/>
        <v>0</v>
      </c>
      <c r="AL129" s="82">
        <f t="shared" si="100"/>
        <v>66854.086913783525</v>
      </c>
      <c r="AM129" s="82">
        <f t="shared" si="87"/>
        <v>221.3907083628367</v>
      </c>
      <c r="AN129" s="82">
        <f t="shared" si="80"/>
        <v>42.064234588938973</v>
      </c>
      <c r="AO129" s="82">
        <f t="shared" si="81"/>
        <v>10144.93898262491</v>
      </c>
      <c r="AP129" s="82">
        <f t="shared" si="82"/>
        <v>66596.538982624916</v>
      </c>
    </row>
    <row r="130" spans="1:42" s="31" customFormat="1" x14ac:dyDescent="0.6">
      <c r="A130" s="70">
        <f t="shared" si="66"/>
        <v>109</v>
      </c>
      <c r="B130" s="70" t="str">
        <f>IF(E130&lt;=$F$9,VLOOKUP(KALKULATOR!A130,Robocze!$B$23:$C$102,2),"")</f>
        <v>10 rok</v>
      </c>
      <c r="C130" s="70">
        <f t="shared" si="69"/>
        <v>2029</v>
      </c>
      <c r="D130" s="71">
        <f t="shared" si="83"/>
        <v>49.083333333333591</v>
      </c>
      <c r="E130" s="72">
        <f t="shared" si="84"/>
        <v>47453</v>
      </c>
      <c r="F130" s="72">
        <f t="shared" si="70"/>
        <v>47483</v>
      </c>
      <c r="G130" s="73">
        <f>IFERROR(IF(AND(F130&lt;=$F$9,$F$5=Robocze!$B$4,$E130&lt;=$F$9,MONTH($F$8)=MONTH(E130)),$F$4,0)+IF(AND(F130&lt;=$F$9,$F$5=Robocze!$B$3,E130&lt;=$F$9),KALKULATOR!$F$4/12,0),"")</f>
        <v>6272.4</v>
      </c>
      <c r="H130" s="73">
        <f t="shared" si="71"/>
        <v>62724.000000000007</v>
      </c>
      <c r="I130" s="74">
        <f t="shared" si="67"/>
        <v>0.04</v>
      </c>
      <c r="J130" s="73">
        <f t="shared" si="88"/>
        <v>0</v>
      </c>
      <c r="K130" s="75" t="str">
        <f t="shared" si="89"/>
        <v/>
      </c>
      <c r="L130" s="73">
        <f t="shared" si="90"/>
        <v>62724.000000000007</v>
      </c>
      <c r="M130" s="73">
        <f t="shared" si="91"/>
        <v>75225.835142669923</v>
      </c>
      <c r="N130" s="73">
        <f t="shared" si="92"/>
        <v>75225.835142669923</v>
      </c>
      <c r="O130" s="73">
        <f t="shared" si="93"/>
        <v>73330.516670162804</v>
      </c>
      <c r="P130" s="73">
        <f t="shared" si="94"/>
        <v>73330.516670162804</v>
      </c>
      <c r="Q130" s="73">
        <f t="shared" si="95"/>
        <v>73065.685117878005</v>
      </c>
      <c r="R130" s="73"/>
      <c r="S130" s="76">
        <f t="shared" si="68"/>
        <v>0.17</v>
      </c>
      <c r="T130" s="73">
        <f t="shared" si="85"/>
        <v>251.88858812256592</v>
      </c>
      <c r="U130" s="73">
        <f t="shared" si="72"/>
        <v>75818.465024892343</v>
      </c>
      <c r="V130" s="76">
        <f t="shared" si="73"/>
        <v>0.17</v>
      </c>
      <c r="W130" s="73">
        <f t="shared" si="74"/>
        <v>1066.308</v>
      </c>
      <c r="X130" s="73">
        <f>IF(B130&lt;&gt;"",IF(MONTH(E130)=MONTH($F$13),SUMIF($C$22:C512,"="&amp;(C130-1),$G$22:G512),0)*S130,"")</f>
        <v>0</v>
      </c>
      <c r="Y130" s="73">
        <f>IF(B130&lt;&gt;"",SUM($X$22:X130),"")</f>
        <v>9596.7720000000008</v>
      </c>
      <c r="Z130" s="73">
        <f t="shared" si="86"/>
        <v>37.333204255208486</v>
      </c>
      <c r="AA130" s="73">
        <f t="shared" si="75"/>
        <v>7.0933088084896125</v>
      </c>
      <c r="AB130" s="73">
        <f t="shared" si="76"/>
        <v>1633.4291720092685</v>
      </c>
      <c r="AC130" s="73">
        <f t="shared" si="77"/>
        <v>11230.201172009265</v>
      </c>
      <c r="AD130" s="73">
        <f>IFERROR($U130*(1-$V130)+SUM($W$22:$W130)+$AB130,"")</f>
        <v>75225.835142669923</v>
      </c>
      <c r="AE130" s="73" t="b">
        <f t="shared" si="78"/>
        <v>0</v>
      </c>
      <c r="AF130" s="73">
        <f>IF(AND(AE130=TRUE,D130&gt;=65),$U130*(1-10%)+SUM($W$22:$W130)+$AB130,AD130)</f>
        <v>75225.835142669923</v>
      </c>
      <c r="AG130" s="73">
        <f t="shared" si="96"/>
        <v>251.88858812256595</v>
      </c>
      <c r="AH130" s="73">
        <f t="shared" si="97"/>
        <v>13094.465024892354</v>
      </c>
      <c r="AI130" s="73">
        <f t="shared" si="98"/>
        <v>75818.465024892357</v>
      </c>
      <c r="AJ130" s="73">
        <f t="shared" si="99"/>
        <v>73330.516670162804</v>
      </c>
      <c r="AK130" s="73" t="b">
        <f t="shared" si="79"/>
        <v>0</v>
      </c>
      <c r="AL130" s="73">
        <f t="shared" si="100"/>
        <v>73330.516670162804</v>
      </c>
      <c r="AM130" s="73">
        <f t="shared" si="87"/>
        <v>242.89646327541638</v>
      </c>
      <c r="AN130" s="73">
        <f t="shared" si="80"/>
        <v>46.150328022329113</v>
      </c>
      <c r="AO130" s="73">
        <f t="shared" si="81"/>
        <v>10341.685117877998</v>
      </c>
      <c r="AP130" s="73">
        <f t="shared" si="82"/>
        <v>73065.685117878005</v>
      </c>
    </row>
    <row r="131" spans="1:42" s="31" customFormat="1" x14ac:dyDescent="0.6">
      <c r="A131" s="70">
        <f t="shared" si="66"/>
        <v>110</v>
      </c>
      <c r="B131" s="70" t="str">
        <f>IF(E131&lt;=$F$9,VLOOKUP(KALKULATOR!A131,Robocze!$B$23:$C$102,2),"")</f>
        <v>10 rok</v>
      </c>
      <c r="C131" s="70">
        <f t="shared" si="69"/>
        <v>2030</v>
      </c>
      <c r="D131" s="71">
        <f t="shared" si="83"/>
        <v>49.166666666666927</v>
      </c>
      <c r="E131" s="77">
        <f t="shared" si="84"/>
        <v>47484</v>
      </c>
      <c r="F131" s="72">
        <f t="shared" si="70"/>
        <v>47514</v>
      </c>
      <c r="G131" s="73">
        <f>IFERROR(IF(AND(F131&lt;=$F$9,$F$5=Robocze!$B$4,$E131&lt;=$F$9,MONTH($F$8)=MONTH(E131)),$F$4,0)+IF(AND(F131&lt;=$F$9,$F$5=Robocze!$B$3,E131&lt;=$F$9),KALKULATOR!$F$4/12,0),"")</f>
        <v>0</v>
      </c>
      <c r="H131" s="73">
        <f t="shared" si="71"/>
        <v>62724.000000000007</v>
      </c>
      <c r="I131" s="74">
        <f t="shared" si="67"/>
        <v>0.04</v>
      </c>
      <c r="J131" s="73">
        <f t="shared" si="88"/>
        <v>0</v>
      </c>
      <c r="K131" s="75" t="str">
        <f t="shared" si="89"/>
        <v/>
      </c>
      <c r="L131" s="73">
        <f t="shared" si="90"/>
        <v>62724.000000000007</v>
      </c>
      <c r="M131" s="73">
        <f t="shared" si="91"/>
        <v>75465.921105736546</v>
      </c>
      <c r="N131" s="73">
        <f t="shared" si="92"/>
        <v>75465.921105736546</v>
      </c>
      <c r="O131" s="73">
        <f t="shared" si="93"/>
        <v>73535.226525730017</v>
      </c>
      <c r="P131" s="73">
        <f t="shared" si="94"/>
        <v>73535.226525730017</v>
      </c>
      <c r="Q131" s="73">
        <f t="shared" si="95"/>
        <v>73262.96246769627</v>
      </c>
      <c r="R131" s="73"/>
      <c r="S131" s="76">
        <f t="shared" si="68"/>
        <v>0.17</v>
      </c>
      <c r="T131" s="73">
        <f t="shared" si="85"/>
        <v>252.72821674964115</v>
      </c>
      <c r="U131" s="73">
        <f t="shared" si="72"/>
        <v>76071.193241641988</v>
      </c>
      <c r="V131" s="76">
        <f t="shared" si="73"/>
        <v>0.17</v>
      </c>
      <c r="W131" s="73">
        <f t="shared" si="74"/>
        <v>0</v>
      </c>
      <c r="X131" s="73">
        <f>IF(B131&lt;&gt;"",IF(MONTH(E131)=MONTH($F$13),SUMIF($C$22:C513,"="&amp;(C131-1),$G$22:G513),0)*S131,"")</f>
        <v>0</v>
      </c>
      <c r="Y131" s="73">
        <f>IF(B131&lt;&gt;"",SUM($X$22:X131),"")</f>
        <v>9596.7720000000008</v>
      </c>
      <c r="Z131" s="73">
        <f t="shared" si="86"/>
        <v>37.434003906697548</v>
      </c>
      <c r="AA131" s="73">
        <f t="shared" si="75"/>
        <v>7.1124607422725346</v>
      </c>
      <c r="AB131" s="73">
        <f t="shared" si="76"/>
        <v>1663.7507151736936</v>
      </c>
      <c r="AC131" s="73">
        <f t="shared" si="77"/>
        <v>11260.522715173691</v>
      </c>
      <c r="AD131" s="73">
        <f>IFERROR($U131*(1-$V131)+SUM($W$22:$W131)+$AB131,"")</f>
        <v>75465.921105736546</v>
      </c>
      <c r="AE131" s="73" t="b">
        <f t="shared" si="78"/>
        <v>0</v>
      </c>
      <c r="AF131" s="73">
        <f>IF(AND(AE131=TRUE,D131&gt;=65),$U131*(1-10%)+SUM($W$22:$W131)+$AB131,AD131)</f>
        <v>75465.921105736546</v>
      </c>
      <c r="AG131" s="73">
        <f t="shared" si="96"/>
        <v>252.72821674964121</v>
      </c>
      <c r="AH131" s="73">
        <f t="shared" si="97"/>
        <v>13347.193241641995</v>
      </c>
      <c r="AI131" s="73">
        <f t="shared" si="98"/>
        <v>76071.193241642002</v>
      </c>
      <c r="AJ131" s="73">
        <f t="shared" si="99"/>
        <v>73535.226525730017</v>
      </c>
      <c r="AK131" s="73" t="b">
        <f t="shared" si="79"/>
        <v>0</v>
      </c>
      <c r="AL131" s="73">
        <f t="shared" si="100"/>
        <v>73535.226525730017</v>
      </c>
      <c r="AM131" s="73">
        <f t="shared" si="87"/>
        <v>243.55228372626001</v>
      </c>
      <c r="AN131" s="73">
        <f t="shared" si="80"/>
        <v>46.2749339079894</v>
      </c>
      <c r="AO131" s="73">
        <f t="shared" si="81"/>
        <v>10538.962467696263</v>
      </c>
      <c r="AP131" s="73">
        <f t="shared" si="82"/>
        <v>73262.96246769627</v>
      </c>
    </row>
    <row r="132" spans="1:42" s="31" customFormat="1" x14ac:dyDescent="0.6">
      <c r="A132" s="70">
        <f t="shared" si="66"/>
        <v>111</v>
      </c>
      <c r="B132" s="70" t="str">
        <f>IF(E132&lt;=$F$9,VLOOKUP(KALKULATOR!A132,Robocze!$B$23:$C$102,2),"")</f>
        <v>10 rok</v>
      </c>
      <c r="C132" s="70">
        <f t="shared" si="69"/>
        <v>2030</v>
      </c>
      <c r="D132" s="71">
        <f t="shared" si="83"/>
        <v>49.250000000000263</v>
      </c>
      <c r="E132" s="77">
        <f t="shared" si="84"/>
        <v>47515</v>
      </c>
      <c r="F132" s="72">
        <f t="shared" si="70"/>
        <v>47542</v>
      </c>
      <c r="G132" s="73">
        <f>IFERROR(IF(AND(F132&lt;=$F$9,$F$5=Robocze!$B$4,$E132&lt;=$F$9,MONTH($F$8)=MONTH(E132)),$F$4,0)+IF(AND(F132&lt;=$F$9,$F$5=Robocze!$B$3,E132&lt;=$F$9),KALKULATOR!$F$4/12,0),"")</f>
        <v>0</v>
      </c>
      <c r="H132" s="73">
        <f t="shared" si="71"/>
        <v>62724.000000000007</v>
      </c>
      <c r="I132" s="74">
        <f t="shared" si="67"/>
        <v>0.04</v>
      </c>
      <c r="J132" s="73">
        <f t="shared" si="88"/>
        <v>0</v>
      </c>
      <c r="K132" s="75" t="str">
        <f t="shared" si="89"/>
        <v/>
      </c>
      <c r="L132" s="73">
        <f t="shared" si="90"/>
        <v>62724.000000000007</v>
      </c>
      <c r="M132" s="73">
        <f t="shared" si="91"/>
        <v>75706.788151702727</v>
      </c>
      <c r="N132" s="73">
        <f t="shared" si="92"/>
        <v>75706.788151702727</v>
      </c>
      <c r="O132" s="73">
        <f t="shared" si="93"/>
        <v>73740.618747482455</v>
      </c>
      <c r="P132" s="73">
        <f t="shared" si="94"/>
        <v>73740.618747482455</v>
      </c>
      <c r="Q132" s="73">
        <f t="shared" si="95"/>
        <v>73460.772466359049</v>
      </c>
      <c r="R132" s="73"/>
      <c r="S132" s="76">
        <f t="shared" si="68"/>
        <v>0.17</v>
      </c>
      <c r="T132" s="73">
        <f t="shared" si="85"/>
        <v>253.57064413880664</v>
      </c>
      <c r="U132" s="73">
        <f t="shared" si="72"/>
        <v>76324.763885780791</v>
      </c>
      <c r="V132" s="76">
        <f t="shared" si="73"/>
        <v>0.17</v>
      </c>
      <c r="W132" s="73">
        <f t="shared" si="74"/>
        <v>0</v>
      </c>
      <c r="X132" s="73">
        <f>IF(B132&lt;&gt;"",IF(MONTH(E132)=MONTH($F$13),SUMIF($C$22:C514,"="&amp;(C132-1),$G$22:G514),0)*S132,"")</f>
        <v>0</v>
      </c>
      <c r="Y132" s="73">
        <f>IF(B132&lt;&gt;"",SUM($X$22:X132),"")</f>
        <v>9596.7720000000008</v>
      </c>
      <c r="Z132" s="73">
        <f t="shared" si="86"/>
        <v>37.53507571724564</v>
      </c>
      <c r="AA132" s="73">
        <f t="shared" si="75"/>
        <v>7.1316643862766718</v>
      </c>
      <c r="AB132" s="73">
        <f t="shared" si="76"/>
        <v>1694.1541265046626</v>
      </c>
      <c r="AC132" s="73">
        <f t="shared" si="77"/>
        <v>11290.926126504659</v>
      </c>
      <c r="AD132" s="73">
        <f>IFERROR($U132*(1-$V132)+SUM($W$22:$W132)+$AB132,"")</f>
        <v>75706.788151702727</v>
      </c>
      <c r="AE132" s="73" t="b">
        <f t="shared" si="78"/>
        <v>0</v>
      </c>
      <c r="AF132" s="73">
        <f>IF(AND(AE132=TRUE,D132&gt;=65),$U132*(1-10%)+SUM($W$22:$W132)+$AB132,AD132)</f>
        <v>75706.788151702727</v>
      </c>
      <c r="AG132" s="73">
        <f t="shared" si="96"/>
        <v>253.57064413880667</v>
      </c>
      <c r="AH132" s="73">
        <f t="shared" si="97"/>
        <v>13600.763885780802</v>
      </c>
      <c r="AI132" s="73">
        <f t="shared" si="98"/>
        <v>76324.763885780805</v>
      </c>
      <c r="AJ132" s="73">
        <f t="shared" si="99"/>
        <v>73740.618747482455</v>
      </c>
      <c r="AK132" s="73" t="b">
        <f t="shared" si="79"/>
        <v>0</v>
      </c>
      <c r="AL132" s="73">
        <f t="shared" si="100"/>
        <v>73740.618747482455</v>
      </c>
      <c r="AM132" s="73">
        <f t="shared" si="87"/>
        <v>244.20987489232093</v>
      </c>
      <c r="AN132" s="73">
        <f t="shared" si="80"/>
        <v>46.399876229540979</v>
      </c>
      <c r="AO132" s="73">
        <f t="shared" si="81"/>
        <v>10736.772466359042</v>
      </c>
      <c r="AP132" s="73">
        <f t="shared" si="82"/>
        <v>73460.772466359049</v>
      </c>
    </row>
    <row r="133" spans="1:42" s="31" customFormat="1" x14ac:dyDescent="0.6">
      <c r="A133" s="70">
        <f t="shared" si="66"/>
        <v>112</v>
      </c>
      <c r="B133" s="70" t="str">
        <f>IF(E133&lt;=$F$9,VLOOKUP(KALKULATOR!A133,Robocze!$B$23:$C$102,2),"")</f>
        <v>10 rok</v>
      </c>
      <c r="C133" s="70">
        <f t="shared" si="69"/>
        <v>2030</v>
      </c>
      <c r="D133" s="71">
        <f t="shared" si="83"/>
        <v>49.333333333333599</v>
      </c>
      <c r="E133" s="77">
        <f t="shared" si="84"/>
        <v>47543</v>
      </c>
      <c r="F133" s="72">
        <f t="shared" si="70"/>
        <v>47573</v>
      </c>
      <c r="G133" s="73">
        <f>IFERROR(IF(AND(F133&lt;=$F$9,$F$5=Robocze!$B$4,$E133&lt;=$F$9,MONTH($F$8)=MONTH(E133)),$F$4,0)+IF(AND(F133&lt;=$F$9,$F$5=Robocze!$B$3,E133&lt;=$F$9),KALKULATOR!$F$4/12,0),"")</f>
        <v>0</v>
      </c>
      <c r="H133" s="73">
        <f t="shared" si="71"/>
        <v>62724.000000000007</v>
      </c>
      <c r="I133" s="74">
        <f t="shared" si="67"/>
        <v>0.04</v>
      </c>
      <c r="J133" s="73">
        <f t="shared" si="88"/>
        <v>0</v>
      </c>
      <c r="K133" s="75" t="str">
        <f t="shared" si="89"/>
        <v/>
      </c>
      <c r="L133" s="73">
        <f t="shared" si="90"/>
        <v>62724.000000000007</v>
      </c>
      <c r="M133" s="73">
        <f t="shared" si="91"/>
        <v>75948.438832328262</v>
      </c>
      <c r="N133" s="73">
        <f t="shared" si="92"/>
        <v>75948.438832328262</v>
      </c>
      <c r="O133" s="73">
        <f t="shared" si="93"/>
        <v>73946.695609974064</v>
      </c>
      <c r="P133" s="73">
        <f t="shared" si="94"/>
        <v>73946.695609974064</v>
      </c>
      <c r="Q133" s="73">
        <f t="shared" si="95"/>
        <v>73659.116552018211</v>
      </c>
      <c r="R133" s="73"/>
      <c r="S133" s="76">
        <f t="shared" si="68"/>
        <v>0.17</v>
      </c>
      <c r="T133" s="73">
        <f t="shared" si="85"/>
        <v>254.4158796192693</v>
      </c>
      <c r="U133" s="73">
        <f t="shared" si="72"/>
        <v>76579.179765400055</v>
      </c>
      <c r="V133" s="76">
        <f t="shared" si="73"/>
        <v>0.17</v>
      </c>
      <c r="W133" s="73">
        <f t="shared" si="74"/>
        <v>0</v>
      </c>
      <c r="X133" s="73">
        <f>IF(B133&lt;&gt;"",IF(MONTH(E133)=MONTH($F$13),SUMIF($C$22:C515,"="&amp;(C133-1),$G$22:G515),0)*S133,"")</f>
        <v>0</v>
      </c>
      <c r="Y133" s="73">
        <f>IF(B133&lt;&gt;"",SUM($X$22:X133),"")</f>
        <v>9596.7720000000008</v>
      </c>
      <c r="Z133" s="73">
        <f t="shared" si="86"/>
        <v>37.636420421682196</v>
      </c>
      <c r="AA133" s="73">
        <f t="shared" si="75"/>
        <v>7.1509198801196172</v>
      </c>
      <c r="AB133" s="73">
        <f t="shared" si="76"/>
        <v>1724.6396270462253</v>
      </c>
      <c r="AC133" s="73">
        <f t="shared" si="77"/>
        <v>11321.411627046222</v>
      </c>
      <c r="AD133" s="73">
        <f>IFERROR($U133*(1-$V133)+SUM($W$22:$W133)+$AB133,"")</f>
        <v>75948.438832328262</v>
      </c>
      <c r="AE133" s="73" t="b">
        <f t="shared" si="78"/>
        <v>0</v>
      </c>
      <c r="AF133" s="73">
        <f>IF(AND(AE133=TRUE,D133&gt;=65),$U133*(1-10%)+SUM($W$22:$W133)+$AB133,AD133)</f>
        <v>75948.438832328262</v>
      </c>
      <c r="AG133" s="73">
        <f t="shared" si="96"/>
        <v>254.41587961926936</v>
      </c>
      <c r="AH133" s="73">
        <f t="shared" si="97"/>
        <v>13855.179765400071</v>
      </c>
      <c r="AI133" s="73">
        <f t="shared" si="98"/>
        <v>76579.179765400084</v>
      </c>
      <c r="AJ133" s="73">
        <f t="shared" si="99"/>
        <v>73946.695609974064</v>
      </c>
      <c r="AK133" s="73" t="b">
        <f t="shared" si="79"/>
        <v>0</v>
      </c>
      <c r="AL133" s="73">
        <f t="shared" si="100"/>
        <v>73946.695609974064</v>
      </c>
      <c r="AM133" s="73">
        <f t="shared" si="87"/>
        <v>244.86924155453016</v>
      </c>
      <c r="AN133" s="73">
        <f t="shared" si="80"/>
        <v>46.525155895360733</v>
      </c>
      <c r="AO133" s="73">
        <f t="shared" si="81"/>
        <v>10935.116552018204</v>
      </c>
      <c r="AP133" s="73">
        <f t="shared" si="82"/>
        <v>73659.116552018211</v>
      </c>
    </row>
    <row r="134" spans="1:42" s="31" customFormat="1" x14ac:dyDescent="0.6">
      <c r="A134" s="70">
        <f t="shared" si="66"/>
        <v>113</v>
      </c>
      <c r="B134" s="70" t="str">
        <f>IF(E134&lt;=$F$9,VLOOKUP(KALKULATOR!A134,Robocze!$B$23:$C$102,2),"")</f>
        <v>10 rok</v>
      </c>
      <c r="C134" s="70">
        <f t="shared" si="69"/>
        <v>2030</v>
      </c>
      <c r="D134" s="71">
        <f t="shared" si="83"/>
        <v>49.416666666666934</v>
      </c>
      <c r="E134" s="77">
        <f t="shared" si="84"/>
        <v>47574</v>
      </c>
      <c r="F134" s="72">
        <f t="shared" si="70"/>
        <v>47603</v>
      </c>
      <c r="G134" s="73">
        <f>IFERROR(IF(AND(F134&lt;=$F$9,$F$5=Robocze!$B$4,$E134&lt;=$F$9,MONTH($F$8)=MONTH(E134)),$F$4,0)+IF(AND(F134&lt;=$F$9,$F$5=Robocze!$B$3,E134&lt;=$F$9),KALKULATOR!$F$4/12,0),"")</f>
        <v>0</v>
      </c>
      <c r="H134" s="73">
        <f t="shared" si="71"/>
        <v>62724.000000000007</v>
      </c>
      <c r="I134" s="74">
        <f t="shared" si="67"/>
        <v>0.04</v>
      </c>
      <c r="J134" s="73">
        <f t="shared" si="88"/>
        <v>0</v>
      </c>
      <c r="K134" s="75" t="str">
        <f t="shared" si="89"/>
        <v/>
      </c>
      <c r="L134" s="73">
        <f t="shared" si="90"/>
        <v>62724.000000000007</v>
      </c>
      <c r="M134" s="73">
        <f t="shared" si="91"/>
        <v>76193.754739338896</v>
      </c>
      <c r="N134" s="73">
        <f t="shared" si="92"/>
        <v>76193.754739338896</v>
      </c>
      <c r="O134" s="73">
        <f t="shared" si="93"/>
        <v>74153.459395340644</v>
      </c>
      <c r="P134" s="73">
        <f t="shared" si="94"/>
        <v>74153.459395340644</v>
      </c>
      <c r="Q134" s="73">
        <f t="shared" si="95"/>
        <v>73857.996166708661</v>
      </c>
      <c r="R134" s="73"/>
      <c r="S134" s="76">
        <f t="shared" si="68"/>
        <v>0.17</v>
      </c>
      <c r="T134" s="73">
        <f t="shared" si="85"/>
        <v>255.26393255133354</v>
      </c>
      <c r="U134" s="73">
        <f t="shared" si="72"/>
        <v>76834.443697951385</v>
      </c>
      <c r="V134" s="76">
        <f t="shared" si="73"/>
        <v>0.17</v>
      </c>
      <c r="W134" s="73">
        <f t="shared" si="74"/>
        <v>0</v>
      </c>
      <c r="X134" s="73">
        <f>IF(B134&lt;&gt;"",IF(MONTH(E134)=MONTH($F$13),SUMIF($C$22:C516,"="&amp;(C134-1),$G$22:G516),0)*S134,"")</f>
        <v>1066.308</v>
      </c>
      <c r="Y134" s="73">
        <f>IF(B134&lt;&gt;"",SUM($X$22:X134),"")</f>
        <v>10663.080000000002</v>
      </c>
      <c r="Z134" s="73">
        <f t="shared" si="86"/>
        <v>41.292398756820745</v>
      </c>
      <c r="AA134" s="73">
        <f t="shared" si="75"/>
        <v>7.8455557637959421</v>
      </c>
      <c r="AB134" s="73">
        <f t="shared" si="76"/>
        <v>1758.0864700392501</v>
      </c>
      <c r="AC134" s="73">
        <f t="shared" si="77"/>
        <v>12421.166470039247</v>
      </c>
      <c r="AD134" s="73">
        <f>IFERROR($U134*(1-$V134)+SUM($W$22:$W134)+$AB134,"")</f>
        <v>76193.754739338896</v>
      </c>
      <c r="AE134" s="73" t="b">
        <f t="shared" si="78"/>
        <v>0</v>
      </c>
      <c r="AF134" s="73">
        <f>IF(AND(AE134=TRUE,D134&gt;=65),$U134*(1-10%)+SUM($W$22:$W134)+$AB134,AD134)</f>
        <v>76193.754739338896</v>
      </c>
      <c r="AG134" s="73">
        <f t="shared" si="96"/>
        <v>255.26393255133362</v>
      </c>
      <c r="AH134" s="73">
        <f t="shared" si="97"/>
        <v>14110.443697951405</v>
      </c>
      <c r="AI134" s="73">
        <f t="shared" si="98"/>
        <v>76834.443697951414</v>
      </c>
      <c r="AJ134" s="73">
        <f t="shared" si="99"/>
        <v>74153.459395340644</v>
      </c>
      <c r="AK134" s="73" t="b">
        <f t="shared" si="79"/>
        <v>0</v>
      </c>
      <c r="AL134" s="73">
        <f t="shared" si="100"/>
        <v>74153.459395340644</v>
      </c>
      <c r="AM134" s="73">
        <f t="shared" si="87"/>
        <v>245.53038850672738</v>
      </c>
      <c r="AN134" s="73">
        <f t="shared" si="80"/>
        <v>46.650773816278203</v>
      </c>
      <c r="AO134" s="73">
        <f t="shared" si="81"/>
        <v>11133.996166708654</v>
      </c>
      <c r="AP134" s="73">
        <f t="shared" si="82"/>
        <v>73857.996166708661</v>
      </c>
    </row>
    <row r="135" spans="1:42" s="31" customFormat="1" x14ac:dyDescent="0.6">
      <c r="A135" s="70">
        <f t="shared" si="66"/>
        <v>114</v>
      </c>
      <c r="B135" s="70" t="str">
        <f>IF(E135&lt;=$F$9,VLOOKUP(KALKULATOR!A135,Robocze!$B$23:$C$102,2),"")</f>
        <v>10 rok</v>
      </c>
      <c r="C135" s="70">
        <f t="shared" si="69"/>
        <v>2030</v>
      </c>
      <c r="D135" s="71">
        <f t="shared" si="83"/>
        <v>49.50000000000027</v>
      </c>
      <c r="E135" s="77">
        <f t="shared" si="84"/>
        <v>47604</v>
      </c>
      <c r="F135" s="72">
        <f t="shared" si="70"/>
        <v>47634</v>
      </c>
      <c r="G135" s="73">
        <f>IFERROR(IF(AND(F135&lt;=$F$9,$F$5=Robocze!$B$4,$E135&lt;=$F$9,MONTH($F$8)=MONTH(E135)),$F$4,0)+IF(AND(F135&lt;=$F$9,$F$5=Robocze!$B$3,E135&lt;=$F$9),KALKULATOR!$F$4/12,0),"")</f>
        <v>0</v>
      </c>
      <c r="H135" s="73">
        <f t="shared" si="71"/>
        <v>62724.000000000007</v>
      </c>
      <c r="I135" s="74">
        <f t="shared" si="67"/>
        <v>0.04</v>
      </c>
      <c r="J135" s="73">
        <f t="shared" si="88"/>
        <v>0</v>
      </c>
      <c r="K135" s="75" t="str">
        <f t="shared" si="89"/>
        <v/>
      </c>
      <c r="L135" s="73">
        <f t="shared" si="90"/>
        <v>62724.000000000007</v>
      </c>
      <c r="M135" s="73">
        <f t="shared" si="91"/>
        <v>76439.867183039009</v>
      </c>
      <c r="N135" s="73">
        <f t="shared" si="92"/>
        <v>76439.867183039009</v>
      </c>
      <c r="O135" s="73">
        <f t="shared" si="93"/>
        <v>74360.91239332511</v>
      </c>
      <c r="P135" s="73">
        <f t="shared" si="94"/>
        <v>74360.91239332511</v>
      </c>
      <c r="Q135" s="73">
        <f t="shared" si="95"/>
        <v>74057.412756358783</v>
      </c>
      <c r="R135" s="73"/>
      <c r="S135" s="76">
        <f t="shared" si="68"/>
        <v>0.17</v>
      </c>
      <c r="T135" s="73">
        <f t="shared" si="85"/>
        <v>256.11481232650465</v>
      </c>
      <c r="U135" s="73">
        <f t="shared" si="72"/>
        <v>77090.558510277886</v>
      </c>
      <c r="V135" s="76">
        <f t="shared" si="73"/>
        <v>0.17</v>
      </c>
      <c r="W135" s="73">
        <f t="shared" si="74"/>
        <v>0</v>
      </c>
      <c r="X135" s="73">
        <f>IF(B135&lt;&gt;"",IF(MONTH(E135)=MONTH($F$13),SUMIF($C$22:C517,"="&amp;(C135-1),$G$22:G517),0)*S135,"")</f>
        <v>0</v>
      </c>
      <c r="Y135" s="73">
        <f>IF(B135&lt;&gt;"",SUM($X$22:X135),"")</f>
        <v>10663.080000000002</v>
      </c>
      <c r="Z135" s="73">
        <f t="shared" si="86"/>
        <v>41.403888233464158</v>
      </c>
      <c r="AA135" s="73">
        <f t="shared" si="75"/>
        <v>7.8667387643581899</v>
      </c>
      <c r="AB135" s="73">
        <f t="shared" si="76"/>
        <v>1791.6236195083561</v>
      </c>
      <c r="AC135" s="73">
        <f t="shared" si="77"/>
        <v>12454.703619508353</v>
      </c>
      <c r="AD135" s="73">
        <f>IFERROR($U135*(1-$V135)+SUM($W$22:$W135)+$AB135,"")</f>
        <v>76439.867183039009</v>
      </c>
      <c r="AE135" s="73" t="b">
        <f t="shared" si="78"/>
        <v>0</v>
      </c>
      <c r="AF135" s="73">
        <f>IF(AND(AE135=TRUE,D135&gt;=65),$U135*(1-10%)+SUM($W$22:$W135)+$AB135,AD135)</f>
        <v>76439.867183039009</v>
      </c>
      <c r="AG135" s="73">
        <f t="shared" si="96"/>
        <v>256.1148123265047</v>
      </c>
      <c r="AH135" s="73">
        <f t="shared" si="97"/>
        <v>14366.55851027791</v>
      </c>
      <c r="AI135" s="73">
        <f t="shared" si="98"/>
        <v>77090.558510277915</v>
      </c>
      <c r="AJ135" s="73">
        <f t="shared" si="99"/>
        <v>74360.91239332511</v>
      </c>
      <c r="AK135" s="73" t="b">
        <f t="shared" si="79"/>
        <v>0</v>
      </c>
      <c r="AL135" s="73">
        <f t="shared" si="100"/>
        <v>74360.91239332511</v>
      </c>
      <c r="AM135" s="73">
        <f t="shared" si="87"/>
        <v>246.19332055569555</v>
      </c>
      <c r="AN135" s="73">
        <f t="shared" si="80"/>
        <v>46.776730905582156</v>
      </c>
      <c r="AO135" s="73">
        <f t="shared" si="81"/>
        <v>11333.412756358775</v>
      </c>
      <c r="AP135" s="73">
        <f t="shared" si="82"/>
        <v>74057.412756358783</v>
      </c>
    </row>
    <row r="136" spans="1:42" s="31" customFormat="1" x14ac:dyDescent="0.6">
      <c r="A136" s="70">
        <f t="shared" si="66"/>
        <v>115</v>
      </c>
      <c r="B136" s="70" t="str">
        <f>IF(E136&lt;=$F$9,VLOOKUP(KALKULATOR!A136,Robocze!$B$23:$C$102,2),"")</f>
        <v>10 rok</v>
      </c>
      <c r="C136" s="70">
        <f t="shared" si="69"/>
        <v>2030</v>
      </c>
      <c r="D136" s="71">
        <f t="shared" si="83"/>
        <v>49.583333333333606</v>
      </c>
      <c r="E136" s="77">
        <f t="shared" si="84"/>
        <v>47635</v>
      </c>
      <c r="F136" s="72">
        <f t="shared" si="70"/>
        <v>47664</v>
      </c>
      <c r="G136" s="73">
        <f>IFERROR(IF(AND(F136&lt;=$F$9,$F$5=Robocze!$B$4,$E136&lt;=$F$9,MONTH($F$8)=MONTH(E136)),$F$4,0)+IF(AND(F136&lt;=$F$9,$F$5=Robocze!$B$3,E136&lt;=$F$9),KALKULATOR!$F$4/12,0),"")</f>
        <v>0</v>
      </c>
      <c r="H136" s="73">
        <f t="shared" si="71"/>
        <v>62724.000000000007</v>
      </c>
      <c r="I136" s="74">
        <f t="shared" si="67"/>
        <v>0.04</v>
      </c>
      <c r="J136" s="73">
        <f t="shared" si="88"/>
        <v>0</v>
      </c>
      <c r="K136" s="75" t="str">
        <f t="shared" si="89"/>
        <v/>
      </c>
      <c r="L136" s="73">
        <f t="shared" si="90"/>
        <v>62724.000000000007</v>
      </c>
      <c r="M136" s="73">
        <f t="shared" si="91"/>
        <v>76686.778761356778</v>
      </c>
      <c r="N136" s="73">
        <f t="shared" si="92"/>
        <v>76686.778761356778</v>
      </c>
      <c r="O136" s="73">
        <f t="shared" si="93"/>
        <v>74569.056901302858</v>
      </c>
      <c r="P136" s="73">
        <f t="shared" si="94"/>
        <v>74569.056901302858</v>
      </c>
      <c r="Q136" s="73">
        <f t="shared" si="95"/>
        <v>74257.367770800949</v>
      </c>
      <c r="R136" s="73"/>
      <c r="S136" s="76">
        <f t="shared" si="68"/>
        <v>0.17</v>
      </c>
      <c r="T136" s="73">
        <f t="shared" si="85"/>
        <v>256.96852836759297</v>
      </c>
      <c r="U136" s="73">
        <f t="shared" si="72"/>
        <v>77347.527038645479</v>
      </c>
      <c r="V136" s="76">
        <f t="shared" si="73"/>
        <v>0.17</v>
      </c>
      <c r="W136" s="73">
        <f t="shared" si="74"/>
        <v>0</v>
      </c>
      <c r="X136" s="73">
        <f>IF(B136&lt;&gt;"",IF(MONTH(E136)=MONTH($F$13),SUMIF($C$22:C518,"="&amp;(C136-1),$G$22:G518),0)*S136,"")</f>
        <v>0</v>
      </c>
      <c r="Y136" s="73">
        <f>IF(B136&lt;&gt;"",SUM($X$22:X136),"")</f>
        <v>10663.080000000002</v>
      </c>
      <c r="Z136" s="73">
        <f t="shared" si="86"/>
        <v>41.515678731694514</v>
      </c>
      <c r="AA136" s="73">
        <f t="shared" si="75"/>
        <v>7.8879789590219582</v>
      </c>
      <c r="AB136" s="73">
        <f t="shared" si="76"/>
        <v>1825.2513192810288</v>
      </c>
      <c r="AC136" s="73">
        <f t="shared" si="77"/>
        <v>12488.331319281024</v>
      </c>
      <c r="AD136" s="73">
        <f>IFERROR($U136*(1-$V136)+SUM($W$22:$W136)+$AB136,"")</f>
        <v>76686.778761356778</v>
      </c>
      <c r="AE136" s="73" t="b">
        <f t="shared" si="78"/>
        <v>0</v>
      </c>
      <c r="AF136" s="73">
        <f>IF(AND(AE136=TRUE,D136&gt;=65),$U136*(1-10%)+SUM($W$22:$W136)+$AB136,AD136)</f>
        <v>76686.778761356778</v>
      </c>
      <c r="AG136" s="73">
        <f t="shared" si="96"/>
        <v>256.96852836759302</v>
      </c>
      <c r="AH136" s="73">
        <f t="shared" si="97"/>
        <v>14623.527038645503</v>
      </c>
      <c r="AI136" s="73">
        <f t="shared" si="98"/>
        <v>77347.527038645509</v>
      </c>
      <c r="AJ136" s="73">
        <f t="shared" si="99"/>
        <v>74569.056901302858</v>
      </c>
      <c r="AK136" s="73" t="b">
        <f t="shared" si="79"/>
        <v>0</v>
      </c>
      <c r="AL136" s="73">
        <f t="shared" si="100"/>
        <v>74569.056901302858</v>
      </c>
      <c r="AM136" s="73">
        <f t="shared" si="87"/>
        <v>246.85804252119593</v>
      </c>
      <c r="AN136" s="73">
        <f t="shared" si="80"/>
        <v>46.90302807902723</v>
      </c>
      <c r="AO136" s="73">
        <f t="shared" si="81"/>
        <v>11533.367770800942</v>
      </c>
      <c r="AP136" s="73">
        <f t="shared" si="82"/>
        <v>74257.367770800949</v>
      </c>
    </row>
    <row r="137" spans="1:42" s="31" customFormat="1" x14ac:dyDescent="0.6">
      <c r="A137" s="70">
        <f t="shared" si="66"/>
        <v>116</v>
      </c>
      <c r="B137" s="70" t="str">
        <f>IF(E137&lt;=$F$9,VLOOKUP(KALKULATOR!A137,Robocze!$B$23:$C$102,2),"")</f>
        <v>10 rok</v>
      </c>
      <c r="C137" s="70">
        <f t="shared" si="69"/>
        <v>2030</v>
      </c>
      <c r="D137" s="71">
        <f t="shared" si="83"/>
        <v>49.666666666666941</v>
      </c>
      <c r="E137" s="77">
        <f t="shared" si="84"/>
        <v>47665</v>
      </c>
      <c r="F137" s="72">
        <f t="shared" si="70"/>
        <v>47695</v>
      </c>
      <c r="G137" s="73">
        <f>IFERROR(IF(AND(F137&lt;=$F$9,$F$5=Robocze!$B$4,$E137&lt;=$F$9,MONTH($F$8)=MONTH(E137)),$F$4,0)+IF(AND(F137&lt;=$F$9,$F$5=Robocze!$B$3,E137&lt;=$F$9),KALKULATOR!$F$4/12,0),"")</f>
        <v>0</v>
      </c>
      <c r="H137" s="73">
        <f t="shared" si="71"/>
        <v>62724.000000000007</v>
      </c>
      <c r="I137" s="74">
        <f t="shared" si="67"/>
        <v>0.04</v>
      </c>
      <c r="J137" s="73">
        <f t="shared" si="88"/>
        <v>0</v>
      </c>
      <c r="K137" s="75" t="str">
        <f t="shared" si="89"/>
        <v/>
      </c>
      <c r="L137" s="73">
        <f t="shared" si="90"/>
        <v>62724.000000000007</v>
      </c>
      <c r="M137" s="73">
        <f t="shared" si="91"/>
        <v>76934.492080725744</v>
      </c>
      <c r="N137" s="73">
        <f t="shared" si="92"/>
        <v>76934.492080725744</v>
      </c>
      <c r="O137" s="73">
        <f t="shared" si="93"/>
        <v>74777.895224307213</v>
      </c>
      <c r="P137" s="73">
        <f t="shared" si="94"/>
        <v>74777.895224307213</v>
      </c>
      <c r="Q137" s="73">
        <f t="shared" si="95"/>
        <v>74457.862663782114</v>
      </c>
      <c r="R137" s="73"/>
      <c r="S137" s="76">
        <f t="shared" si="68"/>
        <v>0.17</v>
      </c>
      <c r="T137" s="73">
        <f t="shared" si="85"/>
        <v>257.82509012881826</v>
      </c>
      <c r="U137" s="73">
        <f t="shared" si="72"/>
        <v>77605.352128774291</v>
      </c>
      <c r="V137" s="76">
        <f t="shared" si="73"/>
        <v>0.17</v>
      </c>
      <c r="W137" s="73">
        <f t="shared" si="74"/>
        <v>0</v>
      </c>
      <c r="X137" s="73">
        <f>IF(B137&lt;&gt;"",IF(MONTH(E137)=MONTH($F$13),SUMIF($C$22:C519,"="&amp;(C137-1),$G$22:G519),0)*S137,"")</f>
        <v>0</v>
      </c>
      <c r="Y137" s="73">
        <f>IF(B137&lt;&gt;"",SUM($X$22:X137),"")</f>
        <v>10663.080000000002</v>
      </c>
      <c r="Z137" s="73">
        <f t="shared" si="86"/>
        <v>41.627771064270078</v>
      </c>
      <c r="AA137" s="73">
        <f t="shared" si="75"/>
        <v>7.9092765022113154</v>
      </c>
      <c r="AB137" s="73">
        <f t="shared" si="76"/>
        <v>1858.9698138430876</v>
      </c>
      <c r="AC137" s="73">
        <f t="shared" si="77"/>
        <v>12522.049813843083</v>
      </c>
      <c r="AD137" s="73">
        <f>IFERROR($U137*(1-$V137)+SUM($W$22:$W137)+$AB137,"")</f>
        <v>76934.492080725744</v>
      </c>
      <c r="AE137" s="73" t="b">
        <f t="shared" si="78"/>
        <v>0</v>
      </c>
      <c r="AF137" s="73">
        <f>IF(AND(AE137=TRUE,D137&gt;=65),$U137*(1-10%)+SUM($W$22:$W137)+$AB137,AD137)</f>
        <v>76934.492080725744</v>
      </c>
      <c r="AG137" s="73">
        <f t="shared" si="96"/>
        <v>257.82509012881837</v>
      </c>
      <c r="AH137" s="73">
        <f t="shared" si="97"/>
        <v>14881.352128774321</v>
      </c>
      <c r="AI137" s="73">
        <f t="shared" si="98"/>
        <v>77605.352128774335</v>
      </c>
      <c r="AJ137" s="73">
        <f t="shared" si="99"/>
        <v>74777.895224307213</v>
      </c>
      <c r="AK137" s="73" t="b">
        <f t="shared" si="79"/>
        <v>0</v>
      </c>
      <c r="AL137" s="73">
        <f t="shared" si="100"/>
        <v>74777.895224307213</v>
      </c>
      <c r="AM137" s="73">
        <f t="shared" si="87"/>
        <v>247.52455923600317</v>
      </c>
      <c r="AN137" s="73">
        <f t="shared" si="80"/>
        <v>47.029666254840606</v>
      </c>
      <c r="AO137" s="73">
        <f t="shared" si="81"/>
        <v>11733.862663782107</v>
      </c>
      <c r="AP137" s="73">
        <f t="shared" si="82"/>
        <v>74457.862663782114</v>
      </c>
    </row>
    <row r="138" spans="1:42" s="31" customFormat="1" x14ac:dyDescent="0.6">
      <c r="A138" s="70">
        <f t="shared" si="66"/>
        <v>117</v>
      </c>
      <c r="B138" s="70" t="str">
        <f>IF(E138&lt;=$F$9,VLOOKUP(KALKULATOR!A138,Robocze!$B$23:$C$102,2),"")</f>
        <v>10 rok</v>
      </c>
      <c r="C138" s="70">
        <f t="shared" si="69"/>
        <v>2030</v>
      </c>
      <c r="D138" s="71">
        <f t="shared" si="83"/>
        <v>49.750000000000277</v>
      </c>
      <c r="E138" s="77">
        <f t="shared" si="84"/>
        <v>47696</v>
      </c>
      <c r="F138" s="72">
        <f t="shared" si="70"/>
        <v>47726</v>
      </c>
      <c r="G138" s="73">
        <f>IFERROR(IF(AND(F138&lt;=$F$9,$F$5=Robocze!$B$4,$E138&lt;=$F$9,MONTH($F$8)=MONTH(E138)),$F$4,0)+IF(AND(F138&lt;=$F$9,$F$5=Robocze!$B$3,E138&lt;=$F$9),KALKULATOR!$F$4/12,0),"")</f>
        <v>0</v>
      </c>
      <c r="H138" s="73">
        <f t="shared" si="71"/>
        <v>62724.000000000007</v>
      </c>
      <c r="I138" s="74">
        <f t="shared" si="67"/>
        <v>0.04</v>
      </c>
      <c r="J138" s="73">
        <f t="shared" si="88"/>
        <v>0</v>
      </c>
      <c r="K138" s="75" t="str">
        <f t="shared" si="89"/>
        <v/>
      </c>
      <c r="L138" s="73">
        <f t="shared" si="90"/>
        <v>62724.000000000007</v>
      </c>
      <c r="M138" s="73">
        <f t="shared" si="91"/>
        <v>77183.009756112733</v>
      </c>
      <c r="N138" s="73">
        <f t="shared" si="92"/>
        <v>77183.009756112733</v>
      </c>
      <c r="O138" s="73">
        <f t="shared" si="93"/>
        <v>74987.429675054897</v>
      </c>
      <c r="P138" s="73">
        <f t="shared" si="94"/>
        <v>74987.429675054897</v>
      </c>
      <c r="Q138" s="73">
        <f t="shared" si="95"/>
        <v>74658.898892974321</v>
      </c>
      <c r="R138" s="73"/>
      <c r="S138" s="76">
        <f t="shared" si="68"/>
        <v>0.17</v>
      </c>
      <c r="T138" s="73">
        <f t="shared" si="85"/>
        <v>258.68450709591434</v>
      </c>
      <c r="U138" s="73">
        <f t="shared" si="72"/>
        <v>77864.036635870201</v>
      </c>
      <c r="V138" s="76">
        <f t="shared" si="73"/>
        <v>0.17</v>
      </c>
      <c r="W138" s="73">
        <f t="shared" si="74"/>
        <v>0</v>
      </c>
      <c r="X138" s="73">
        <f>IF(B138&lt;&gt;"",IF(MONTH(E138)=MONTH($F$13),SUMIF($C$22:C520,"="&amp;(C138-1),$G$22:G520),0)*S138,"")</f>
        <v>0</v>
      </c>
      <c r="Y138" s="73">
        <f>IF(B138&lt;&gt;"",SUM($X$22:X138),"")</f>
        <v>10663.080000000002</v>
      </c>
      <c r="Z138" s="73">
        <f t="shared" si="86"/>
        <v>41.740166046143607</v>
      </c>
      <c r="AA138" s="73">
        <f t="shared" si="75"/>
        <v>7.9306315487672849</v>
      </c>
      <c r="AB138" s="73">
        <f t="shared" si="76"/>
        <v>1892.7793483404641</v>
      </c>
      <c r="AC138" s="73">
        <f t="shared" si="77"/>
        <v>12555.85934834046</v>
      </c>
      <c r="AD138" s="73">
        <f>IFERROR($U138*(1-$V138)+SUM($W$22:$W138)+$AB138,"")</f>
        <v>77183.009756112733</v>
      </c>
      <c r="AE138" s="73" t="b">
        <f t="shared" si="78"/>
        <v>0</v>
      </c>
      <c r="AF138" s="73">
        <f>IF(AND(AE138=TRUE,D138&gt;=65),$U138*(1-10%)+SUM($W$22:$W138)+$AB138,AD138)</f>
        <v>77183.009756112733</v>
      </c>
      <c r="AG138" s="73">
        <f t="shared" si="96"/>
        <v>258.68450709591446</v>
      </c>
      <c r="AH138" s="73">
        <f t="shared" si="97"/>
        <v>15140.036635870236</v>
      </c>
      <c r="AI138" s="73">
        <f t="shared" si="98"/>
        <v>77864.036635870245</v>
      </c>
      <c r="AJ138" s="73">
        <f t="shared" si="99"/>
        <v>74987.429675054897</v>
      </c>
      <c r="AK138" s="73" t="b">
        <f t="shared" si="79"/>
        <v>0</v>
      </c>
      <c r="AL138" s="73">
        <f t="shared" si="100"/>
        <v>74987.429675054897</v>
      </c>
      <c r="AM138" s="73">
        <f t="shared" si="87"/>
        <v>248.19287554594038</v>
      </c>
      <c r="AN138" s="73">
        <f t="shared" si="80"/>
        <v>47.156646353728675</v>
      </c>
      <c r="AO138" s="73">
        <f t="shared" si="81"/>
        <v>11934.898892974314</v>
      </c>
      <c r="AP138" s="73">
        <f t="shared" si="82"/>
        <v>74658.898892974321</v>
      </c>
    </row>
    <row r="139" spans="1:42" s="31" customFormat="1" x14ac:dyDescent="0.6">
      <c r="A139" s="70">
        <f t="shared" si="66"/>
        <v>118</v>
      </c>
      <c r="B139" s="70" t="str">
        <f>IF(E139&lt;=$F$9,VLOOKUP(KALKULATOR!A139,Robocze!$B$23:$C$102,2),"")</f>
        <v>10 rok</v>
      </c>
      <c r="C139" s="70">
        <f t="shared" si="69"/>
        <v>2030</v>
      </c>
      <c r="D139" s="71">
        <f t="shared" si="83"/>
        <v>49.833333333333613</v>
      </c>
      <c r="E139" s="77">
        <f t="shared" si="84"/>
        <v>47727</v>
      </c>
      <c r="F139" s="72">
        <f t="shared" si="70"/>
        <v>47756</v>
      </c>
      <c r="G139" s="73">
        <f>IFERROR(IF(AND(F139&lt;=$F$9,$F$5=Robocze!$B$4,$E139&lt;=$F$9,MONTH($F$8)=MONTH(E139)),$F$4,0)+IF(AND(F139&lt;=$F$9,$F$5=Robocze!$B$3,E139&lt;=$F$9),KALKULATOR!$F$4/12,0),"")</f>
        <v>0</v>
      </c>
      <c r="H139" s="73">
        <f t="shared" si="71"/>
        <v>62724.000000000007</v>
      </c>
      <c r="I139" s="74">
        <f t="shared" si="67"/>
        <v>0.04</v>
      </c>
      <c r="J139" s="73">
        <f t="shared" si="88"/>
        <v>0</v>
      </c>
      <c r="K139" s="75" t="str">
        <f t="shared" si="89"/>
        <v/>
      </c>
      <c r="L139" s="73">
        <f t="shared" si="90"/>
        <v>62724.000000000007</v>
      </c>
      <c r="M139" s="73">
        <f t="shared" si="91"/>
        <v>77432.334411045813</v>
      </c>
      <c r="N139" s="73">
        <f t="shared" si="92"/>
        <v>77432.334411045813</v>
      </c>
      <c r="O139" s="73">
        <f t="shared" si="93"/>
        <v>75197.662573971742</v>
      </c>
      <c r="P139" s="73">
        <f t="shared" si="94"/>
        <v>75197.662573971742</v>
      </c>
      <c r="Q139" s="73">
        <f t="shared" si="95"/>
        <v>74860.477919985351</v>
      </c>
      <c r="R139" s="73"/>
      <c r="S139" s="76">
        <f t="shared" si="68"/>
        <v>0.17</v>
      </c>
      <c r="T139" s="73">
        <f t="shared" si="85"/>
        <v>259.546788786234</v>
      </c>
      <c r="U139" s="73">
        <f t="shared" si="72"/>
        <v>78123.583424656434</v>
      </c>
      <c r="V139" s="76">
        <f t="shared" si="73"/>
        <v>0.17</v>
      </c>
      <c r="W139" s="73">
        <f t="shared" si="74"/>
        <v>0</v>
      </c>
      <c r="X139" s="73">
        <f>IF(B139&lt;&gt;"",IF(MONTH(E139)=MONTH($F$13),SUMIF($C$22:C521,"="&amp;(C139-1),$G$22:G521),0)*S139,"")</f>
        <v>0</v>
      </c>
      <c r="Y139" s="73">
        <f>IF(B139&lt;&gt;"",SUM($X$22:X139),"")</f>
        <v>10663.080000000002</v>
      </c>
      <c r="Z139" s="73">
        <f t="shared" si="86"/>
        <v>41.8528644944682</v>
      </c>
      <c r="AA139" s="73">
        <f t="shared" si="75"/>
        <v>7.9520442539489578</v>
      </c>
      <c r="AB139" s="73">
        <f t="shared" si="76"/>
        <v>1926.6801685809833</v>
      </c>
      <c r="AC139" s="73">
        <f t="shared" si="77"/>
        <v>12589.76016858098</v>
      </c>
      <c r="AD139" s="73">
        <f>IFERROR($U139*(1-$V139)+SUM($W$22:$W139)+$AB139,"")</f>
        <v>77432.334411045813</v>
      </c>
      <c r="AE139" s="73" t="b">
        <f t="shared" si="78"/>
        <v>0</v>
      </c>
      <c r="AF139" s="73">
        <f>IF(AND(AE139=TRUE,D139&gt;=65),$U139*(1-10%)+SUM($W$22:$W139)+$AB139,AD139)</f>
        <v>77432.334411045813</v>
      </c>
      <c r="AG139" s="73">
        <f t="shared" si="96"/>
        <v>259.54678878623417</v>
      </c>
      <c r="AH139" s="73">
        <f t="shared" si="97"/>
        <v>15399.58342465647</v>
      </c>
      <c r="AI139" s="73">
        <f t="shared" si="98"/>
        <v>78123.583424656477</v>
      </c>
      <c r="AJ139" s="73">
        <f t="shared" si="99"/>
        <v>75197.662573971742</v>
      </c>
      <c r="AK139" s="73" t="b">
        <f t="shared" si="79"/>
        <v>0</v>
      </c>
      <c r="AL139" s="73">
        <f t="shared" si="100"/>
        <v>75197.662573971742</v>
      </c>
      <c r="AM139" s="73">
        <f t="shared" si="87"/>
        <v>248.86299630991439</v>
      </c>
      <c r="AN139" s="73">
        <f t="shared" si="80"/>
        <v>47.283969298883733</v>
      </c>
      <c r="AO139" s="73">
        <f t="shared" si="81"/>
        <v>12136.477919985344</v>
      </c>
      <c r="AP139" s="73">
        <f t="shared" si="82"/>
        <v>74860.477919985351</v>
      </c>
    </row>
    <row r="140" spans="1:42" s="31" customFormat="1" x14ac:dyDescent="0.6">
      <c r="A140" s="70">
        <f t="shared" si="66"/>
        <v>119</v>
      </c>
      <c r="B140" s="70" t="str">
        <f>IF(E140&lt;=$F$9,VLOOKUP(KALKULATOR!A140,Robocze!$B$23:$C$102,2),"")</f>
        <v>10 rok</v>
      </c>
      <c r="C140" s="70">
        <f t="shared" si="69"/>
        <v>2030</v>
      </c>
      <c r="D140" s="71">
        <f t="shared" si="83"/>
        <v>49.916666666666949</v>
      </c>
      <c r="E140" s="77">
        <f t="shared" si="84"/>
        <v>47757</v>
      </c>
      <c r="F140" s="72">
        <f t="shared" si="70"/>
        <v>47787</v>
      </c>
      <c r="G140" s="73">
        <f>IFERROR(IF(AND(F140&lt;=$F$9,$F$5=Robocze!$B$4,$E140&lt;=$F$9,MONTH($F$8)=MONTH(E140)),$F$4,0)+IF(AND(F140&lt;=$F$9,$F$5=Robocze!$B$3,E140&lt;=$F$9),KALKULATOR!$F$4/12,0),"")</f>
        <v>0</v>
      </c>
      <c r="H140" s="73">
        <f t="shared" si="71"/>
        <v>62724.000000000007</v>
      </c>
      <c r="I140" s="74">
        <f t="shared" si="67"/>
        <v>0.04</v>
      </c>
      <c r="J140" s="73">
        <f t="shared" si="88"/>
        <v>0</v>
      </c>
      <c r="K140" s="75" t="str">
        <f t="shared" si="89"/>
        <v/>
      </c>
      <c r="L140" s="73">
        <f t="shared" si="90"/>
        <v>62724.000000000007</v>
      </c>
      <c r="M140" s="73">
        <f t="shared" si="91"/>
        <v>77682.468677642522</v>
      </c>
      <c r="N140" s="73">
        <f t="shared" si="92"/>
        <v>77682.468677642522</v>
      </c>
      <c r="O140" s="73">
        <f t="shared" si="93"/>
        <v>75408.596249218332</v>
      </c>
      <c r="P140" s="73">
        <f t="shared" si="94"/>
        <v>75408.596249218332</v>
      </c>
      <c r="Q140" s="73">
        <f t="shared" si="95"/>
        <v>75062.601210369307</v>
      </c>
      <c r="R140" s="73"/>
      <c r="S140" s="76">
        <f t="shared" si="68"/>
        <v>0.17</v>
      </c>
      <c r="T140" s="73">
        <f t="shared" si="85"/>
        <v>260.41194474885481</v>
      </c>
      <c r="U140" s="73">
        <f t="shared" si="72"/>
        <v>78383.995369405282</v>
      </c>
      <c r="V140" s="76">
        <f t="shared" si="73"/>
        <v>0.17</v>
      </c>
      <c r="W140" s="73">
        <f t="shared" si="74"/>
        <v>0</v>
      </c>
      <c r="X140" s="73">
        <f>IF(B140&lt;&gt;"",IF(MONTH(E140)=MONTH($F$13),SUMIF($C$22:C522,"="&amp;(C140-1),$G$22:G522),0)*S140,"")</f>
        <v>0</v>
      </c>
      <c r="Y140" s="73">
        <f>IF(B140&lt;&gt;"",SUM($X$22:X140),"")</f>
        <v>10663.080000000002</v>
      </c>
      <c r="Z140" s="73">
        <f t="shared" si="86"/>
        <v>41.965867228603265</v>
      </c>
      <c r="AA140" s="73">
        <f t="shared" si="75"/>
        <v>7.9735147734346201</v>
      </c>
      <c r="AB140" s="73">
        <f t="shared" si="76"/>
        <v>1960.6725210361519</v>
      </c>
      <c r="AC140" s="73">
        <f t="shared" si="77"/>
        <v>12623.752521036149</v>
      </c>
      <c r="AD140" s="73">
        <f>IFERROR($U140*(1-$V140)+SUM($W$22:$W140)+$AB140,"")</f>
        <v>77682.468677642522</v>
      </c>
      <c r="AE140" s="73" t="b">
        <f t="shared" si="78"/>
        <v>0</v>
      </c>
      <c r="AF140" s="73">
        <f>IF(AND(AE140=TRUE,D140&gt;=65),$U140*(1-10%)+SUM($W$22:$W140)+$AB140,AD140)</f>
        <v>77682.468677642522</v>
      </c>
      <c r="AG140" s="73">
        <f t="shared" si="96"/>
        <v>260.41194474885492</v>
      </c>
      <c r="AH140" s="73">
        <f t="shared" si="97"/>
        <v>15659.995369405326</v>
      </c>
      <c r="AI140" s="73">
        <f t="shared" si="98"/>
        <v>78383.99536940534</v>
      </c>
      <c r="AJ140" s="73">
        <f t="shared" si="99"/>
        <v>75408.596249218332</v>
      </c>
      <c r="AK140" s="73" t="b">
        <f t="shared" si="79"/>
        <v>0</v>
      </c>
      <c r="AL140" s="73">
        <f t="shared" si="100"/>
        <v>75408.596249218332</v>
      </c>
      <c r="AM140" s="73">
        <f t="shared" si="87"/>
        <v>249.53492639995116</v>
      </c>
      <c r="AN140" s="73">
        <f t="shared" si="80"/>
        <v>47.411636015990723</v>
      </c>
      <c r="AO140" s="73">
        <f t="shared" si="81"/>
        <v>12338.601210369299</v>
      </c>
      <c r="AP140" s="73">
        <f t="shared" si="82"/>
        <v>75062.601210369307</v>
      </c>
    </row>
    <row r="141" spans="1:42" s="69" customFormat="1" x14ac:dyDescent="0.6">
      <c r="A141" s="78">
        <f t="shared" si="66"/>
        <v>120</v>
      </c>
      <c r="B141" s="78" t="str">
        <f>IF(E141&lt;=$F$9,VLOOKUP(KALKULATOR!A141,Robocze!$B$23:$C$102,2),"")</f>
        <v>10 rok</v>
      </c>
      <c r="C141" s="78">
        <f t="shared" si="69"/>
        <v>2030</v>
      </c>
      <c r="D141" s="79">
        <f t="shared" si="83"/>
        <v>50.000000000000284</v>
      </c>
      <c r="E141" s="80">
        <f t="shared" si="84"/>
        <v>47788</v>
      </c>
      <c r="F141" s="81">
        <f t="shared" si="70"/>
        <v>47817</v>
      </c>
      <c r="G141" s="82">
        <f>IFERROR(IF(AND(F141&lt;=$F$9,$F$5=Robocze!$B$4,$E141&lt;=$F$9,MONTH($F$8)=MONTH(E141)),$F$4,0)+IF(AND(F141&lt;=$F$9,$F$5=Robocze!$B$3,E141&lt;=$F$9),KALKULATOR!$F$4/12,0),"")</f>
        <v>0</v>
      </c>
      <c r="H141" s="82">
        <f t="shared" si="71"/>
        <v>62724.000000000007</v>
      </c>
      <c r="I141" s="83">
        <f t="shared" si="67"/>
        <v>0.04</v>
      </c>
      <c r="J141" s="82">
        <f t="shared" si="88"/>
        <v>0</v>
      </c>
      <c r="K141" s="84">
        <f t="shared" si="89"/>
        <v>10</v>
      </c>
      <c r="L141" s="82">
        <f t="shared" si="90"/>
        <v>62724.000000000007</v>
      </c>
      <c r="M141" s="82">
        <f t="shared" si="91"/>
        <v>77933.415196638016</v>
      </c>
      <c r="N141" s="82">
        <f t="shared" si="92"/>
        <v>77933.415196638016</v>
      </c>
      <c r="O141" s="82">
        <f t="shared" si="93"/>
        <v>75620.233036715712</v>
      </c>
      <c r="P141" s="82">
        <f t="shared" si="94"/>
        <v>75620.233036715712</v>
      </c>
      <c r="Q141" s="82">
        <f t="shared" si="95"/>
        <v>75265.270233637304</v>
      </c>
      <c r="R141" s="82"/>
      <c r="S141" s="85">
        <f t="shared" si="68"/>
        <v>0.17</v>
      </c>
      <c r="T141" s="82">
        <f t="shared" si="85"/>
        <v>261.2799845646843</v>
      </c>
      <c r="U141" s="82">
        <f t="shared" si="72"/>
        <v>78645.275353969962</v>
      </c>
      <c r="V141" s="85">
        <f t="shared" si="73"/>
        <v>0.17</v>
      </c>
      <c r="W141" s="82">
        <f t="shared" si="74"/>
        <v>0</v>
      </c>
      <c r="X141" s="82">
        <f>IF(B141&lt;&gt;"",IF(MONTH(E141)=MONTH($F$13),SUMIF($C$22:C523,"="&amp;(C141-1),$G$22:G523),0)*S141,"")</f>
        <v>0</v>
      </c>
      <c r="Y141" s="82">
        <f>IF(B141&lt;&gt;"",SUM($X$22:X141),"")</f>
        <v>10663.080000000002</v>
      </c>
      <c r="Z141" s="82">
        <f t="shared" si="86"/>
        <v>42.079175070120499</v>
      </c>
      <c r="AA141" s="82">
        <f t="shared" si="75"/>
        <v>7.9950432633228949</v>
      </c>
      <c r="AB141" s="82">
        <f t="shared" si="76"/>
        <v>1994.7566528429495</v>
      </c>
      <c r="AC141" s="82">
        <f t="shared" si="77"/>
        <v>12657.836652842947</v>
      </c>
      <c r="AD141" s="82">
        <f>IFERROR($U141*(1-$V141)+SUM($W$22:$W141)+$AB141,"")</f>
        <v>77933.415196638016</v>
      </c>
      <c r="AE141" s="73" t="b">
        <f t="shared" si="78"/>
        <v>0</v>
      </c>
      <c r="AF141" s="82">
        <f>IF(AND(AE141=TRUE,D141&gt;=65),$U141*(1-10%)+SUM($W$22:$W141)+$AB141,AD141)</f>
        <v>77933.415196638016</v>
      </c>
      <c r="AG141" s="82">
        <f t="shared" si="96"/>
        <v>261.27998456468447</v>
      </c>
      <c r="AH141" s="82">
        <f t="shared" si="97"/>
        <v>15921.27535397001</v>
      </c>
      <c r="AI141" s="82">
        <f t="shared" si="98"/>
        <v>78645.275353970021</v>
      </c>
      <c r="AJ141" s="82">
        <f t="shared" si="99"/>
        <v>75620.233036715712</v>
      </c>
      <c r="AK141" s="73" t="b">
        <f t="shared" si="79"/>
        <v>0</v>
      </c>
      <c r="AL141" s="82">
        <f t="shared" si="100"/>
        <v>75620.233036715712</v>
      </c>
      <c r="AM141" s="82">
        <f t="shared" si="87"/>
        <v>250.208670701231</v>
      </c>
      <c r="AN141" s="82">
        <f t="shared" si="80"/>
        <v>47.539647433233888</v>
      </c>
      <c r="AO141" s="82">
        <f t="shared" si="81"/>
        <v>12541.270233637297</v>
      </c>
      <c r="AP141" s="82">
        <f t="shared" si="82"/>
        <v>75265.270233637304</v>
      </c>
    </row>
    <row r="142" spans="1:42" s="31" customFormat="1" x14ac:dyDescent="0.6">
      <c r="A142" s="70">
        <f t="shared" si="66"/>
        <v>121</v>
      </c>
      <c r="B142" s="70" t="str">
        <f>IF(E142&lt;=$F$9,VLOOKUP(KALKULATOR!A142,Robocze!$B$23:$C$102,2),"")</f>
        <v>11 rok</v>
      </c>
      <c r="C142" s="70">
        <f t="shared" si="69"/>
        <v>2030</v>
      </c>
      <c r="D142" s="71">
        <f t="shared" si="83"/>
        <v>50.08333333333362</v>
      </c>
      <c r="E142" s="72">
        <f t="shared" si="84"/>
        <v>47818</v>
      </c>
      <c r="F142" s="72">
        <f t="shared" si="70"/>
        <v>47848</v>
      </c>
      <c r="G142" s="73">
        <f>IFERROR(IF(AND(F142&lt;=$F$9,$F$5=Robocze!$B$4,$E142&lt;=$F$9,MONTH($F$8)=MONTH(E142)),$F$4,0)+IF(AND(F142&lt;=$F$9,$F$5=Robocze!$B$3,E142&lt;=$F$9),KALKULATOR!$F$4/12,0),"")</f>
        <v>6272.4</v>
      </c>
      <c r="H142" s="73">
        <f t="shared" si="71"/>
        <v>68996.400000000009</v>
      </c>
      <c r="I142" s="74">
        <f t="shared" si="67"/>
        <v>0.04</v>
      </c>
      <c r="J142" s="73">
        <f t="shared" si="88"/>
        <v>0</v>
      </c>
      <c r="K142" s="75" t="str">
        <f t="shared" si="89"/>
        <v/>
      </c>
      <c r="L142" s="73">
        <f t="shared" si="90"/>
        <v>68996.400000000009</v>
      </c>
      <c r="M142" s="73">
        <f t="shared" si="91"/>
        <v>84474.930257413347</v>
      </c>
      <c r="N142" s="73">
        <f t="shared" si="92"/>
        <v>84474.930257413347</v>
      </c>
      <c r="O142" s="73">
        <f t="shared" si="93"/>
        <v>82121.910760171435</v>
      </c>
      <c r="P142" s="73">
        <f t="shared" si="94"/>
        <v>82121.910760171435</v>
      </c>
      <c r="Q142" s="73">
        <f t="shared" si="95"/>
        <v>81757.821943268122</v>
      </c>
      <c r="R142" s="73"/>
      <c r="S142" s="76">
        <f t="shared" si="68"/>
        <v>0.17</v>
      </c>
      <c r="T142" s="73">
        <f t="shared" si="85"/>
        <v>283.05891784656654</v>
      </c>
      <c r="U142" s="73">
        <f t="shared" si="72"/>
        <v>85200.734271816516</v>
      </c>
      <c r="V142" s="76">
        <f t="shared" si="73"/>
        <v>0.17</v>
      </c>
      <c r="W142" s="73">
        <f t="shared" si="74"/>
        <v>1066.308</v>
      </c>
      <c r="X142" s="73">
        <f>IF(B142&lt;&gt;"",IF(MONTH(E142)=MONTH($F$13),SUMIF($C$22:C524,"="&amp;(C142-1),$G$22:G524),0)*S142,"")</f>
        <v>0</v>
      </c>
      <c r="Y142" s="73">
        <f>IF(B142&lt;&gt;"",SUM($X$22:X142),"")</f>
        <v>10663.080000000002</v>
      </c>
      <c r="Z142" s="73">
        <f t="shared" si="86"/>
        <v>42.192788842809826</v>
      </c>
      <c r="AA142" s="73">
        <f t="shared" si="75"/>
        <v>8.0166298801338662</v>
      </c>
      <c r="AB142" s="73">
        <f t="shared" si="76"/>
        <v>2028.9328118056255</v>
      </c>
      <c r="AC142" s="73">
        <f t="shared" si="77"/>
        <v>12692.012811805622</v>
      </c>
      <c r="AD142" s="73">
        <f>IFERROR($U142*(1-$V142)+SUM($W$22:$W142)+$AB142,"")</f>
        <v>84474.930257413347</v>
      </c>
      <c r="AE142" s="73" t="b">
        <f t="shared" si="78"/>
        <v>0</v>
      </c>
      <c r="AF142" s="73">
        <f>IF(AND(AE142=TRUE,D142&gt;=65),$U142*(1-10%)+SUM($W$22:$W142)+$AB142,AD142)</f>
        <v>84474.930257413347</v>
      </c>
      <c r="AG142" s="73">
        <f t="shared" si="96"/>
        <v>283.05891784656671</v>
      </c>
      <c r="AH142" s="73">
        <f t="shared" si="97"/>
        <v>16204.334271816577</v>
      </c>
      <c r="AI142" s="73">
        <f t="shared" si="98"/>
        <v>85200.734271816589</v>
      </c>
      <c r="AJ142" s="73">
        <f t="shared" si="99"/>
        <v>82121.910760171435</v>
      </c>
      <c r="AK142" s="73" t="b">
        <f t="shared" si="79"/>
        <v>0</v>
      </c>
      <c r="AL142" s="73">
        <f t="shared" si="100"/>
        <v>82121.910760171435</v>
      </c>
      <c r="AM142" s="73">
        <f t="shared" si="87"/>
        <v>271.79223411212433</v>
      </c>
      <c r="AN142" s="73">
        <f t="shared" si="80"/>
        <v>51.640524481303622</v>
      </c>
      <c r="AO142" s="73">
        <f t="shared" si="81"/>
        <v>12761.421943268113</v>
      </c>
      <c r="AP142" s="73">
        <f t="shared" si="82"/>
        <v>81757.821943268122</v>
      </c>
    </row>
    <row r="143" spans="1:42" s="31" customFormat="1" x14ac:dyDescent="0.6">
      <c r="A143" s="70">
        <f t="shared" si="66"/>
        <v>122</v>
      </c>
      <c r="B143" s="70" t="str">
        <f>IF(E143&lt;=$F$9,VLOOKUP(KALKULATOR!A143,Robocze!$B$23:$C$102,2),"")</f>
        <v>11 rok</v>
      </c>
      <c r="C143" s="70">
        <f t="shared" si="69"/>
        <v>2031</v>
      </c>
      <c r="D143" s="71">
        <f t="shared" si="83"/>
        <v>50.166666666666956</v>
      </c>
      <c r="E143" s="77">
        <f t="shared" si="84"/>
        <v>47849</v>
      </c>
      <c r="F143" s="72">
        <f t="shared" si="70"/>
        <v>47879</v>
      </c>
      <c r="G143" s="73">
        <f>IFERROR(IF(AND(F143&lt;=$F$9,$F$5=Robocze!$B$4,$E143&lt;=$F$9,MONTH($F$8)=MONTH(E143)),$F$4,0)+IF(AND(F143&lt;=$F$9,$F$5=Robocze!$B$3,E143&lt;=$F$9),KALKULATOR!$F$4/12,0),"")</f>
        <v>0</v>
      </c>
      <c r="H143" s="73">
        <f t="shared" si="71"/>
        <v>68996.400000000009</v>
      </c>
      <c r="I143" s="74">
        <f t="shared" si="67"/>
        <v>0.04</v>
      </c>
      <c r="J143" s="73">
        <f t="shared" si="88"/>
        <v>0</v>
      </c>
      <c r="K143" s="75" t="str">
        <f t="shared" si="89"/>
        <v/>
      </c>
      <c r="L143" s="73">
        <f t="shared" si="90"/>
        <v>68996.400000000009</v>
      </c>
      <c r="M143" s="73">
        <f t="shared" si="91"/>
        <v>84744.920723490577</v>
      </c>
      <c r="N143" s="73">
        <f t="shared" si="92"/>
        <v>84744.920723490577</v>
      </c>
      <c r="O143" s="73">
        <f t="shared" si="93"/>
        <v>82351.95274270534</v>
      </c>
      <c r="P143" s="73">
        <f t="shared" si="94"/>
        <v>82351.95274270534</v>
      </c>
      <c r="Q143" s="73">
        <f t="shared" si="95"/>
        <v>81978.56806251494</v>
      </c>
      <c r="R143" s="73"/>
      <c r="S143" s="76">
        <f t="shared" si="68"/>
        <v>0.17</v>
      </c>
      <c r="T143" s="73">
        <f t="shared" si="85"/>
        <v>284.00244757272174</v>
      </c>
      <c r="U143" s="73">
        <f t="shared" si="72"/>
        <v>85484.736719389242</v>
      </c>
      <c r="V143" s="76">
        <f t="shared" si="73"/>
        <v>0.17</v>
      </c>
      <c r="W143" s="73">
        <f t="shared" si="74"/>
        <v>0</v>
      </c>
      <c r="X143" s="73">
        <f>IF(B143&lt;&gt;"",IF(MONTH(E143)=MONTH($F$13),SUMIF($C$22:C525,"="&amp;(C143-1),$G$22:G525),0)*S143,"")</f>
        <v>0</v>
      </c>
      <c r="Y143" s="73">
        <f>IF(B143&lt;&gt;"",SUM($X$22:X143),"")</f>
        <v>10663.080000000002</v>
      </c>
      <c r="Z143" s="73">
        <f t="shared" si="86"/>
        <v>42.306709372685411</v>
      </c>
      <c r="AA143" s="73">
        <f t="shared" si="75"/>
        <v>8.0382747808102284</v>
      </c>
      <c r="AB143" s="73">
        <f t="shared" si="76"/>
        <v>2063.2012463975007</v>
      </c>
      <c r="AC143" s="73">
        <f t="shared" si="77"/>
        <v>12726.281246397497</v>
      </c>
      <c r="AD143" s="73">
        <f>IFERROR($U143*(1-$V143)+SUM($W$22:$W143)+$AB143,"")</f>
        <v>84744.920723490577</v>
      </c>
      <c r="AE143" s="73" t="b">
        <f t="shared" si="78"/>
        <v>0</v>
      </c>
      <c r="AF143" s="73">
        <f>IF(AND(AE143=TRUE,D143&gt;=65),$U143*(1-10%)+SUM($W$22:$W143)+$AB143,AD143)</f>
        <v>84744.920723490577</v>
      </c>
      <c r="AG143" s="73">
        <f t="shared" si="96"/>
        <v>284.00244757272196</v>
      </c>
      <c r="AH143" s="73">
        <f t="shared" si="97"/>
        <v>16488.336719389299</v>
      </c>
      <c r="AI143" s="73">
        <f t="shared" si="98"/>
        <v>85484.736719389301</v>
      </c>
      <c r="AJ143" s="73">
        <f t="shared" si="99"/>
        <v>82351.95274270534</v>
      </c>
      <c r="AK143" s="73" t="b">
        <f t="shared" si="79"/>
        <v>0</v>
      </c>
      <c r="AL143" s="73">
        <f t="shared" si="100"/>
        <v>82351.95274270534</v>
      </c>
      <c r="AM143" s="73">
        <f t="shared" si="87"/>
        <v>272.52607314422704</v>
      </c>
      <c r="AN143" s="73">
        <f t="shared" si="80"/>
        <v>51.779953897403139</v>
      </c>
      <c r="AO143" s="73">
        <f t="shared" si="81"/>
        <v>12982.168062514931</v>
      </c>
      <c r="AP143" s="73">
        <f t="shared" si="82"/>
        <v>81978.56806251494</v>
      </c>
    </row>
    <row r="144" spans="1:42" s="31" customFormat="1" x14ac:dyDescent="0.6">
      <c r="A144" s="70">
        <f t="shared" si="66"/>
        <v>123</v>
      </c>
      <c r="B144" s="70" t="str">
        <f>IF(E144&lt;=$F$9,VLOOKUP(KALKULATOR!A144,Robocze!$B$23:$C$102,2),"")</f>
        <v>11 rok</v>
      </c>
      <c r="C144" s="70">
        <f t="shared" si="69"/>
        <v>2031</v>
      </c>
      <c r="D144" s="71">
        <f t="shared" si="83"/>
        <v>50.250000000000291</v>
      </c>
      <c r="E144" s="77">
        <f t="shared" si="84"/>
        <v>47880</v>
      </c>
      <c r="F144" s="72">
        <f t="shared" si="70"/>
        <v>47907</v>
      </c>
      <c r="G144" s="73">
        <f>IFERROR(IF(AND(F144&lt;=$F$9,$F$5=Robocze!$B$4,$E144&lt;=$F$9,MONTH($F$8)=MONTH(E144)),$F$4,0)+IF(AND(F144&lt;=$F$9,$F$5=Robocze!$B$3,E144&lt;=$F$9),KALKULATOR!$F$4/12,0),"")</f>
        <v>0</v>
      </c>
      <c r="H144" s="73">
        <f t="shared" si="71"/>
        <v>68996.400000000009</v>
      </c>
      <c r="I144" s="74">
        <f t="shared" si="67"/>
        <v>0.04</v>
      </c>
      <c r="J144" s="73">
        <f t="shared" si="88"/>
        <v>0</v>
      </c>
      <c r="K144" s="75" t="str">
        <f t="shared" si="89"/>
        <v/>
      </c>
      <c r="L144" s="73">
        <f t="shared" si="90"/>
        <v>68996.400000000009</v>
      </c>
      <c r="M144" s="73">
        <f t="shared" si="91"/>
        <v>85015.789454446174</v>
      </c>
      <c r="N144" s="73">
        <f t="shared" si="92"/>
        <v>85015.789454446174</v>
      </c>
      <c r="O144" s="73">
        <f t="shared" si="93"/>
        <v>82582.761531847689</v>
      </c>
      <c r="P144" s="73">
        <f t="shared" si="94"/>
        <v>82582.761531847689</v>
      </c>
      <c r="Q144" s="73">
        <f t="shared" si="95"/>
        <v>82199.91019628373</v>
      </c>
      <c r="R144" s="73"/>
      <c r="S144" s="76">
        <f t="shared" si="68"/>
        <v>0.17</v>
      </c>
      <c r="T144" s="73">
        <f t="shared" si="85"/>
        <v>284.94912239796417</v>
      </c>
      <c r="U144" s="73">
        <f t="shared" si="72"/>
        <v>85769.685841787214</v>
      </c>
      <c r="V144" s="76">
        <f t="shared" si="73"/>
        <v>0.17</v>
      </c>
      <c r="W144" s="73">
        <f t="shared" si="74"/>
        <v>0</v>
      </c>
      <c r="X144" s="73">
        <f>IF(B144&lt;&gt;"",IF(MONTH(E144)=MONTH($F$13),SUMIF($C$22:C526,"="&amp;(C144-1),$G$22:G526),0)*S144,"")</f>
        <v>0</v>
      </c>
      <c r="Y144" s="73">
        <f>IF(B144&lt;&gt;"",SUM($X$22:X144),"")</f>
        <v>10663.080000000002</v>
      </c>
      <c r="Z144" s="73">
        <f t="shared" si="86"/>
        <v>42.420937487991658</v>
      </c>
      <c r="AA144" s="73">
        <f t="shared" si="75"/>
        <v>8.059978122718416</v>
      </c>
      <c r="AB144" s="73">
        <f t="shared" si="76"/>
        <v>2097.5622057627738</v>
      </c>
      <c r="AC144" s="73">
        <f t="shared" si="77"/>
        <v>12760.64220576277</v>
      </c>
      <c r="AD144" s="73">
        <f>IFERROR($U144*(1-$V144)+SUM($W$22:$W144)+$AB144,"")</f>
        <v>85015.789454446174</v>
      </c>
      <c r="AE144" s="73" t="b">
        <f t="shared" si="78"/>
        <v>0</v>
      </c>
      <c r="AF144" s="73">
        <f>IF(AND(AE144=TRUE,D144&gt;=65),$U144*(1-10%)+SUM($W$22:$W144)+$AB144,AD144)</f>
        <v>85015.789454446174</v>
      </c>
      <c r="AG144" s="73">
        <f t="shared" si="96"/>
        <v>284.94912239796435</v>
      </c>
      <c r="AH144" s="73">
        <f t="shared" si="97"/>
        <v>16773.285841787263</v>
      </c>
      <c r="AI144" s="73">
        <f t="shared" si="98"/>
        <v>85769.685841787272</v>
      </c>
      <c r="AJ144" s="73">
        <f t="shared" si="99"/>
        <v>82582.761531847689</v>
      </c>
      <c r="AK144" s="73" t="b">
        <f t="shared" si="79"/>
        <v>0</v>
      </c>
      <c r="AL144" s="73">
        <f t="shared" si="100"/>
        <v>82582.761531847689</v>
      </c>
      <c r="AM144" s="73">
        <f t="shared" si="87"/>
        <v>273.26189354171646</v>
      </c>
      <c r="AN144" s="73">
        <f t="shared" si="80"/>
        <v>51.919759772926128</v>
      </c>
      <c r="AO144" s="73">
        <f t="shared" si="81"/>
        <v>13203.510196283722</v>
      </c>
      <c r="AP144" s="73">
        <f t="shared" si="82"/>
        <v>82199.91019628373</v>
      </c>
    </row>
    <row r="145" spans="1:42" s="31" customFormat="1" x14ac:dyDescent="0.6">
      <c r="A145" s="70">
        <f t="shared" si="66"/>
        <v>124</v>
      </c>
      <c r="B145" s="70" t="str">
        <f>IF(E145&lt;=$F$9,VLOOKUP(KALKULATOR!A145,Robocze!$B$23:$C$102,2),"")</f>
        <v>11 rok</v>
      </c>
      <c r="C145" s="70">
        <f t="shared" si="69"/>
        <v>2031</v>
      </c>
      <c r="D145" s="71">
        <f t="shared" si="83"/>
        <v>50.333333333333627</v>
      </c>
      <c r="E145" s="77">
        <f t="shared" si="84"/>
        <v>47908</v>
      </c>
      <c r="F145" s="72">
        <f t="shared" si="70"/>
        <v>47938</v>
      </c>
      <c r="G145" s="73">
        <f>IFERROR(IF(AND(F145&lt;=$F$9,$F$5=Robocze!$B$4,$E145&lt;=$F$9,MONTH($F$8)=MONTH(E145)),$F$4,0)+IF(AND(F145&lt;=$F$9,$F$5=Robocze!$B$3,E145&lt;=$F$9),KALKULATOR!$F$4/12,0),"")</f>
        <v>0</v>
      </c>
      <c r="H145" s="73">
        <f t="shared" si="71"/>
        <v>68996.400000000009</v>
      </c>
      <c r="I145" s="74">
        <f t="shared" si="67"/>
        <v>0.04</v>
      </c>
      <c r="J145" s="73">
        <f t="shared" si="88"/>
        <v>0</v>
      </c>
      <c r="K145" s="75" t="str">
        <f t="shared" si="89"/>
        <v/>
      </c>
      <c r="L145" s="73">
        <f t="shared" si="90"/>
        <v>68996.400000000009</v>
      </c>
      <c r="M145" s="73">
        <f t="shared" si="91"/>
        <v>85287.539319230666</v>
      </c>
      <c r="N145" s="73">
        <f t="shared" si="92"/>
        <v>85287.539319230666</v>
      </c>
      <c r="O145" s="73">
        <f t="shared" si="93"/>
        <v>82814.339683620521</v>
      </c>
      <c r="P145" s="73">
        <f t="shared" si="94"/>
        <v>82814.339683620521</v>
      </c>
      <c r="Q145" s="73">
        <f t="shared" si="95"/>
        <v>82421.849953813697</v>
      </c>
      <c r="R145" s="73"/>
      <c r="S145" s="76">
        <f t="shared" si="68"/>
        <v>0.17</v>
      </c>
      <c r="T145" s="73">
        <f t="shared" si="85"/>
        <v>285.89895280595738</v>
      </c>
      <c r="U145" s="73">
        <f t="shared" si="72"/>
        <v>86055.584794593175</v>
      </c>
      <c r="V145" s="76">
        <f t="shared" si="73"/>
        <v>0.17</v>
      </c>
      <c r="W145" s="73">
        <f t="shared" si="74"/>
        <v>0</v>
      </c>
      <c r="X145" s="73">
        <f>IF(B145&lt;&gt;"",IF(MONTH(E145)=MONTH($F$13),SUMIF($C$22:C527,"="&amp;(C145-1),$G$22:G527),0)*S145,"")</f>
        <v>0</v>
      </c>
      <c r="Y145" s="73">
        <f>IF(B145&lt;&gt;"",SUM($X$22:X145),"")</f>
        <v>10663.080000000002</v>
      </c>
      <c r="Z145" s="73">
        <f t="shared" si="86"/>
        <v>42.535474019209232</v>
      </c>
      <c r="AA145" s="73">
        <f t="shared" si="75"/>
        <v>8.0817400636497538</v>
      </c>
      <c r="AB145" s="73">
        <f t="shared" si="76"/>
        <v>2132.0159397183334</v>
      </c>
      <c r="AC145" s="73">
        <f t="shared" si="77"/>
        <v>12795.095939718329</v>
      </c>
      <c r="AD145" s="73">
        <f>IFERROR($U145*(1-$V145)+SUM($W$22:$W145)+$AB145,"")</f>
        <v>85287.539319230666</v>
      </c>
      <c r="AE145" s="73" t="b">
        <f t="shared" si="78"/>
        <v>0</v>
      </c>
      <c r="AF145" s="73">
        <f>IF(AND(AE145=TRUE,D145&gt;=65),$U145*(1-10%)+SUM($W$22:$W145)+$AB145,AD145)</f>
        <v>85287.539319230666</v>
      </c>
      <c r="AG145" s="73">
        <f t="shared" si="96"/>
        <v>285.89895280595755</v>
      </c>
      <c r="AH145" s="73">
        <f t="shared" si="97"/>
        <v>17059.18479459322</v>
      </c>
      <c r="AI145" s="73">
        <f t="shared" si="98"/>
        <v>86055.584794593233</v>
      </c>
      <c r="AJ145" s="73">
        <f t="shared" si="99"/>
        <v>82814.339683620521</v>
      </c>
      <c r="AK145" s="73" t="b">
        <f t="shared" si="79"/>
        <v>0</v>
      </c>
      <c r="AL145" s="73">
        <f t="shared" si="100"/>
        <v>82814.339683620521</v>
      </c>
      <c r="AM145" s="73">
        <f t="shared" si="87"/>
        <v>273.99970065427914</v>
      </c>
      <c r="AN145" s="73">
        <f t="shared" si="80"/>
        <v>52.059943124313037</v>
      </c>
      <c r="AO145" s="73">
        <f t="shared" si="81"/>
        <v>13425.449953813688</v>
      </c>
      <c r="AP145" s="73">
        <f t="shared" si="82"/>
        <v>82421.849953813697</v>
      </c>
    </row>
    <row r="146" spans="1:42" s="31" customFormat="1" x14ac:dyDescent="0.6">
      <c r="A146" s="70">
        <f t="shared" si="66"/>
        <v>125</v>
      </c>
      <c r="B146" s="70" t="str">
        <f>IF(E146&lt;=$F$9,VLOOKUP(KALKULATOR!A146,Robocze!$B$23:$C$102,2),"")</f>
        <v>11 rok</v>
      </c>
      <c r="C146" s="70">
        <f t="shared" si="69"/>
        <v>2031</v>
      </c>
      <c r="D146" s="71">
        <f t="shared" si="83"/>
        <v>50.416666666666963</v>
      </c>
      <c r="E146" s="77">
        <f t="shared" si="84"/>
        <v>47939</v>
      </c>
      <c r="F146" s="72">
        <f t="shared" si="70"/>
        <v>47968</v>
      </c>
      <c r="G146" s="73">
        <f>IFERROR(IF(AND(F146&lt;=$F$9,$F$5=Robocze!$B$4,$E146&lt;=$F$9,MONTH($F$8)=MONTH(E146)),$F$4,0)+IF(AND(F146&lt;=$F$9,$F$5=Robocze!$B$3,E146&lt;=$F$9),KALKULATOR!$F$4/12,0),"")</f>
        <v>0</v>
      </c>
      <c r="H146" s="73">
        <f t="shared" si="71"/>
        <v>68996.400000000009</v>
      </c>
      <c r="I146" s="74">
        <f t="shared" si="67"/>
        <v>0.04</v>
      </c>
      <c r="J146" s="73">
        <f t="shared" si="88"/>
        <v>0</v>
      </c>
      <c r="K146" s="75" t="str">
        <f t="shared" si="89"/>
        <v/>
      </c>
      <c r="L146" s="73">
        <f t="shared" si="90"/>
        <v>68996.400000000009</v>
      </c>
      <c r="M146" s="73">
        <f t="shared" si="91"/>
        <v>85563.052227799621</v>
      </c>
      <c r="N146" s="73">
        <f t="shared" si="92"/>
        <v>85563.052227799621</v>
      </c>
      <c r="O146" s="73">
        <f t="shared" si="93"/>
        <v>83046.689762565918</v>
      </c>
      <c r="P146" s="73">
        <f t="shared" si="94"/>
        <v>83046.689762565918</v>
      </c>
      <c r="Q146" s="73">
        <f t="shared" si="95"/>
        <v>82644.388948688997</v>
      </c>
      <c r="R146" s="73"/>
      <c r="S146" s="76">
        <f t="shared" si="68"/>
        <v>0.17</v>
      </c>
      <c r="T146" s="73">
        <f t="shared" si="85"/>
        <v>286.85194931531061</v>
      </c>
      <c r="U146" s="73">
        <f t="shared" si="72"/>
        <v>86342.436743908489</v>
      </c>
      <c r="V146" s="76">
        <f t="shared" si="73"/>
        <v>0.17</v>
      </c>
      <c r="W146" s="73">
        <f t="shared" si="74"/>
        <v>0</v>
      </c>
      <c r="X146" s="73">
        <f>IF(B146&lt;&gt;"",IF(MONTH(E146)=MONTH($F$13),SUMIF($C$22:C528,"="&amp;(C146-1),$G$22:G528),0)*S146,"")</f>
        <v>1066.308</v>
      </c>
      <c r="Y146" s="73">
        <f>IF(B146&lt;&gt;"",SUM($X$22:X146),"")</f>
        <v>11729.388000000003</v>
      </c>
      <c r="Z146" s="73">
        <f t="shared" si="86"/>
        <v>46.204679799061097</v>
      </c>
      <c r="AA146" s="73">
        <f t="shared" si="75"/>
        <v>8.7788891618216081</v>
      </c>
      <c r="AB146" s="73">
        <f t="shared" si="76"/>
        <v>2169.4417303555729</v>
      </c>
      <c r="AC146" s="73">
        <f t="shared" si="77"/>
        <v>13898.829730355566</v>
      </c>
      <c r="AD146" s="73">
        <f>IFERROR($U146*(1-$V146)+SUM($W$22:$W146)+$AB146,"")</f>
        <v>85563.052227799621</v>
      </c>
      <c r="AE146" s="73" t="b">
        <f t="shared" si="78"/>
        <v>0</v>
      </c>
      <c r="AF146" s="73">
        <f>IF(AND(AE146=TRUE,D146&gt;=65),$U146*(1-10%)+SUM($W$22:$W146)+$AB146,AD146)</f>
        <v>85563.052227799621</v>
      </c>
      <c r="AG146" s="73">
        <f t="shared" si="96"/>
        <v>286.85194931531078</v>
      </c>
      <c r="AH146" s="73">
        <f t="shared" si="97"/>
        <v>17346.036743908531</v>
      </c>
      <c r="AI146" s="73">
        <f t="shared" si="98"/>
        <v>86342.436743908533</v>
      </c>
      <c r="AJ146" s="73">
        <f t="shared" si="99"/>
        <v>83046.689762565918</v>
      </c>
      <c r="AK146" s="73" t="b">
        <f t="shared" si="79"/>
        <v>0</v>
      </c>
      <c r="AL146" s="73">
        <f t="shared" si="100"/>
        <v>83046.689762565918</v>
      </c>
      <c r="AM146" s="73">
        <f t="shared" si="87"/>
        <v>274.73949984604565</v>
      </c>
      <c r="AN146" s="73">
        <f t="shared" si="80"/>
        <v>52.200504970748675</v>
      </c>
      <c r="AO146" s="73">
        <f t="shared" si="81"/>
        <v>13647.988948688988</v>
      </c>
      <c r="AP146" s="73">
        <f t="shared" si="82"/>
        <v>82644.388948688997</v>
      </c>
    </row>
    <row r="147" spans="1:42" s="31" customFormat="1" x14ac:dyDescent="0.6">
      <c r="A147" s="70">
        <f t="shared" si="66"/>
        <v>126</v>
      </c>
      <c r="B147" s="70" t="str">
        <f>IF(E147&lt;=$F$9,VLOOKUP(KALKULATOR!A147,Robocze!$B$23:$C$102,2),"")</f>
        <v>11 rok</v>
      </c>
      <c r="C147" s="70">
        <f t="shared" si="69"/>
        <v>2031</v>
      </c>
      <c r="D147" s="71">
        <f t="shared" si="83"/>
        <v>50.500000000000298</v>
      </c>
      <c r="E147" s="77">
        <f t="shared" si="84"/>
        <v>47969</v>
      </c>
      <c r="F147" s="72">
        <f t="shared" si="70"/>
        <v>47999</v>
      </c>
      <c r="G147" s="73">
        <f>IFERROR(IF(AND(F147&lt;=$F$9,$F$5=Robocze!$B$4,$E147&lt;=$F$9,MONTH($F$8)=MONTH(E147)),$F$4,0)+IF(AND(F147&lt;=$F$9,$F$5=Robocze!$B$3,E147&lt;=$F$9),KALKULATOR!$F$4/12,0),"")</f>
        <v>0</v>
      </c>
      <c r="H147" s="73">
        <f t="shared" si="71"/>
        <v>68996.400000000009</v>
      </c>
      <c r="I147" s="74">
        <f t="shared" si="67"/>
        <v>0.04</v>
      </c>
      <c r="J147" s="73">
        <f t="shared" si="88"/>
        <v>0</v>
      </c>
      <c r="K147" s="75" t="str">
        <f t="shared" si="89"/>
        <v/>
      </c>
      <c r="L147" s="73">
        <f t="shared" si="90"/>
        <v>68996.400000000009</v>
      </c>
      <c r="M147" s="73">
        <f t="shared" si="91"/>
        <v>85839.459809729728</v>
      </c>
      <c r="N147" s="73">
        <f t="shared" si="92"/>
        <v>85839.459809729728</v>
      </c>
      <c r="O147" s="73">
        <f t="shared" si="93"/>
        <v>83279.814341774472</v>
      </c>
      <c r="P147" s="73">
        <f t="shared" si="94"/>
        <v>83279.814341774472</v>
      </c>
      <c r="Q147" s="73">
        <f t="shared" si="95"/>
        <v>82867.528798850457</v>
      </c>
      <c r="R147" s="73"/>
      <c r="S147" s="76">
        <f t="shared" si="68"/>
        <v>0.17</v>
      </c>
      <c r="T147" s="73">
        <f t="shared" si="85"/>
        <v>287.80812247969499</v>
      </c>
      <c r="U147" s="73">
        <f t="shared" si="72"/>
        <v>86630.244866388181</v>
      </c>
      <c r="V147" s="76">
        <f t="shared" si="73"/>
        <v>0.17</v>
      </c>
      <c r="W147" s="73">
        <f t="shared" si="74"/>
        <v>0</v>
      </c>
      <c r="X147" s="73">
        <f>IF(B147&lt;&gt;"",IF(MONTH(E147)=MONTH($F$13),SUMIF($C$22:C529,"="&amp;(C147-1),$G$22:G529),0)*S147,"")</f>
        <v>0</v>
      </c>
      <c r="Y147" s="73">
        <f>IF(B147&lt;&gt;"",SUM($X$22:X147),"")</f>
        <v>11729.388000000003</v>
      </c>
      <c r="Z147" s="73">
        <f t="shared" si="86"/>
        <v>46.329432434518559</v>
      </c>
      <c r="AA147" s="73">
        <f t="shared" si="75"/>
        <v>8.8025921625585255</v>
      </c>
      <c r="AB147" s="73">
        <f t="shared" si="76"/>
        <v>2206.9685706275327</v>
      </c>
      <c r="AC147" s="73">
        <f t="shared" si="77"/>
        <v>13936.356570627528</v>
      </c>
      <c r="AD147" s="73">
        <f>IFERROR($U147*(1-$V147)+SUM($W$22:$W147)+$AB147,"")</f>
        <v>85839.459809729728</v>
      </c>
      <c r="AE147" s="73" t="b">
        <f t="shared" si="78"/>
        <v>0</v>
      </c>
      <c r="AF147" s="73">
        <f>IF(AND(AE147=TRUE,D147&gt;=65),$U147*(1-10%)+SUM($W$22:$W147)+$AB147,AD147)</f>
        <v>85839.459809729728</v>
      </c>
      <c r="AG147" s="73">
        <f t="shared" si="96"/>
        <v>287.8081224796951</v>
      </c>
      <c r="AH147" s="73">
        <f t="shared" si="97"/>
        <v>17633.844866388226</v>
      </c>
      <c r="AI147" s="73">
        <f t="shared" si="98"/>
        <v>86630.244866388239</v>
      </c>
      <c r="AJ147" s="73">
        <f t="shared" si="99"/>
        <v>83279.814341774472</v>
      </c>
      <c r="AK147" s="73" t="b">
        <f t="shared" si="79"/>
        <v>0</v>
      </c>
      <c r="AL147" s="73">
        <f t="shared" si="100"/>
        <v>83279.814341774472</v>
      </c>
      <c r="AM147" s="73">
        <f t="shared" si="87"/>
        <v>275.48129649562998</v>
      </c>
      <c r="AN147" s="73">
        <f t="shared" si="80"/>
        <v>52.341446334169696</v>
      </c>
      <c r="AO147" s="73">
        <f t="shared" si="81"/>
        <v>13871.128798850448</v>
      </c>
      <c r="AP147" s="73">
        <f t="shared" si="82"/>
        <v>82867.528798850457</v>
      </c>
    </row>
    <row r="148" spans="1:42" s="31" customFormat="1" x14ac:dyDescent="0.6">
      <c r="A148" s="70">
        <f t="shared" si="66"/>
        <v>127</v>
      </c>
      <c r="B148" s="70" t="str">
        <f>IF(E148&lt;=$F$9,VLOOKUP(KALKULATOR!A148,Robocze!$B$23:$C$102,2),"")</f>
        <v>11 rok</v>
      </c>
      <c r="C148" s="70">
        <f t="shared" si="69"/>
        <v>2031</v>
      </c>
      <c r="D148" s="71">
        <f t="shared" si="83"/>
        <v>50.583333333333634</v>
      </c>
      <c r="E148" s="77">
        <f t="shared" si="84"/>
        <v>48000</v>
      </c>
      <c r="F148" s="72">
        <f t="shared" si="70"/>
        <v>48029</v>
      </c>
      <c r="G148" s="73">
        <f>IFERROR(IF(AND(F148&lt;=$F$9,$F$5=Robocze!$B$4,$E148&lt;=$F$9,MONTH($F$8)=MONTH(E148)),$F$4,0)+IF(AND(F148&lt;=$F$9,$F$5=Robocze!$B$3,E148&lt;=$F$9),KALKULATOR!$F$4/12,0),"")</f>
        <v>0</v>
      </c>
      <c r="H148" s="73">
        <f t="shared" si="71"/>
        <v>68996.400000000009</v>
      </c>
      <c r="I148" s="74">
        <f t="shared" si="67"/>
        <v>0.04</v>
      </c>
      <c r="J148" s="73">
        <f t="shared" si="88"/>
        <v>0</v>
      </c>
      <c r="K148" s="75" t="str">
        <f t="shared" si="89"/>
        <v/>
      </c>
      <c r="L148" s="73">
        <f t="shared" si="90"/>
        <v>68996.400000000009</v>
      </c>
      <c r="M148" s="73">
        <f t="shared" si="91"/>
        <v>86116.764983267421</v>
      </c>
      <c r="N148" s="73">
        <f t="shared" si="92"/>
        <v>86116.764983267421</v>
      </c>
      <c r="O148" s="73">
        <f t="shared" si="93"/>
        <v>83513.716002913716</v>
      </c>
      <c r="P148" s="73">
        <f t="shared" si="94"/>
        <v>83513.716002913716</v>
      </c>
      <c r="Q148" s="73">
        <f t="shared" si="95"/>
        <v>83091.271126607346</v>
      </c>
      <c r="R148" s="73"/>
      <c r="S148" s="76">
        <f t="shared" si="68"/>
        <v>0.17</v>
      </c>
      <c r="T148" s="73">
        <f t="shared" si="85"/>
        <v>288.76748288796063</v>
      </c>
      <c r="U148" s="73">
        <f t="shared" si="72"/>
        <v>86919.012349276134</v>
      </c>
      <c r="V148" s="76">
        <f t="shared" si="73"/>
        <v>0.17</v>
      </c>
      <c r="W148" s="73">
        <f t="shared" si="74"/>
        <v>0</v>
      </c>
      <c r="X148" s="73">
        <f>IF(B148&lt;&gt;"",IF(MONTH(E148)=MONTH($F$13),SUMIF($C$22:C530,"="&amp;(C148-1),$G$22:G530),0)*S148,"")</f>
        <v>0</v>
      </c>
      <c r="Y148" s="73">
        <f>IF(B148&lt;&gt;"",SUM($X$22:X148),"")</f>
        <v>11729.388000000003</v>
      </c>
      <c r="Z148" s="73">
        <f t="shared" si="86"/>
        <v>46.454521902091756</v>
      </c>
      <c r="AA148" s="73">
        <f t="shared" si="75"/>
        <v>8.8263591613974341</v>
      </c>
      <c r="AB148" s="73">
        <f t="shared" si="76"/>
        <v>2244.596733368227</v>
      </c>
      <c r="AC148" s="73">
        <f t="shared" si="77"/>
        <v>13973.984733368221</v>
      </c>
      <c r="AD148" s="73">
        <f>IFERROR($U148*(1-$V148)+SUM($W$22:$W148)+$AB148,"")</f>
        <v>86116.764983267421</v>
      </c>
      <c r="AE148" s="73" t="b">
        <f t="shared" si="78"/>
        <v>0</v>
      </c>
      <c r="AF148" s="73">
        <f>IF(AND(AE148=TRUE,D148&gt;=65),$U148*(1-10%)+SUM($W$22:$W148)+$AB148,AD148)</f>
        <v>86116.764983267421</v>
      </c>
      <c r="AG148" s="73">
        <f t="shared" si="96"/>
        <v>288.7674828879608</v>
      </c>
      <c r="AH148" s="73">
        <f t="shared" si="97"/>
        <v>17922.612349276187</v>
      </c>
      <c r="AI148" s="73">
        <f t="shared" si="98"/>
        <v>86919.012349276192</v>
      </c>
      <c r="AJ148" s="73">
        <f t="shared" si="99"/>
        <v>83513.716002913716</v>
      </c>
      <c r="AK148" s="73" t="b">
        <f t="shared" si="79"/>
        <v>0</v>
      </c>
      <c r="AL148" s="73">
        <f t="shared" si="100"/>
        <v>83513.716002913716</v>
      </c>
      <c r="AM148" s="73">
        <f t="shared" si="87"/>
        <v>276.22509599616819</v>
      </c>
      <c r="AN148" s="73">
        <f t="shared" si="80"/>
        <v>52.482768239271955</v>
      </c>
      <c r="AO148" s="73">
        <f t="shared" si="81"/>
        <v>14094.871126607337</v>
      </c>
      <c r="AP148" s="73">
        <f t="shared" si="82"/>
        <v>83091.271126607346</v>
      </c>
    </row>
    <row r="149" spans="1:42" s="31" customFormat="1" x14ac:dyDescent="0.6">
      <c r="A149" s="70">
        <f t="shared" si="66"/>
        <v>128</v>
      </c>
      <c r="B149" s="70" t="str">
        <f>IF(E149&lt;=$F$9,VLOOKUP(KALKULATOR!A149,Robocze!$B$23:$C$102,2),"")</f>
        <v>11 rok</v>
      </c>
      <c r="C149" s="70">
        <f t="shared" si="69"/>
        <v>2031</v>
      </c>
      <c r="D149" s="71">
        <f t="shared" si="83"/>
        <v>50.66666666666697</v>
      </c>
      <c r="E149" s="77">
        <f t="shared" si="84"/>
        <v>48030</v>
      </c>
      <c r="F149" s="72">
        <f t="shared" si="70"/>
        <v>48060</v>
      </c>
      <c r="G149" s="73">
        <f>IFERROR(IF(AND(F149&lt;=$F$9,$F$5=Robocze!$B$4,$E149&lt;=$F$9,MONTH($F$8)=MONTH(E149)),$F$4,0)+IF(AND(F149&lt;=$F$9,$F$5=Robocze!$B$3,E149&lt;=$F$9),KALKULATOR!$F$4/12,0),"")</f>
        <v>0</v>
      </c>
      <c r="H149" s="73">
        <f t="shared" si="71"/>
        <v>68996.400000000009</v>
      </c>
      <c r="I149" s="74">
        <f t="shared" si="67"/>
        <v>0.04</v>
      </c>
      <c r="J149" s="73">
        <f t="shared" si="88"/>
        <v>0</v>
      </c>
      <c r="K149" s="75" t="str">
        <f t="shared" si="89"/>
        <v/>
      </c>
      <c r="L149" s="73">
        <f t="shared" si="90"/>
        <v>68996.400000000009</v>
      </c>
      <c r="M149" s="73">
        <f t="shared" si="91"/>
        <v>86394.970676213838</v>
      </c>
      <c r="N149" s="73">
        <f t="shared" si="92"/>
        <v>86394.970676213838</v>
      </c>
      <c r="O149" s="73">
        <f t="shared" si="93"/>
        <v>83748.397336256778</v>
      </c>
      <c r="P149" s="73">
        <f t="shared" si="94"/>
        <v>83748.397336256778</v>
      </c>
      <c r="Q149" s="73">
        <f t="shared" si="95"/>
        <v>83315.617558649188</v>
      </c>
      <c r="R149" s="73"/>
      <c r="S149" s="76">
        <f t="shared" si="68"/>
        <v>0.17</v>
      </c>
      <c r="T149" s="73">
        <f t="shared" si="85"/>
        <v>289.73004116425381</v>
      </c>
      <c r="U149" s="73">
        <f t="shared" si="72"/>
        <v>87208.742390440384</v>
      </c>
      <c r="V149" s="76">
        <f t="shared" si="73"/>
        <v>0.17</v>
      </c>
      <c r="W149" s="73">
        <f t="shared" si="74"/>
        <v>0</v>
      </c>
      <c r="X149" s="73">
        <f>IF(B149&lt;&gt;"",IF(MONTH(E149)=MONTH($F$13),SUMIF($C$22:C531,"="&amp;(C149-1),$G$22:G531),0)*S149,"")</f>
        <v>0</v>
      </c>
      <c r="Y149" s="73">
        <f>IF(B149&lt;&gt;"",SUM($X$22:X149),"")</f>
        <v>11729.388000000003</v>
      </c>
      <c r="Z149" s="73">
        <f t="shared" si="86"/>
        <v>46.5799491112274</v>
      </c>
      <c r="AA149" s="73">
        <f t="shared" si="75"/>
        <v>8.8501903311332057</v>
      </c>
      <c r="AB149" s="73">
        <f t="shared" si="76"/>
        <v>2282.3264921483214</v>
      </c>
      <c r="AC149" s="73">
        <f t="shared" si="77"/>
        <v>14011.714492148314</v>
      </c>
      <c r="AD149" s="73">
        <f>IFERROR($U149*(1-$V149)+SUM($W$22:$W149)+$AB149,"")</f>
        <v>86394.970676213838</v>
      </c>
      <c r="AE149" s="73" t="b">
        <f t="shared" si="78"/>
        <v>0</v>
      </c>
      <c r="AF149" s="73">
        <f>IF(AND(AE149=TRUE,D149&gt;=65),$U149*(1-10%)+SUM($W$22:$W149)+$AB149,AD149)</f>
        <v>86394.970676213838</v>
      </c>
      <c r="AG149" s="73">
        <f t="shared" si="96"/>
        <v>289.73004116425398</v>
      </c>
      <c r="AH149" s="73">
        <f t="shared" si="97"/>
        <v>18212.342390440441</v>
      </c>
      <c r="AI149" s="73">
        <f t="shared" si="98"/>
        <v>87208.742390440457</v>
      </c>
      <c r="AJ149" s="73">
        <f t="shared" si="99"/>
        <v>83748.397336256778</v>
      </c>
      <c r="AK149" s="73" t="b">
        <f t="shared" si="79"/>
        <v>0</v>
      </c>
      <c r="AL149" s="73">
        <f t="shared" si="100"/>
        <v>83748.397336256778</v>
      </c>
      <c r="AM149" s="73">
        <f t="shared" si="87"/>
        <v>276.97090375535782</v>
      </c>
      <c r="AN149" s="73">
        <f t="shared" si="80"/>
        <v>52.624471713517984</v>
      </c>
      <c r="AO149" s="73">
        <f t="shared" si="81"/>
        <v>14319.217558649179</v>
      </c>
      <c r="AP149" s="73">
        <f t="shared" si="82"/>
        <v>83315.617558649188</v>
      </c>
    </row>
    <row r="150" spans="1:42" s="31" customFormat="1" x14ac:dyDescent="0.6">
      <c r="A150" s="70">
        <f t="shared" ref="A150:A213" si="101">IFERROR(IF((A149+1)&lt;=$F$7*12,A149+1,""),"")</f>
        <v>129</v>
      </c>
      <c r="B150" s="70" t="str">
        <f>IF(E150&lt;=$F$9,VLOOKUP(KALKULATOR!A150,Robocze!$B$23:$C$102,2),"")</f>
        <v>11 rok</v>
      </c>
      <c r="C150" s="70">
        <f t="shared" si="69"/>
        <v>2031</v>
      </c>
      <c r="D150" s="71">
        <f t="shared" si="83"/>
        <v>50.750000000000306</v>
      </c>
      <c r="E150" s="77">
        <f t="shared" si="84"/>
        <v>48061</v>
      </c>
      <c r="F150" s="72">
        <f t="shared" si="70"/>
        <v>48091</v>
      </c>
      <c r="G150" s="73">
        <f>IFERROR(IF(AND(F150&lt;=$F$9,$F$5=Robocze!$B$4,$E150&lt;=$F$9,MONTH($F$8)=MONTH(E150)),$F$4,0)+IF(AND(F150&lt;=$F$9,$F$5=Robocze!$B$3,E150&lt;=$F$9),KALKULATOR!$F$4/12,0),"")</f>
        <v>0</v>
      </c>
      <c r="H150" s="73">
        <f t="shared" si="71"/>
        <v>68996.400000000009</v>
      </c>
      <c r="I150" s="74">
        <f t="shared" ref="I150:I213" si="102">IF(E150&lt;=$F$9,$F$2,"")</f>
        <v>0.04</v>
      </c>
      <c r="J150" s="73">
        <f t="shared" si="88"/>
        <v>0</v>
      </c>
      <c r="K150" s="75" t="str">
        <f t="shared" si="89"/>
        <v/>
      </c>
      <c r="L150" s="73">
        <f t="shared" si="90"/>
        <v>68996.400000000009</v>
      </c>
      <c r="M150" s="73">
        <f t="shared" si="91"/>
        <v>86674.0798259562</v>
      </c>
      <c r="N150" s="73">
        <f t="shared" si="92"/>
        <v>86674.0798259562</v>
      </c>
      <c r="O150" s="73">
        <f t="shared" si="93"/>
        <v>83983.860940710947</v>
      </c>
      <c r="P150" s="73">
        <f t="shared" si="94"/>
        <v>83983.860940710947</v>
      </c>
      <c r="Q150" s="73">
        <f t="shared" si="95"/>
        <v>83540.569726057554</v>
      </c>
      <c r="R150" s="73"/>
      <c r="S150" s="76">
        <f t="shared" ref="S150:S213" si="103">IF(B150&lt;&gt;"",$F$11,"")</f>
        <v>0.17</v>
      </c>
      <c r="T150" s="73">
        <f t="shared" si="85"/>
        <v>290.69580796813466</v>
      </c>
      <c r="U150" s="73">
        <f t="shared" si="72"/>
        <v>87499.438198408519</v>
      </c>
      <c r="V150" s="76">
        <f t="shared" si="73"/>
        <v>0.17</v>
      </c>
      <c r="W150" s="73">
        <f t="shared" si="74"/>
        <v>0</v>
      </c>
      <c r="X150" s="73">
        <f>IF(B150&lt;&gt;"",IF(MONTH(E150)=MONTH($F$13),SUMIF($C$22:C532,"="&amp;(C150-1),$G$22:G532),0)*S150,"")</f>
        <v>0</v>
      </c>
      <c r="Y150" s="73">
        <f>IF(B150&lt;&gt;"",SUM($X$22:X150),"")</f>
        <v>11729.388000000003</v>
      </c>
      <c r="Z150" s="73">
        <f t="shared" si="86"/>
        <v>46.705714973827718</v>
      </c>
      <c r="AA150" s="73">
        <f t="shared" si="75"/>
        <v>8.8740858450272668</v>
      </c>
      <c r="AB150" s="73">
        <f t="shared" si="76"/>
        <v>2320.1581212771216</v>
      </c>
      <c r="AC150" s="73">
        <f t="shared" si="77"/>
        <v>14049.546121277115</v>
      </c>
      <c r="AD150" s="73">
        <f>IFERROR($U150*(1-$V150)+SUM($W$22:$W150)+$AB150,"")</f>
        <v>86674.0798259562</v>
      </c>
      <c r="AE150" s="73" t="b">
        <f t="shared" si="78"/>
        <v>0</v>
      </c>
      <c r="AF150" s="73">
        <f>IF(AND(AE150=TRUE,D150&gt;=65),$U150*(1-10%)+SUM($W$22:$W150)+$AB150,AD150)</f>
        <v>86674.0798259562</v>
      </c>
      <c r="AG150" s="73">
        <f t="shared" si="96"/>
        <v>290.69580796813483</v>
      </c>
      <c r="AH150" s="73">
        <f t="shared" si="97"/>
        <v>18503.038198408576</v>
      </c>
      <c r="AI150" s="73">
        <f t="shared" si="98"/>
        <v>87499.438198408578</v>
      </c>
      <c r="AJ150" s="73">
        <f t="shared" si="99"/>
        <v>83983.860940710947</v>
      </c>
      <c r="AK150" s="73" t="b">
        <f t="shared" si="79"/>
        <v>0</v>
      </c>
      <c r="AL150" s="73">
        <f t="shared" si="100"/>
        <v>83983.860940710947</v>
      </c>
      <c r="AM150" s="73">
        <f t="shared" si="87"/>
        <v>277.71872519549731</v>
      </c>
      <c r="AN150" s="73">
        <f t="shared" si="80"/>
        <v>52.766557787144492</v>
      </c>
      <c r="AO150" s="73">
        <f t="shared" si="81"/>
        <v>14544.169726057546</v>
      </c>
      <c r="AP150" s="73">
        <f t="shared" si="82"/>
        <v>83540.569726057554</v>
      </c>
    </row>
    <row r="151" spans="1:42" s="31" customFormat="1" x14ac:dyDescent="0.6">
      <c r="A151" s="70">
        <f t="shared" si="101"/>
        <v>130</v>
      </c>
      <c r="B151" s="70" t="str">
        <f>IF(E151&lt;=$F$9,VLOOKUP(KALKULATOR!A151,Robocze!$B$23:$C$102,2),"")</f>
        <v>11 rok</v>
      </c>
      <c r="C151" s="70">
        <f t="shared" ref="C151:C214" si="104">IF(B151="","",YEAR(E151))</f>
        <v>2031</v>
      </c>
      <c r="D151" s="71">
        <f t="shared" si="83"/>
        <v>50.833333333333641</v>
      </c>
      <c r="E151" s="77">
        <f t="shared" si="84"/>
        <v>48092</v>
      </c>
      <c r="F151" s="72">
        <f t="shared" ref="F151:F214" si="105">IFERROR(EOMONTH(E151,0),"")</f>
        <v>48121</v>
      </c>
      <c r="G151" s="73">
        <f>IFERROR(IF(AND(F151&lt;=$F$9,$F$5=Robocze!$B$4,$E151&lt;=$F$9,MONTH($F$8)=MONTH(E151)),$F$4,0)+IF(AND(F151&lt;=$F$9,$F$5=Robocze!$B$3,E151&lt;=$F$9),KALKULATOR!$F$4/12,0),"")</f>
        <v>0</v>
      </c>
      <c r="H151" s="73">
        <f t="shared" ref="H151:H214" si="106">IFERROR(H150+G151,"")</f>
        <v>68996.400000000009</v>
      </c>
      <c r="I151" s="74">
        <f t="shared" si="102"/>
        <v>0.04</v>
      </c>
      <c r="J151" s="73">
        <f t="shared" si="88"/>
        <v>0</v>
      </c>
      <c r="K151" s="75" t="str">
        <f t="shared" si="89"/>
        <v/>
      </c>
      <c r="L151" s="73">
        <f t="shared" si="90"/>
        <v>68996.400000000009</v>
      </c>
      <c r="M151" s="73">
        <f t="shared" si="91"/>
        <v>86954.095379499238</v>
      </c>
      <c r="N151" s="73">
        <f t="shared" si="92"/>
        <v>86954.095379499238</v>
      </c>
      <c r="O151" s="73">
        <f t="shared" si="93"/>
        <v>84220.109423846661</v>
      </c>
      <c r="P151" s="73">
        <f t="shared" si="94"/>
        <v>84220.109423846661</v>
      </c>
      <c r="Q151" s="73">
        <f t="shared" si="95"/>
        <v>83766.129264317919</v>
      </c>
      <c r="R151" s="73"/>
      <c r="S151" s="76">
        <f t="shared" si="103"/>
        <v>0.17</v>
      </c>
      <c r="T151" s="73">
        <f t="shared" si="85"/>
        <v>291.66479399469506</v>
      </c>
      <c r="U151" s="73">
        <f t="shared" ref="U151:U214" si="107">IF(B151&lt;&gt;"",U150+T151-J151+G151,"")</f>
        <v>87791.102992403219</v>
      </c>
      <c r="V151" s="76">
        <f t="shared" ref="V151:V214" si="108">IF(B151&lt;&gt;"",$F$12,"")</f>
        <v>0.17</v>
      </c>
      <c r="W151" s="73">
        <f t="shared" ref="W151:W214" si="109">IF(B151&lt;&gt;"",G151*S151,"")</f>
        <v>0</v>
      </c>
      <c r="X151" s="73">
        <f>IF(B151&lt;&gt;"",IF(MONTH(E151)=MONTH($F$13),SUMIF($C$22:C533,"="&amp;(C151-1),$G$22:G533),0)*S151,"")</f>
        <v>0</v>
      </c>
      <c r="Y151" s="73">
        <f>IF(B151&lt;&gt;"",SUM($X$22:X151),"")</f>
        <v>11729.388000000003</v>
      </c>
      <c r="Z151" s="73">
        <f t="shared" si="86"/>
        <v>46.831820404257051</v>
      </c>
      <c r="AA151" s="73">
        <f t="shared" ref="AA151:AA214" si="110">IF(B151&lt;&gt;"",MAX(0,Z151*$F$14),"")</f>
        <v>8.8980458768088404</v>
      </c>
      <c r="AB151" s="73">
        <f t="shared" ref="AB151:AB214" si="111">IF(B151&lt;&gt;"",AB150+Z151-AA151,"")</f>
        <v>2358.09189580457</v>
      </c>
      <c r="AC151" s="73">
        <f t="shared" ref="AC151:AC214" si="112">IF(B151&lt;&gt;"",AC150+Z151-AA151+X151,"")</f>
        <v>14087.479895804563</v>
      </c>
      <c r="AD151" s="73">
        <f>IFERROR($U151*(1-$V151)+SUM($W$22:$W151)+$AB151,"")</f>
        <v>86954.095379499238</v>
      </c>
      <c r="AE151" s="73" t="b">
        <f t="shared" ref="AE151:AE214" si="113">IFERROR(IF(AE150=TRUE,AE150,AND(YEAR(E151)-YEAR($F$8)&gt;=5,D151&gt;=65)),"")</f>
        <v>0</v>
      </c>
      <c r="AF151" s="73">
        <f>IF(AND(AE151=TRUE,D151&gt;=65),$U151*(1-10%)+SUM($W$22:$W151)+$AB151,AD151)</f>
        <v>86954.095379499238</v>
      </c>
      <c r="AG151" s="73">
        <f t="shared" si="96"/>
        <v>291.66479399469523</v>
      </c>
      <c r="AH151" s="73">
        <f t="shared" si="97"/>
        <v>18794.702992403272</v>
      </c>
      <c r="AI151" s="73">
        <f t="shared" si="98"/>
        <v>87791.102992403277</v>
      </c>
      <c r="AJ151" s="73">
        <f t="shared" si="99"/>
        <v>84220.109423846661</v>
      </c>
      <c r="AK151" s="73" t="b">
        <f t="shared" ref="AK151:AK214" si="114">IFERROR(IF(AK150=TRUE,AK150,AND(YEAR(E151)-YEAR($F$8)&gt;=5,D151&gt;=55,OR(D151&gt;=60,D151&gt;=$F$10))),"")</f>
        <v>0</v>
      </c>
      <c r="AL151" s="73">
        <f t="shared" si="100"/>
        <v>84220.109423846661</v>
      </c>
      <c r="AM151" s="73">
        <f t="shared" si="87"/>
        <v>278.46856575352518</v>
      </c>
      <c r="AN151" s="73">
        <f t="shared" ref="AN151:AN214" si="115">IF(B151&lt;&gt;"",MAX(0,AM151*$F$14),"")</f>
        <v>52.909027493169788</v>
      </c>
      <c r="AO151" s="73">
        <f t="shared" ref="AO151:AO214" si="116">IF(B151&lt;&gt;"",AP151-H151,"")</f>
        <v>14769.72926431791</v>
      </c>
      <c r="AP151" s="73">
        <f t="shared" ref="AP151:AP214" si="117">IF(B151&lt;&gt;"",AP150+G151+AM151-AN151,"")</f>
        <v>83766.129264317919</v>
      </c>
    </row>
    <row r="152" spans="1:42" s="31" customFormat="1" x14ac:dyDescent="0.6">
      <c r="A152" s="70">
        <f t="shared" si="101"/>
        <v>131</v>
      </c>
      <c r="B152" s="70" t="str">
        <f>IF(E152&lt;=$F$9,VLOOKUP(KALKULATOR!A152,Robocze!$B$23:$C$102,2),"")</f>
        <v>11 rok</v>
      </c>
      <c r="C152" s="70">
        <f t="shared" si="104"/>
        <v>2031</v>
      </c>
      <c r="D152" s="71">
        <f t="shared" ref="D152:D215" si="118">IF(B152="","",D151+1/12)</f>
        <v>50.916666666666977</v>
      </c>
      <c r="E152" s="77">
        <f t="shared" ref="E152:E215" si="119">IF(OR(B151="",E151&gt;$F$9,A152=""),"",EDATE(E151,1))</f>
        <v>48122</v>
      </c>
      <c r="F152" s="72">
        <f t="shared" si="105"/>
        <v>48152</v>
      </c>
      <c r="G152" s="73">
        <f>IFERROR(IF(AND(F152&lt;=$F$9,$F$5=Robocze!$B$4,$E152&lt;=$F$9,MONTH($F$8)=MONTH(E152)),$F$4,0)+IF(AND(F152&lt;=$F$9,$F$5=Robocze!$B$3,E152&lt;=$F$9),KALKULATOR!$F$4/12,0),"")</f>
        <v>0</v>
      </c>
      <c r="H152" s="73">
        <f t="shared" si="106"/>
        <v>68996.400000000009</v>
      </c>
      <c r="I152" s="74">
        <f t="shared" si="102"/>
        <v>0.04</v>
      </c>
      <c r="J152" s="73">
        <f t="shared" si="88"/>
        <v>0</v>
      </c>
      <c r="K152" s="75" t="str">
        <f t="shared" si="89"/>
        <v/>
      </c>
      <c r="L152" s="73">
        <f t="shared" si="90"/>
        <v>68996.400000000009</v>
      </c>
      <c r="M152" s="73">
        <f t="shared" si="91"/>
        <v>87235.020293496898</v>
      </c>
      <c r="N152" s="73">
        <f t="shared" si="92"/>
        <v>87235.020293496898</v>
      </c>
      <c r="O152" s="73">
        <f t="shared" si="93"/>
        <v>84457.145401926158</v>
      </c>
      <c r="P152" s="73">
        <f t="shared" si="94"/>
        <v>84457.145401926158</v>
      </c>
      <c r="Q152" s="73">
        <f t="shared" si="95"/>
        <v>83992.297813331577</v>
      </c>
      <c r="R152" s="73"/>
      <c r="S152" s="76">
        <f t="shared" si="103"/>
        <v>0.17</v>
      </c>
      <c r="T152" s="73">
        <f t="shared" ref="T152:T215" si="120">IF(B152&lt;&gt;"",(U151-J152+G152)*(I152/12),"")</f>
        <v>292.63700997467743</v>
      </c>
      <c r="U152" s="73">
        <f t="shared" si="107"/>
        <v>88083.74000237789</v>
      </c>
      <c r="V152" s="76">
        <f t="shared" si="108"/>
        <v>0.17</v>
      </c>
      <c r="W152" s="73">
        <f t="shared" si="109"/>
        <v>0</v>
      </c>
      <c r="X152" s="73">
        <f>IF(B152&lt;&gt;"",IF(MONTH(E152)=MONTH($F$13),SUMIF($C$22:C534,"="&amp;(C152-1),$G$22:G534),0)*S152,"")</f>
        <v>0</v>
      </c>
      <c r="Y152" s="73">
        <f>IF(B152&lt;&gt;"",SUM($X$22:X152),"")</f>
        <v>11729.388000000003</v>
      </c>
      <c r="Z152" s="73">
        <f t="shared" ref="Z152:Z215" si="121">IF(B152&lt;&gt;"",(AC151+X152)*I152/12,"")</f>
        <v>46.958266319348546</v>
      </c>
      <c r="AA152" s="73">
        <f t="shared" si="110"/>
        <v>8.9220706006762232</v>
      </c>
      <c r="AB152" s="73">
        <f t="shared" si="111"/>
        <v>2396.1280915232423</v>
      </c>
      <c r="AC152" s="73">
        <f t="shared" si="112"/>
        <v>14125.516091523235</v>
      </c>
      <c r="AD152" s="73">
        <f>IFERROR($U152*(1-$V152)+SUM($W$22:$W152)+$AB152,"")</f>
        <v>87235.020293496898</v>
      </c>
      <c r="AE152" s="73" t="b">
        <f t="shared" si="113"/>
        <v>0</v>
      </c>
      <c r="AF152" s="73">
        <f>IF(AND(AE152=TRUE,D152&gt;=65),$U152*(1-10%)+SUM($W$22:$W152)+$AB152,AD152)</f>
        <v>87235.020293496898</v>
      </c>
      <c r="AG152" s="73">
        <f t="shared" si="96"/>
        <v>292.6370099746776</v>
      </c>
      <c r="AH152" s="73">
        <f t="shared" si="97"/>
        <v>19087.34000237795</v>
      </c>
      <c r="AI152" s="73">
        <f t="shared" si="98"/>
        <v>88083.740002377963</v>
      </c>
      <c r="AJ152" s="73">
        <f t="shared" si="99"/>
        <v>84457.145401926158</v>
      </c>
      <c r="AK152" s="73" t="b">
        <f t="shared" si="114"/>
        <v>0</v>
      </c>
      <c r="AL152" s="73">
        <f t="shared" si="100"/>
        <v>84457.145401926158</v>
      </c>
      <c r="AM152" s="73">
        <f t="shared" ref="AM152:AM215" si="122">IF(B152&lt;&gt;"",(AP151+G152)*I152/12,"")</f>
        <v>279.22043088105971</v>
      </c>
      <c r="AN152" s="73">
        <f t="shared" si="115"/>
        <v>53.051881867401349</v>
      </c>
      <c r="AO152" s="73">
        <f t="shared" si="116"/>
        <v>14995.897813331569</v>
      </c>
      <c r="AP152" s="73">
        <f t="shared" si="117"/>
        <v>83992.297813331577</v>
      </c>
    </row>
    <row r="153" spans="1:42" s="69" customFormat="1" x14ac:dyDescent="0.6">
      <c r="A153" s="78">
        <f t="shared" si="101"/>
        <v>132</v>
      </c>
      <c r="B153" s="78" t="str">
        <f>IF(E153&lt;=$F$9,VLOOKUP(KALKULATOR!A153,Robocze!$B$23:$C$102,2),"")</f>
        <v>11 rok</v>
      </c>
      <c r="C153" s="78">
        <f t="shared" si="104"/>
        <v>2031</v>
      </c>
      <c r="D153" s="79">
        <f t="shared" si="118"/>
        <v>51.000000000000313</v>
      </c>
      <c r="E153" s="80">
        <f t="shared" si="119"/>
        <v>48153</v>
      </c>
      <c r="F153" s="81">
        <f t="shared" si="105"/>
        <v>48182</v>
      </c>
      <c r="G153" s="82">
        <f>IFERROR(IF(AND(F153&lt;=$F$9,$F$5=Robocze!$B$4,$E153&lt;=$F$9,MONTH($F$8)=MONTH(E153)),$F$4,0)+IF(AND(F153&lt;=$F$9,$F$5=Robocze!$B$3,E153&lt;=$F$9),KALKULATOR!$F$4/12,0),"")</f>
        <v>0</v>
      </c>
      <c r="H153" s="82">
        <f t="shared" si="106"/>
        <v>68996.400000000009</v>
      </c>
      <c r="I153" s="83">
        <f t="shared" si="102"/>
        <v>0.04</v>
      </c>
      <c r="J153" s="82">
        <f t="shared" si="88"/>
        <v>0</v>
      </c>
      <c r="K153" s="84">
        <f t="shared" si="89"/>
        <v>11</v>
      </c>
      <c r="L153" s="82">
        <f t="shared" si="90"/>
        <v>68996.400000000009</v>
      </c>
      <c r="M153" s="82">
        <f t="shared" si="91"/>
        <v>87516.857534283918</v>
      </c>
      <c r="N153" s="82">
        <f t="shared" si="92"/>
        <v>87516.857534283918</v>
      </c>
      <c r="O153" s="82">
        <f t="shared" si="93"/>
        <v>84694.971499932566</v>
      </c>
      <c r="P153" s="82">
        <f t="shared" si="94"/>
        <v>84694.971499932566</v>
      </c>
      <c r="Q153" s="82">
        <f t="shared" si="95"/>
        <v>84219.077017427568</v>
      </c>
      <c r="R153" s="82"/>
      <c r="S153" s="85">
        <f t="shared" si="103"/>
        <v>0.17</v>
      </c>
      <c r="T153" s="82">
        <f t="shared" si="120"/>
        <v>293.61246667459301</v>
      </c>
      <c r="U153" s="82">
        <f t="shared" si="107"/>
        <v>88377.352469052479</v>
      </c>
      <c r="V153" s="85">
        <f t="shared" si="108"/>
        <v>0.17</v>
      </c>
      <c r="W153" s="82">
        <f t="shared" si="109"/>
        <v>0</v>
      </c>
      <c r="X153" s="82">
        <f>IF(B153&lt;&gt;"",IF(MONTH(E153)=MONTH($F$13),SUMIF($C$22:C535,"="&amp;(C153-1),$G$22:G535),0)*S153,"")</f>
        <v>0</v>
      </c>
      <c r="Y153" s="82">
        <f>IF(B153&lt;&gt;"",SUM($X$22:X153),"")</f>
        <v>11729.388000000003</v>
      </c>
      <c r="Z153" s="82">
        <f t="shared" si="121"/>
        <v>47.085053638410784</v>
      </c>
      <c r="AA153" s="82">
        <f t="shared" si="110"/>
        <v>8.9461601912980484</v>
      </c>
      <c r="AB153" s="82">
        <f t="shared" si="111"/>
        <v>2434.2669849703552</v>
      </c>
      <c r="AC153" s="82">
        <f t="shared" si="112"/>
        <v>14163.65498497035</v>
      </c>
      <c r="AD153" s="82">
        <f>IFERROR($U153*(1-$V153)+SUM($W$22:$W153)+$AB153,"")</f>
        <v>87516.857534283918</v>
      </c>
      <c r="AE153" s="73" t="b">
        <f t="shared" si="113"/>
        <v>0</v>
      </c>
      <c r="AF153" s="82">
        <f>IF(AND(AE153=TRUE,D153&gt;=65),$U153*(1-10%)+SUM($W$22:$W153)+$AB153,AD153)</f>
        <v>87516.857534283918</v>
      </c>
      <c r="AG153" s="82">
        <f t="shared" si="96"/>
        <v>293.61246667459324</v>
      </c>
      <c r="AH153" s="82">
        <f t="shared" si="97"/>
        <v>19380.952469052543</v>
      </c>
      <c r="AI153" s="82">
        <f t="shared" si="98"/>
        <v>88377.352469052552</v>
      </c>
      <c r="AJ153" s="82">
        <f t="shared" si="99"/>
        <v>84694.971499932566</v>
      </c>
      <c r="AK153" s="73" t="b">
        <f t="shared" si="114"/>
        <v>0</v>
      </c>
      <c r="AL153" s="82">
        <f t="shared" si="100"/>
        <v>84694.971499932566</v>
      </c>
      <c r="AM153" s="82">
        <f t="shared" si="122"/>
        <v>279.97432604443861</v>
      </c>
      <c r="AN153" s="82">
        <f t="shared" si="115"/>
        <v>53.195121948443337</v>
      </c>
      <c r="AO153" s="82">
        <f t="shared" si="116"/>
        <v>15222.677017427559</v>
      </c>
      <c r="AP153" s="82">
        <f t="shared" si="117"/>
        <v>84219.077017427568</v>
      </c>
    </row>
    <row r="154" spans="1:42" s="31" customFormat="1" x14ac:dyDescent="0.6">
      <c r="A154" s="70">
        <f t="shared" si="101"/>
        <v>133</v>
      </c>
      <c r="B154" s="70" t="str">
        <f>IF(E154&lt;=$F$9,VLOOKUP(KALKULATOR!A154,Robocze!$B$23:$C$102,2),"")</f>
        <v>12 rok</v>
      </c>
      <c r="C154" s="70">
        <f t="shared" si="104"/>
        <v>2031</v>
      </c>
      <c r="D154" s="71">
        <f t="shared" si="118"/>
        <v>51.083333333333648</v>
      </c>
      <c r="E154" s="72">
        <f t="shared" si="119"/>
        <v>48183</v>
      </c>
      <c r="F154" s="72">
        <f t="shared" si="105"/>
        <v>48213</v>
      </c>
      <c r="G154" s="73">
        <f>IFERROR(IF(AND(F154&lt;=$F$9,$F$5=Robocze!$B$4,$E154&lt;=$F$9,MONTH($F$8)=MONTH(E154)),$F$4,0)+IF(AND(F154&lt;=$F$9,$F$5=Robocze!$B$3,E154&lt;=$F$9),KALKULATOR!$F$4/12,0),"")</f>
        <v>6272.4</v>
      </c>
      <c r="H154" s="73">
        <f t="shared" si="106"/>
        <v>75268.800000000003</v>
      </c>
      <c r="I154" s="74">
        <f t="shared" si="102"/>
        <v>0.04</v>
      </c>
      <c r="J154" s="73">
        <f t="shared" si="88"/>
        <v>0</v>
      </c>
      <c r="K154" s="75" t="str">
        <f t="shared" si="89"/>
        <v/>
      </c>
      <c r="L154" s="73">
        <f t="shared" si="90"/>
        <v>75268.800000000003</v>
      </c>
      <c r="M154" s="73">
        <f t="shared" si="91"/>
        <v>94089.363717907705</v>
      </c>
      <c r="N154" s="73">
        <f t="shared" si="92"/>
        <v>94089.363717907705</v>
      </c>
      <c r="O154" s="73">
        <f t="shared" si="93"/>
        <v>91222.925831599016</v>
      </c>
      <c r="P154" s="73">
        <f t="shared" si="94"/>
        <v>91222.925831599016</v>
      </c>
      <c r="Q154" s="73">
        <f t="shared" si="95"/>
        <v>90735.804005374623</v>
      </c>
      <c r="R154" s="73"/>
      <c r="S154" s="76">
        <f t="shared" si="103"/>
        <v>0.17</v>
      </c>
      <c r="T154" s="73">
        <f t="shared" si="120"/>
        <v>315.49917489684162</v>
      </c>
      <c r="U154" s="73">
        <f t="shared" si="107"/>
        <v>94965.251643949319</v>
      </c>
      <c r="V154" s="76">
        <f t="shared" si="108"/>
        <v>0.17</v>
      </c>
      <c r="W154" s="73">
        <f t="shared" si="109"/>
        <v>1066.308</v>
      </c>
      <c r="X154" s="73">
        <f>IF(B154&lt;&gt;"",IF(MONTH(E154)=MONTH($F$13),SUMIF($C$22:C536,"="&amp;(C154-1),$G$22:G536),0)*S154,"")</f>
        <v>0</v>
      </c>
      <c r="Y154" s="73">
        <f>IF(B154&lt;&gt;"",SUM($X$22:X154),"")</f>
        <v>11729.388000000003</v>
      </c>
      <c r="Z154" s="73">
        <f t="shared" si="121"/>
        <v>47.212183283234502</v>
      </c>
      <c r="AA154" s="73">
        <f t="shared" si="110"/>
        <v>8.9703148238145562</v>
      </c>
      <c r="AB154" s="73">
        <f t="shared" si="111"/>
        <v>2472.5088534297752</v>
      </c>
      <c r="AC154" s="73">
        <f t="shared" si="112"/>
        <v>14201.896853429769</v>
      </c>
      <c r="AD154" s="73">
        <f>IFERROR($U154*(1-$V154)+SUM($W$22:$W154)+$AB154,"")</f>
        <v>94089.363717907705</v>
      </c>
      <c r="AE154" s="73" t="b">
        <f t="shared" si="113"/>
        <v>0</v>
      </c>
      <c r="AF154" s="73">
        <f>IF(AND(AE154=TRUE,D154&gt;=65),$U154*(1-10%)+SUM($W$22:$W154)+$AB154,AD154)</f>
        <v>94089.363717907705</v>
      </c>
      <c r="AG154" s="73">
        <f t="shared" si="96"/>
        <v>315.49917489684179</v>
      </c>
      <c r="AH154" s="73">
        <f t="shared" si="97"/>
        <v>19696.451643949385</v>
      </c>
      <c r="AI154" s="73">
        <f t="shared" si="98"/>
        <v>94965.251643949392</v>
      </c>
      <c r="AJ154" s="73">
        <f t="shared" si="99"/>
        <v>91222.925831599016</v>
      </c>
      <c r="AK154" s="73" t="b">
        <f t="shared" si="114"/>
        <v>0</v>
      </c>
      <c r="AL154" s="73">
        <f t="shared" si="100"/>
        <v>91222.925831599016</v>
      </c>
      <c r="AM154" s="73">
        <f t="shared" si="122"/>
        <v>301.63825672475855</v>
      </c>
      <c r="AN154" s="73">
        <f t="shared" si="115"/>
        <v>57.311268777704122</v>
      </c>
      <c r="AO154" s="73">
        <f t="shared" si="116"/>
        <v>15467.00400537462</v>
      </c>
      <c r="AP154" s="73">
        <f t="shared" si="117"/>
        <v>90735.804005374623</v>
      </c>
    </row>
    <row r="155" spans="1:42" s="31" customFormat="1" x14ac:dyDescent="0.6">
      <c r="A155" s="70">
        <f t="shared" si="101"/>
        <v>134</v>
      </c>
      <c r="B155" s="70" t="str">
        <f>IF(E155&lt;=$F$9,VLOOKUP(KALKULATOR!A155,Robocze!$B$23:$C$102,2),"")</f>
        <v>12 rok</v>
      </c>
      <c r="C155" s="70">
        <f t="shared" si="104"/>
        <v>2032</v>
      </c>
      <c r="D155" s="71">
        <f t="shared" si="118"/>
        <v>51.166666666666984</v>
      </c>
      <c r="E155" s="77">
        <f t="shared" si="119"/>
        <v>48214</v>
      </c>
      <c r="F155" s="72">
        <f t="shared" si="105"/>
        <v>48244</v>
      </c>
      <c r="G155" s="73">
        <f>IFERROR(IF(AND(F155&lt;=$F$9,$F$5=Robocze!$B$4,$E155&lt;=$F$9,MONTH($F$8)=MONTH(E155)),$F$4,0)+IF(AND(F155&lt;=$F$9,$F$5=Robocze!$B$3,E155&lt;=$F$9),KALKULATOR!$F$4/12,0),"")</f>
        <v>0</v>
      </c>
      <c r="H155" s="73">
        <f t="shared" si="106"/>
        <v>75268.800000000003</v>
      </c>
      <c r="I155" s="74">
        <f t="shared" si="102"/>
        <v>0.04</v>
      </c>
      <c r="J155" s="73">
        <f t="shared" si="88"/>
        <v>0</v>
      </c>
      <c r="K155" s="75" t="str">
        <f t="shared" si="89"/>
        <v/>
      </c>
      <c r="L155" s="73">
        <f t="shared" si="90"/>
        <v>75268.800000000003</v>
      </c>
      <c r="M155" s="73">
        <f t="shared" si="91"/>
        <v>94390.446035626912</v>
      </c>
      <c r="N155" s="73">
        <f t="shared" si="92"/>
        <v>94390.446035626912</v>
      </c>
      <c r="O155" s="73">
        <f t="shared" si="93"/>
        <v>91479.332011037666</v>
      </c>
      <c r="P155" s="73">
        <f t="shared" si="94"/>
        <v>91479.332011037666</v>
      </c>
      <c r="Q155" s="73">
        <f t="shared" si="95"/>
        <v>90980.790676189135</v>
      </c>
      <c r="R155" s="73"/>
      <c r="S155" s="76">
        <f t="shared" si="103"/>
        <v>0.17</v>
      </c>
      <c r="T155" s="73">
        <f t="shared" si="120"/>
        <v>316.55083881316443</v>
      </c>
      <c r="U155" s="73">
        <f t="shared" si="107"/>
        <v>95281.80248276249</v>
      </c>
      <c r="V155" s="76">
        <f t="shared" si="108"/>
        <v>0.17</v>
      </c>
      <c r="W155" s="73">
        <f t="shared" si="109"/>
        <v>0</v>
      </c>
      <c r="X155" s="73">
        <f>IF(B155&lt;&gt;"",IF(MONTH(E155)=MONTH($F$13),SUMIF($C$22:C537,"="&amp;(C155-1),$G$22:G537),0)*S155,"")</f>
        <v>0</v>
      </c>
      <c r="Y155" s="73">
        <f>IF(B155&lt;&gt;"",SUM($X$22:X155),"")</f>
        <v>11729.388000000003</v>
      </c>
      <c r="Z155" s="73">
        <f t="shared" si="121"/>
        <v>47.339656178099233</v>
      </c>
      <c r="AA155" s="73">
        <f t="shared" si="110"/>
        <v>8.9945346738388547</v>
      </c>
      <c r="AB155" s="73">
        <f t="shared" si="111"/>
        <v>2510.8539749340357</v>
      </c>
      <c r="AC155" s="73">
        <f t="shared" si="112"/>
        <v>14240.24197493403</v>
      </c>
      <c r="AD155" s="73">
        <f>IFERROR($U155*(1-$V155)+SUM($W$22:$W155)+$AB155,"")</f>
        <v>94390.446035626912</v>
      </c>
      <c r="AE155" s="73" t="b">
        <f t="shared" si="113"/>
        <v>0</v>
      </c>
      <c r="AF155" s="73">
        <f>IF(AND(AE155=TRUE,D155&gt;=65),$U155*(1-10%)+SUM($W$22:$W155)+$AB155,AD155)</f>
        <v>94390.446035626912</v>
      </c>
      <c r="AG155" s="73">
        <f t="shared" si="96"/>
        <v>316.55083881316466</v>
      </c>
      <c r="AH155" s="73">
        <f t="shared" si="97"/>
        <v>20013.002482762549</v>
      </c>
      <c r="AI155" s="73">
        <f t="shared" si="98"/>
        <v>95281.802482762549</v>
      </c>
      <c r="AJ155" s="73">
        <f t="shared" si="99"/>
        <v>91479.332011037666</v>
      </c>
      <c r="AK155" s="73" t="b">
        <f t="shared" si="114"/>
        <v>0</v>
      </c>
      <c r="AL155" s="73">
        <f t="shared" si="100"/>
        <v>91479.332011037666</v>
      </c>
      <c r="AM155" s="73">
        <f t="shared" si="122"/>
        <v>302.45268001791538</v>
      </c>
      <c r="AN155" s="73">
        <f t="shared" si="115"/>
        <v>57.466009203403921</v>
      </c>
      <c r="AO155" s="73">
        <f t="shared" si="116"/>
        <v>15711.990676189133</v>
      </c>
      <c r="AP155" s="73">
        <f t="shared" si="117"/>
        <v>90980.790676189135</v>
      </c>
    </row>
    <row r="156" spans="1:42" s="31" customFormat="1" x14ac:dyDescent="0.6">
      <c r="A156" s="70">
        <f t="shared" si="101"/>
        <v>135</v>
      </c>
      <c r="B156" s="70" t="str">
        <f>IF(E156&lt;=$F$9,VLOOKUP(KALKULATOR!A156,Robocze!$B$23:$C$102,2),"")</f>
        <v>12 rok</v>
      </c>
      <c r="C156" s="70">
        <f t="shared" si="104"/>
        <v>2032</v>
      </c>
      <c r="D156" s="71">
        <f t="shared" si="118"/>
        <v>51.25000000000032</v>
      </c>
      <c r="E156" s="77">
        <f t="shared" si="119"/>
        <v>48245</v>
      </c>
      <c r="F156" s="72">
        <f t="shared" si="105"/>
        <v>48273</v>
      </c>
      <c r="G156" s="73">
        <f>IFERROR(IF(AND(F156&lt;=$F$9,$F$5=Robocze!$B$4,$E156&lt;=$F$9,MONTH($F$8)=MONTH(E156)),$F$4,0)+IF(AND(F156&lt;=$F$9,$F$5=Robocze!$B$3,E156&lt;=$F$9),KALKULATOR!$F$4/12,0),"")</f>
        <v>0</v>
      </c>
      <c r="H156" s="73">
        <f t="shared" si="106"/>
        <v>75268.800000000003</v>
      </c>
      <c r="I156" s="74">
        <f t="shared" si="102"/>
        <v>0.04</v>
      </c>
      <c r="J156" s="73">
        <f t="shared" si="88"/>
        <v>0</v>
      </c>
      <c r="K156" s="75" t="str">
        <f t="shared" si="89"/>
        <v/>
      </c>
      <c r="L156" s="73">
        <f t="shared" si="90"/>
        <v>75268.800000000003</v>
      </c>
      <c r="M156" s="73">
        <f t="shared" si="91"/>
        <v>94692.507675828208</v>
      </c>
      <c r="N156" s="73">
        <f t="shared" si="92"/>
        <v>94692.507675828208</v>
      </c>
      <c r="O156" s="73">
        <f t="shared" si="93"/>
        <v>91736.592877741132</v>
      </c>
      <c r="P156" s="73">
        <f t="shared" si="94"/>
        <v>91736.592877741132</v>
      </c>
      <c r="Q156" s="73">
        <f t="shared" si="95"/>
        <v>91226.438811014843</v>
      </c>
      <c r="R156" s="73"/>
      <c r="S156" s="76">
        <f t="shared" si="103"/>
        <v>0.17</v>
      </c>
      <c r="T156" s="73">
        <f t="shared" si="120"/>
        <v>317.60600827587501</v>
      </c>
      <c r="U156" s="73">
        <f t="shared" si="107"/>
        <v>95599.408491038368</v>
      </c>
      <c r="V156" s="76">
        <f t="shared" si="108"/>
        <v>0.17</v>
      </c>
      <c r="W156" s="73">
        <f t="shared" si="109"/>
        <v>0</v>
      </c>
      <c r="X156" s="73">
        <f>IF(B156&lt;&gt;"",IF(MONTH(E156)=MONTH($F$13),SUMIF($C$22:C538,"="&amp;(C156-1),$G$22:G538),0)*S156,"")</f>
        <v>0</v>
      </c>
      <c r="Y156" s="73">
        <f>IF(B156&lt;&gt;"",SUM($X$22:X156),"")</f>
        <v>11729.388000000003</v>
      </c>
      <c r="Z156" s="73">
        <f t="shared" si="121"/>
        <v>47.467473249780106</v>
      </c>
      <c r="AA156" s="73">
        <f t="shared" si="110"/>
        <v>9.0188199174582202</v>
      </c>
      <c r="AB156" s="73">
        <f t="shared" si="111"/>
        <v>2549.3026282663577</v>
      </c>
      <c r="AC156" s="73">
        <f t="shared" si="112"/>
        <v>14278.690628266351</v>
      </c>
      <c r="AD156" s="73">
        <f>IFERROR($U156*(1-$V156)+SUM($W$22:$W156)+$AB156,"")</f>
        <v>94692.507675828208</v>
      </c>
      <c r="AE156" s="73" t="b">
        <f t="shared" si="113"/>
        <v>0</v>
      </c>
      <c r="AF156" s="73">
        <f>IF(AND(AE156=TRUE,D156&gt;=65),$U156*(1-10%)+SUM($W$22:$W156)+$AB156,AD156)</f>
        <v>94692.507675828208</v>
      </c>
      <c r="AG156" s="73">
        <f t="shared" si="96"/>
        <v>317.60600827587518</v>
      </c>
      <c r="AH156" s="73">
        <f t="shared" si="97"/>
        <v>20330.608491038423</v>
      </c>
      <c r="AI156" s="73">
        <f t="shared" si="98"/>
        <v>95599.408491038426</v>
      </c>
      <c r="AJ156" s="73">
        <f t="shared" si="99"/>
        <v>91736.592877741132</v>
      </c>
      <c r="AK156" s="73" t="b">
        <f t="shared" si="114"/>
        <v>0</v>
      </c>
      <c r="AL156" s="73">
        <f t="shared" si="100"/>
        <v>91736.592877741132</v>
      </c>
      <c r="AM156" s="73">
        <f t="shared" si="122"/>
        <v>303.26930225396376</v>
      </c>
      <c r="AN156" s="73">
        <f t="shared" si="115"/>
        <v>57.621167428253116</v>
      </c>
      <c r="AO156" s="73">
        <f t="shared" si="116"/>
        <v>15957.63881101484</v>
      </c>
      <c r="AP156" s="73">
        <f t="shared" si="117"/>
        <v>91226.438811014843</v>
      </c>
    </row>
    <row r="157" spans="1:42" s="31" customFormat="1" x14ac:dyDescent="0.6">
      <c r="A157" s="70">
        <f t="shared" si="101"/>
        <v>136</v>
      </c>
      <c r="B157" s="70" t="str">
        <f>IF(E157&lt;=$F$9,VLOOKUP(KALKULATOR!A157,Robocze!$B$23:$C$102,2),"")</f>
        <v>12 rok</v>
      </c>
      <c r="C157" s="70">
        <f t="shared" si="104"/>
        <v>2032</v>
      </c>
      <c r="D157" s="71">
        <f t="shared" si="118"/>
        <v>51.333333333333655</v>
      </c>
      <c r="E157" s="77">
        <f t="shared" si="119"/>
        <v>48274</v>
      </c>
      <c r="F157" s="72">
        <f t="shared" si="105"/>
        <v>48304</v>
      </c>
      <c r="G157" s="73">
        <f>IFERROR(IF(AND(F157&lt;=$F$9,$F$5=Robocze!$B$4,$E157&lt;=$F$9,MONTH($F$8)=MONTH(E157)),$F$4,0)+IF(AND(F157&lt;=$F$9,$F$5=Robocze!$B$3,E157&lt;=$F$9),KALKULATOR!$F$4/12,0),"")</f>
        <v>0</v>
      </c>
      <c r="H157" s="73">
        <f t="shared" si="106"/>
        <v>75268.800000000003</v>
      </c>
      <c r="I157" s="74">
        <f t="shared" si="102"/>
        <v>0.04</v>
      </c>
      <c r="J157" s="73">
        <f t="shared" si="88"/>
        <v>0</v>
      </c>
      <c r="K157" s="75" t="str">
        <f t="shared" si="89"/>
        <v/>
      </c>
      <c r="L157" s="73">
        <f t="shared" si="90"/>
        <v>75268.800000000003</v>
      </c>
      <c r="M157" s="73">
        <f t="shared" si="91"/>
        <v>94995.551837349718</v>
      </c>
      <c r="N157" s="73">
        <f t="shared" si="92"/>
        <v>94995.551837349718</v>
      </c>
      <c r="O157" s="73">
        <f t="shared" si="93"/>
        <v>91994.711280666932</v>
      </c>
      <c r="P157" s="73">
        <f t="shared" si="94"/>
        <v>91994.711280666932</v>
      </c>
      <c r="Q157" s="73">
        <f t="shared" si="95"/>
        <v>91472.75019580459</v>
      </c>
      <c r="R157" s="73"/>
      <c r="S157" s="76">
        <f t="shared" si="103"/>
        <v>0.17</v>
      </c>
      <c r="T157" s="73">
        <f t="shared" si="120"/>
        <v>318.66469497012793</v>
      </c>
      <c r="U157" s="73">
        <f t="shared" si="107"/>
        <v>95918.073186008492</v>
      </c>
      <c r="V157" s="76">
        <f t="shared" si="108"/>
        <v>0.17</v>
      </c>
      <c r="W157" s="73">
        <f t="shared" si="109"/>
        <v>0</v>
      </c>
      <c r="X157" s="73">
        <f>IF(B157&lt;&gt;"",IF(MONTH(E157)=MONTH($F$13),SUMIF($C$22:C539,"="&amp;(C157-1),$G$22:G539),0)*S157,"")</f>
        <v>0</v>
      </c>
      <c r="Y157" s="73">
        <f>IF(B157&lt;&gt;"",SUM($X$22:X157),"")</f>
        <v>11729.388000000003</v>
      </c>
      <c r="Z157" s="73">
        <f t="shared" si="121"/>
        <v>47.595635427554505</v>
      </c>
      <c r="AA157" s="73">
        <f t="shared" si="110"/>
        <v>9.0431707312353566</v>
      </c>
      <c r="AB157" s="73">
        <f t="shared" si="111"/>
        <v>2587.8550929626767</v>
      </c>
      <c r="AC157" s="73">
        <f t="shared" si="112"/>
        <v>14317.243092962672</v>
      </c>
      <c r="AD157" s="73">
        <f>IFERROR($U157*(1-$V157)+SUM($W$22:$W157)+$AB157,"")</f>
        <v>94995.551837349718</v>
      </c>
      <c r="AE157" s="73" t="b">
        <f t="shared" si="113"/>
        <v>0</v>
      </c>
      <c r="AF157" s="73">
        <f>IF(AND(AE157=TRUE,D157&gt;=65),$U157*(1-10%)+SUM($W$22:$W157)+$AB157,AD157)</f>
        <v>94995.551837349718</v>
      </c>
      <c r="AG157" s="73">
        <f t="shared" si="96"/>
        <v>318.6646949701281</v>
      </c>
      <c r="AH157" s="73">
        <f t="shared" si="97"/>
        <v>20649.273186008551</v>
      </c>
      <c r="AI157" s="73">
        <f t="shared" si="98"/>
        <v>95918.073186008551</v>
      </c>
      <c r="AJ157" s="73">
        <f t="shared" si="99"/>
        <v>91994.711280666932</v>
      </c>
      <c r="AK157" s="73" t="b">
        <f t="shared" si="114"/>
        <v>0</v>
      </c>
      <c r="AL157" s="73">
        <f t="shared" si="100"/>
        <v>91994.711280666932</v>
      </c>
      <c r="AM157" s="73">
        <f t="shared" si="122"/>
        <v>304.0881293700495</v>
      </c>
      <c r="AN157" s="73">
        <f t="shared" si="115"/>
        <v>57.776744580309405</v>
      </c>
      <c r="AO157" s="73">
        <f t="shared" si="116"/>
        <v>16203.950195804588</v>
      </c>
      <c r="AP157" s="73">
        <f t="shared" si="117"/>
        <v>91472.75019580459</v>
      </c>
    </row>
    <row r="158" spans="1:42" s="31" customFormat="1" x14ac:dyDescent="0.6">
      <c r="A158" s="70">
        <f t="shared" si="101"/>
        <v>137</v>
      </c>
      <c r="B158" s="70" t="str">
        <f>IF(E158&lt;=$F$9,VLOOKUP(KALKULATOR!A158,Robocze!$B$23:$C$102,2),"")</f>
        <v>12 rok</v>
      </c>
      <c r="C158" s="70">
        <f t="shared" si="104"/>
        <v>2032</v>
      </c>
      <c r="D158" s="71">
        <f t="shared" si="118"/>
        <v>51.416666666666991</v>
      </c>
      <c r="E158" s="77">
        <f t="shared" si="119"/>
        <v>48305</v>
      </c>
      <c r="F158" s="72">
        <f t="shared" si="105"/>
        <v>48334</v>
      </c>
      <c r="G158" s="73">
        <f>IFERROR(IF(AND(F158&lt;=$F$9,$F$5=Robocze!$B$4,$E158&lt;=$F$9,MONTH($F$8)=MONTH(E158)),$F$4,0)+IF(AND(F158&lt;=$F$9,$F$5=Robocze!$B$3,E158&lt;=$F$9),KALKULATOR!$F$4/12,0),"")</f>
        <v>0</v>
      </c>
      <c r="H158" s="73">
        <f t="shared" si="106"/>
        <v>75268.800000000003</v>
      </c>
      <c r="I158" s="74">
        <f t="shared" si="102"/>
        <v>0.04</v>
      </c>
      <c r="J158" s="73">
        <f t="shared" si="88"/>
        <v>0</v>
      </c>
      <c r="K158" s="75" t="str">
        <f t="shared" si="89"/>
        <v/>
      </c>
      <c r="L158" s="73">
        <f t="shared" si="90"/>
        <v>75268.800000000003</v>
      </c>
      <c r="M158" s="73">
        <f t="shared" si="91"/>
        <v>95302.460761115348</v>
      </c>
      <c r="N158" s="73">
        <f t="shared" si="92"/>
        <v>95302.460761115348</v>
      </c>
      <c r="O158" s="73">
        <f t="shared" si="93"/>
        <v>92253.690078269152</v>
      </c>
      <c r="P158" s="73">
        <f t="shared" si="94"/>
        <v>92253.690078269152</v>
      </c>
      <c r="Q158" s="73">
        <f t="shared" si="95"/>
        <v>91719.726621333262</v>
      </c>
      <c r="R158" s="73"/>
      <c r="S158" s="76">
        <f t="shared" si="103"/>
        <v>0.17</v>
      </c>
      <c r="T158" s="73">
        <f t="shared" si="120"/>
        <v>319.72691062002832</v>
      </c>
      <c r="U158" s="73">
        <f t="shared" si="107"/>
        <v>96237.800096628518</v>
      </c>
      <c r="V158" s="76">
        <f t="shared" si="108"/>
        <v>0.17</v>
      </c>
      <c r="W158" s="73">
        <f t="shared" si="109"/>
        <v>0</v>
      </c>
      <c r="X158" s="73">
        <f>IF(B158&lt;&gt;"",IF(MONTH(E158)=MONTH($F$13),SUMIF($C$22:C540,"="&amp;(C158-1),$G$22:G540),0)*S158,"")</f>
        <v>1066.308</v>
      </c>
      <c r="Y158" s="73">
        <f>IF(B158&lt;&gt;"",SUM($X$22:X158),"")</f>
        <v>12795.696000000004</v>
      </c>
      <c r="Z158" s="73">
        <f t="shared" si="121"/>
        <v>51.278503643208914</v>
      </c>
      <c r="AA158" s="73">
        <f t="shared" si="110"/>
        <v>9.742915692209694</v>
      </c>
      <c r="AB158" s="73">
        <f t="shared" si="111"/>
        <v>2629.3906809136756</v>
      </c>
      <c r="AC158" s="73">
        <f t="shared" si="112"/>
        <v>15425.086680913671</v>
      </c>
      <c r="AD158" s="73">
        <f>IFERROR($U158*(1-$V158)+SUM($W$22:$W158)+$AB158,"")</f>
        <v>95302.460761115348</v>
      </c>
      <c r="AE158" s="73" t="b">
        <f t="shared" si="113"/>
        <v>0</v>
      </c>
      <c r="AF158" s="73">
        <f>IF(AND(AE158=TRUE,D158&gt;=65),$U158*(1-10%)+SUM($W$22:$W158)+$AB158,AD158)</f>
        <v>95302.460761115348</v>
      </c>
      <c r="AG158" s="73">
        <f t="shared" si="96"/>
        <v>319.72691062002849</v>
      </c>
      <c r="AH158" s="73">
        <f t="shared" si="97"/>
        <v>20969.000096628581</v>
      </c>
      <c r="AI158" s="73">
        <f t="shared" si="98"/>
        <v>96237.800096628576</v>
      </c>
      <c r="AJ158" s="73">
        <f t="shared" si="99"/>
        <v>92253.690078269152</v>
      </c>
      <c r="AK158" s="73" t="b">
        <f t="shared" si="114"/>
        <v>0</v>
      </c>
      <c r="AL158" s="73">
        <f t="shared" si="100"/>
        <v>92253.690078269152</v>
      </c>
      <c r="AM158" s="73">
        <f t="shared" si="122"/>
        <v>304.90916731934863</v>
      </c>
      <c r="AN158" s="73">
        <f t="shared" si="115"/>
        <v>57.932741790676239</v>
      </c>
      <c r="AO158" s="73">
        <f t="shared" si="116"/>
        <v>16450.926621333259</v>
      </c>
      <c r="AP158" s="73">
        <f t="shared" si="117"/>
        <v>91719.726621333262</v>
      </c>
    </row>
    <row r="159" spans="1:42" s="31" customFormat="1" x14ac:dyDescent="0.6">
      <c r="A159" s="70">
        <f t="shared" si="101"/>
        <v>138</v>
      </c>
      <c r="B159" s="70" t="str">
        <f>IF(E159&lt;=$F$9,VLOOKUP(KALKULATOR!A159,Robocze!$B$23:$C$102,2),"")</f>
        <v>12 rok</v>
      </c>
      <c r="C159" s="70">
        <f t="shared" si="104"/>
        <v>2032</v>
      </c>
      <c r="D159" s="71">
        <f t="shared" si="118"/>
        <v>51.500000000000327</v>
      </c>
      <c r="E159" s="77">
        <f t="shared" si="119"/>
        <v>48335</v>
      </c>
      <c r="F159" s="72">
        <f t="shared" si="105"/>
        <v>48365</v>
      </c>
      <c r="G159" s="73">
        <f>IFERROR(IF(AND(F159&lt;=$F$9,$F$5=Robocze!$B$4,$E159&lt;=$F$9,MONTH($F$8)=MONTH(E159)),$F$4,0)+IF(AND(F159&lt;=$F$9,$F$5=Robocze!$B$3,E159&lt;=$F$9),KALKULATOR!$F$4/12,0),"")</f>
        <v>0</v>
      </c>
      <c r="H159" s="73">
        <f t="shared" si="106"/>
        <v>75268.800000000003</v>
      </c>
      <c r="I159" s="74">
        <f t="shared" si="102"/>
        <v>0.04</v>
      </c>
      <c r="J159" s="73">
        <f t="shared" si="88"/>
        <v>0</v>
      </c>
      <c r="K159" s="75" t="str">
        <f t="shared" si="89"/>
        <v/>
      </c>
      <c r="L159" s="73">
        <f t="shared" si="90"/>
        <v>75268.800000000003</v>
      </c>
      <c r="M159" s="73">
        <f t="shared" si="91"/>
        <v>95610.366408754489</v>
      </c>
      <c r="N159" s="73">
        <f t="shared" si="92"/>
        <v>95610.366408754489</v>
      </c>
      <c r="O159" s="73">
        <f t="shared" si="93"/>
        <v>92513.532138530049</v>
      </c>
      <c r="P159" s="73">
        <f t="shared" si="94"/>
        <v>92513.532138530049</v>
      </c>
      <c r="Q159" s="73">
        <f t="shared" si="95"/>
        <v>91967.369883210864</v>
      </c>
      <c r="R159" s="73"/>
      <c r="S159" s="76">
        <f t="shared" si="103"/>
        <v>0.17</v>
      </c>
      <c r="T159" s="73">
        <f t="shared" si="120"/>
        <v>320.79266698876177</v>
      </c>
      <c r="U159" s="73">
        <f t="shared" si="107"/>
        <v>96558.592763617286</v>
      </c>
      <c r="V159" s="76">
        <f t="shared" si="108"/>
        <v>0.17</v>
      </c>
      <c r="W159" s="73">
        <f t="shared" si="109"/>
        <v>0</v>
      </c>
      <c r="X159" s="73">
        <f>IF(B159&lt;&gt;"",IF(MONTH(E159)=MONTH($F$13),SUMIF($C$22:C541,"="&amp;(C159-1),$G$22:G541),0)*S159,"")</f>
        <v>0</v>
      </c>
      <c r="Y159" s="73">
        <f>IF(B159&lt;&gt;"",SUM($X$22:X159),"")</f>
        <v>12795.696000000004</v>
      </c>
      <c r="Z159" s="73">
        <f t="shared" si="121"/>
        <v>51.416955603045572</v>
      </c>
      <c r="AA159" s="73">
        <f t="shared" si="110"/>
        <v>9.7692215645786593</v>
      </c>
      <c r="AB159" s="73">
        <f t="shared" si="111"/>
        <v>2671.0384149521424</v>
      </c>
      <c r="AC159" s="73">
        <f t="shared" si="112"/>
        <v>15466.734414952138</v>
      </c>
      <c r="AD159" s="73">
        <f>IFERROR($U159*(1-$V159)+SUM($W$22:$W159)+$AB159,"")</f>
        <v>95610.366408754489</v>
      </c>
      <c r="AE159" s="73" t="b">
        <f t="shared" si="113"/>
        <v>0</v>
      </c>
      <c r="AF159" s="73">
        <f>IF(AND(AE159=TRUE,D159&gt;=65),$U159*(1-10%)+SUM($W$22:$W159)+$AB159,AD159)</f>
        <v>95610.366408754489</v>
      </c>
      <c r="AG159" s="73">
        <f t="shared" si="96"/>
        <v>320.79266698876194</v>
      </c>
      <c r="AH159" s="73">
        <f t="shared" si="97"/>
        <v>21289.792763617341</v>
      </c>
      <c r="AI159" s="73">
        <f t="shared" si="98"/>
        <v>96558.592763617344</v>
      </c>
      <c r="AJ159" s="73">
        <f t="shared" si="99"/>
        <v>92513.532138530049</v>
      </c>
      <c r="AK159" s="73" t="b">
        <f t="shared" si="114"/>
        <v>0</v>
      </c>
      <c r="AL159" s="73">
        <f t="shared" si="100"/>
        <v>92513.532138530049</v>
      </c>
      <c r="AM159" s="73">
        <f t="shared" si="122"/>
        <v>305.73242207111088</v>
      </c>
      <c r="AN159" s="73">
        <f t="shared" si="115"/>
        <v>58.08916019351107</v>
      </c>
      <c r="AO159" s="73">
        <f t="shared" si="116"/>
        <v>16698.569883210861</v>
      </c>
      <c r="AP159" s="73">
        <f t="shared" si="117"/>
        <v>91967.369883210864</v>
      </c>
    </row>
    <row r="160" spans="1:42" s="31" customFormat="1" x14ac:dyDescent="0.6">
      <c r="A160" s="70">
        <f t="shared" si="101"/>
        <v>139</v>
      </c>
      <c r="B160" s="70" t="str">
        <f>IF(E160&lt;=$F$9,VLOOKUP(KALKULATOR!A160,Robocze!$B$23:$C$102,2),"")</f>
        <v>12 rok</v>
      </c>
      <c r="C160" s="70">
        <f t="shared" si="104"/>
        <v>2032</v>
      </c>
      <c r="D160" s="71">
        <f t="shared" si="118"/>
        <v>51.583333333333663</v>
      </c>
      <c r="E160" s="77">
        <f t="shared" si="119"/>
        <v>48366</v>
      </c>
      <c r="F160" s="72">
        <f t="shared" si="105"/>
        <v>48395</v>
      </c>
      <c r="G160" s="73">
        <f>IFERROR(IF(AND(F160&lt;=$F$9,$F$5=Robocze!$B$4,$E160&lt;=$F$9,MONTH($F$8)=MONTH(E160)),$F$4,0)+IF(AND(F160&lt;=$F$9,$F$5=Robocze!$B$3,E160&lt;=$F$9),KALKULATOR!$F$4/12,0),"")</f>
        <v>0</v>
      </c>
      <c r="H160" s="73">
        <f t="shared" si="106"/>
        <v>75268.800000000003</v>
      </c>
      <c r="I160" s="74">
        <f t="shared" si="102"/>
        <v>0.04</v>
      </c>
      <c r="J160" s="73">
        <f t="shared" si="88"/>
        <v>0</v>
      </c>
      <c r="K160" s="75" t="str">
        <f t="shared" si="89"/>
        <v/>
      </c>
      <c r="L160" s="73">
        <f t="shared" si="90"/>
        <v>75268.800000000003</v>
      </c>
      <c r="M160" s="73">
        <f t="shared" si="91"/>
        <v>95919.272031654196</v>
      </c>
      <c r="N160" s="73">
        <f t="shared" si="92"/>
        <v>95919.272031654196</v>
      </c>
      <c r="O160" s="73">
        <f t="shared" si="93"/>
        <v>92774.240338991818</v>
      </c>
      <c r="P160" s="73">
        <f t="shared" si="94"/>
        <v>92774.240338991818</v>
      </c>
      <c r="Q160" s="73">
        <f t="shared" si="95"/>
        <v>92215.681781895531</v>
      </c>
      <c r="R160" s="73"/>
      <c r="S160" s="76">
        <f t="shared" si="103"/>
        <v>0.17</v>
      </c>
      <c r="T160" s="73">
        <f t="shared" si="120"/>
        <v>321.86197587872431</v>
      </c>
      <c r="U160" s="73">
        <f t="shared" si="107"/>
        <v>96880.45473949601</v>
      </c>
      <c r="V160" s="76">
        <f t="shared" si="108"/>
        <v>0.17</v>
      </c>
      <c r="W160" s="73">
        <f t="shared" si="109"/>
        <v>0</v>
      </c>
      <c r="X160" s="73">
        <f>IF(B160&lt;&gt;"",IF(MONTH(E160)=MONTH($F$13),SUMIF($C$22:C542,"="&amp;(C160-1),$G$22:G542),0)*S160,"")</f>
        <v>0</v>
      </c>
      <c r="Y160" s="73">
        <f>IF(B160&lt;&gt;"",SUM($X$22:X160),"")</f>
        <v>12795.696000000004</v>
      </c>
      <c r="Z160" s="73">
        <f t="shared" si="121"/>
        <v>51.555781383173787</v>
      </c>
      <c r="AA160" s="73">
        <f t="shared" si="110"/>
        <v>9.795598462803019</v>
      </c>
      <c r="AB160" s="73">
        <f t="shared" si="111"/>
        <v>2712.7985978725133</v>
      </c>
      <c r="AC160" s="73">
        <f t="shared" si="112"/>
        <v>15508.49459787251</v>
      </c>
      <c r="AD160" s="73">
        <f>IFERROR($U160*(1-$V160)+SUM($W$22:$W160)+$AB160,"")</f>
        <v>95919.272031654196</v>
      </c>
      <c r="AE160" s="73" t="b">
        <f t="shared" si="113"/>
        <v>0</v>
      </c>
      <c r="AF160" s="73">
        <f>IF(AND(AE160=TRUE,D160&gt;=65),$U160*(1-10%)+SUM($W$22:$W160)+$AB160,AD160)</f>
        <v>95919.272031654196</v>
      </c>
      <c r="AG160" s="73">
        <f t="shared" si="96"/>
        <v>321.86197587872448</v>
      </c>
      <c r="AH160" s="73">
        <f t="shared" si="97"/>
        <v>21611.654739496065</v>
      </c>
      <c r="AI160" s="73">
        <f t="shared" si="98"/>
        <v>96880.454739496068</v>
      </c>
      <c r="AJ160" s="73">
        <f t="shared" si="99"/>
        <v>92774.240338991818</v>
      </c>
      <c r="AK160" s="73" t="b">
        <f t="shared" si="114"/>
        <v>0</v>
      </c>
      <c r="AL160" s="73">
        <f t="shared" si="100"/>
        <v>92774.240338991818</v>
      </c>
      <c r="AM160" s="73">
        <f t="shared" si="122"/>
        <v>306.55789961070292</v>
      </c>
      <c r="AN160" s="73">
        <f t="shared" si="115"/>
        <v>58.246000926033553</v>
      </c>
      <c r="AO160" s="73">
        <f t="shared" si="116"/>
        <v>16946.881781895529</v>
      </c>
      <c r="AP160" s="73">
        <f t="shared" si="117"/>
        <v>92215.681781895531</v>
      </c>
    </row>
    <row r="161" spans="1:42" s="31" customFormat="1" x14ac:dyDescent="0.6">
      <c r="A161" s="70">
        <f t="shared" si="101"/>
        <v>140</v>
      </c>
      <c r="B161" s="70" t="str">
        <f>IF(E161&lt;=$F$9,VLOOKUP(KALKULATOR!A161,Robocze!$B$23:$C$102,2),"")</f>
        <v>12 rok</v>
      </c>
      <c r="C161" s="70">
        <f t="shared" si="104"/>
        <v>2032</v>
      </c>
      <c r="D161" s="71">
        <f t="shared" si="118"/>
        <v>51.666666666666998</v>
      </c>
      <c r="E161" s="77">
        <f t="shared" si="119"/>
        <v>48396</v>
      </c>
      <c r="F161" s="72">
        <f t="shared" si="105"/>
        <v>48426</v>
      </c>
      <c r="G161" s="73">
        <f>IFERROR(IF(AND(F161&lt;=$F$9,$F$5=Robocze!$B$4,$E161&lt;=$F$9,MONTH($F$8)=MONTH(E161)),$F$4,0)+IF(AND(F161&lt;=$F$9,$F$5=Robocze!$B$3,E161&lt;=$F$9),KALKULATOR!$F$4/12,0),"")</f>
        <v>0</v>
      </c>
      <c r="H161" s="73">
        <f t="shared" si="106"/>
        <v>75268.800000000003</v>
      </c>
      <c r="I161" s="74">
        <f t="shared" si="102"/>
        <v>0.04</v>
      </c>
      <c r="J161" s="73">
        <f t="shared" si="88"/>
        <v>0</v>
      </c>
      <c r="K161" s="75" t="str">
        <f t="shared" si="89"/>
        <v/>
      </c>
      <c r="L161" s="73">
        <f t="shared" si="90"/>
        <v>75268.800000000003</v>
      </c>
      <c r="M161" s="73">
        <f t="shared" si="91"/>
        <v>96229.180891847733</v>
      </c>
      <c r="N161" s="73">
        <f t="shared" si="92"/>
        <v>96229.180891847733</v>
      </c>
      <c r="O161" s="73">
        <f t="shared" si="93"/>
        <v>93035.81756678845</v>
      </c>
      <c r="P161" s="73">
        <f t="shared" si="94"/>
        <v>93035.81756678845</v>
      </c>
      <c r="Q161" s="73">
        <f t="shared" si="95"/>
        <v>92464.664122706643</v>
      </c>
      <c r="R161" s="73"/>
      <c r="S161" s="76">
        <f t="shared" si="103"/>
        <v>0.17</v>
      </c>
      <c r="T161" s="73">
        <f t="shared" si="120"/>
        <v>322.93484913165338</v>
      </c>
      <c r="U161" s="73">
        <f t="shared" si="107"/>
        <v>97203.389588627659</v>
      </c>
      <c r="V161" s="76">
        <f t="shared" si="108"/>
        <v>0.17</v>
      </c>
      <c r="W161" s="73">
        <f t="shared" si="109"/>
        <v>0</v>
      </c>
      <c r="X161" s="73">
        <f>IF(B161&lt;&gt;"",IF(MONTH(E161)=MONTH($F$13),SUMIF($C$22:C543,"="&amp;(C161-1),$G$22:G543),0)*S161,"")</f>
        <v>0</v>
      </c>
      <c r="Y161" s="73">
        <f>IF(B161&lt;&gt;"",SUM($X$22:X161),"")</f>
        <v>12795.696000000004</v>
      </c>
      <c r="Z161" s="73">
        <f t="shared" si="121"/>
        <v>51.694981992908367</v>
      </c>
      <c r="AA161" s="73">
        <f t="shared" si="110"/>
        <v>9.8220465786525892</v>
      </c>
      <c r="AB161" s="73">
        <f t="shared" si="111"/>
        <v>2754.6715332867689</v>
      </c>
      <c r="AC161" s="73">
        <f t="shared" si="112"/>
        <v>15550.367533286766</v>
      </c>
      <c r="AD161" s="73">
        <f>IFERROR($U161*(1-$V161)+SUM($W$22:$W161)+$AB161,"")</f>
        <v>96229.180891847733</v>
      </c>
      <c r="AE161" s="73" t="b">
        <f t="shared" si="113"/>
        <v>0</v>
      </c>
      <c r="AF161" s="73">
        <f>IF(AND(AE161=TRUE,D161&gt;=65),$U161*(1-10%)+SUM($W$22:$W161)+$AB161,AD161)</f>
        <v>96229.180891847733</v>
      </c>
      <c r="AG161" s="73">
        <f t="shared" si="96"/>
        <v>322.93484913165355</v>
      </c>
      <c r="AH161" s="73">
        <f t="shared" si="97"/>
        <v>21934.589588627718</v>
      </c>
      <c r="AI161" s="73">
        <f t="shared" si="98"/>
        <v>97203.389588627717</v>
      </c>
      <c r="AJ161" s="73">
        <f t="shared" si="99"/>
        <v>93035.81756678845</v>
      </c>
      <c r="AK161" s="73" t="b">
        <f t="shared" si="114"/>
        <v>0</v>
      </c>
      <c r="AL161" s="73">
        <f t="shared" si="100"/>
        <v>93035.81756678845</v>
      </c>
      <c r="AM161" s="73">
        <f t="shared" si="122"/>
        <v>307.38560593965178</v>
      </c>
      <c r="AN161" s="73">
        <f t="shared" si="115"/>
        <v>58.403265128533839</v>
      </c>
      <c r="AO161" s="73">
        <f t="shared" si="116"/>
        <v>17195.86412270664</v>
      </c>
      <c r="AP161" s="73">
        <f t="shared" si="117"/>
        <v>92464.664122706643</v>
      </c>
    </row>
    <row r="162" spans="1:42" s="31" customFormat="1" x14ac:dyDescent="0.6">
      <c r="A162" s="70">
        <f t="shared" si="101"/>
        <v>141</v>
      </c>
      <c r="B162" s="70" t="str">
        <f>IF(E162&lt;=$F$9,VLOOKUP(KALKULATOR!A162,Robocze!$B$23:$C$102,2),"")</f>
        <v>12 rok</v>
      </c>
      <c r="C162" s="70">
        <f t="shared" si="104"/>
        <v>2032</v>
      </c>
      <c r="D162" s="71">
        <f t="shared" si="118"/>
        <v>51.750000000000334</v>
      </c>
      <c r="E162" s="77">
        <f t="shared" si="119"/>
        <v>48427</v>
      </c>
      <c r="F162" s="72">
        <f t="shared" si="105"/>
        <v>48457</v>
      </c>
      <c r="G162" s="73">
        <f>IFERROR(IF(AND(F162&lt;=$F$9,$F$5=Robocze!$B$4,$E162&lt;=$F$9,MONTH($F$8)=MONTH(E162)),$F$4,0)+IF(AND(F162&lt;=$F$9,$F$5=Robocze!$B$3,E162&lt;=$F$9),KALKULATOR!$F$4/12,0),"")</f>
        <v>0</v>
      </c>
      <c r="H162" s="73">
        <f t="shared" si="106"/>
        <v>75268.800000000003</v>
      </c>
      <c r="I162" s="74">
        <f t="shared" si="102"/>
        <v>0.04</v>
      </c>
      <c r="J162" s="73">
        <f t="shared" si="88"/>
        <v>0</v>
      </c>
      <c r="K162" s="75" t="str">
        <f t="shared" si="89"/>
        <v/>
      </c>
      <c r="L162" s="73">
        <f t="shared" si="90"/>
        <v>75268.800000000003</v>
      </c>
      <c r="M162" s="73">
        <f t="shared" si="91"/>
        <v>96540.096262049468</v>
      </c>
      <c r="N162" s="73">
        <f t="shared" si="92"/>
        <v>96540.096262049468</v>
      </c>
      <c r="O162" s="73">
        <f t="shared" si="93"/>
        <v>93298.266718677754</v>
      </c>
      <c r="P162" s="73">
        <f t="shared" si="94"/>
        <v>93298.266718677754</v>
      </c>
      <c r="Q162" s="73">
        <f t="shared" si="95"/>
        <v>92714.318715837944</v>
      </c>
      <c r="R162" s="73"/>
      <c r="S162" s="76">
        <f t="shared" si="103"/>
        <v>0.17</v>
      </c>
      <c r="T162" s="73">
        <f t="shared" si="120"/>
        <v>324.01129862875888</v>
      </c>
      <c r="U162" s="73">
        <f t="shared" si="107"/>
        <v>97527.400887256415</v>
      </c>
      <c r="V162" s="76">
        <f t="shared" si="108"/>
        <v>0.17</v>
      </c>
      <c r="W162" s="73">
        <f t="shared" si="109"/>
        <v>0</v>
      </c>
      <c r="X162" s="73">
        <f>IF(B162&lt;&gt;"",IF(MONTH(E162)=MONTH($F$13),SUMIF($C$22:C544,"="&amp;(C162-1),$G$22:G544),0)*S162,"")</f>
        <v>0</v>
      </c>
      <c r="Y162" s="73">
        <f>IF(B162&lt;&gt;"",SUM($X$22:X162),"")</f>
        <v>12795.696000000004</v>
      </c>
      <c r="Z162" s="73">
        <f t="shared" si="121"/>
        <v>51.834558444289222</v>
      </c>
      <c r="AA162" s="73">
        <f t="shared" si="110"/>
        <v>9.8485661044149531</v>
      </c>
      <c r="AB162" s="73">
        <f t="shared" si="111"/>
        <v>2796.6575256266428</v>
      </c>
      <c r="AC162" s="73">
        <f t="shared" si="112"/>
        <v>15592.35352562664</v>
      </c>
      <c r="AD162" s="73">
        <f>IFERROR($U162*(1-$V162)+SUM($W$22:$W162)+$AB162,"")</f>
        <v>96540.096262049468</v>
      </c>
      <c r="AE162" s="73" t="b">
        <f t="shared" si="113"/>
        <v>0</v>
      </c>
      <c r="AF162" s="73">
        <f>IF(AND(AE162=TRUE,D162&gt;=65),$U162*(1-10%)+SUM($W$22:$W162)+$AB162,AD162)</f>
        <v>96540.096262049468</v>
      </c>
      <c r="AG162" s="73">
        <f t="shared" si="96"/>
        <v>324.01129862875905</v>
      </c>
      <c r="AH162" s="73">
        <f t="shared" si="97"/>
        <v>22258.600887256478</v>
      </c>
      <c r="AI162" s="73">
        <f t="shared" si="98"/>
        <v>97527.400887256488</v>
      </c>
      <c r="AJ162" s="73">
        <f t="shared" si="99"/>
        <v>93298.266718677754</v>
      </c>
      <c r="AK162" s="73" t="b">
        <f t="shared" si="114"/>
        <v>0</v>
      </c>
      <c r="AL162" s="73">
        <f t="shared" si="100"/>
        <v>93298.266718677754</v>
      </c>
      <c r="AM162" s="73">
        <f t="shared" si="122"/>
        <v>308.21554707568879</v>
      </c>
      <c r="AN162" s="73">
        <f t="shared" si="115"/>
        <v>58.56095394438087</v>
      </c>
      <c r="AO162" s="73">
        <f t="shared" si="116"/>
        <v>17445.518715837941</v>
      </c>
      <c r="AP162" s="73">
        <f t="shared" si="117"/>
        <v>92714.318715837944</v>
      </c>
    </row>
    <row r="163" spans="1:42" s="31" customFormat="1" x14ac:dyDescent="0.6">
      <c r="A163" s="70">
        <f t="shared" si="101"/>
        <v>142</v>
      </c>
      <c r="B163" s="70" t="str">
        <f>IF(E163&lt;=$F$9,VLOOKUP(KALKULATOR!A163,Robocze!$B$23:$C$102,2),"")</f>
        <v>12 rok</v>
      </c>
      <c r="C163" s="70">
        <f t="shared" si="104"/>
        <v>2032</v>
      </c>
      <c r="D163" s="71">
        <f t="shared" si="118"/>
        <v>51.83333333333367</v>
      </c>
      <c r="E163" s="77">
        <f t="shared" si="119"/>
        <v>48458</v>
      </c>
      <c r="F163" s="72">
        <f t="shared" si="105"/>
        <v>48487</v>
      </c>
      <c r="G163" s="73">
        <f>IFERROR(IF(AND(F163&lt;=$F$9,$F$5=Robocze!$B$4,$E163&lt;=$F$9,MONTH($F$8)=MONTH(E163)),$F$4,0)+IF(AND(F163&lt;=$F$9,$F$5=Robocze!$B$3,E163&lt;=$F$9),KALKULATOR!$F$4/12,0),"")</f>
        <v>0</v>
      </c>
      <c r="H163" s="73">
        <f t="shared" si="106"/>
        <v>75268.800000000003</v>
      </c>
      <c r="I163" s="74">
        <f t="shared" si="102"/>
        <v>0.04</v>
      </c>
      <c r="J163" s="73">
        <f t="shared" si="88"/>
        <v>0</v>
      </c>
      <c r="K163" s="75" t="str">
        <f t="shared" si="89"/>
        <v/>
      </c>
      <c r="L163" s="73">
        <f t="shared" si="90"/>
        <v>75268.800000000003</v>
      </c>
      <c r="M163" s="73">
        <f t="shared" si="91"/>
        <v>96852.021425690065</v>
      </c>
      <c r="N163" s="73">
        <f t="shared" si="92"/>
        <v>96852.021425690065</v>
      </c>
      <c r="O163" s="73">
        <f t="shared" si="93"/>
        <v>93561.590701073335</v>
      </c>
      <c r="P163" s="73">
        <f t="shared" si="94"/>
        <v>93561.590701073335</v>
      </c>
      <c r="Q163" s="73">
        <f t="shared" si="95"/>
        <v>92964.647376370704</v>
      </c>
      <c r="R163" s="73"/>
      <c r="S163" s="76">
        <f t="shared" si="103"/>
        <v>0.17</v>
      </c>
      <c r="T163" s="73">
        <f t="shared" si="120"/>
        <v>325.09133629085471</v>
      </c>
      <c r="U163" s="73">
        <f t="shared" si="107"/>
        <v>97852.492223547277</v>
      </c>
      <c r="V163" s="76">
        <f t="shared" si="108"/>
        <v>0.17</v>
      </c>
      <c r="W163" s="73">
        <f t="shared" si="109"/>
        <v>0</v>
      </c>
      <c r="X163" s="73">
        <f>IF(B163&lt;&gt;"",IF(MONTH(E163)=MONTH($F$13),SUMIF($C$22:C545,"="&amp;(C163-1),$G$22:G545),0)*S163,"")</f>
        <v>0</v>
      </c>
      <c r="Y163" s="73">
        <f>IF(B163&lt;&gt;"",SUM($X$22:X163),"")</f>
        <v>12795.696000000004</v>
      </c>
      <c r="Z163" s="73">
        <f t="shared" si="121"/>
        <v>51.974511752088802</v>
      </c>
      <c r="AA163" s="73">
        <f t="shared" si="110"/>
        <v>9.8751572328968731</v>
      </c>
      <c r="AB163" s="73">
        <f t="shared" si="111"/>
        <v>2838.7568801458347</v>
      </c>
      <c r="AC163" s="73">
        <f t="shared" si="112"/>
        <v>15634.452880145833</v>
      </c>
      <c r="AD163" s="73">
        <f>IFERROR($U163*(1-$V163)+SUM($W$22:$W163)+$AB163,"")</f>
        <v>96852.021425690065</v>
      </c>
      <c r="AE163" s="73" t="b">
        <f t="shared" si="113"/>
        <v>0</v>
      </c>
      <c r="AF163" s="73">
        <f>IF(AND(AE163=TRUE,D163&gt;=65),$U163*(1-10%)+SUM($W$22:$W163)+$AB163,AD163)</f>
        <v>96852.021425690065</v>
      </c>
      <c r="AG163" s="73">
        <f t="shared" si="96"/>
        <v>325.09133629085494</v>
      </c>
      <c r="AH163" s="73">
        <f t="shared" si="97"/>
        <v>22583.692223547332</v>
      </c>
      <c r="AI163" s="73">
        <f t="shared" si="98"/>
        <v>97852.492223547335</v>
      </c>
      <c r="AJ163" s="73">
        <f t="shared" si="99"/>
        <v>93561.590701073335</v>
      </c>
      <c r="AK163" s="73" t="b">
        <f t="shared" si="114"/>
        <v>0</v>
      </c>
      <c r="AL163" s="73">
        <f t="shared" si="100"/>
        <v>93561.590701073335</v>
      </c>
      <c r="AM163" s="73">
        <f t="shared" si="122"/>
        <v>309.04772905279316</v>
      </c>
      <c r="AN163" s="73">
        <f t="shared" si="115"/>
        <v>58.719068520030703</v>
      </c>
      <c r="AO163" s="73">
        <f t="shared" si="116"/>
        <v>17695.847376370701</v>
      </c>
      <c r="AP163" s="73">
        <f t="shared" si="117"/>
        <v>92964.647376370704</v>
      </c>
    </row>
    <row r="164" spans="1:42" s="31" customFormat="1" x14ac:dyDescent="0.6">
      <c r="A164" s="70">
        <f t="shared" si="101"/>
        <v>143</v>
      </c>
      <c r="B164" s="70" t="str">
        <f>IF(E164&lt;=$F$9,VLOOKUP(KALKULATOR!A164,Robocze!$B$23:$C$102,2),"")</f>
        <v>12 rok</v>
      </c>
      <c r="C164" s="70">
        <f t="shared" si="104"/>
        <v>2032</v>
      </c>
      <c r="D164" s="71">
        <f t="shared" si="118"/>
        <v>51.916666666667005</v>
      </c>
      <c r="E164" s="77">
        <f t="shared" si="119"/>
        <v>48488</v>
      </c>
      <c r="F164" s="72">
        <f t="shared" si="105"/>
        <v>48518</v>
      </c>
      <c r="G164" s="73">
        <f>IFERROR(IF(AND(F164&lt;=$F$9,$F$5=Robocze!$B$4,$E164&lt;=$F$9,MONTH($F$8)=MONTH(E164)),$F$4,0)+IF(AND(F164&lt;=$F$9,$F$5=Robocze!$B$3,E164&lt;=$F$9),KALKULATOR!$F$4/12,0),"")</f>
        <v>0</v>
      </c>
      <c r="H164" s="73">
        <f t="shared" si="106"/>
        <v>75268.800000000003</v>
      </c>
      <c r="I164" s="74">
        <f t="shared" si="102"/>
        <v>0.04</v>
      </c>
      <c r="J164" s="73">
        <f t="shared" si="88"/>
        <v>0</v>
      </c>
      <c r="K164" s="75" t="str">
        <f t="shared" si="89"/>
        <v/>
      </c>
      <c r="L164" s="73">
        <f t="shared" si="90"/>
        <v>75268.800000000003</v>
      </c>
      <c r="M164" s="73">
        <f t="shared" si="91"/>
        <v>97164.959676951607</v>
      </c>
      <c r="N164" s="73">
        <f t="shared" si="92"/>
        <v>97164.959676951607</v>
      </c>
      <c r="O164" s="73">
        <f t="shared" si="93"/>
        <v>93825.792430076923</v>
      </c>
      <c r="P164" s="73">
        <f t="shared" si="94"/>
        <v>93825.792430076923</v>
      </c>
      <c r="Q164" s="73">
        <f t="shared" si="95"/>
        <v>93215.651924286911</v>
      </c>
      <c r="R164" s="73"/>
      <c r="S164" s="76">
        <f t="shared" si="103"/>
        <v>0.17</v>
      </c>
      <c r="T164" s="73">
        <f t="shared" si="120"/>
        <v>326.17497407849095</v>
      </c>
      <c r="U164" s="73">
        <f t="shared" si="107"/>
        <v>98178.667197625764</v>
      </c>
      <c r="V164" s="76">
        <f t="shared" si="108"/>
        <v>0.17</v>
      </c>
      <c r="W164" s="73">
        <f t="shared" si="109"/>
        <v>0</v>
      </c>
      <c r="X164" s="73">
        <f>IF(B164&lt;&gt;"",IF(MONTH(E164)=MONTH($F$13),SUMIF($C$22:C546,"="&amp;(C164-1),$G$22:G546),0)*S164,"")</f>
        <v>0</v>
      </c>
      <c r="Y164" s="73">
        <f>IF(B164&lt;&gt;"",SUM($X$22:X164),"")</f>
        <v>12795.696000000004</v>
      </c>
      <c r="Z164" s="73">
        <f t="shared" si="121"/>
        <v>52.114842933819439</v>
      </c>
      <c r="AA164" s="73">
        <f t="shared" si="110"/>
        <v>9.9018201574256928</v>
      </c>
      <c r="AB164" s="73">
        <f t="shared" si="111"/>
        <v>2880.9699029222284</v>
      </c>
      <c r="AC164" s="73">
        <f t="shared" si="112"/>
        <v>15676.665902922226</v>
      </c>
      <c r="AD164" s="73">
        <f>IFERROR($U164*(1-$V164)+SUM($W$22:$W164)+$AB164,"")</f>
        <v>97164.959676951607</v>
      </c>
      <c r="AE164" s="73" t="b">
        <f t="shared" si="113"/>
        <v>0</v>
      </c>
      <c r="AF164" s="73">
        <f>IF(AND(AE164=TRUE,D164&gt;=65),$U164*(1-10%)+SUM($W$22:$W164)+$AB164,AD164)</f>
        <v>97164.959676951607</v>
      </c>
      <c r="AG164" s="73">
        <f t="shared" si="96"/>
        <v>326.17497407849112</v>
      </c>
      <c r="AH164" s="73">
        <f t="shared" si="97"/>
        <v>22909.867197625823</v>
      </c>
      <c r="AI164" s="73">
        <f t="shared" si="98"/>
        <v>98178.667197625822</v>
      </c>
      <c r="AJ164" s="73">
        <f t="shared" si="99"/>
        <v>93825.792430076923</v>
      </c>
      <c r="AK164" s="73" t="b">
        <f t="shared" si="114"/>
        <v>0</v>
      </c>
      <c r="AL164" s="73">
        <f t="shared" si="100"/>
        <v>93825.792430076923</v>
      </c>
      <c r="AM164" s="73">
        <f t="shared" si="122"/>
        <v>309.88215792123566</v>
      </c>
      <c r="AN164" s="73">
        <f t="shared" si="115"/>
        <v>58.877610005034775</v>
      </c>
      <c r="AO164" s="73">
        <f t="shared" si="116"/>
        <v>17946.851924286908</v>
      </c>
      <c r="AP164" s="73">
        <f t="shared" si="117"/>
        <v>93215.651924286911</v>
      </c>
    </row>
    <row r="165" spans="1:42" s="69" customFormat="1" x14ac:dyDescent="0.6">
      <c r="A165" s="78">
        <f t="shared" si="101"/>
        <v>144</v>
      </c>
      <c r="B165" s="78" t="str">
        <f>IF(E165&lt;=$F$9,VLOOKUP(KALKULATOR!A165,Robocze!$B$23:$C$102,2),"")</f>
        <v>12 rok</v>
      </c>
      <c r="C165" s="78">
        <f t="shared" si="104"/>
        <v>2032</v>
      </c>
      <c r="D165" s="79">
        <f t="shared" si="118"/>
        <v>52.000000000000341</v>
      </c>
      <c r="E165" s="80">
        <f t="shared" si="119"/>
        <v>48519</v>
      </c>
      <c r="F165" s="81">
        <f t="shared" si="105"/>
        <v>48548</v>
      </c>
      <c r="G165" s="82">
        <f>IFERROR(IF(AND(F165&lt;=$F$9,$F$5=Robocze!$B$4,$E165&lt;=$F$9,MONTH($F$8)=MONTH(E165)),$F$4,0)+IF(AND(F165&lt;=$F$9,$F$5=Robocze!$B$3,E165&lt;=$F$9),KALKULATOR!$F$4/12,0),"")</f>
        <v>0</v>
      </c>
      <c r="H165" s="82">
        <f t="shared" si="106"/>
        <v>75268.800000000003</v>
      </c>
      <c r="I165" s="83">
        <f t="shared" si="102"/>
        <v>0.04</v>
      </c>
      <c r="J165" s="82">
        <f t="shared" si="88"/>
        <v>0</v>
      </c>
      <c r="K165" s="84">
        <f t="shared" si="89"/>
        <v>12</v>
      </c>
      <c r="L165" s="82">
        <f t="shared" si="90"/>
        <v>75268.800000000003</v>
      </c>
      <c r="M165" s="82">
        <f t="shared" si="91"/>
        <v>97478.914320802927</v>
      </c>
      <c r="N165" s="82">
        <f t="shared" si="92"/>
        <v>97478.914320802927</v>
      </c>
      <c r="O165" s="82">
        <f t="shared" si="93"/>
        <v>94090.874831510504</v>
      </c>
      <c r="P165" s="82">
        <f t="shared" si="94"/>
        <v>94090.874831510504</v>
      </c>
      <c r="Q165" s="82">
        <f t="shared" si="95"/>
        <v>93467.33418448249</v>
      </c>
      <c r="R165" s="82"/>
      <c r="S165" s="85">
        <f t="shared" si="103"/>
        <v>0.17</v>
      </c>
      <c r="T165" s="82">
        <f t="shared" si="120"/>
        <v>327.26222399208592</v>
      </c>
      <c r="U165" s="82">
        <f t="shared" si="107"/>
        <v>98505.929421617853</v>
      </c>
      <c r="V165" s="85">
        <f t="shared" si="108"/>
        <v>0.17</v>
      </c>
      <c r="W165" s="82">
        <f t="shared" si="109"/>
        <v>0</v>
      </c>
      <c r="X165" s="82">
        <f>IF(B165&lt;&gt;"",IF(MONTH(E165)=MONTH($F$13),SUMIF($C$22:C547,"="&amp;(C165-1),$G$22:G547),0)*S165,"")</f>
        <v>0</v>
      </c>
      <c r="Y165" s="82">
        <f>IF(B165&lt;&gt;"",SUM($X$22:X165),"")</f>
        <v>12795.696000000004</v>
      </c>
      <c r="Z165" s="82">
        <f t="shared" si="121"/>
        <v>52.255553009740758</v>
      </c>
      <c r="AA165" s="82">
        <f t="shared" si="110"/>
        <v>9.9285550718507434</v>
      </c>
      <c r="AB165" s="82">
        <f t="shared" si="111"/>
        <v>2923.2969008601181</v>
      </c>
      <c r="AC165" s="82">
        <f t="shared" si="112"/>
        <v>15718.992900860118</v>
      </c>
      <c r="AD165" s="82">
        <f>IFERROR($U165*(1-$V165)+SUM($W$22:$W165)+$AB165,"")</f>
        <v>97478.914320802927</v>
      </c>
      <c r="AE165" s="73" t="b">
        <f t="shared" si="113"/>
        <v>0</v>
      </c>
      <c r="AF165" s="82">
        <f>IF(AND(AE165=TRUE,D165&gt;=65),$U165*(1-10%)+SUM($W$22:$W165)+$AB165,AD165)</f>
        <v>97478.914320802927</v>
      </c>
      <c r="AG165" s="82">
        <f t="shared" si="96"/>
        <v>327.26222399208609</v>
      </c>
      <c r="AH165" s="82">
        <f t="shared" si="97"/>
        <v>23237.129421617909</v>
      </c>
      <c r="AI165" s="82">
        <f t="shared" si="98"/>
        <v>98505.929421617911</v>
      </c>
      <c r="AJ165" s="82">
        <f t="shared" si="99"/>
        <v>94090.874831510504</v>
      </c>
      <c r="AK165" s="73" t="b">
        <f t="shared" si="114"/>
        <v>0</v>
      </c>
      <c r="AL165" s="82">
        <f t="shared" si="100"/>
        <v>94090.874831510504</v>
      </c>
      <c r="AM165" s="82">
        <f t="shared" si="122"/>
        <v>310.71883974762301</v>
      </c>
      <c r="AN165" s="82">
        <f t="shared" si="115"/>
        <v>59.036579552048373</v>
      </c>
      <c r="AO165" s="82">
        <f t="shared" si="116"/>
        <v>18198.534184482487</v>
      </c>
      <c r="AP165" s="82">
        <f t="shared" si="117"/>
        <v>93467.33418448249</v>
      </c>
    </row>
    <row r="166" spans="1:42" s="31" customFormat="1" x14ac:dyDescent="0.6">
      <c r="A166" s="70">
        <f t="shared" si="101"/>
        <v>145</v>
      </c>
      <c r="B166" s="70" t="str">
        <f>IF(E166&lt;=$F$9,VLOOKUP(KALKULATOR!A166,Robocze!$B$23:$C$102,2),"")</f>
        <v>13 rok</v>
      </c>
      <c r="C166" s="70">
        <f t="shared" si="104"/>
        <v>2032</v>
      </c>
      <c r="D166" s="71">
        <f t="shared" si="118"/>
        <v>52.083333333333677</v>
      </c>
      <c r="E166" s="72">
        <f t="shared" si="119"/>
        <v>48549</v>
      </c>
      <c r="F166" s="72">
        <f t="shared" si="105"/>
        <v>48579</v>
      </c>
      <c r="G166" s="73">
        <f>IFERROR(IF(AND(F166&lt;=$F$9,$F$5=Robocze!$B$4,$E166&lt;=$F$9,MONTH($F$8)=MONTH(E166)),$F$4,0)+IF(AND(F166&lt;=$F$9,$F$5=Robocze!$B$3,E166&lt;=$F$9),KALKULATOR!$F$4/12,0),"")</f>
        <v>6272.4</v>
      </c>
      <c r="H166" s="73">
        <f t="shared" si="106"/>
        <v>81541.2</v>
      </c>
      <c r="I166" s="74">
        <f t="shared" si="102"/>
        <v>0.04</v>
      </c>
      <c r="J166" s="73">
        <f t="shared" si="88"/>
        <v>0</v>
      </c>
      <c r="K166" s="75" t="str">
        <f t="shared" si="89"/>
        <v/>
      </c>
      <c r="L166" s="73">
        <f t="shared" si="90"/>
        <v>81541.2</v>
      </c>
      <c r="M166" s="73">
        <f t="shared" si="91"/>
        <v>104083.64231303507</v>
      </c>
      <c r="N166" s="73">
        <f t="shared" si="92"/>
        <v>104083.64231303507</v>
      </c>
      <c r="O166" s="73">
        <f t="shared" si="93"/>
        <v>100646.17632094887</v>
      </c>
      <c r="P166" s="73">
        <f t="shared" si="94"/>
        <v>100646.17632094887</v>
      </c>
      <c r="Q166" s="73">
        <f t="shared" si="95"/>
        <v>100009.03146678059</v>
      </c>
      <c r="R166" s="73"/>
      <c r="S166" s="76">
        <f t="shared" si="103"/>
        <v>0.17</v>
      </c>
      <c r="T166" s="73">
        <f t="shared" si="120"/>
        <v>349.2610980720595</v>
      </c>
      <c r="U166" s="73">
        <f t="shared" si="107"/>
        <v>105127.59051968991</v>
      </c>
      <c r="V166" s="76">
        <f t="shared" si="108"/>
        <v>0.17</v>
      </c>
      <c r="W166" s="73">
        <f t="shared" si="109"/>
        <v>1066.308</v>
      </c>
      <c r="X166" s="73">
        <f>IF(B166&lt;&gt;"",IF(MONTH(E166)=MONTH($F$13),SUMIF($C$22:C548,"="&amp;(C166-1),$G$22:G548),0)*S166,"")</f>
        <v>0</v>
      </c>
      <c r="Y166" s="73">
        <f>IF(B166&lt;&gt;"",SUM($X$22:X166),"")</f>
        <v>12795.696000000004</v>
      </c>
      <c r="Z166" s="73">
        <f t="shared" si="121"/>
        <v>52.396643002867059</v>
      </c>
      <c r="AA166" s="73">
        <f t="shared" si="110"/>
        <v>9.9553621705447419</v>
      </c>
      <c r="AB166" s="73">
        <f t="shared" si="111"/>
        <v>2965.7381816924403</v>
      </c>
      <c r="AC166" s="73">
        <f t="shared" si="112"/>
        <v>15761.434181692439</v>
      </c>
      <c r="AD166" s="73">
        <f>IFERROR($U166*(1-$V166)+SUM($W$22:$W166)+$AB166,"")</f>
        <v>104083.64231303507</v>
      </c>
      <c r="AE166" s="73" t="b">
        <f t="shared" si="113"/>
        <v>0</v>
      </c>
      <c r="AF166" s="73">
        <f>IF(AND(AE166=TRUE,D166&gt;=65),$U166*(1-10%)+SUM($W$22:$W166)+$AB166,AD166)</f>
        <v>104083.64231303507</v>
      </c>
      <c r="AG166" s="73">
        <f t="shared" si="96"/>
        <v>349.26109807205967</v>
      </c>
      <c r="AH166" s="73">
        <f t="shared" si="97"/>
        <v>23586.390519689969</v>
      </c>
      <c r="AI166" s="73">
        <f t="shared" si="98"/>
        <v>105127.59051968997</v>
      </c>
      <c r="AJ166" s="73">
        <f t="shared" si="99"/>
        <v>100646.17632094887</v>
      </c>
      <c r="AK166" s="73" t="b">
        <f t="shared" si="114"/>
        <v>0</v>
      </c>
      <c r="AL166" s="73">
        <f t="shared" si="100"/>
        <v>100646.17632094887</v>
      </c>
      <c r="AM166" s="73">
        <f t="shared" si="122"/>
        <v>332.46578061494159</v>
      </c>
      <c r="AN166" s="73">
        <f t="shared" si="115"/>
        <v>63.168498316838907</v>
      </c>
      <c r="AO166" s="73">
        <f t="shared" si="116"/>
        <v>18467.831466780597</v>
      </c>
      <c r="AP166" s="73">
        <f t="shared" si="117"/>
        <v>100009.03146678059</v>
      </c>
    </row>
    <row r="167" spans="1:42" s="31" customFormat="1" x14ac:dyDescent="0.6">
      <c r="A167" s="70">
        <f t="shared" si="101"/>
        <v>146</v>
      </c>
      <c r="B167" s="70" t="str">
        <f>IF(E167&lt;=$F$9,VLOOKUP(KALKULATOR!A167,Robocze!$B$23:$C$102,2),"")</f>
        <v>13 rok</v>
      </c>
      <c r="C167" s="70">
        <f t="shared" si="104"/>
        <v>2033</v>
      </c>
      <c r="D167" s="71">
        <f t="shared" si="118"/>
        <v>52.166666666667012</v>
      </c>
      <c r="E167" s="77">
        <f t="shared" si="119"/>
        <v>48580</v>
      </c>
      <c r="F167" s="72">
        <f t="shared" si="105"/>
        <v>48610</v>
      </c>
      <c r="G167" s="73">
        <f>IFERROR(IF(AND(F167&lt;=$F$9,$F$5=Robocze!$B$4,$E167&lt;=$F$9,MONTH($F$8)=MONTH(E167)),$F$4,0)+IF(AND(F167&lt;=$F$9,$F$5=Robocze!$B$3,E167&lt;=$F$9),KALKULATOR!$F$4/12,0),"")</f>
        <v>0</v>
      </c>
      <c r="H167" s="73">
        <f t="shared" si="106"/>
        <v>81541.2</v>
      </c>
      <c r="I167" s="74">
        <f t="shared" si="102"/>
        <v>0.04</v>
      </c>
      <c r="J167" s="73">
        <f t="shared" si="88"/>
        <v>0</v>
      </c>
      <c r="K167" s="75" t="str">
        <f t="shared" si="89"/>
        <v/>
      </c>
      <c r="L167" s="73">
        <f t="shared" si="90"/>
        <v>81541.2</v>
      </c>
      <c r="M167" s="73">
        <f t="shared" si="91"/>
        <v>104417.05118576346</v>
      </c>
      <c r="N167" s="73">
        <f t="shared" si="92"/>
        <v>104417.05118576346</v>
      </c>
      <c r="O167" s="73">
        <f t="shared" si="93"/>
        <v>100930.02081535204</v>
      </c>
      <c r="P167" s="73">
        <f t="shared" si="94"/>
        <v>100930.02081535204</v>
      </c>
      <c r="Q167" s="73">
        <f t="shared" si="95"/>
        <v>100279.05585174089</v>
      </c>
      <c r="R167" s="73"/>
      <c r="S167" s="76">
        <f t="shared" si="103"/>
        <v>0.17</v>
      </c>
      <c r="T167" s="73">
        <f t="shared" si="120"/>
        <v>350.42530173229972</v>
      </c>
      <c r="U167" s="73">
        <f t="shared" si="107"/>
        <v>105478.01582142222</v>
      </c>
      <c r="V167" s="76">
        <f t="shared" si="108"/>
        <v>0.17</v>
      </c>
      <c r="W167" s="73">
        <f t="shared" si="109"/>
        <v>0</v>
      </c>
      <c r="X167" s="73">
        <f>IF(B167&lt;&gt;"",IF(MONTH(E167)=MONTH($F$13),SUMIF($C$22:C549,"="&amp;(C167-1),$G$22:G549),0)*S167,"")</f>
        <v>0</v>
      </c>
      <c r="Y167" s="73">
        <f>IF(B167&lt;&gt;"",SUM($X$22:X167),"")</f>
        <v>12795.696000000004</v>
      </c>
      <c r="Z167" s="73">
        <f t="shared" si="121"/>
        <v>52.538113938974796</v>
      </c>
      <c r="AA167" s="73">
        <f t="shared" si="110"/>
        <v>9.9822416484052106</v>
      </c>
      <c r="AB167" s="73">
        <f t="shared" si="111"/>
        <v>3008.2940539830097</v>
      </c>
      <c r="AC167" s="73">
        <f t="shared" si="112"/>
        <v>15803.990053983009</v>
      </c>
      <c r="AD167" s="73">
        <f>IFERROR($U167*(1-$V167)+SUM($W$22:$W167)+$AB167,"")</f>
        <v>104417.05118576346</v>
      </c>
      <c r="AE167" s="73" t="b">
        <f t="shared" si="113"/>
        <v>0</v>
      </c>
      <c r="AF167" s="73">
        <f>IF(AND(AE167=TRUE,D167&gt;=65),$U167*(1-10%)+SUM($W$22:$W167)+$AB167,AD167)</f>
        <v>104417.05118576346</v>
      </c>
      <c r="AG167" s="73">
        <f t="shared" si="96"/>
        <v>350.42530173229989</v>
      </c>
      <c r="AH167" s="73">
        <f t="shared" si="97"/>
        <v>23936.815821422268</v>
      </c>
      <c r="AI167" s="73">
        <f t="shared" si="98"/>
        <v>105478.01582142226</v>
      </c>
      <c r="AJ167" s="73">
        <f t="shared" si="99"/>
        <v>100930.02081535204</v>
      </c>
      <c r="AK167" s="73" t="b">
        <f t="shared" si="114"/>
        <v>0</v>
      </c>
      <c r="AL167" s="73">
        <f t="shared" si="100"/>
        <v>100930.02081535204</v>
      </c>
      <c r="AM167" s="73">
        <f t="shared" si="122"/>
        <v>333.36343822260199</v>
      </c>
      <c r="AN167" s="73">
        <f t="shared" si="115"/>
        <v>63.339053262294378</v>
      </c>
      <c r="AO167" s="73">
        <f t="shared" si="116"/>
        <v>18737.855851740896</v>
      </c>
      <c r="AP167" s="73">
        <f t="shared" si="117"/>
        <v>100279.05585174089</v>
      </c>
    </row>
    <row r="168" spans="1:42" s="31" customFormat="1" x14ac:dyDescent="0.6">
      <c r="A168" s="70">
        <f t="shared" si="101"/>
        <v>147</v>
      </c>
      <c r="B168" s="70" t="str">
        <f>IF(E168&lt;=$F$9,VLOOKUP(KALKULATOR!A168,Robocze!$B$23:$C$102,2),"")</f>
        <v>13 rok</v>
      </c>
      <c r="C168" s="70">
        <f t="shared" si="104"/>
        <v>2033</v>
      </c>
      <c r="D168" s="71">
        <f t="shared" si="118"/>
        <v>52.250000000000348</v>
      </c>
      <c r="E168" s="77">
        <f t="shared" si="119"/>
        <v>48611</v>
      </c>
      <c r="F168" s="72">
        <f t="shared" si="105"/>
        <v>48638</v>
      </c>
      <c r="G168" s="73">
        <f>IFERROR(IF(AND(F168&lt;=$F$9,$F$5=Robocze!$B$4,$E168&lt;=$F$9,MONTH($F$8)=MONTH(E168)),$F$4,0)+IF(AND(F168&lt;=$F$9,$F$5=Robocze!$B$3,E168&lt;=$F$9),KALKULATOR!$F$4/12,0),"")</f>
        <v>0</v>
      </c>
      <c r="H168" s="73">
        <f t="shared" si="106"/>
        <v>81541.2</v>
      </c>
      <c r="I168" s="74">
        <f t="shared" si="102"/>
        <v>0.04</v>
      </c>
      <c r="J168" s="73">
        <f t="shared" si="88"/>
        <v>0</v>
      </c>
      <c r="K168" s="75" t="str">
        <f t="shared" si="89"/>
        <v/>
      </c>
      <c r="L168" s="73">
        <f t="shared" si="90"/>
        <v>81541.2</v>
      </c>
      <c r="M168" s="73">
        <f t="shared" si="91"/>
        <v>104751.54446934848</v>
      </c>
      <c r="N168" s="73">
        <f t="shared" si="92"/>
        <v>104751.54446934848</v>
      </c>
      <c r="O168" s="73">
        <f t="shared" si="93"/>
        <v>101214.81145806987</v>
      </c>
      <c r="P168" s="73">
        <f t="shared" si="94"/>
        <v>101214.81145806987</v>
      </c>
      <c r="Q168" s="73">
        <f t="shared" si="95"/>
        <v>100549.8093025406</v>
      </c>
      <c r="R168" s="73"/>
      <c r="S168" s="76">
        <f t="shared" si="103"/>
        <v>0.17</v>
      </c>
      <c r="T168" s="73">
        <f t="shared" si="120"/>
        <v>351.59338607140739</v>
      </c>
      <c r="U168" s="73">
        <f t="shared" si="107"/>
        <v>105829.60920749363</v>
      </c>
      <c r="V168" s="76">
        <f t="shared" si="108"/>
        <v>0.17</v>
      </c>
      <c r="W168" s="73">
        <f t="shared" si="109"/>
        <v>0</v>
      </c>
      <c r="X168" s="73">
        <f>IF(B168&lt;&gt;"",IF(MONTH(E168)=MONTH($F$13),SUMIF($C$22:C550,"="&amp;(C168-1),$G$22:G550),0)*S168,"")</f>
        <v>0</v>
      </c>
      <c r="Y168" s="73">
        <f>IF(B168&lt;&gt;"",SUM($X$22:X168),"")</f>
        <v>12795.696000000004</v>
      </c>
      <c r="Z168" s="73">
        <f t="shared" si="121"/>
        <v>52.679966846610029</v>
      </c>
      <c r="AA168" s="73">
        <f t="shared" si="110"/>
        <v>10.009193700855906</v>
      </c>
      <c r="AB168" s="73">
        <f t="shared" si="111"/>
        <v>3050.9648271287638</v>
      </c>
      <c r="AC168" s="73">
        <f t="shared" si="112"/>
        <v>15846.660827128762</v>
      </c>
      <c r="AD168" s="73">
        <f>IFERROR($U168*(1-$V168)+SUM($W$22:$W168)+$AB168,"")</f>
        <v>104751.54446934848</v>
      </c>
      <c r="AE168" s="73" t="b">
        <f t="shared" si="113"/>
        <v>0</v>
      </c>
      <c r="AF168" s="73">
        <f>IF(AND(AE168=TRUE,D168&gt;=65),$U168*(1-10%)+SUM($W$22:$W168)+$AB168,AD168)</f>
        <v>104751.54446934848</v>
      </c>
      <c r="AG168" s="73">
        <f t="shared" si="96"/>
        <v>351.59338607140756</v>
      </c>
      <c r="AH168" s="73">
        <f t="shared" si="97"/>
        <v>24288.409207493674</v>
      </c>
      <c r="AI168" s="73">
        <f t="shared" si="98"/>
        <v>105829.60920749368</v>
      </c>
      <c r="AJ168" s="73">
        <f t="shared" si="99"/>
        <v>101214.81145806987</v>
      </c>
      <c r="AK168" s="73" t="b">
        <f t="shared" si="114"/>
        <v>0</v>
      </c>
      <c r="AL168" s="73">
        <f t="shared" si="100"/>
        <v>101214.81145806987</v>
      </c>
      <c r="AM168" s="73">
        <f t="shared" si="122"/>
        <v>334.263519505803</v>
      </c>
      <c r="AN168" s="73">
        <f t="shared" si="115"/>
        <v>63.510068706102572</v>
      </c>
      <c r="AO168" s="73">
        <f t="shared" si="116"/>
        <v>19008.609302540601</v>
      </c>
      <c r="AP168" s="73">
        <f t="shared" si="117"/>
        <v>100549.8093025406</v>
      </c>
    </row>
    <row r="169" spans="1:42" s="31" customFormat="1" x14ac:dyDescent="0.6">
      <c r="A169" s="70">
        <f t="shared" si="101"/>
        <v>148</v>
      </c>
      <c r="B169" s="70" t="str">
        <f>IF(E169&lt;=$F$9,VLOOKUP(KALKULATOR!A169,Robocze!$B$23:$C$102,2),"")</f>
        <v>13 rok</v>
      </c>
      <c r="C169" s="70">
        <f t="shared" si="104"/>
        <v>2033</v>
      </c>
      <c r="D169" s="71">
        <f t="shared" si="118"/>
        <v>52.333333333333684</v>
      </c>
      <c r="E169" s="77">
        <f t="shared" si="119"/>
        <v>48639</v>
      </c>
      <c r="F169" s="72">
        <f t="shared" si="105"/>
        <v>48669</v>
      </c>
      <c r="G169" s="73">
        <f>IFERROR(IF(AND(F169&lt;=$F$9,$F$5=Robocze!$B$4,$E169&lt;=$F$9,MONTH($F$8)=MONTH(E169)),$F$4,0)+IF(AND(F169&lt;=$F$9,$F$5=Robocze!$B$3,E169&lt;=$F$9),KALKULATOR!$F$4/12,0),"")</f>
        <v>0</v>
      </c>
      <c r="H169" s="73">
        <f t="shared" si="106"/>
        <v>81541.2</v>
      </c>
      <c r="I169" s="74">
        <f t="shared" si="102"/>
        <v>0.04</v>
      </c>
      <c r="J169" s="73">
        <f t="shared" si="88"/>
        <v>0</v>
      </c>
      <c r="K169" s="75" t="str">
        <f t="shared" si="89"/>
        <v/>
      </c>
      <c r="L169" s="73">
        <f t="shared" si="90"/>
        <v>81541.2</v>
      </c>
      <c r="M169" s="73">
        <f t="shared" si="91"/>
        <v>105087.12570572246</v>
      </c>
      <c r="N169" s="73">
        <f t="shared" si="92"/>
        <v>105087.12570572246</v>
      </c>
      <c r="O169" s="73">
        <f t="shared" si="93"/>
        <v>101500.55140293011</v>
      </c>
      <c r="P169" s="73">
        <f t="shared" si="94"/>
        <v>101500.55140293011</v>
      </c>
      <c r="Q169" s="73">
        <f t="shared" si="95"/>
        <v>100821.29378765746</v>
      </c>
      <c r="R169" s="73"/>
      <c r="S169" s="76">
        <f t="shared" si="103"/>
        <v>0.17</v>
      </c>
      <c r="T169" s="73">
        <f t="shared" si="120"/>
        <v>352.76536402497879</v>
      </c>
      <c r="U169" s="73">
        <f t="shared" si="107"/>
        <v>106182.37457151861</v>
      </c>
      <c r="V169" s="76">
        <f t="shared" si="108"/>
        <v>0.17</v>
      </c>
      <c r="W169" s="73">
        <f t="shared" si="109"/>
        <v>0</v>
      </c>
      <c r="X169" s="73">
        <f>IF(B169&lt;&gt;"",IF(MONTH(E169)=MONTH($F$13),SUMIF($C$22:C551,"="&amp;(C169-1),$G$22:G551),0)*S169,"")</f>
        <v>0</v>
      </c>
      <c r="Y169" s="73">
        <f>IF(B169&lt;&gt;"",SUM($X$22:X169),"")</f>
        <v>12795.696000000004</v>
      </c>
      <c r="Z169" s="73">
        <f t="shared" si="121"/>
        <v>52.82220275709588</v>
      </c>
      <c r="AA169" s="73">
        <f t="shared" si="110"/>
        <v>10.036218523848218</v>
      </c>
      <c r="AB169" s="73">
        <f t="shared" si="111"/>
        <v>3093.7508113620115</v>
      </c>
      <c r="AC169" s="73">
        <f t="shared" si="112"/>
        <v>15889.44681136201</v>
      </c>
      <c r="AD169" s="73">
        <f>IFERROR($U169*(1-$V169)+SUM($W$22:$W169)+$AB169,"")</f>
        <v>105087.12570572246</v>
      </c>
      <c r="AE169" s="73" t="b">
        <f t="shared" si="113"/>
        <v>0</v>
      </c>
      <c r="AF169" s="73">
        <f>IF(AND(AE169=TRUE,D169&gt;=65),$U169*(1-10%)+SUM($W$22:$W169)+$AB169,AD169)</f>
        <v>105087.12570572246</v>
      </c>
      <c r="AG169" s="73">
        <f t="shared" si="96"/>
        <v>352.76536402497891</v>
      </c>
      <c r="AH169" s="73">
        <f t="shared" si="97"/>
        <v>24641.174571518652</v>
      </c>
      <c r="AI169" s="73">
        <f t="shared" si="98"/>
        <v>106182.37457151865</v>
      </c>
      <c r="AJ169" s="73">
        <f t="shared" si="99"/>
        <v>101500.55140293011</v>
      </c>
      <c r="AK169" s="73" t="b">
        <f t="shared" si="114"/>
        <v>0</v>
      </c>
      <c r="AL169" s="73">
        <f t="shared" si="100"/>
        <v>101500.55140293011</v>
      </c>
      <c r="AM169" s="73">
        <f t="shared" si="122"/>
        <v>335.16603100846868</v>
      </c>
      <c r="AN169" s="73">
        <f t="shared" si="115"/>
        <v>63.681545891609048</v>
      </c>
      <c r="AO169" s="73">
        <f t="shared" si="116"/>
        <v>19280.093787657461</v>
      </c>
      <c r="AP169" s="73">
        <f t="shared" si="117"/>
        <v>100821.29378765746</v>
      </c>
    </row>
    <row r="170" spans="1:42" s="31" customFormat="1" x14ac:dyDescent="0.6">
      <c r="A170" s="70">
        <f t="shared" si="101"/>
        <v>149</v>
      </c>
      <c r="B170" s="70" t="str">
        <f>IF(E170&lt;=$F$9,VLOOKUP(KALKULATOR!A170,Robocze!$B$23:$C$102,2),"")</f>
        <v>13 rok</v>
      </c>
      <c r="C170" s="70">
        <f t="shared" si="104"/>
        <v>2033</v>
      </c>
      <c r="D170" s="71">
        <f t="shared" si="118"/>
        <v>52.41666666666702</v>
      </c>
      <c r="E170" s="77">
        <f t="shared" si="119"/>
        <v>48670</v>
      </c>
      <c r="F170" s="72">
        <f t="shared" si="105"/>
        <v>48699</v>
      </c>
      <c r="G170" s="73">
        <f>IFERROR(IF(AND(F170&lt;=$F$9,$F$5=Robocze!$B$4,$E170&lt;=$F$9,MONTH($F$8)=MONTH(E170)),$F$4,0)+IF(AND(F170&lt;=$F$9,$F$5=Robocze!$B$3,E170&lt;=$F$9),KALKULATOR!$F$4/12,0),"")</f>
        <v>0</v>
      </c>
      <c r="H170" s="73">
        <f t="shared" si="106"/>
        <v>81541.2</v>
      </c>
      <c r="I170" s="74">
        <f t="shared" si="102"/>
        <v>0.04</v>
      </c>
      <c r="J170" s="73">
        <f t="shared" si="88"/>
        <v>0</v>
      </c>
      <c r="K170" s="75" t="str">
        <f t="shared" si="89"/>
        <v/>
      </c>
      <c r="L170" s="73">
        <f t="shared" si="90"/>
        <v>81541.2</v>
      </c>
      <c r="M170" s="73">
        <f t="shared" si="91"/>
        <v>105426.67748002768</v>
      </c>
      <c r="N170" s="73">
        <f t="shared" si="92"/>
        <v>105426.67748002768</v>
      </c>
      <c r="O170" s="73">
        <f t="shared" si="93"/>
        <v>101787.24381427321</v>
      </c>
      <c r="P170" s="73">
        <f t="shared" si="94"/>
        <v>101787.24381427321</v>
      </c>
      <c r="Q170" s="73">
        <f t="shared" si="95"/>
        <v>101093.51128088412</v>
      </c>
      <c r="R170" s="73"/>
      <c r="S170" s="76">
        <f t="shared" si="103"/>
        <v>0.17</v>
      </c>
      <c r="T170" s="73">
        <f t="shared" si="120"/>
        <v>353.94124857172869</v>
      </c>
      <c r="U170" s="73">
        <f t="shared" si="107"/>
        <v>106536.31582009034</v>
      </c>
      <c r="V170" s="76">
        <f t="shared" si="108"/>
        <v>0.17</v>
      </c>
      <c r="W170" s="73">
        <f t="shared" si="109"/>
        <v>0</v>
      </c>
      <c r="X170" s="73">
        <f>IF(B170&lt;&gt;"",IF(MONTH(E170)=MONTH($F$13),SUMIF($C$22:C552,"="&amp;(C170-1),$G$22:G552),0)*S170,"")</f>
        <v>1066.308</v>
      </c>
      <c r="Y170" s="73">
        <f>IF(B170&lt;&gt;"",SUM($X$22:X170),"")</f>
        <v>13862.004000000004</v>
      </c>
      <c r="Z170" s="73">
        <f t="shared" si="121"/>
        <v>56.519182704540036</v>
      </c>
      <c r="AA170" s="73">
        <f t="shared" si="110"/>
        <v>10.738644713862607</v>
      </c>
      <c r="AB170" s="73">
        <f t="shared" si="111"/>
        <v>3139.5313493526892</v>
      </c>
      <c r="AC170" s="73">
        <f t="shared" si="112"/>
        <v>17001.535349352685</v>
      </c>
      <c r="AD170" s="73">
        <f>IFERROR($U170*(1-$V170)+SUM($W$22:$W170)+$AB170,"")</f>
        <v>105426.67748002768</v>
      </c>
      <c r="AE170" s="73" t="b">
        <f t="shared" si="113"/>
        <v>0</v>
      </c>
      <c r="AF170" s="73">
        <f>IF(AND(AE170=TRUE,D170&gt;=65),$U170*(1-10%)+SUM($W$22:$W170)+$AB170,AD170)</f>
        <v>105426.67748002768</v>
      </c>
      <c r="AG170" s="73">
        <f t="shared" si="96"/>
        <v>353.94124857172886</v>
      </c>
      <c r="AH170" s="73">
        <f t="shared" si="97"/>
        <v>24995.115820090381</v>
      </c>
      <c r="AI170" s="73">
        <f t="shared" si="98"/>
        <v>106536.31582009039</v>
      </c>
      <c r="AJ170" s="73">
        <f t="shared" si="99"/>
        <v>101787.24381427321</v>
      </c>
      <c r="AK170" s="73" t="b">
        <f t="shared" si="114"/>
        <v>0</v>
      </c>
      <c r="AL170" s="73">
        <f t="shared" si="100"/>
        <v>101787.24381427321</v>
      </c>
      <c r="AM170" s="73">
        <f t="shared" si="122"/>
        <v>336.07097929219157</v>
      </c>
      <c r="AN170" s="73">
        <f t="shared" si="115"/>
        <v>63.8534860655164</v>
      </c>
      <c r="AO170" s="73">
        <f t="shared" si="116"/>
        <v>19552.311280884125</v>
      </c>
      <c r="AP170" s="73">
        <f t="shared" si="117"/>
        <v>101093.51128088412</v>
      </c>
    </row>
    <row r="171" spans="1:42" s="31" customFormat="1" x14ac:dyDescent="0.6">
      <c r="A171" s="70">
        <f t="shared" si="101"/>
        <v>150</v>
      </c>
      <c r="B171" s="70" t="str">
        <f>IF(E171&lt;=$F$9,VLOOKUP(KALKULATOR!A171,Robocze!$B$23:$C$102,2),"")</f>
        <v>13 rok</v>
      </c>
      <c r="C171" s="70">
        <f t="shared" si="104"/>
        <v>2033</v>
      </c>
      <c r="D171" s="71">
        <f t="shared" si="118"/>
        <v>52.500000000000355</v>
      </c>
      <c r="E171" s="77">
        <f t="shared" si="119"/>
        <v>48700</v>
      </c>
      <c r="F171" s="72">
        <f t="shared" si="105"/>
        <v>48730</v>
      </c>
      <c r="G171" s="73">
        <f>IFERROR(IF(AND(F171&lt;=$F$9,$F$5=Robocze!$B$4,$E171&lt;=$F$9,MONTH($F$8)=MONTH(E171)),$F$4,0)+IF(AND(F171&lt;=$F$9,$F$5=Robocze!$B$3,E171&lt;=$F$9),KALKULATOR!$F$4/12,0),"")</f>
        <v>0</v>
      </c>
      <c r="H171" s="73">
        <f t="shared" si="106"/>
        <v>81541.2</v>
      </c>
      <c r="I171" s="74">
        <f t="shared" si="102"/>
        <v>0.04</v>
      </c>
      <c r="J171" s="73">
        <f t="shared" si="88"/>
        <v>0</v>
      </c>
      <c r="K171" s="75" t="str">
        <f t="shared" si="89"/>
        <v/>
      </c>
      <c r="L171" s="73">
        <f t="shared" si="90"/>
        <v>81541.2</v>
      </c>
      <c r="M171" s="73">
        <f t="shared" si="91"/>
        <v>105767.33209923984</v>
      </c>
      <c r="N171" s="73">
        <f t="shared" si="92"/>
        <v>105767.33209923984</v>
      </c>
      <c r="O171" s="73">
        <f t="shared" si="93"/>
        <v>102074.89186698744</v>
      </c>
      <c r="P171" s="73">
        <f t="shared" si="94"/>
        <v>102074.89186698744</v>
      </c>
      <c r="Q171" s="73">
        <f t="shared" si="95"/>
        <v>101366.46376134251</v>
      </c>
      <c r="R171" s="73"/>
      <c r="S171" s="76">
        <f t="shared" si="103"/>
        <v>0.17</v>
      </c>
      <c r="T171" s="73">
        <f t="shared" si="120"/>
        <v>355.12105273363449</v>
      </c>
      <c r="U171" s="73">
        <f t="shared" si="107"/>
        <v>106891.43687282398</v>
      </c>
      <c r="V171" s="76">
        <f t="shared" si="108"/>
        <v>0.17</v>
      </c>
      <c r="W171" s="73">
        <f t="shared" si="109"/>
        <v>0</v>
      </c>
      <c r="X171" s="73">
        <f>IF(B171&lt;&gt;"",IF(MONTH(E171)=MONTH($F$13),SUMIF($C$22:C553,"="&amp;(C171-1),$G$22:G553),0)*S171,"")</f>
        <v>0</v>
      </c>
      <c r="Y171" s="73">
        <f>IF(B171&lt;&gt;"",SUM($X$22:X171),"")</f>
        <v>13862.004000000004</v>
      </c>
      <c r="Z171" s="73">
        <f t="shared" si="121"/>
        <v>56.671784497842282</v>
      </c>
      <c r="AA171" s="73">
        <f t="shared" si="110"/>
        <v>10.767639054590033</v>
      </c>
      <c r="AB171" s="73">
        <f t="shared" si="111"/>
        <v>3185.4354947959414</v>
      </c>
      <c r="AC171" s="73">
        <f t="shared" si="112"/>
        <v>17047.439494795937</v>
      </c>
      <c r="AD171" s="73">
        <f>IFERROR($U171*(1-$V171)+SUM($W$22:$W171)+$AB171,"")</f>
        <v>105767.33209923984</v>
      </c>
      <c r="AE171" s="73" t="b">
        <f t="shared" si="113"/>
        <v>0</v>
      </c>
      <c r="AF171" s="73">
        <f>IF(AND(AE171=TRUE,D171&gt;=65),$U171*(1-10%)+SUM($W$22:$W171)+$AB171,AD171)</f>
        <v>105767.33209923984</v>
      </c>
      <c r="AG171" s="73">
        <f t="shared" si="96"/>
        <v>355.1210527336346</v>
      </c>
      <c r="AH171" s="73">
        <f t="shared" si="97"/>
        <v>25350.236872824014</v>
      </c>
      <c r="AI171" s="73">
        <f t="shared" si="98"/>
        <v>106891.43687282401</v>
      </c>
      <c r="AJ171" s="73">
        <f t="shared" si="99"/>
        <v>102074.89186698744</v>
      </c>
      <c r="AK171" s="73" t="b">
        <f t="shared" si="114"/>
        <v>0</v>
      </c>
      <c r="AL171" s="73">
        <f t="shared" si="100"/>
        <v>102074.89186698744</v>
      </c>
      <c r="AM171" s="73">
        <f t="shared" si="122"/>
        <v>336.97837093628044</v>
      </c>
      <c r="AN171" s="73">
        <f t="shared" si="115"/>
        <v>64.025890477893284</v>
      </c>
      <c r="AO171" s="73">
        <f t="shared" si="116"/>
        <v>19825.263761342518</v>
      </c>
      <c r="AP171" s="73">
        <f t="shared" si="117"/>
        <v>101366.46376134251</v>
      </c>
    </row>
    <row r="172" spans="1:42" s="31" customFormat="1" x14ac:dyDescent="0.6">
      <c r="A172" s="70">
        <f t="shared" si="101"/>
        <v>151</v>
      </c>
      <c r="B172" s="70" t="str">
        <f>IF(E172&lt;=$F$9,VLOOKUP(KALKULATOR!A172,Robocze!$B$23:$C$102,2),"")</f>
        <v>13 rok</v>
      </c>
      <c r="C172" s="70">
        <f t="shared" si="104"/>
        <v>2033</v>
      </c>
      <c r="D172" s="71">
        <f t="shared" si="118"/>
        <v>52.583333333333691</v>
      </c>
      <c r="E172" s="77">
        <f t="shared" si="119"/>
        <v>48731</v>
      </c>
      <c r="F172" s="72">
        <f t="shared" si="105"/>
        <v>48760</v>
      </c>
      <c r="G172" s="73">
        <f>IFERROR(IF(AND(F172&lt;=$F$9,$F$5=Robocze!$B$4,$E172&lt;=$F$9,MONTH($F$8)=MONTH(E172)),$F$4,0)+IF(AND(F172&lt;=$F$9,$F$5=Robocze!$B$3,E172&lt;=$F$9),KALKULATOR!$F$4/12,0),"")</f>
        <v>0</v>
      </c>
      <c r="H172" s="73">
        <f t="shared" si="106"/>
        <v>81541.2</v>
      </c>
      <c r="I172" s="74">
        <f t="shared" si="102"/>
        <v>0.04</v>
      </c>
      <c r="J172" s="73">
        <f t="shared" si="88"/>
        <v>0</v>
      </c>
      <c r="K172" s="75" t="str">
        <f t="shared" si="89"/>
        <v/>
      </c>
      <c r="L172" s="73">
        <f t="shared" si="90"/>
        <v>81541.2</v>
      </c>
      <c r="M172" s="73">
        <f t="shared" si="91"/>
        <v>106109.09316122394</v>
      </c>
      <c r="N172" s="73">
        <f t="shared" si="92"/>
        <v>106109.09316122394</v>
      </c>
      <c r="O172" s="73">
        <f t="shared" si="93"/>
        <v>102363.49874654408</v>
      </c>
      <c r="P172" s="73">
        <f t="shared" si="94"/>
        <v>102363.49874654408</v>
      </c>
      <c r="Q172" s="73">
        <f t="shared" si="95"/>
        <v>101640.15321349814</v>
      </c>
      <c r="R172" s="73"/>
      <c r="S172" s="76">
        <f t="shared" si="103"/>
        <v>0.17</v>
      </c>
      <c r="T172" s="73">
        <f t="shared" si="120"/>
        <v>356.30478957607994</v>
      </c>
      <c r="U172" s="73">
        <f t="shared" si="107"/>
        <v>107247.74166240006</v>
      </c>
      <c r="V172" s="76">
        <f t="shared" si="108"/>
        <v>0.17</v>
      </c>
      <c r="W172" s="73">
        <f t="shared" si="109"/>
        <v>0</v>
      </c>
      <c r="X172" s="73">
        <f>IF(B172&lt;&gt;"",IF(MONTH(E172)=MONTH($F$13),SUMIF($C$22:C554,"="&amp;(C172-1),$G$22:G554),0)*S172,"")</f>
        <v>0</v>
      </c>
      <c r="Y172" s="73">
        <f>IF(B172&lt;&gt;"",SUM($X$22:X172),"")</f>
        <v>13862.004000000004</v>
      </c>
      <c r="Z172" s="73">
        <f t="shared" si="121"/>
        <v>56.824798315986463</v>
      </c>
      <c r="AA172" s="73">
        <f t="shared" si="110"/>
        <v>10.796711680037427</v>
      </c>
      <c r="AB172" s="73">
        <f t="shared" si="111"/>
        <v>3231.4635814318904</v>
      </c>
      <c r="AC172" s="73">
        <f t="shared" si="112"/>
        <v>17093.467581431883</v>
      </c>
      <c r="AD172" s="73">
        <f>IFERROR($U172*(1-$V172)+SUM($W$22:$W172)+$AB172,"")</f>
        <v>106109.09316122394</v>
      </c>
      <c r="AE172" s="73" t="b">
        <f t="shared" si="113"/>
        <v>0</v>
      </c>
      <c r="AF172" s="73">
        <f>IF(AND(AE172=TRUE,D172&gt;=65),$U172*(1-10%)+SUM($W$22:$W172)+$AB172,AD172)</f>
        <v>106109.09316122394</v>
      </c>
      <c r="AG172" s="73">
        <f t="shared" si="96"/>
        <v>356.30478957608005</v>
      </c>
      <c r="AH172" s="73">
        <f t="shared" si="97"/>
        <v>25706.541662400094</v>
      </c>
      <c r="AI172" s="73">
        <f t="shared" si="98"/>
        <v>107247.74166240009</v>
      </c>
      <c r="AJ172" s="73">
        <f t="shared" si="99"/>
        <v>102363.49874654408</v>
      </c>
      <c r="AK172" s="73" t="b">
        <f t="shared" si="114"/>
        <v>0</v>
      </c>
      <c r="AL172" s="73">
        <f t="shared" si="100"/>
        <v>102363.49874654408</v>
      </c>
      <c r="AM172" s="73">
        <f t="shared" si="122"/>
        <v>337.88821253780839</v>
      </c>
      <c r="AN172" s="73">
        <f t="shared" si="115"/>
        <v>64.198760382183593</v>
      </c>
      <c r="AO172" s="73">
        <f t="shared" si="116"/>
        <v>20098.953213498142</v>
      </c>
      <c r="AP172" s="73">
        <f t="shared" si="117"/>
        <v>101640.15321349814</v>
      </c>
    </row>
    <row r="173" spans="1:42" s="31" customFormat="1" x14ac:dyDescent="0.6">
      <c r="A173" s="70">
        <f t="shared" si="101"/>
        <v>152</v>
      </c>
      <c r="B173" s="70" t="str">
        <f>IF(E173&lt;=$F$9,VLOOKUP(KALKULATOR!A173,Robocze!$B$23:$C$102,2),"")</f>
        <v>13 rok</v>
      </c>
      <c r="C173" s="70">
        <f t="shared" si="104"/>
        <v>2033</v>
      </c>
      <c r="D173" s="71">
        <f t="shared" si="118"/>
        <v>52.666666666667027</v>
      </c>
      <c r="E173" s="77">
        <f t="shared" si="119"/>
        <v>48761</v>
      </c>
      <c r="F173" s="72">
        <f t="shared" si="105"/>
        <v>48791</v>
      </c>
      <c r="G173" s="73">
        <f>IFERROR(IF(AND(F173&lt;=$F$9,$F$5=Robocze!$B$4,$E173&lt;=$F$9,MONTH($F$8)=MONTH(E173)),$F$4,0)+IF(AND(F173&lt;=$F$9,$F$5=Robocze!$B$3,E173&lt;=$F$9),KALKULATOR!$F$4/12,0),"")</f>
        <v>0</v>
      </c>
      <c r="H173" s="73">
        <f t="shared" si="106"/>
        <v>81541.2</v>
      </c>
      <c r="I173" s="74">
        <f t="shared" si="102"/>
        <v>0.04</v>
      </c>
      <c r="J173" s="73">
        <f t="shared" si="88"/>
        <v>0</v>
      </c>
      <c r="K173" s="75" t="str">
        <f t="shared" si="89"/>
        <v/>
      </c>
      <c r="L173" s="73">
        <f t="shared" si="90"/>
        <v>81541.2</v>
      </c>
      <c r="M173" s="73">
        <f t="shared" si="91"/>
        <v>106451.96427562644</v>
      </c>
      <c r="N173" s="73">
        <f t="shared" si="92"/>
        <v>106451.96427562644</v>
      </c>
      <c r="O173" s="73">
        <f t="shared" si="93"/>
        <v>102653.06764903256</v>
      </c>
      <c r="P173" s="73">
        <f t="shared" si="94"/>
        <v>102653.06764903256</v>
      </c>
      <c r="Q173" s="73">
        <f t="shared" si="95"/>
        <v>101914.58162717459</v>
      </c>
      <c r="R173" s="73"/>
      <c r="S173" s="76">
        <f t="shared" si="103"/>
        <v>0.17</v>
      </c>
      <c r="T173" s="73">
        <f t="shared" si="120"/>
        <v>357.49247220800021</v>
      </c>
      <c r="U173" s="73">
        <f t="shared" si="107"/>
        <v>107605.23413460806</v>
      </c>
      <c r="V173" s="76">
        <f t="shared" si="108"/>
        <v>0.17</v>
      </c>
      <c r="W173" s="73">
        <f t="shared" si="109"/>
        <v>0</v>
      </c>
      <c r="X173" s="73">
        <f>IF(B173&lt;&gt;"",IF(MONTH(E173)=MONTH($F$13),SUMIF($C$22:C555,"="&amp;(C173-1),$G$22:G555),0)*S173,"")</f>
        <v>0</v>
      </c>
      <c r="Y173" s="73">
        <f>IF(B173&lt;&gt;"",SUM($X$22:X173),"")</f>
        <v>13862.004000000004</v>
      </c>
      <c r="Z173" s="73">
        <f t="shared" si="121"/>
        <v>56.978225271439612</v>
      </c>
      <c r="AA173" s="73">
        <f t="shared" si="110"/>
        <v>10.825862801573527</v>
      </c>
      <c r="AB173" s="73">
        <f t="shared" si="111"/>
        <v>3277.6159439017561</v>
      </c>
      <c r="AC173" s="73">
        <f t="shared" si="112"/>
        <v>17139.619943901751</v>
      </c>
      <c r="AD173" s="73">
        <f>IFERROR($U173*(1-$V173)+SUM($W$22:$W173)+$AB173,"")</f>
        <v>106451.96427562644</v>
      </c>
      <c r="AE173" s="73" t="b">
        <f t="shared" si="113"/>
        <v>0</v>
      </c>
      <c r="AF173" s="73">
        <f>IF(AND(AE173=TRUE,D173&gt;=65),$U173*(1-10%)+SUM($W$22:$W173)+$AB173,AD173)</f>
        <v>106451.96427562644</v>
      </c>
      <c r="AG173" s="73">
        <f t="shared" si="96"/>
        <v>357.49247220800027</v>
      </c>
      <c r="AH173" s="73">
        <f t="shared" si="97"/>
        <v>26064.034134608093</v>
      </c>
      <c r="AI173" s="73">
        <f t="shared" si="98"/>
        <v>107605.23413460809</v>
      </c>
      <c r="AJ173" s="73">
        <f t="shared" si="99"/>
        <v>102653.06764903256</v>
      </c>
      <c r="AK173" s="73" t="b">
        <f t="shared" si="114"/>
        <v>0</v>
      </c>
      <c r="AL173" s="73">
        <f t="shared" si="100"/>
        <v>102653.06764903256</v>
      </c>
      <c r="AM173" s="73">
        <f t="shared" si="122"/>
        <v>338.80051071166048</v>
      </c>
      <c r="AN173" s="73">
        <f t="shared" si="115"/>
        <v>64.372097035215489</v>
      </c>
      <c r="AO173" s="73">
        <f t="shared" si="116"/>
        <v>20373.381627174589</v>
      </c>
      <c r="AP173" s="73">
        <f t="shared" si="117"/>
        <v>101914.58162717459</v>
      </c>
    </row>
    <row r="174" spans="1:42" s="31" customFormat="1" x14ac:dyDescent="0.6">
      <c r="A174" s="70">
        <f t="shared" si="101"/>
        <v>153</v>
      </c>
      <c r="B174" s="70" t="str">
        <f>IF(E174&lt;=$F$9,VLOOKUP(KALKULATOR!A174,Robocze!$B$23:$C$102,2),"")</f>
        <v>13 rok</v>
      </c>
      <c r="C174" s="70">
        <f t="shared" si="104"/>
        <v>2033</v>
      </c>
      <c r="D174" s="71">
        <f t="shared" si="118"/>
        <v>52.750000000000362</v>
      </c>
      <c r="E174" s="77">
        <f t="shared" si="119"/>
        <v>48792</v>
      </c>
      <c r="F174" s="72">
        <f t="shared" si="105"/>
        <v>48822</v>
      </c>
      <c r="G174" s="73">
        <f>IFERROR(IF(AND(F174&lt;=$F$9,$F$5=Robocze!$B$4,$E174&lt;=$F$9,MONTH($F$8)=MONTH(E174)),$F$4,0)+IF(AND(F174&lt;=$F$9,$F$5=Robocze!$B$3,E174&lt;=$F$9),KALKULATOR!$F$4/12,0),"")</f>
        <v>0</v>
      </c>
      <c r="H174" s="73">
        <f t="shared" si="106"/>
        <v>81541.2</v>
      </c>
      <c r="I174" s="74">
        <f t="shared" si="102"/>
        <v>0.04</v>
      </c>
      <c r="J174" s="73">
        <f t="shared" si="88"/>
        <v>0</v>
      </c>
      <c r="K174" s="75" t="str">
        <f t="shared" si="89"/>
        <v/>
      </c>
      <c r="L174" s="73">
        <f t="shared" si="90"/>
        <v>81541.2</v>
      </c>
      <c r="M174" s="73">
        <f t="shared" si="91"/>
        <v>106795.94906391406</v>
      </c>
      <c r="N174" s="73">
        <f t="shared" si="92"/>
        <v>106795.94906391406</v>
      </c>
      <c r="O174" s="73">
        <f t="shared" si="93"/>
        <v>102943.60178119599</v>
      </c>
      <c r="P174" s="73">
        <f t="shared" si="94"/>
        <v>102943.60178119599</v>
      </c>
      <c r="Q174" s="73">
        <f t="shared" si="95"/>
        <v>102189.75099756796</v>
      </c>
      <c r="R174" s="73"/>
      <c r="S174" s="76">
        <f t="shared" si="103"/>
        <v>0.17</v>
      </c>
      <c r="T174" s="73">
        <f t="shared" si="120"/>
        <v>358.68411378202688</v>
      </c>
      <c r="U174" s="73">
        <f t="shared" si="107"/>
        <v>107963.91824839009</v>
      </c>
      <c r="V174" s="76">
        <f t="shared" si="108"/>
        <v>0.17</v>
      </c>
      <c r="W174" s="73">
        <f t="shared" si="109"/>
        <v>0</v>
      </c>
      <c r="X174" s="73">
        <f>IF(B174&lt;&gt;"",IF(MONTH(E174)=MONTH($F$13),SUMIF($C$22:C556,"="&amp;(C174-1),$G$22:G556),0)*S174,"")</f>
        <v>0</v>
      </c>
      <c r="Y174" s="73">
        <f>IF(B174&lt;&gt;"",SUM($X$22:X174),"")</f>
        <v>13862.004000000004</v>
      </c>
      <c r="Z174" s="73">
        <f t="shared" si="121"/>
        <v>57.13206647967251</v>
      </c>
      <c r="AA174" s="73">
        <f t="shared" si="110"/>
        <v>10.855092631137778</v>
      </c>
      <c r="AB174" s="73">
        <f t="shared" si="111"/>
        <v>3323.892917750291</v>
      </c>
      <c r="AC174" s="73">
        <f t="shared" si="112"/>
        <v>17185.896917750288</v>
      </c>
      <c r="AD174" s="73">
        <f>IFERROR($U174*(1-$V174)+SUM($W$22:$W174)+$AB174,"")</f>
        <v>106795.94906391406</v>
      </c>
      <c r="AE174" s="73" t="b">
        <f t="shared" si="113"/>
        <v>0</v>
      </c>
      <c r="AF174" s="73">
        <f>IF(AND(AE174=TRUE,D174&gt;=65),$U174*(1-10%)+SUM($W$22:$W174)+$AB174,AD174)</f>
        <v>106795.94906391406</v>
      </c>
      <c r="AG174" s="73">
        <f t="shared" si="96"/>
        <v>358.684113782027</v>
      </c>
      <c r="AH174" s="73">
        <f t="shared" si="97"/>
        <v>26422.71824839012</v>
      </c>
      <c r="AI174" s="73">
        <f t="shared" si="98"/>
        <v>107963.91824839011</v>
      </c>
      <c r="AJ174" s="73">
        <f t="shared" si="99"/>
        <v>102943.60178119599</v>
      </c>
      <c r="AK174" s="73" t="b">
        <f t="shared" si="114"/>
        <v>0</v>
      </c>
      <c r="AL174" s="73">
        <f t="shared" si="100"/>
        <v>102943.60178119599</v>
      </c>
      <c r="AM174" s="73">
        <f t="shared" si="122"/>
        <v>339.71527209058195</v>
      </c>
      <c r="AN174" s="73">
        <f t="shared" si="115"/>
        <v>64.545901697210567</v>
      </c>
      <c r="AO174" s="73">
        <f t="shared" si="116"/>
        <v>20648.55099756796</v>
      </c>
      <c r="AP174" s="73">
        <f t="shared" si="117"/>
        <v>102189.75099756796</v>
      </c>
    </row>
    <row r="175" spans="1:42" s="31" customFormat="1" x14ac:dyDescent="0.6">
      <c r="A175" s="70">
        <f t="shared" si="101"/>
        <v>154</v>
      </c>
      <c r="B175" s="70" t="str">
        <f>IF(E175&lt;=$F$9,VLOOKUP(KALKULATOR!A175,Robocze!$B$23:$C$102,2),"")</f>
        <v>13 rok</v>
      </c>
      <c r="C175" s="70">
        <f t="shared" si="104"/>
        <v>2033</v>
      </c>
      <c r="D175" s="71">
        <f t="shared" si="118"/>
        <v>52.833333333333698</v>
      </c>
      <c r="E175" s="77">
        <f t="shared" si="119"/>
        <v>48823</v>
      </c>
      <c r="F175" s="72">
        <f t="shared" si="105"/>
        <v>48852</v>
      </c>
      <c r="G175" s="73">
        <f>IFERROR(IF(AND(F175&lt;=$F$9,$F$5=Robocze!$B$4,$E175&lt;=$F$9,MONTH($F$8)=MONTH(E175)),$F$4,0)+IF(AND(F175&lt;=$F$9,$F$5=Robocze!$B$3,E175&lt;=$F$9),KALKULATOR!$F$4/12,0),"")</f>
        <v>0</v>
      </c>
      <c r="H175" s="73">
        <f t="shared" si="106"/>
        <v>81541.2</v>
      </c>
      <c r="I175" s="74">
        <f t="shared" si="102"/>
        <v>0.04</v>
      </c>
      <c r="J175" s="73">
        <f t="shared" si="88"/>
        <v>0</v>
      </c>
      <c r="K175" s="75" t="str">
        <f t="shared" si="89"/>
        <v/>
      </c>
      <c r="L175" s="73">
        <f t="shared" si="90"/>
        <v>81541.2</v>
      </c>
      <c r="M175" s="73">
        <f t="shared" si="91"/>
        <v>107141.05115941253</v>
      </c>
      <c r="N175" s="73">
        <f t="shared" si="92"/>
        <v>107141.05115941253</v>
      </c>
      <c r="O175" s="73">
        <f t="shared" si="93"/>
        <v>103235.10436046665</v>
      </c>
      <c r="P175" s="73">
        <f t="shared" si="94"/>
        <v>103235.10436046665</v>
      </c>
      <c r="Q175" s="73">
        <f t="shared" si="95"/>
        <v>102465.66332526138</v>
      </c>
      <c r="R175" s="73"/>
      <c r="S175" s="76">
        <f t="shared" si="103"/>
        <v>0.17</v>
      </c>
      <c r="T175" s="73">
        <f t="shared" si="120"/>
        <v>359.8797274946337</v>
      </c>
      <c r="U175" s="73">
        <f t="shared" si="107"/>
        <v>108323.79797588472</v>
      </c>
      <c r="V175" s="76">
        <f t="shared" si="108"/>
        <v>0.17</v>
      </c>
      <c r="W175" s="73">
        <f t="shared" si="109"/>
        <v>0</v>
      </c>
      <c r="X175" s="73">
        <f>IF(B175&lt;&gt;"",IF(MONTH(E175)=MONTH($F$13),SUMIF($C$22:C557,"="&amp;(C175-1),$G$22:G557),0)*S175,"")</f>
        <v>0</v>
      </c>
      <c r="Y175" s="73">
        <f>IF(B175&lt;&gt;"",SUM($X$22:X175),"")</f>
        <v>13862.004000000004</v>
      </c>
      <c r="Z175" s="73">
        <f t="shared" si="121"/>
        <v>57.286323059167621</v>
      </c>
      <c r="AA175" s="73">
        <f t="shared" si="110"/>
        <v>10.884401381241847</v>
      </c>
      <c r="AB175" s="73">
        <f t="shared" si="111"/>
        <v>3370.2948394282166</v>
      </c>
      <c r="AC175" s="73">
        <f t="shared" si="112"/>
        <v>17232.298839428215</v>
      </c>
      <c r="AD175" s="73">
        <f>IFERROR($U175*(1-$V175)+SUM($W$22:$W175)+$AB175,"")</f>
        <v>107141.05115941253</v>
      </c>
      <c r="AE175" s="73" t="b">
        <f t="shared" si="113"/>
        <v>0</v>
      </c>
      <c r="AF175" s="73">
        <f>IF(AND(AE175=TRUE,D175&gt;=65),$U175*(1-10%)+SUM($W$22:$W175)+$AB175,AD175)</f>
        <v>107141.05115941253</v>
      </c>
      <c r="AG175" s="73">
        <f t="shared" si="96"/>
        <v>359.8797274946337</v>
      </c>
      <c r="AH175" s="73">
        <f t="shared" si="97"/>
        <v>26782.597975884753</v>
      </c>
      <c r="AI175" s="73">
        <f t="shared" si="98"/>
        <v>108323.79797588475</v>
      </c>
      <c r="AJ175" s="73">
        <f t="shared" si="99"/>
        <v>103235.10436046665</v>
      </c>
      <c r="AK175" s="73" t="b">
        <f t="shared" si="114"/>
        <v>0</v>
      </c>
      <c r="AL175" s="73">
        <f t="shared" si="100"/>
        <v>103235.10436046665</v>
      </c>
      <c r="AM175" s="73">
        <f t="shared" si="122"/>
        <v>340.63250332522654</v>
      </c>
      <c r="AN175" s="73">
        <f t="shared" si="115"/>
        <v>64.72017563179304</v>
      </c>
      <c r="AO175" s="73">
        <f t="shared" si="116"/>
        <v>20924.463325261386</v>
      </c>
      <c r="AP175" s="73">
        <f t="shared" si="117"/>
        <v>102465.66332526138</v>
      </c>
    </row>
    <row r="176" spans="1:42" s="31" customFormat="1" x14ac:dyDescent="0.6">
      <c r="A176" s="70">
        <f t="shared" si="101"/>
        <v>155</v>
      </c>
      <c r="B176" s="70" t="str">
        <f>IF(E176&lt;=$F$9,VLOOKUP(KALKULATOR!A176,Robocze!$B$23:$C$102,2),"")</f>
        <v>13 rok</v>
      </c>
      <c r="C176" s="70">
        <f t="shared" si="104"/>
        <v>2033</v>
      </c>
      <c r="D176" s="71">
        <f t="shared" si="118"/>
        <v>52.916666666667034</v>
      </c>
      <c r="E176" s="77">
        <f t="shared" si="119"/>
        <v>48853</v>
      </c>
      <c r="F176" s="72">
        <f t="shared" si="105"/>
        <v>48883</v>
      </c>
      <c r="G176" s="73">
        <f>IFERROR(IF(AND(F176&lt;=$F$9,$F$5=Robocze!$B$4,$E176&lt;=$F$9,MONTH($F$8)=MONTH(E176)),$F$4,0)+IF(AND(F176&lt;=$F$9,$F$5=Robocze!$B$3,E176&lt;=$F$9),KALKULATOR!$F$4/12,0),"")</f>
        <v>0</v>
      </c>
      <c r="H176" s="73">
        <f t="shared" si="106"/>
        <v>81541.2</v>
      </c>
      <c r="I176" s="74">
        <f t="shared" si="102"/>
        <v>0.04</v>
      </c>
      <c r="J176" s="73">
        <f t="shared" si="88"/>
        <v>0</v>
      </c>
      <c r="K176" s="75" t="str">
        <f t="shared" si="89"/>
        <v/>
      </c>
      <c r="L176" s="73">
        <f t="shared" si="90"/>
        <v>81541.2</v>
      </c>
      <c r="M176" s="73">
        <f t="shared" si="91"/>
        <v>107487.27420734562</v>
      </c>
      <c r="N176" s="73">
        <f t="shared" si="92"/>
        <v>107487.27420734562</v>
      </c>
      <c r="O176" s="73">
        <f t="shared" si="93"/>
        <v>103527.57861500153</v>
      </c>
      <c r="P176" s="73">
        <f t="shared" si="94"/>
        <v>103527.57861500153</v>
      </c>
      <c r="Q176" s="73">
        <f t="shared" si="95"/>
        <v>102742.32061623958</v>
      </c>
      <c r="R176" s="73"/>
      <c r="S176" s="76">
        <f t="shared" si="103"/>
        <v>0.17</v>
      </c>
      <c r="T176" s="73">
        <f t="shared" si="120"/>
        <v>361.07932658628243</v>
      </c>
      <c r="U176" s="73">
        <f t="shared" si="107"/>
        <v>108684.87730247101</v>
      </c>
      <c r="V176" s="76">
        <f t="shared" si="108"/>
        <v>0.17</v>
      </c>
      <c r="W176" s="73">
        <f t="shared" si="109"/>
        <v>0</v>
      </c>
      <c r="X176" s="73">
        <f>IF(B176&lt;&gt;"",IF(MONTH(E176)=MONTH($F$13),SUMIF($C$22:C558,"="&amp;(C176-1),$G$22:G558),0)*S176,"")</f>
        <v>0</v>
      </c>
      <c r="Y176" s="73">
        <f>IF(B176&lt;&gt;"",SUM($X$22:X176),"")</f>
        <v>13862.004000000004</v>
      </c>
      <c r="Z176" s="73">
        <f t="shared" si="121"/>
        <v>57.44099613142739</v>
      </c>
      <c r="AA176" s="73">
        <f t="shared" si="110"/>
        <v>10.913789264971204</v>
      </c>
      <c r="AB176" s="73">
        <f t="shared" si="111"/>
        <v>3416.8220462946729</v>
      </c>
      <c r="AC176" s="73">
        <f t="shared" si="112"/>
        <v>17278.826046294671</v>
      </c>
      <c r="AD176" s="73">
        <f>IFERROR($U176*(1-$V176)+SUM($W$22:$W176)+$AB176,"")</f>
        <v>107487.27420734562</v>
      </c>
      <c r="AE176" s="73" t="b">
        <f t="shared" si="113"/>
        <v>0</v>
      </c>
      <c r="AF176" s="73">
        <f>IF(AND(AE176=TRUE,D176&gt;=65),$U176*(1-10%)+SUM($W$22:$W176)+$AB176,AD176)</f>
        <v>107487.27420734562</v>
      </c>
      <c r="AG176" s="73">
        <f t="shared" si="96"/>
        <v>361.07932658628255</v>
      </c>
      <c r="AH176" s="73">
        <f t="shared" si="97"/>
        <v>27143.677302471035</v>
      </c>
      <c r="AI176" s="73">
        <f t="shared" si="98"/>
        <v>108684.87730247102</v>
      </c>
      <c r="AJ176" s="73">
        <f t="shared" si="99"/>
        <v>103527.57861500153</v>
      </c>
      <c r="AK176" s="73" t="b">
        <f t="shared" si="114"/>
        <v>0</v>
      </c>
      <c r="AL176" s="73">
        <f t="shared" si="100"/>
        <v>103527.57861500153</v>
      </c>
      <c r="AM176" s="73">
        <f t="shared" si="122"/>
        <v>341.5522110842046</v>
      </c>
      <c r="AN176" s="73">
        <f t="shared" si="115"/>
        <v>64.894920105998878</v>
      </c>
      <c r="AO176" s="73">
        <f t="shared" si="116"/>
        <v>21201.120616239583</v>
      </c>
      <c r="AP176" s="73">
        <f t="shared" si="117"/>
        <v>102742.32061623958</v>
      </c>
    </row>
    <row r="177" spans="1:42" s="69" customFormat="1" x14ac:dyDescent="0.6">
      <c r="A177" s="78">
        <f t="shared" si="101"/>
        <v>156</v>
      </c>
      <c r="B177" s="78" t="str">
        <f>IF(E177&lt;=$F$9,VLOOKUP(KALKULATOR!A177,Robocze!$B$23:$C$102,2),"")</f>
        <v>13 rok</v>
      </c>
      <c r="C177" s="78">
        <f t="shared" si="104"/>
        <v>2033</v>
      </c>
      <c r="D177" s="79">
        <f t="shared" si="118"/>
        <v>53.000000000000369</v>
      </c>
      <c r="E177" s="80">
        <f t="shared" si="119"/>
        <v>48884</v>
      </c>
      <c r="F177" s="81">
        <f t="shared" si="105"/>
        <v>48913</v>
      </c>
      <c r="G177" s="82">
        <f>IFERROR(IF(AND(F177&lt;=$F$9,$F$5=Robocze!$B$4,$E177&lt;=$F$9,MONTH($F$8)=MONTH(E177)),$F$4,0)+IF(AND(F177&lt;=$F$9,$F$5=Robocze!$B$3,E177&lt;=$F$9),KALKULATOR!$F$4/12,0),"")</f>
        <v>0</v>
      </c>
      <c r="H177" s="82">
        <f t="shared" si="106"/>
        <v>81541.2</v>
      </c>
      <c r="I177" s="83">
        <f t="shared" si="102"/>
        <v>0.04</v>
      </c>
      <c r="J177" s="82">
        <f t="shared" si="88"/>
        <v>0</v>
      </c>
      <c r="K177" s="84">
        <f t="shared" si="89"/>
        <v>13</v>
      </c>
      <c r="L177" s="82">
        <f t="shared" si="90"/>
        <v>81541.2</v>
      </c>
      <c r="M177" s="82">
        <f t="shared" si="91"/>
        <v>107834.62186487412</v>
      </c>
      <c r="N177" s="82">
        <f t="shared" si="92"/>
        <v>107834.62186487412</v>
      </c>
      <c r="O177" s="82">
        <f t="shared" si="93"/>
        <v>103821.02778371821</v>
      </c>
      <c r="P177" s="82">
        <f t="shared" si="94"/>
        <v>103821.02778371821</v>
      </c>
      <c r="Q177" s="82">
        <f t="shared" si="95"/>
        <v>103019.72488190341</v>
      </c>
      <c r="R177" s="82"/>
      <c r="S177" s="85">
        <f t="shared" si="103"/>
        <v>0.17</v>
      </c>
      <c r="T177" s="82">
        <f t="shared" si="120"/>
        <v>362.28292434157004</v>
      </c>
      <c r="U177" s="82">
        <f t="shared" si="107"/>
        <v>109047.16022681259</v>
      </c>
      <c r="V177" s="85">
        <f t="shared" si="108"/>
        <v>0.17</v>
      </c>
      <c r="W177" s="82">
        <f t="shared" si="109"/>
        <v>0</v>
      </c>
      <c r="X177" s="82">
        <f>IF(B177&lt;&gt;"",IF(MONTH(E177)=MONTH($F$13),SUMIF($C$22:C559,"="&amp;(C177-1),$G$22:G559),0)*S177,"")</f>
        <v>0</v>
      </c>
      <c r="Y177" s="82">
        <f>IF(B177&lt;&gt;"",SUM($X$22:X177),"")</f>
        <v>13862.004000000004</v>
      </c>
      <c r="Z177" s="82">
        <f t="shared" si="121"/>
        <v>57.596086820982237</v>
      </c>
      <c r="AA177" s="82">
        <f t="shared" si="110"/>
        <v>10.943256495986626</v>
      </c>
      <c r="AB177" s="82">
        <f t="shared" si="111"/>
        <v>3463.4748766196685</v>
      </c>
      <c r="AC177" s="82">
        <f t="shared" si="112"/>
        <v>17325.478876619665</v>
      </c>
      <c r="AD177" s="82">
        <f>IFERROR($U177*(1-$V177)+SUM($W$22:$W177)+$AB177,"")</f>
        <v>107834.62186487412</v>
      </c>
      <c r="AE177" s="73" t="b">
        <f t="shared" si="113"/>
        <v>0</v>
      </c>
      <c r="AF177" s="82">
        <f>IF(AND(AE177=TRUE,D177&gt;=65),$U177*(1-10%)+SUM($W$22:$W177)+$AB177,AD177)</f>
        <v>107834.62186487412</v>
      </c>
      <c r="AG177" s="82">
        <f t="shared" si="96"/>
        <v>362.28292434157009</v>
      </c>
      <c r="AH177" s="82">
        <f t="shared" si="97"/>
        <v>27505.960226812604</v>
      </c>
      <c r="AI177" s="82">
        <f t="shared" si="98"/>
        <v>109047.1602268126</v>
      </c>
      <c r="AJ177" s="82">
        <f t="shared" si="99"/>
        <v>103821.02778371821</v>
      </c>
      <c r="AK177" s="73" t="b">
        <f t="shared" si="114"/>
        <v>0</v>
      </c>
      <c r="AL177" s="82">
        <f t="shared" si="100"/>
        <v>103821.02778371821</v>
      </c>
      <c r="AM177" s="82">
        <f t="shared" si="122"/>
        <v>342.47440205413199</v>
      </c>
      <c r="AN177" s="82">
        <f t="shared" si="115"/>
        <v>65.070136390285072</v>
      </c>
      <c r="AO177" s="82">
        <f t="shared" si="116"/>
        <v>21478.524881903417</v>
      </c>
      <c r="AP177" s="82">
        <f t="shared" si="117"/>
        <v>103019.72488190341</v>
      </c>
    </row>
    <row r="178" spans="1:42" s="31" customFormat="1" x14ac:dyDescent="0.6">
      <c r="A178" s="70">
        <f t="shared" si="101"/>
        <v>157</v>
      </c>
      <c r="B178" s="70" t="str">
        <f>IF(E178&lt;=$F$9,VLOOKUP(KALKULATOR!A178,Robocze!$B$23:$C$102,2),"")</f>
        <v>14 rok</v>
      </c>
      <c r="C178" s="70">
        <f t="shared" si="104"/>
        <v>2033</v>
      </c>
      <c r="D178" s="71">
        <f t="shared" si="118"/>
        <v>53.083333333333705</v>
      </c>
      <c r="E178" s="72">
        <f t="shared" si="119"/>
        <v>48914</v>
      </c>
      <c r="F178" s="72">
        <f t="shared" si="105"/>
        <v>48944</v>
      </c>
      <c r="G178" s="73">
        <f>IFERROR(IF(AND(F178&lt;=$F$9,$F$5=Robocze!$B$4,$E178&lt;=$F$9,MONTH($F$8)=MONTH(E178)),$F$4,0)+IF(AND(F178&lt;=$F$9,$F$5=Robocze!$B$3,E178&lt;=$F$9),KALKULATOR!$F$4/12,0),"")</f>
        <v>6272.4</v>
      </c>
      <c r="H178" s="73">
        <f t="shared" si="106"/>
        <v>87813.599999999991</v>
      </c>
      <c r="I178" s="74">
        <f t="shared" si="102"/>
        <v>0.04</v>
      </c>
      <c r="J178" s="73">
        <f t="shared" si="88"/>
        <v>0</v>
      </c>
      <c r="K178" s="75" t="str">
        <f t="shared" si="89"/>
        <v/>
      </c>
      <c r="L178" s="73">
        <f t="shared" si="90"/>
        <v>87813.599999999991</v>
      </c>
      <c r="M178" s="73">
        <f t="shared" si="91"/>
        <v>114472.85144113516</v>
      </c>
      <c r="N178" s="73">
        <f t="shared" si="92"/>
        <v>114472.85144113516</v>
      </c>
      <c r="O178" s="73">
        <f t="shared" si="93"/>
        <v>110404.7905963306</v>
      </c>
      <c r="P178" s="73">
        <f t="shared" si="94"/>
        <v>110404.7905963306</v>
      </c>
      <c r="Q178" s="73">
        <f t="shared" si="95"/>
        <v>109587.21361908455</v>
      </c>
      <c r="R178" s="73"/>
      <c r="S178" s="76">
        <f t="shared" si="103"/>
        <v>0.17</v>
      </c>
      <c r="T178" s="73">
        <f t="shared" si="120"/>
        <v>384.39853408937529</v>
      </c>
      <c r="U178" s="73">
        <f t="shared" si="107"/>
        <v>115703.95876090195</v>
      </c>
      <c r="V178" s="76">
        <f t="shared" si="108"/>
        <v>0.17</v>
      </c>
      <c r="W178" s="73">
        <f t="shared" si="109"/>
        <v>1066.308</v>
      </c>
      <c r="X178" s="73">
        <f>IF(B178&lt;&gt;"",IF(MONTH(E178)=MONTH($F$13),SUMIF($C$22:C560,"="&amp;(C178-1),$G$22:G560),0)*S178,"")</f>
        <v>0</v>
      </c>
      <c r="Y178" s="73">
        <f>IF(B178&lt;&gt;"",SUM($X$22:X178),"")</f>
        <v>13862.004000000004</v>
      </c>
      <c r="Z178" s="73">
        <f t="shared" si="121"/>
        <v>57.751596255398887</v>
      </c>
      <c r="AA178" s="73">
        <f t="shared" si="110"/>
        <v>10.972803288525789</v>
      </c>
      <c r="AB178" s="73">
        <f t="shared" si="111"/>
        <v>3510.2536695865415</v>
      </c>
      <c r="AC178" s="73">
        <f t="shared" si="112"/>
        <v>17372.257669586539</v>
      </c>
      <c r="AD178" s="73">
        <f>IFERROR($U178*(1-$V178)+SUM($W$22:$W178)+$AB178,"")</f>
        <v>114472.85144113516</v>
      </c>
      <c r="AE178" s="73" t="b">
        <f t="shared" si="113"/>
        <v>0</v>
      </c>
      <c r="AF178" s="73">
        <f>IF(AND(AE178=TRUE,D178&gt;=65),$U178*(1-10%)+SUM($W$22:$W178)+$AB178,AD178)</f>
        <v>114472.85144113516</v>
      </c>
      <c r="AG178" s="73">
        <f t="shared" si="96"/>
        <v>384.39853408937529</v>
      </c>
      <c r="AH178" s="73">
        <f t="shared" si="97"/>
        <v>27890.358760901978</v>
      </c>
      <c r="AI178" s="73">
        <f t="shared" si="98"/>
        <v>115703.95876090197</v>
      </c>
      <c r="AJ178" s="73">
        <f t="shared" si="99"/>
        <v>110404.7905963306</v>
      </c>
      <c r="AK178" s="73" t="b">
        <f t="shared" si="114"/>
        <v>0</v>
      </c>
      <c r="AL178" s="73">
        <f t="shared" si="100"/>
        <v>110404.7905963306</v>
      </c>
      <c r="AM178" s="73">
        <f t="shared" si="122"/>
        <v>364.30708293967808</v>
      </c>
      <c r="AN178" s="73">
        <f t="shared" si="115"/>
        <v>69.218345758538831</v>
      </c>
      <c r="AO178" s="73">
        <f t="shared" si="116"/>
        <v>21773.613619084557</v>
      </c>
      <c r="AP178" s="73">
        <f t="shared" si="117"/>
        <v>109587.21361908455</v>
      </c>
    </row>
    <row r="179" spans="1:42" s="31" customFormat="1" x14ac:dyDescent="0.6">
      <c r="A179" s="70">
        <f t="shared" si="101"/>
        <v>158</v>
      </c>
      <c r="B179" s="70" t="str">
        <f>IF(E179&lt;=$F$9,VLOOKUP(KALKULATOR!A179,Robocze!$B$23:$C$102,2),"")</f>
        <v>14 rok</v>
      </c>
      <c r="C179" s="70">
        <f t="shared" si="104"/>
        <v>2034</v>
      </c>
      <c r="D179" s="71">
        <f t="shared" si="118"/>
        <v>53.166666666667041</v>
      </c>
      <c r="E179" s="77">
        <f t="shared" si="119"/>
        <v>48945</v>
      </c>
      <c r="F179" s="72">
        <f t="shared" si="105"/>
        <v>48975</v>
      </c>
      <c r="G179" s="73">
        <f>IFERROR(IF(AND(F179&lt;=$F$9,$F$5=Robocze!$B$4,$E179&lt;=$F$9,MONTH($F$8)=MONTH(E179)),$F$4,0)+IF(AND(F179&lt;=$F$9,$F$5=Robocze!$B$3,E179&lt;=$F$9),KALKULATOR!$F$4/12,0),"")</f>
        <v>0</v>
      </c>
      <c r="H179" s="73">
        <f t="shared" si="106"/>
        <v>87813.599999999991</v>
      </c>
      <c r="I179" s="74">
        <f t="shared" si="102"/>
        <v>0.04</v>
      </c>
      <c r="J179" s="73">
        <f t="shared" si="88"/>
        <v>0</v>
      </c>
      <c r="K179" s="75" t="str">
        <f t="shared" si="89"/>
        <v/>
      </c>
      <c r="L179" s="73">
        <f t="shared" si="90"/>
        <v>87813.599999999991</v>
      </c>
      <c r="M179" s="73">
        <f t="shared" si="91"/>
        <v>114839.87082274821</v>
      </c>
      <c r="N179" s="73">
        <f t="shared" si="92"/>
        <v>114839.87082274821</v>
      </c>
      <c r="O179" s="73">
        <f t="shared" si="93"/>
        <v>110717.19128498503</v>
      </c>
      <c r="P179" s="73">
        <f t="shared" si="94"/>
        <v>110717.19128498503</v>
      </c>
      <c r="Q179" s="73">
        <f t="shared" si="95"/>
        <v>109883.09909585607</v>
      </c>
      <c r="R179" s="73"/>
      <c r="S179" s="76">
        <f t="shared" si="103"/>
        <v>0.17</v>
      </c>
      <c r="T179" s="73">
        <f t="shared" si="120"/>
        <v>385.67986253633984</v>
      </c>
      <c r="U179" s="73">
        <f t="shared" si="107"/>
        <v>116089.6386234383</v>
      </c>
      <c r="V179" s="76">
        <f t="shared" si="108"/>
        <v>0.17</v>
      </c>
      <c r="W179" s="73">
        <f t="shared" si="109"/>
        <v>0</v>
      </c>
      <c r="X179" s="73">
        <f>IF(B179&lt;&gt;"",IF(MONTH(E179)=MONTH($F$13),SUMIF($C$22:C561,"="&amp;(C179-1),$G$22:G561),0)*S179,"")</f>
        <v>0</v>
      </c>
      <c r="Y179" s="73">
        <f>IF(B179&lt;&gt;"",SUM($X$22:X179),"")</f>
        <v>13862.004000000004</v>
      </c>
      <c r="Z179" s="73">
        <f t="shared" si="121"/>
        <v>57.907525565288466</v>
      </c>
      <c r="AA179" s="73">
        <f t="shared" si="110"/>
        <v>11.00242985740481</v>
      </c>
      <c r="AB179" s="73">
        <f t="shared" si="111"/>
        <v>3557.1587652944249</v>
      </c>
      <c r="AC179" s="73">
        <f t="shared" si="112"/>
        <v>17419.162765294423</v>
      </c>
      <c r="AD179" s="73">
        <f>IFERROR($U179*(1-$V179)+SUM($W$22:$W179)+$AB179,"")</f>
        <v>114839.87082274821</v>
      </c>
      <c r="AE179" s="73" t="b">
        <f t="shared" si="113"/>
        <v>0</v>
      </c>
      <c r="AF179" s="73">
        <f>IF(AND(AE179=TRUE,D179&gt;=65),$U179*(1-10%)+SUM($W$22:$W179)+$AB179,AD179)</f>
        <v>114839.87082274821</v>
      </c>
      <c r="AG179" s="73">
        <f t="shared" si="96"/>
        <v>385.6798625363399</v>
      </c>
      <c r="AH179" s="73">
        <f t="shared" si="97"/>
        <v>28276.038623438319</v>
      </c>
      <c r="AI179" s="73">
        <f t="shared" si="98"/>
        <v>116089.63862343831</v>
      </c>
      <c r="AJ179" s="73">
        <f t="shared" si="99"/>
        <v>110717.19128498503</v>
      </c>
      <c r="AK179" s="73" t="b">
        <f t="shared" si="114"/>
        <v>0</v>
      </c>
      <c r="AL179" s="73">
        <f t="shared" si="100"/>
        <v>110717.19128498503</v>
      </c>
      <c r="AM179" s="73">
        <f t="shared" si="122"/>
        <v>365.29071206361522</v>
      </c>
      <c r="AN179" s="73">
        <f t="shared" si="115"/>
        <v>69.405235292086886</v>
      </c>
      <c r="AO179" s="73">
        <f t="shared" si="116"/>
        <v>22069.499095856081</v>
      </c>
      <c r="AP179" s="73">
        <f t="shared" si="117"/>
        <v>109883.09909585607</v>
      </c>
    </row>
    <row r="180" spans="1:42" s="31" customFormat="1" x14ac:dyDescent="0.6">
      <c r="A180" s="70">
        <f t="shared" si="101"/>
        <v>159</v>
      </c>
      <c r="B180" s="70" t="str">
        <f>IF(E180&lt;=$F$9,VLOOKUP(KALKULATOR!A180,Robocze!$B$23:$C$102,2),"")</f>
        <v>14 rok</v>
      </c>
      <c r="C180" s="70">
        <f t="shared" si="104"/>
        <v>2034</v>
      </c>
      <c r="D180" s="71">
        <f t="shared" si="118"/>
        <v>53.250000000000377</v>
      </c>
      <c r="E180" s="77">
        <f t="shared" si="119"/>
        <v>48976</v>
      </c>
      <c r="F180" s="72">
        <f t="shared" si="105"/>
        <v>49003</v>
      </c>
      <c r="G180" s="73">
        <f>IFERROR(IF(AND(F180&lt;=$F$9,$F$5=Robocze!$B$4,$E180&lt;=$F$9,MONTH($F$8)=MONTH(E180)),$F$4,0)+IF(AND(F180&lt;=$F$9,$F$5=Robocze!$B$3,E180&lt;=$F$9),KALKULATOR!$F$4/12,0),"")</f>
        <v>0</v>
      </c>
      <c r="H180" s="73">
        <f t="shared" si="106"/>
        <v>87813.599999999991</v>
      </c>
      <c r="I180" s="74">
        <f t="shared" si="102"/>
        <v>0.04</v>
      </c>
      <c r="J180" s="73">
        <f t="shared" si="88"/>
        <v>0</v>
      </c>
      <c r="K180" s="75" t="str">
        <f t="shared" si="89"/>
        <v/>
      </c>
      <c r="L180" s="73">
        <f t="shared" si="90"/>
        <v>87813.599999999991</v>
      </c>
      <c r="M180" s="73">
        <f t="shared" si="91"/>
        <v>115208.08389573934</v>
      </c>
      <c r="N180" s="73">
        <f t="shared" si="92"/>
        <v>115208.08389573934</v>
      </c>
      <c r="O180" s="73">
        <f t="shared" si="93"/>
        <v>111030.63330926832</v>
      </c>
      <c r="P180" s="73">
        <f t="shared" si="94"/>
        <v>111030.63330926832</v>
      </c>
      <c r="Q180" s="73">
        <f t="shared" si="95"/>
        <v>110179.78346341487</v>
      </c>
      <c r="R180" s="73"/>
      <c r="S180" s="76">
        <f t="shared" si="103"/>
        <v>0.17</v>
      </c>
      <c r="T180" s="73">
        <f t="shared" si="120"/>
        <v>386.9654620781277</v>
      </c>
      <c r="U180" s="73">
        <f t="shared" si="107"/>
        <v>116476.60408551642</v>
      </c>
      <c r="V180" s="76">
        <f t="shared" si="108"/>
        <v>0.17</v>
      </c>
      <c r="W180" s="73">
        <f t="shared" si="109"/>
        <v>0</v>
      </c>
      <c r="X180" s="73">
        <f>IF(B180&lt;&gt;"",IF(MONTH(E180)=MONTH($F$13),SUMIF($C$22:C562,"="&amp;(C180-1),$G$22:G562),0)*S180,"")</f>
        <v>0</v>
      </c>
      <c r="Y180" s="73">
        <f>IF(B180&lt;&gt;"",SUM($X$22:X180),"")</f>
        <v>13862.004000000004</v>
      </c>
      <c r="Z180" s="73">
        <f t="shared" si="121"/>
        <v>58.06387588431474</v>
      </c>
      <c r="AA180" s="73">
        <f t="shared" si="110"/>
        <v>11.032136418019801</v>
      </c>
      <c r="AB180" s="73">
        <f t="shared" si="111"/>
        <v>3604.1905047607197</v>
      </c>
      <c r="AC180" s="73">
        <f t="shared" si="112"/>
        <v>17466.194504760719</v>
      </c>
      <c r="AD180" s="73">
        <f>IFERROR($U180*(1-$V180)+SUM($W$22:$W180)+$AB180,"")</f>
        <v>115208.08389573934</v>
      </c>
      <c r="AE180" s="73" t="b">
        <f t="shared" si="113"/>
        <v>0</v>
      </c>
      <c r="AF180" s="73">
        <f>IF(AND(AE180=TRUE,D180&gt;=65),$U180*(1-10%)+SUM($W$22:$W180)+$AB180,AD180)</f>
        <v>115208.08389573934</v>
      </c>
      <c r="AG180" s="73">
        <f t="shared" si="96"/>
        <v>386.9654620781277</v>
      </c>
      <c r="AH180" s="73">
        <f t="shared" si="97"/>
        <v>28663.004085516448</v>
      </c>
      <c r="AI180" s="73">
        <f t="shared" si="98"/>
        <v>116476.60408551645</v>
      </c>
      <c r="AJ180" s="73">
        <f t="shared" si="99"/>
        <v>111030.63330926832</v>
      </c>
      <c r="AK180" s="73" t="b">
        <f t="shared" si="114"/>
        <v>0</v>
      </c>
      <c r="AL180" s="73">
        <f t="shared" si="100"/>
        <v>111030.63330926832</v>
      </c>
      <c r="AM180" s="73">
        <f t="shared" si="122"/>
        <v>366.27699698618693</v>
      </c>
      <c r="AN180" s="73">
        <f t="shared" si="115"/>
        <v>69.592629427375513</v>
      </c>
      <c r="AO180" s="73">
        <f t="shared" si="116"/>
        <v>22366.183463414884</v>
      </c>
      <c r="AP180" s="73">
        <f t="shared" si="117"/>
        <v>110179.78346341487</v>
      </c>
    </row>
    <row r="181" spans="1:42" s="31" customFormat="1" x14ac:dyDescent="0.6">
      <c r="A181" s="70">
        <f t="shared" si="101"/>
        <v>160</v>
      </c>
      <c r="B181" s="70" t="str">
        <f>IF(E181&lt;=$F$9,VLOOKUP(KALKULATOR!A181,Robocze!$B$23:$C$102,2),"")</f>
        <v>14 rok</v>
      </c>
      <c r="C181" s="70">
        <f t="shared" si="104"/>
        <v>2034</v>
      </c>
      <c r="D181" s="71">
        <f t="shared" si="118"/>
        <v>53.333333333333712</v>
      </c>
      <c r="E181" s="77">
        <f t="shared" si="119"/>
        <v>49004</v>
      </c>
      <c r="F181" s="72">
        <f t="shared" si="105"/>
        <v>49034</v>
      </c>
      <c r="G181" s="73">
        <f>IFERROR(IF(AND(F181&lt;=$F$9,$F$5=Robocze!$B$4,$E181&lt;=$F$9,MONTH($F$8)=MONTH(E181)),$F$4,0)+IF(AND(F181&lt;=$F$9,$F$5=Robocze!$B$3,E181&lt;=$F$9),KALKULATOR!$F$4/12,0),"")</f>
        <v>0</v>
      </c>
      <c r="H181" s="73">
        <f t="shared" si="106"/>
        <v>87813.599999999991</v>
      </c>
      <c r="I181" s="74">
        <f t="shared" si="102"/>
        <v>0.04</v>
      </c>
      <c r="J181" s="73">
        <f t="shared" si="88"/>
        <v>0</v>
      </c>
      <c r="K181" s="75" t="str">
        <f t="shared" si="89"/>
        <v/>
      </c>
      <c r="L181" s="73">
        <f t="shared" si="90"/>
        <v>87813.599999999991</v>
      </c>
      <c r="M181" s="73">
        <f t="shared" si="91"/>
        <v>115577.49455887213</v>
      </c>
      <c r="N181" s="73">
        <f t="shared" si="92"/>
        <v>115577.49455887213</v>
      </c>
      <c r="O181" s="73">
        <f t="shared" si="93"/>
        <v>111345.12014029922</v>
      </c>
      <c r="P181" s="73">
        <f t="shared" si="94"/>
        <v>111345.12014029922</v>
      </c>
      <c r="Q181" s="73">
        <f t="shared" si="95"/>
        <v>110477.26887876609</v>
      </c>
      <c r="R181" s="73"/>
      <c r="S181" s="76">
        <f t="shared" si="103"/>
        <v>0.17</v>
      </c>
      <c r="T181" s="73">
        <f t="shared" si="120"/>
        <v>388.25534695172144</v>
      </c>
      <c r="U181" s="73">
        <f t="shared" si="107"/>
        <v>116864.85943246813</v>
      </c>
      <c r="V181" s="76">
        <f t="shared" si="108"/>
        <v>0.17</v>
      </c>
      <c r="W181" s="73">
        <f t="shared" si="109"/>
        <v>0</v>
      </c>
      <c r="X181" s="73">
        <f>IF(B181&lt;&gt;"",IF(MONTH(E181)=MONTH($F$13),SUMIF($C$22:C563,"="&amp;(C181-1),$G$22:G563),0)*S181,"")</f>
        <v>0</v>
      </c>
      <c r="Y181" s="73">
        <f>IF(B181&lt;&gt;"",SUM($X$22:X181),"")</f>
        <v>13862.004000000004</v>
      </c>
      <c r="Z181" s="73">
        <f t="shared" si="121"/>
        <v>58.220648349202399</v>
      </c>
      <c r="AA181" s="73">
        <f t="shared" si="110"/>
        <v>11.061923186348457</v>
      </c>
      <c r="AB181" s="73">
        <f t="shared" si="111"/>
        <v>3651.3492299235736</v>
      </c>
      <c r="AC181" s="73">
        <f t="shared" si="112"/>
        <v>17513.35322992357</v>
      </c>
      <c r="AD181" s="73">
        <f>IFERROR($U181*(1-$V181)+SUM($W$22:$W181)+$AB181,"")</f>
        <v>115577.49455887213</v>
      </c>
      <c r="AE181" s="73" t="b">
        <f t="shared" si="113"/>
        <v>0</v>
      </c>
      <c r="AF181" s="73">
        <f>IF(AND(AE181=TRUE,D181&gt;=65),$U181*(1-10%)+SUM($W$22:$W181)+$AB181,AD181)</f>
        <v>115577.49455887213</v>
      </c>
      <c r="AG181" s="73">
        <f t="shared" si="96"/>
        <v>388.25534695172149</v>
      </c>
      <c r="AH181" s="73">
        <f t="shared" si="97"/>
        <v>29051.25943246817</v>
      </c>
      <c r="AI181" s="73">
        <f t="shared" si="98"/>
        <v>116864.85943246816</v>
      </c>
      <c r="AJ181" s="73">
        <f t="shared" si="99"/>
        <v>111345.12014029922</v>
      </c>
      <c r="AK181" s="73" t="b">
        <f t="shared" si="114"/>
        <v>0</v>
      </c>
      <c r="AL181" s="73">
        <f t="shared" si="100"/>
        <v>111345.12014029922</v>
      </c>
      <c r="AM181" s="73">
        <f t="shared" si="122"/>
        <v>367.26594487804959</v>
      </c>
      <c r="AN181" s="73">
        <f t="shared" si="115"/>
        <v>69.780529526829426</v>
      </c>
      <c r="AO181" s="73">
        <f t="shared" si="116"/>
        <v>22663.668878766097</v>
      </c>
      <c r="AP181" s="73">
        <f t="shared" si="117"/>
        <v>110477.26887876609</v>
      </c>
    </row>
    <row r="182" spans="1:42" s="31" customFormat="1" x14ac:dyDescent="0.6">
      <c r="A182" s="70">
        <f t="shared" si="101"/>
        <v>161</v>
      </c>
      <c r="B182" s="70" t="str">
        <f>IF(E182&lt;=$F$9,VLOOKUP(KALKULATOR!A182,Robocze!$B$23:$C$102,2),"")</f>
        <v>14 rok</v>
      </c>
      <c r="C182" s="70">
        <f t="shared" si="104"/>
        <v>2034</v>
      </c>
      <c r="D182" s="71">
        <f t="shared" si="118"/>
        <v>53.416666666667048</v>
      </c>
      <c r="E182" s="77">
        <f t="shared" si="119"/>
        <v>49035</v>
      </c>
      <c r="F182" s="72">
        <f t="shared" si="105"/>
        <v>49064</v>
      </c>
      <c r="G182" s="73">
        <f>IFERROR(IF(AND(F182&lt;=$F$9,$F$5=Robocze!$B$4,$E182&lt;=$F$9,MONTH($F$8)=MONTH(E182)),$F$4,0)+IF(AND(F182&lt;=$F$9,$F$5=Robocze!$B$3,E182&lt;=$F$9),KALKULATOR!$F$4/12,0),"")</f>
        <v>0</v>
      </c>
      <c r="H182" s="73">
        <f t="shared" si="106"/>
        <v>87813.599999999991</v>
      </c>
      <c r="I182" s="74">
        <f t="shared" si="102"/>
        <v>0.04</v>
      </c>
      <c r="J182" s="73">
        <f t="shared" si="88"/>
        <v>0</v>
      </c>
      <c r="K182" s="75" t="str">
        <f t="shared" si="89"/>
        <v/>
      </c>
      <c r="L182" s="73">
        <f t="shared" si="90"/>
        <v>87813.599999999991</v>
      </c>
      <c r="M182" s="73">
        <f t="shared" si="91"/>
        <v>115950.98575528941</v>
      </c>
      <c r="N182" s="73">
        <f t="shared" si="92"/>
        <v>115950.98575528941</v>
      </c>
      <c r="O182" s="73">
        <f t="shared" si="93"/>
        <v>111660.65526076687</v>
      </c>
      <c r="P182" s="73">
        <f t="shared" si="94"/>
        <v>111660.65526076687</v>
      </c>
      <c r="Q182" s="73">
        <f t="shared" si="95"/>
        <v>110775.55750473877</v>
      </c>
      <c r="R182" s="73"/>
      <c r="S182" s="76">
        <f t="shared" si="103"/>
        <v>0.17</v>
      </c>
      <c r="T182" s="73">
        <f t="shared" si="120"/>
        <v>389.54953144156048</v>
      </c>
      <c r="U182" s="73">
        <f t="shared" si="107"/>
        <v>117254.40896390969</v>
      </c>
      <c r="V182" s="76">
        <f t="shared" si="108"/>
        <v>0.17</v>
      </c>
      <c r="W182" s="73">
        <f t="shared" si="109"/>
        <v>0</v>
      </c>
      <c r="X182" s="73">
        <f>IF(B182&lt;&gt;"",IF(MONTH(E182)=MONTH($F$13),SUMIF($C$22:C564,"="&amp;(C182-1),$G$22:G564),0)*S182,"")</f>
        <v>1066.308</v>
      </c>
      <c r="Y182" s="73">
        <f>IF(B182&lt;&gt;"",SUM($X$22:X182),"")</f>
        <v>14928.312000000005</v>
      </c>
      <c r="Z182" s="73">
        <f t="shared" si="121"/>
        <v>61.932204099745235</v>
      </c>
      <c r="AA182" s="73">
        <f t="shared" si="110"/>
        <v>11.767118778951595</v>
      </c>
      <c r="AB182" s="73">
        <f t="shared" si="111"/>
        <v>3701.5143152443675</v>
      </c>
      <c r="AC182" s="73">
        <f t="shared" si="112"/>
        <v>18629.826315244365</v>
      </c>
      <c r="AD182" s="73">
        <f>IFERROR($U182*(1-$V182)+SUM($W$22:$W182)+$AB182,"")</f>
        <v>115950.98575528941</v>
      </c>
      <c r="AE182" s="73" t="b">
        <f t="shared" si="113"/>
        <v>0</v>
      </c>
      <c r="AF182" s="73">
        <f>IF(AND(AE182=TRUE,D182&gt;=65),$U182*(1-10%)+SUM($W$22:$W182)+$AB182,AD182)</f>
        <v>115950.98575528941</v>
      </c>
      <c r="AG182" s="73">
        <f t="shared" si="96"/>
        <v>389.54953144156053</v>
      </c>
      <c r="AH182" s="73">
        <f t="shared" si="97"/>
        <v>29440.808963909731</v>
      </c>
      <c r="AI182" s="73">
        <f t="shared" si="98"/>
        <v>117254.40896390972</v>
      </c>
      <c r="AJ182" s="73">
        <f t="shared" si="99"/>
        <v>111660.65526076687</v>
      </c>
      <c r="AK182" s="73" t="b">
        <f t="shared" si="114"/>
        <v>0</v>
      </c>
      <c r="AL182" s="73">
        <f t="shared" si="100"/>
        <v>111660.65526076687</v>
      </c>
      <c r="AM182" s="73">
        <f t="shared" si="122"/>
        <v>368.25756292922028</v>
      </c>
      <c r="AN182" s="73">
        <f t="shared" si="115"/>
        <v>69.968936956551858</v>
      </c>
      <c r="AO182" s="73">
        <f t="shared" si="116"/>
        <v>22961.957504738777</v>
      </c>
      <c r="AP182" s="73">
        <f t="shared" si="117"/>
        <v>110775.55750473877</v>
      </c>
    </row>
    <row r="183" spans="1:42" s="31" customFormat="1" x14ac:dyDescent="0.6">
      <c r="A183" s="70">
        <f t="shared" si="101"/>
        <v>162</v>
      </c>
      <c r="B183" s="70" t="str">
        <f>IF(E183&lt;=$F$9,VLOOKUP(KALKULATOR!A183,Robocze!$B$23:$C$102,2),"")</f>
        <v>14 rok</v>
      </c>
      <c r="C183" s="70">
        <f t="shared" si="104"/>
        <v>2034</v>
      </c>
      <c r="D183" s="71">
        <f t="shared" si="118"/>
        <v>53.500000000000384</v>
      </c>
      <c r="E183" s="77">
        <f t="shared" si="119"/>
        <v>49065</v>
      </c>
      <c r="F183" s="72">
        <f t="shared" si="105"/>
        <v>49095</v>
      </c>
      <c r="G183" s="73">
        <f>IFERROR(IF(AND(F183&lt;=$F$9,$F$5=Robocze!$B$4,$E183&lt;=$F$9,MONTH($F$8)=MONTH(E183)),$F$4,0)+IF(AND(F183&lt;=$F$9,$F$5=Robocze!$B$3,E183&lt;=$F$9),KALKULATOR!$F$4/12,0),"")</f>
        <v>0</v>
      </c>
      <c r="H183" s="73">
        <f t="shared" si="106"/>
        <v>87813.599999999991</v>
      </c>
      <c r="I183" s="74">
        <f t="shared" si="102"/>
        <v>0.04</v>
      </c>
      <c r="J183" s="73">
        <f t="shared" si="88"/>
        <v>0</v>
      </c>
      <c r="K183" s="75" t="str">
        <f t="shared" si="89"/>
        <v/>
      </c>
      <c r="L183" s="73">
        <f t="shared" si="90"/>
        <v>87813.599999999991</v>
      </c>
      <c r="M183" s="73">
        <f t="shared" si="91"/>
        <v>116325.69015114072</v>
      </c>
      <c r="N183" s="73">
        <f t="shared" si="92"/>
        <v>116325.69015114072</v>
      </c>
      <c r="O183" s="73">
        <f t="shared" si="93"/>
        <v>111977.24216496944</v>
      </c>
      <c r="P183" s="73">
        <f t="shared" si="94"/>
        <v>111977.24216496944</v>
      </c>
      <c r="Q183" s="73">
        <f t="shared" si="95"/>
        <v>111074.65151000157</v>
      </c>
      <c r="R183" s="73"/>
      <c r="S183" s="76">
        <f t="shared" si="103"/>
        <v>0.17</v>
      </c>
      <c r="T183" s="73">
        <f t="shared" si="120"/>
        <v>390.84802987969903</v>
      </c>
      <c r="U183" s="73">
        <f t="shared" si="107"/>
        <v>117645.25699378939</v>
      </c>
      <c r="V183" s="76">
        <f t="shared" si="108"/>
        <v>0.17</v>
      </c>
      <c r="W183" s="73">
        <f t="shared" si="109"/>
        <v>0</v>
      </c>
      <c r="X183" s="73">
        <f>IF(B183&lt;&gt;"",IF(MONTH(E183)=MONTH($F$13),SUMIF($C$22:C565,"="&amp;(C183-1),$G$22:G565),0)*S183,"")</f>
        <v>0</v>
      </c>
      <c r="Y183" s="73">
        <f>IF(B183&lt;&gt;"",SUM($X$22:X183),"")</f>
        <v>14928.312000000005</v>
      </c>
      <c r="Z183" s="73">
        <f t="shared" si="121"/>
        <v>62.099421050814556</v>
      </c>
      <c r="AA183" s="73">
        <f t="shared" si="110"/>
        <v>11.798889999654765</v>
      </c>
      <c r="AB183" s="73">
        <f t="shared" si="111"/>
        <v>3751.8148462955273</v>
      </c>
      <c r="AC183" s="73">
        <f t="shared" si="112"/>
        <v>18680.126846295523</v>
      </c>
      <c r="AD183" s="73">
        <f>IFERROR($U183*(1-$V183)+SUM($W$22:$W183)+$AB183,"")</f>
        <v>116325.69015114072</v>
      </c>
      <c r="AE183" s="73" t="b">
        <f t="shared" si="113"/>
        <v>0</v>
      </c>
      <c r="AF183" s="73">
        <f>IF(AND(AE183=TRUE,D183&gt;=65),$U183*(1-10%)+SUM($W$22:$W183)+$AB183,AD183)</f>
        <v>116325.69015114072</v>
      </c>
      <c r="AG183" s="73">
        <f t="shared" si="96"/>
        <v>390.84802987969903</v>
      </c>
      <c r="AH183" s="73">
        <f t="shared" si="97"/>
        <v>29831.656993789431</v>
      </c>
      <c r="AI183" s="73">
        <f t="shared" si="98"/>
        <v>117645.25699378943</v>
      </c>
      <c r="AJ183" s="73">
        <f t="shared" si="99"/>
        <v>111977.24216496944</v>
      </c>
      <c r="AK183" s="73" t="b">
        <f t="shared" si="114"/>
        <v>0</v>
      </c>
      <c r="AL183" s="73">
        <f t="shared" si="100"/>
        <v>111977.24216496944</v>
      </c>
      <c r="AM183" s="73">
        <f t="shared" si="122"/>
        <v>369.25185834912924</v>
      </c>
      <c r="AN183" s="73">
        <f t="shared" si="115"/>
        <v>70.157853086334555</v>
      </c>
      <c r="AO183" s="73">
        <f t="shared" si="116"/>
        <v>23261.051510001576</v>
      </c>
      <c r="AP183" s="73">
        <f t="shared" si="117"/>
        <v>111074.65151000157</v>
      </c>
    </row>
    <row r="184" spans="1:42" s="31" customFormat="1" x14ac:dyDescent="0.6">
      <c r="A184" s="70">
        <f t="shared" si="101"/>
        <v>163</v>
      </c>
      <c r="B184" s="70" t="str">
        <f>IF(E184&lt;=$F$9,VLOOKUP(KALKULATOR!A184,Robocze!$B$23:$C$102,2),"")</f>
        <v>14 rok</v>
      </c>
      <c r="C184" s="70">
        <f t="shared" si="104"/>
        <v>2034</v>
      </c>
      <c r="D184" s="71">
        <f t="shared" si="118"/>
        <v>53.583333333333719</v>
      </c>
      <c r="E184" s="77">
        <f t="shared" si="119"/>
        <v>49096</v>
      </c>
      <c r="F184" s="72">
        <f t="shared" si="105"/>
        <v>49125</v>
      </c>
      <c r="G184" s="73">
        <f>IFERROR(IF(AND(F184&lt;=$F$9,$F$5=Robocze!$B$4,$E184&lt;=$F$9,MONTH($F$8)=MONTH(E184)),$F$4,0)+IF(AND(F184&lt;=$F$9,$F$5=Robocze!$B$3,E184&lt;=$F$9),KALKULATOR!$F$4/12,0),"")</f>
        <v>0</v>
      </c>
      <c r="H184" s="73">
        <f t="shared" si="106"/>
        <v>87813.599999999991</v>
      </c>
      <c r="I184" s="74">
        <f t="shared" si="102"/>
        <v>0.04</v>
      </c>
      <c r="J184" s="73">
        <f t="shared" si="88"/>
        <v>0</v>
      </c>
      <c r="K184" s="75" t="str">
        <f t="shared" si="89"/>
        <v/>
      </c>
      <c r="L184" s="73">
        <f t="shared" si="90"/>
        <v>87813.599999999991</v>
      </c>
      <c r="M184" s="73">
        <f t="shared" si="91"/>
        <v>116701.61170464188</v>
      </c>
      <c r="N184" s="73">
        <f t="shared" si="92"/>
        <v>116701.61170464188</v>
      </c>
      <c r="O184" s="73">
        <f t="shared" si="93"/>
        <v>112294.88435885265</v>
      </c>
      <c r="P184" s="73">
        <f t="shared" si="94"/>
        <v>112294.88435885265</v>
      </c>
      <c r="Q184" s="73">
        <f t="shared" si="95"/>
        <v>111374.55306907858</v>
      </c>
      <c r="R184" s="73"/>
      <c r="S184" s="76">
        <f t="shared" si="103"/>
        <v>0.17</v>
      </c>
      <c r="T184" s="73">
        <f t="shared" si="120"/>
        <v>392.15085664596467</v>
      </c>
      <c r="U184" s="73">
        <f t="shared" si="107"/>
        <v>118037.40785043535</v>
      </c>
      <c r="V184" s="76">
        <f t="shared" si="108"/>
        <v>0.17</v>
      </c>
      <c r="W184" s="73">
        <f t="shared" si="109"/>
        <v>0</v>
      </c>
      <c r="X184" s="73">
        <f>IF(B184&lt;&gt;"",IF(MONTH(E184)=MONTH($F$13),SUMIF($C$22:C566,"="&amp;(C184-1),$G$22:G566),0)*S184,"")</f>
        <v>0</v>
      </c>
      <c r="Y184" s="73">
        <f>IF(B184&lt;&gt;"",SUM($X$22:X184),"")</f>
        <v>14928.312000000005</v>
      </c>
      <c r="Z184" s="73">
        <f t="shared" si="121"/>
        <v>62.267089487651738</v>
      </c>
      <c r="AA184" s="73">
        <f t="shared" si="110"/>
        <v>11.83074700265383</v>
      </c>
      <c r="AB184" s="73">
        <f t="shared" si="111"/>
        <v>3802.2511887805254</v>
      </c>
      <c r="AC184" s="73">
        <f t="shared" si="112"/>
        <v>18730.563188780521</v>
      </c>
      <c r="AD184" s="73">
        <f>IFERROR($U184*(1-$V184)+SUM($W$22:$W184)+$AB184,"")</f>
        <v>116701.61170464188</v>
      </c>
      <c r="AE184" s="73" t="b">
        <f t="shared" si="113"/>
        <v>0</v>
      </c>
      <c r="AF184" s="73">
        <f>IF(AND(AE184=TRUE,D184&gt;=65),$U184*(1-10%)+SUM($W$22:$W184)+$AB184,AD184)</f>
        <v>116701.61170464188</v>
      </c>
      <c r="AG184" s="73">
        <f t="shared" si="96"/>
        <v>392.15085664596478</v>
      </c>
      <c r="AH184" s="73">
        <f t="shared" si="97"/>
        <v>30223.807850435394</v>
      </c>
      <c r="AI184" s="73">
        <f t="shared" si="98"/>
        <v>118037.40785043538</v>
      </c>
      <c r="AJ184" s="73">
        <f t="shared" si="99"/>
        <v>112294.88435885265</v>
      </c>
      <c r="AK184" s="73" t="b">
        <f t="shared" si="114"/>
        <v>0</v>
      </c>
      <c r="AL184" s="73">
        <f t="shared" si="100"/>
        <v>112294.88435885265</v>
      </c>
      <c r="AM184" s="73">
        <f t="shared" si="122"/>
        <v>370.24883836667192</v>
      </c>
      <c r="AN184" s="73">
        <f t="shared" si="115"/>
        <v>70.347279289667668</v>
      </c>
      <c r="AO184" s="73">
        <f t="shared" si="116"/>
        <v>23560.95306907859</v>
      </c>
      <c r="AP184" s="73">
        <f t="shared" si="117"/>
        <v>111374.55306907858</v>
      </c>
    </row>
    <row r="185" spans="1:42" s="31" customFormat="1" x14ac:dyDescent="0.6">
      <c r="A185" s="70">
        <f t="shared" si="101"/>
        <v>164</v>
      </c>
      <c r="B185" s="70" t="str">
        <f>IF(E185&lt;=$F$9,VLOOKUP(KALKULATOR!A185,Robocze!$B$23:$C$102,2),"")</f>
        <v>14 rok</v>
      </c>
      <c r="C185" s="70">
        <f t="shared" si="104"/>
        <v>2034</v>
      </c>
      <c r="D185" s="71">
        <f t="shared" si="118"/>
        <v>53.666666666667055</v>
      </c>
      <c r="E185" s="77">
        <f t="shared" si="119"/>
        <v>49126</v>
      </c>
      <c r="F185" s="72">
        <f t="shared" si="105"/>
        <v>49156</v>
      </c>
      <c r="G185" s="73">
        <f>IFERROR(IF(AND(F185&lt;=$F$9,$F$5=Robocze!$B$4,$E185&lt;=$F$9,MONTH($F$8)=MONTH(E185)),$F$4,0)+IF(AND(F185&lt;=$F$9,$F$5=Robocze!$B$3,E185&lt;=$F$9),KALKULATOR!$F$4/12,0),"")</f>
        <v>0</v>
      </c>
      <c r="H185" s="73">
        <f t="shared" si="106"/>
        <v>87813.599999999991</v>
      </c>
      <c r="I185" s="74">
        <f t="shared" si="102"/>
        <v>0.04</v>
      </c>
      <c r="J185" s="73">
        <f t="shared" si="88"/>
        <v>0</v>
      </c>
      <c r="K185" s="75" t="str">
        <f t="shared" si="89"/>
        <v/>
      </c>
      <c r="L185" s="73">
        <f t="shared" si="90"/>
        <v>87813.599999999991</v>
      </c>
      <c r="M185" s="73">
        <f t="shared" si="91"/>
        <v>117078.75438697111</v>
      </c>
      <c r="N185" s="73">
        <f t="shared" si="92"/>
        <v>117078.75438697111</v>
      </c>
      <c r="O185" s="73">
        <f t="shared" si="93"/>
        <v>112613.58536004883</v>
      </c>
      <c r="P185" s="73">
        <f t="shared" si="94"/>
        <v>112613.58536004883</v>
      </c>
      <c r="Q185" s="73">
        <f t="shared" si="95"/>
        <v>111675.26436236509</v>
      </c>
      <c r="R185" s="73"/>
      <c r="S185" s="76">
        <f t="shared" si="103"/>
        <v>0.17</v>
      </c>
      <c r="T185" s="73">
        <f t="shared" si="120"/>
        <v>393.45802616811784</v>
      </c>
      <c r="U185" s="73">
        <f t="shared" si="107"/>
        <v>118430.86587660346</v>
      </c>
      <c r="V185" s="76">
        <f t="shared" si="108"/>
        <v>0.17</v>
      </c>
      <c r="W185" s="73">
        <f t="shared" si="109"/>
        <v>0</v>
      </c>
      <c r="X185" s="73">
        <f>IF(B185&lt;&gt;"",IF(MONTH(E185)=MONTH($F$13),SUMIF($C$22:C567,"="&amp;(C185-1),$G$22:G567),0)*S185,"")</f>
        <v>0</v>
      </c>
      <c r="Y185" s="73">
        <f>IF(B185&lt;&gt;"",SUM($X$22:X185),"")</f>
        <v>14928.312000000005</v>
      </c>
      <c r="Z185" s="73">
        <f t="shared" si="121"/>
        <v>62.435210629268404</v>
      </c>
      <c r="AA185" s="73">
        <f t="shared" si="110"/>
        <v>11.862690019560997</v>
      </c>
      <c r="AB185" s="73">
        <f t="shared" si="111"/>
        <v>3852.823709390233</v>
      </c>
      <c r="AC185" s="73">
        <f t="shared" si="112"/>
        <v>18781.13570939023</v>
      </c>
      <c r="AD185" s="73">
        <f>IFERROR($U185*(1-$V185)+SUM($W$22:$W185)+$AB185,"")</f>
        <v>117078.75438697111</v>
      </c>
      <c r="AE185" s="73" t="b">
        <f t="shared" si="113"/>
        <v>0</v>
      </c>
      <c r="AF185" s="73">
        <f>IF(AND(AE185=TRUE,D185&gt;=65),$U185*(1-10%)+SUM($W$22:$W185)+$AB185,AD185)</f>
        <v>117078.75438697111</v>
      </c>
      <c r="AG185" s="73">
        <f t="shared" si="96"/>
        <v>393.4580261681179</v>
      </c>
      <c r="AH185" s="73">
        <f t="shared" si="97"/>
        <v>30617.265876603513</v>
      </c>
      <c r="AI185" s="73">
        <f t="shared" si="98"/>
        <v>118430.86587660351</v>
      </c>
      <c r="AJ185" s="73">
        <f t="shared" si="99"/>
        <v>112613.58536004883</v>
      </c>
      <c r="AK185" s="73" t="b">
        <f t="shared" si="114"/>
        <v>0</v>
      </c>
      <c r="AL185" s="73">
        <f t="shared" si="100"/>
        <v>112613.58536004883</v>
      </c>
      <c r="AM185" s="73">
        <f t="shared" si="122"/>
        <v>371.24851023026196</v>
      </c>
      <c r="AN185" s="73">
        <f t="shared" si="115"/>
        <v>70.537216943749769</v>
      </c>
      <c r="AO185" s="73">
        <f t="shared" si="116"/>
        <v>23861.664362365103</v>
      </c>
      <c r="AP185" s="73">
        <f t="shared" si="117"/>
        <v>111675.26436236509</v>
      </c>
    </row>
    <row r="186" spans="1:42" s="31" customFormat="1" x14ac:dyDescent="0.6">
      <c r="A186" s="70">
        <f t="shared" si="101"/>
        <v>165</v>
      </c>
      <c r="B186" s="70" t="str">
        <f>IF(E186&lt;=$F$9,VLOOKUP(KALKULATOR!A186,Robocze!$B$23:$C$102,2),"")</f>
        <v>14 rok</v>
      </c>
      <c r="C186" s="70">
        <f t="shared" si="104"/>
        <v>2034</v>
      </c>
      <c r="D186" s="71">
        <f t="shared" si="118"/>
        <v>53.750000000000391</v>
      </c>
      <c r="E186" s="77">
        <f t="shared" si="119"/>
        <v>49157</v>
      </c>
      <c r="F186" s="72">
        <f t="shared" si="105"/>
        <v>49187</v>
      </c>
      <c r="G186" s="73">
        <f>IFERROR(IF(AND(F186&lt;=$F$9,$F$5=Robocze!$B$4,$E186&lt;=$F$9,MONTH($F$8)=MONTH(E186)),$F$4,0)+IF(AND(F186&lt;=$F$9,$F$5=Robocze!$B$3,E186&lt;=$F$9),KALKULATOR!$F$4/12,0),"")</f>
        <v>0</v>
      </c>
      <c r="H186" s="73">
        <f t="shared" si="106"/>
        <v>87813.599999999991</v>
      </c>
      <c r="I186" s="74">
        <f t="shared" si="102"/>
        <v>0.04</v>
      </c>
      <c r="J186" s="73">
        <f t="shared" si="88"/>
        <v>0</v>
      </c>
      <c r="K186" s="75" t="str">
        <f t="shared" si="89"/>
        <v/>
      </c>
      <c r="L186" s="73">
        <f t="shared" si="90"/>
        <v>87813.599999999991</v>
      </c>
      <c r="M186" s="73">
        <f t="shared" si="91"/>
        <v>117457.12218231172</v>
      </c>
      <c r="N186" s="73">
        <f t="shared" si="92"/>
        <v>117457.12218231172</v>
      </c>
      <c r="O186" s="73">
        <f t="shared" si="93"/>
        <v>112933.34869791566</v>
      </c>
      <c r="P186" s="73">
        <f t="shared" si="94"/>
        <v>112933.34869791566</v>
      </c>
      <c r="Q186" s="73">
        <f t="shared" si="95"/>
        <v>111976.78757614348</v>
      </c>
      <c r="R186" s="73"/>
      <c r="S186" s="76">
        <f t="shared" si="103"/>
        <v>0.17</v>
      </c>
      <c r="T186" s="73">
        <f t="shared" si="120"/>
        <v>394.7695529220116</v>
      </c>
      <c r="U186" s="73">
        <f t="shared" si="107"/>
        <v>118825.63542952547</v>
      </c>
      <c r="V186" s="76">
        <f t="shared" si="108"/>
        <v>0.17</v>
      </c>
      <c r="W186" s="73">
        <f t="shared" si="109"/>
        <v>0</v>
      </c>
      <c r="X186" s="73">
        <f>IF(B186&lt;&gt;"",IF(MONTH(E186)=MONTH($F$13),SUMIF($C$22:C568,"="&amp;(C186-1),$G$22:G568),0)*S186,"")</f>
        <v>0</v>
      </c>
      <c r="Y186" s="73">
        <f>IF(B186&lt;&gt;"",SUM($X$22:X186),"")</f>
        <v>14928.312000000005</v>
      </c>
      <c r="Z186" s="73">
        <f t="shared" si="121"/>
        <v>62.603785697967432</v>
      </c>
      <c r="AA186" s="73">
        <f t="shared" si="110"/>
        <v>11.894719282613812</v>
      </c>
      <c r="AB186" s="73">
        <f t="shared" si="111"/>
        <v>3903.5327758055864</v>
      </c>
      <c r="AC186" s="73">
        <f t="shared" si="112"/>
        <v>18831.844775805585</v>
      </c>
      <c r="AD186" s="73">
        <f>IFERROR($U186*(1-$V186)+SUM($W$22:$W186)+$AB186,"")</f>
        <v>117457.12218231172</v>
      </c>
      <c r="AE186" s="73" t="b">
        <f t="shared" si="113"/>
        <v>0</v>
      </c>
      <c r="AF186" s="73">
        <f>IF(AND(AE186=TRUE,D186&gt;=65),$U186*(1-10%)+SUM($W$22:$W186)+$AB186,AD186)</f>
        <v>117457.12218231172</v>
      </c>
      <c r="AG186" s="73">
        <f t="shared" si="96"/>
        <v>394.76955292201166</v>
      </c>
      <c r="AH186" s="73">
        <f t="shared" si="97"/>
        <v>31012.035429525524</v>
      </c>
      <c r="AI186" s="73">
        <f t="shared" si="98"/>
        <v>118825.63542952552</v>
      </c>
      <c r="AJ186" s="73">
        <f t="shared" si="99"/>
        <v>112933.34869791566</v>
      </c>
      <c r="AK186" s="73" t="b">
        <f t="shared" si="114"/>
        <v>0</v>
      </c>
      <c r="AL186" s="73">
        <f t="shared" si="100"/>
        <v>112933.34869791566</v>
      </c>
      <c r="AM186" s="73">
        <f t="shared" si="122"/>
        <v>372.25088120788365</v>
      </c>
      <c r="AN186" s="73">
        <f t="shared" si="115"/>
        <v>70.727667429497899</v>
      </c>
      <c r="AO186" s="73">
        <f t="shared" si="116"/>
        <v>24163.187576143493</v>
      </c>
      <c r="AP186" s="73">
        <f t="shared" si="117"/>
        <v>111976.78757614348</v>
      </c>
    </row>
    <row r="187" spans="1:42" s="31" customFormat="1" x14ac:dyDescent="0.6">
      <c r="A187" s="70">
        <f t="shared" si="101"/>
        <v>166</v>
      </c>
      <c r="B187" s="70" t="str">
        <f>IF(E187&lt;=$F$9,VLOOKUP(KALKULATOR!A187,Robocze!$B$23:$C$102,2),"")</f>
        <v>14 rok</v>
      </c>
      <c r="C187" s="70">
        <f t="shared" si="104"/>
        <v>2034</v>
      </c>
      <c r="D187" s="71">
        <f t="shared" si="118"/>
        <v>53.833333333333727</v>
      </c>
      <c r="E187" s="77">
        <f t="shared" si="119"/>
        <v>49188</v>
      </c>
      <c r="F187" s="72">
        <f t="shared" si="105"/>
        <v>49217</v>
      </c>
      <c r="G187" s="73">
        <f>IFERROR(IF(AND(F187&lt;=$F$9,$F$5=Robocze!$B$4,$E187&lt;=$F$9,MONTH($F$8)=MONTH(E187)),$F$4,0)+IF(AND(F187&lt;=$F$9,$F$5=Robocze!$B$3,E187&lt;=$F$9),KALKULATOR!$F$4/12,0),"")</f>
        <v>0</v>
      </c>
      <c r="H187" s="73">
        <f t="shared" si="106"/>
        <v>87813.599999999991</v>
      </c>
      <c r="I187" s="74">
        <f t="shared" si="102"/>
        <v>0.04</v>
      </c>
      <c r="J187" s="73">
        <f t="shared" ref="J187:J250" si="123">IFERROR(IF(MONTH($F$8)=MONTH(E187),$F$15,0),"")</f>
        <v>0</v>
      </c>
      <c r="K187" s="75" t="str">
        <f t="shared" ref="K187:K250" si="124">IFERROR(IF(AND(MOD(A187,12)=0,A187&lt;&gt;""),A187/12,""),"")</f>
        <v/>
      </c>
      <c r="L187" s="73">
        <f t="shared" ref="L187:L250" si="125">H187</f>
        <v>87813.599999999991</v>
      </c>
      <c r="M187" s="73">
        <f t="shared" ref="M187:M250" si="126">IFERROR(AF187,"")</f>
        <v>117836.71908789474</v>
      </c>
      <c r="N187" s="73">
        <f t="shared" ref="N187:N250" si="127">IFERROR(AD187,"")</f>
        <v>117836.71908789474</v>
      </c>
      <c r="O187" s="73">
        <f t="shared" ref="O187:O250" si="128">IFERROR(AL187,"")</f>
        <v>113254.17791357537</v>
      </c>
      <c r="P187" s="73">
        <f t="shared" ref="P187:P250" si="129">AJ187</f>
        <v>113254.17791357537</v>
      </c>
      <c r="Q187" s="73">
        <f t="shared" ref="Q187:Q250" si="130">AP187</f>
        <v>112279.12490259907</v>
      </c>
      <c r="R187" s="73"/>
      <c r="S187" s="76">
        <f t="shared" si="103"/>
        <v>0.17</v>
      </c>
      <c r="T187" s="73">
        <f t="shared" si="120"/>
        <v>396.08545143175161</v>
      </c>
      <c r="U187" s="73">
        <f t="shared" si="107"/>
        <v>119221.72088095722</v>
      </c>
      <c r="V187" s="76">
        <f t="shared" si="108"/>
        <v>0.17</v>
      </c>
      <c r="W187" s="73">
        <f t="shared" si="109"/>
        <v>0</v>
      </c>
      <c r="X187" s="73">
        <f>IF(B187&lt;&gt;"",IF(MONTH(E187)=MONTH($F$13),SUMIF($C$22:C569,"="&amp;(C187-1),$G$22:G569),0)*S187,"")</f>
        <v>0</v>
      </c>
      <c r="Y187" s="73">
        <f>IF(B187&lt;&gt;"",SUM($X$22:X187),"")</f>
        <v>14928.312000000005</v>
      </c>
      <c r="Z187" s="73">
        <f t="shared" si="121"/>
        <v>62.772815919351949</v>
      </c>
      <c r="AA187" s="73">
        <f t="shared" si="110"/>
        <v>11.926835024676871</v>
      </c>
      <c r="AB187" s="73">
        <f t="shared" si="111"/>
        <v>3954.3787567002614</v>
      </c>
      <c r="AC187" s="73">
        <f t="shared" si="112"/>
        <v>18882.690756700256</v>
      </c>
      <c r="AD187" s="73">
        <f>IFERROR($U187*(1-$V187)+SUM($W$22:$W187)+$AB187,"")</f>
        <v>117836.71908789474</v>
      </c>
      <c r="AE187" s="73" t="b">
        <f t="shared" si="113"/>
        <v>0</v>
      </c>
      <c r="AF187" s="73">
        <f>IF(AND(AE187=TRUE,D187&gt;=65),$U187*(1-10%)+SUM($W$22:$W187)+$AB187,AD187)</f>
        <v>117836.71908789474</v>
      </c>
      <c r="AG187" s="73">
        <f t="shared" ref="AG187:AG250" si="131">IF(B187&lt;&gt;"",(AI186+G187)*I187/12-J187,"")</f>
        <v>396.08545143175178</v>
      </c>
      <c r="AH187" s="73">
        <f t="shared" ref="AH187:AH250" si="132">IF(B187&lt;&gt;"",AH186+AG187,"")</f>
        <v>31408.120880957274</v>
      </c>
      <c r="AI187" s="73">
        <f t="shared" ref="AI187:AI250" si="133">IF(B187&lt;&gt;"",H187+AH187,"")</f>
        <v>119221.72088095726</v>
      </c>
      <c r="AJ187" s="73">
        <f t="shared" ref="AJ187:AJ250" si="134">IF(B187&lt;&gt;"",IF(AI187&gt;H187,AI187-AH187*$F$14,AI187),"")</f>
        <v>113254.17791357537</v>
      </c>
      <c r="AK187" s="73" t="b">
        <f t="shared" si="114"/>
        <v>0</v>
      </c>
      <c r="AL187" s="73">
        <f t="shared" ref="AL187:AL250" si="135">IF(AK187=TRUE,AI187,AJ187)</f>
        <v>113254.17791357537</v>
      </c>
      <c r="AM187" s="73">
        <f t="shared" si="122"/>
        <v>373.25595858714496</v>
      </c>
      <c r="AN187" s="73">
        <f t="shared" si="115"/>
        <v>70.918632131557544</v>
      </c>
      <c r="AO187" s="73">
        <f t="shared" si="116"/>
        <v>24465.524902599078</v>
      </c>
      <c r="AP187" s="73">
        <f t="shared" si="117"/>
        <v>112279.12490259907</v>
      </c>
    </row>
    <row r="188" spans="1:42" s="31" customFormat="1" x14ac:dyDescent="0.6">
      <c r="A188" s="70">
        <f t="shared" si="101"/>
        <v>167</v>
      </c>
      <c r="B188" s="70" t="str">
        <f>IF(E188&lt;=$F$9,VLOOKUP(KALKULATOR!A188,Robocze!$B$23:$C$102,2),"")</f>
        <v>14 rok</v>
      </c>
      <c r="C188" s="70">
        <f t="shared" si="104"/>
        <v>2034</v>
      </c>
      <c r="D188" s="71">
        <f t="shared" si="118"/>
        <v>53.916666666667062</v>
      </c>
      <c r="E188" s="77">
        <f t="shared" si="119"/>
        <v>49218</v>
      </c>
      <c r="F188" s="72">
        <f t="shared" si="105"/>
        <v>49248</v>
      </c>
      <c r="G188" s="73">
        <f>IFERROR(IF(AND(F188&lt;=$F$9,$F$5=Robocze!$B$4,$E188&lt;=$F$9,MONTH($F$8)=MONTH(E188)),$F$4,0)+IF(AND(F188&lt;=$F$9,$F$5=Robocze!$B$3,E188&lt;=$F$9),KALKULATOR!$F$4/12,0),"")</f>
        <v>0</v>
      </c>
      <c r="H188" s="73">
        <f t="shared" si="106"/>
        <v>87813.599999999991</v>
      </c>
      <c r="I188" s="74">
        <f t="shared" si="102"/>
        <v>0.04</v>
      </c>
      <c r="J188" s="73">
        <f t="shared" si="123"/>
        <v>0</v>
      </c>
      <c r="K188" s="75" t="str">
        <f t="shared" si="124"/>
        <v/>
      </c>
      <c r="L188" s="73">
        <f t="shared" si="125"/>
        <v>87813.599999999991</v>
      </c>
      <c r="M188" s="73">
        <f t="shared" si="126"/>
        <v>118217.54911404182</v>
      </c>
      <c r="N188" s="73">
        <f t="shared" si="127"/>
        <v>118217.54911404182</v>
      </c>
      <c r="O188" s="73">
        <f t="shared" si="128"/>
        <v>113576.07655995397</v>
      </c>
      <c r="P188" s="73">
        <f t="shared" si="129"/>
        <v>113576.07655995397</v>
      </c>
      <c r="Q188" s="73">
        <f t="shared" si="130"/>
        <v>112582.27853983609</v>
      </c>
      <c r="R188" s="73"/>
      <c r="S188" s="76">
        <f t="shared" si="103"/>
        <v>0.17</v>
      </c>
      <c r="T188" s="73">
        <f t="shared" si="120"/>
        <v>397.40573626985741</v>
      </c>
      <c r="U188" s="73">
        <f t="shared" si="107"/>
        <v>119619.12661722707</v>
      </c>
      <c r="V188" s="76">
        <f t="shared" si="108"/>
        <v>0.17</v>
      </c>
      <c r="W188" s="73">
        <f t="shared" si="109"/>
        <v>0</v>
      </c>
      <c r="X188" s="73">
        <f>IF(B188&lt;&gt;"",IF(MONTH(E188)=MONTH($F$13),SUMIF($C$22:C570,"="&amp;(C188-1),$G$22:G570),0)*S188,"")</f>
        <v>0</v>
      </c>
      <c r="Y188" s="73">
        <f>IF(B188&lt;&gt;"",SUM($X$22:X188),"")</f>
        <v>14928.312000000005</v>
      </c>
      <c r="Z188" s="73">
        <f t="shared" si="121"/>
        <v>62.942302522334188</v>
      </c>
      <c r="AA188" s="73">
        <f t="shared" si="110"/>
        <v>11.959037479243495</v>
      </c>
      <c r="AB188" s="73">
        <f t="shared" si="111"/>
        <v>4005.3620217433522</v>
      </c>
      <c r="AC188" s="73">
        <f t="shared" si="112"/>
        <v>18933.674021743347</v>
      </c>
      <c r="AD188" s="73">
        <f>IFERROR($U188*(1-$V188)+SUM($W$22:$W188)+$AB188,"")</f>
        <v>118217.54911404182</v>
      </c>
      <c r="AE188" s="73" t="b">
        <f t="shared" si="113"/>
        <v>0</v>
      </c>
      <c r="AF188" s="73">
        <f>IF(AND(AE188=TRUE,D188&gt;=65),$U188*(1-10%)+SUM($W$22:$W188)+$AB188,AD188)</f>
        <v>118217.54911404182</v>
      </c>
      <c r="AG188" s="73">
        <f t="shared" si="131"/>
        <v>397.40573626985753</v>
      </c>
      <c r="AH188" s="73">
        <f t="shared" si="132"/>
        <v>31805.526617227133</v>
      </c>
      <c r="AI188" s="73">
        <f t="shared" si="133"/>
        <v>119619.12661722713</v>
      </c>
      <c r="AJ188" s="73">
        <f t="shared" si="134"/>
        <v>113576.07655995397</v>
      </c>
      <c r="AK188" s="73" t="b">
        <f t="shared" si="114"/>
        <v>0</v>
      </c>
      <c r="AL188" s="73">
        <f t="shared" si="135"/>
        <v>113576.07655995397</v>
      </c>
      <c r="AM188" s="73">
        <f t="shared" si="122"/>
        <v>374.26374967533025</v>
      </c>
      <c r="AN188" s="73">
        <f t="shared" si="115"/>
        <v>71.110112438312754</v>
      </c>
      <c r="AO188" s="73">
        <f t="shared" si="116"/>
        <v>24768.678539836095</v>
      </c>
      <c r="AP188" s="73">
        <f t="shared" si="117"/>
        <v>112582.27853983609</v>
      </c>
    </row>
    <row r="189" spans="1:42" s="69" customFormat="1" x14ac:dyDescent="0.6">
      <c r="A189" s="78">
        <f t="shared" si="101"/>
        <v>168</v>
      </c>
      <c r="B189" s="78" t="str">
        <f>IF(E189&lt;=$F$9,VLOOKUP(KALKULATOR!A189,Robocze!$B$23:$C$102,2),"")</f>
        <v>14 rok</v>
      </c>
      <c r="C189" s="78">
        <f t="shared" si="104"/>
        <v>2034</v>
      </c>
      <c r="D189" s="79">
        <f t="shared" si="118"/>
        <v>54.000000000000398</v>
      </c>
      <c r="E189" s="80">
        <f t="shared" si="119"/>
        <v>49249</v>
      </c>
      <c r="F189" s="81">
        <f t="shared" si="105"/>
        <v>49278</v>
      </c>
      <c r="G189" s="82">
        <f>IFERROR(IF(AND(F189&lt;=$F$9,$F$5=Robocze!$B$4,$E189&lt;=$F$9,MONTH($F$8)=MONTH(E189)),$F$4,0)+IF(AND(F189&lt;=$F$9,$F$5=Robocze!$B$3,E189&lt;=$F$9),KALKULATOR!$F$4/12,0),"")</f>
        <v>0</v>
      </c>
      <c r="H189" s="82">
        <f t="shared" si="106"/>
        <v>87813.599999999991</v>
      </c>
      <c r="I189" s="83">
        <f t="shared" si="102"/>
        <v>0.04</v>
      </c>
      <c r="J189" s="82">
        <f t="shared" si="123"/>
        <v>0</v>
      </c>
      <c r="K189" s="84">
        <f t="shared" si="124"/>
        <v>14</v>
      </c>
      <c r="L189" s="82">
        <f t="shared" si="125"/>
        <v>87813.599999999991</v>
      </c>
      <c r="M189" s="82">
        <f t="shared" si="126"/>
        <v>118599.6162842082</v>
      </c>
      <c r="N189" s="82">
        <f t="shared" si="127"/>
        <v>118599.6162842082</v>
      </c>
      <c r="O189" s="82">
        <f t="shared" si="128"/>
        <v>113899.04820182048</v>
      </c>
      <c r="P189" s="82">
        <f t="shared" si="129"/>
        <v>113899.04820182048</v>
      </c>
      <c r="Q189" s="82">
        <f t="shared" si="130"/>
        <v>112886.25069189364</v>
      </c>
      <c r="R189" s="82"/>
      <c r="S189" s="85">
        <f t="shared" si="103"/>
        <v>0.17</v>
      </c>
      <c r="T189" s="82">
        <f t="shared" si="120"/>
        <v>398.7304220574236</v>
      </c>
      <c r="U189" s="82">
        <f t="shared" si="107"/>
        <v>120017.8570392845</v>
      </c>
      <c r="V189" s="85">
        <f t="shared" si="108"/>
        <v>0.17</v>
      </c>
      <c r="W189" s="82">
        <f t="shared" si="109"/>
        <v>0</v>
      </c>
      <c r="X189" s="82">
        <f>IF(B189&lt;&gt;"",IF(MONTH(E189)=MONTH($F$13),SUMIF($C$22:C571,"="&amp;(C189-1),$G$22:G571),0)*S189,"")</f>
        <v>0</v>
      </c>
      <c r="Y189" s="82">
        <f>IF(B189&lt;&gt;"",SUM($X$22:X189),"")</f>
        <v>14928.312000000005</v>
      </c>
      <c r="Z189" s="82">
        <f t="shared" si="121"/>
        <v>63.112246739144496</v>
      </c>
      <c r="AA189" s="82">
        <f t="shared" si="110"/>
        <v>11.991326880437454</v>
      </c>
      <c r="AB189" s="82">
        <f t="shared" si="111"/>
        <v>4056.4829416020593</v>
      </c>
      <c r="AC189" s="82">
        <f t="shared" si="112"/>
        <v>18984.794941602053</v>
      </c>
      <c r="AD189" s="82">
        <f>IFERROR($U189*(1-$V189)+SUM($W$22:$W189)+$AB189,"")</f>
        <v>118599.6162842082</v>
      </c>
      <c r="AE189" s="73" t="b">
        <f t="shared" si="113"/>
        <v>0</v>
      </c>
      <c r="AF189" s="82">
        <f>IF(AND(AE189=TRUE,D189&gt;=65),$U189*(1-10%)+SUM($W$22:$W189)+$AB189,AD189)</f>
        <v>118599.6162842082</v>
      </c>
      <c r="AG189" s="82">
        <f t="shared" si="131"/>
        <v>398.73042205742377</v>
      </c>
      <c r="AH189" s="82">
        <f t="shared" si="132"/>
        <v>32204.257039284556</v>
      </c>
      <c r="AI189" s="82">
        <f t="shared" si="133"/>
        <v>120017.85703928454</v>
      </c>
      <c r="AJ189" s="82">
        <f t="shared" si="134"/>
        <v>113899.04820182048</v>
      </c>
      <c r="AK189" s="73" t="b">
        <f t="shared" si="114"/>
        <v>0</v>
      </c>
      <c r="AL189" s="82">
        <f t="shared" si="135"/>
        <v>113899.04820182048</v>
      </c>
      <c r="AM189" s="82">
        <f t="shared" si="122"/>
        <v>375.2742617994536</v>
      </c>
      <c r="AN189" s="82">
        <f t="shared" si="115"/>
        <v>71.302109741896189</v>
      </c>
      <c r="AO189" s="82">
        <f t="shared" si="116"/>
        <v>25072.65069189365</v>
      </c>
      <c r="AP189" s="82">
        <f t="shared" si="117"/>
        <v>112886.25069189364</v>
      </c>
    </row>
    <row r="190" spans="1:42" s="31" customFormat="1" x14ac:dyDescent="0.6">
      <c r="A190" s="70">
        <f t="shared" si="101"/>
        <v>169</v>
      </c>
      <c r="B190" s="70" t="str">
        <f>IF(E190&lt;=$F$9,VLOOKUP(KALKULATOR!A190,Robocze!$B$23:$C$102,2),"")</f>
        <v>15 rok</v>
      </c>
      <c r="C190" s="70">
        <f t="shared" si="104"/>
        <v>2034</v>
      </c>
      <c r="D190" s="71">
        <f t="shared" si="118"/>
        <v>54.083333333333734</v>
      </c>
      <c r="E190" s="72">
        <f t="shared" si="119"/>
        <v>49279</v>
      </c>
      <c r="F190" s="72">
        <f t="shared" si="105"/>
        <v>49309</v>
      </c>
      <c r="G190" s="73">
        <f>IFERROR(IF(AND(F190&lt;=$F$9,$F$5=Robocze!$B$4,$E190&lt;=$F$9,MONTH($F$8)=MONTH(E190)),$F$4,0)+IF(AND(F190&lt;=$F$9,$F$5=Robocze!$B$3,E190&lt;=$F$9),KALKULATOR!$F$4/12,0),"")</f>
        <v>6272.4</v>
      </c>
      <c r="H190" s="73">
        <f t="shared" si="106"/>
        <v>94085.999999999985</v>
      </c>
      <c r="I190" s="74">
        <f t="shared" si="102"/>
        <v>0.04</v>
      </c>
      <c r="J190" s="73">
        <f t="shared" si="123"/>
        <v>0</v>
      </c>
      <c r="K190" s="75" t="str">
        <f t="shared" si="124"/>
        <v/>
      </c>
      <c r="L190" s="73">
        <f t="shared" si="125"/>
        <v>94085.999999999985</v>
      </c>
      <c r="M190" s="73">
        <f t="shared" si="126"/>
        <v>125272.67827502587</v>
      </c>
      <c r="N190" s="73">
        <f t="shared" si="127"/>
        <v>125272.67827502587</v>
      </c>
      <c r="O190" s="73">
        <f t="shared" si="128"/>
        <v>120512.43189582655</v>
      </c>
      <c r="P190" s="73">
        <f t="shared" si="129"/>
        <v>120512.43189582655</v>
      </c>
      <c r="Q190" s="73">
        <f t="shared" si="130"/>
        <v>119480.37904876174</v>
      </c>
      <c r="R190" s="73"/>
      <c r="S190" s="76">
        <f t="shared" si="103"/>
        <v>0.17</v>
      </c>
      <c r="T190" s="73">
        <f t="shared" si="120"/>
        <v>420.96752346428167</v>
      </c>
      <c r="U190" s="73">
        <f t="shared" si="107"/>
        <v>126711.22456274877</v>
      </c>
      <c r="V190" s="76">
        <f t="shared" si="108"/>
        <v>0.17</v>
      </c>
      <c r="W190" s="73">
        <f t="shared" si="109"/>
        <v>1066.308</v>
      </c>
      <c r="X190" s="73">
        <f>IF(B190&lt;&gt;"",IF(MONTH(E190)=MONTH($F$13),SUMIF($C$22:C572,"="&amp;(C190-1),$G$22:G572),0)*S190,"")</f>
        <v>0</v>
      </c>
      <c r="Y190" s="73">
        <f>IF(B190&lt;&gt;"",SUM($X$22:X190),"")</f>
        <v>14928.312000000005</v>
      </c>
      <c r="Z190" s="73">
        <f t="shared" si="121"/>
        <v>63.282649805340178</v>
      </c>
      <c r="AA190" s="73">
        <f t="shared" si="110"/>
        <v>12.023703463014634</v>
      </c>
      <c r="AB190" s="73">
        <f t="shared" si="111"/>
        <v>4107.7418879443849</v>
      </c>
      <c r="AC190" s="73">
        <f t="shared" si="112"/>
        <v>19036.053887944377</v>
      </c>
      <c r="AD190" s="73">
        <f>IFERROR($U190*(1-$V190)+SUM($W$22:$W190)+$AB190,"")</f>
        <v>125272.67827502587</v>
      </c>
      <c r="AE190" s="73" t="b">
        <f t="shared" si="113"/>
        <v>0</v>
      </c>
      <c r="AF190" s="73">
        <f>IF(AND(AE190=TRUE,D190&gt;=65),$U190*(1-10%)+SUM($W$22:$W190)+$AB190,AD190)</f>
        <v>125272.67827502587</v>
      </c>
      <c r="AG190" s="73">
        <f t="shared" si="131"/>
        <v>420.96752346428178</v>
      </c>
      <c r="AH190" s="73">
        <f t="shared" si="132"/>
        <v>32625.224562748837</v>
      </c>
      <c r="AI190" s="73">
        <f t="shared" si="133"/>
        <v>126711.22456274883</v>
      </c>
      <c r="AJ190" s="73">
        <f t="shared" si="134"/>
        <v>120512.43189582655</v>
      </c>
      <c r="AK190" s="73" t="b">
        <f t="shared" si="114"/>
        <v>0</v>
      </c>
      <c r="AL190" s="73">
        <f t="shared" si="135"/>
        <v>120512.43189582655</v>
      </c>
      <c r="AM190" s="73">
        <f t="shared" si="122"/>
        <v>397.19550230631216</v>
      </c>
      <c r="AN190" s="73">
        <f t="shared" si="115"/>
        <v>75.46714543819931</v>
      </c>
      <c r="AO190" s="73">
        <f t="shared" si="116"/>
        <v>25394.379048761752</v>
      </c>
      <c r="AP190" s="73">
        <f t="shared" si="117"/>
        <v>119480.37904876174</v>
      </c>
    </row>
    <row r="191" spans="1:42" s="31" customFormat="1" x14ac:dyDescent="0.6">
      <c r="A191" s="70">
        <f t="shared" si="101"/>
        <v>170</v>
      </c>
      <c r="B191" s="70" t="str">
        <f>IF(E191&lt;=$F$9,VLOOKUP(KALKULATOR!A191,Robocze!$B$23:$C$102,2),"")</f>
        <v>15 rok</v>
      </c>
      <c r="C191" s="70">
        <f t="shared" si="104"/>
        <v>2035</v>
      </c>
      <c r="D191" s="71">
        <f t="shared" si="118"/>
        <v>54.166666666667069</v>
      </c>
      <c r="E191" s="77">
        <f t="shared" si="119"/>
        <v>49310</v>
      </c>
      <c r="F191" s="72">
        <f t="shared" si="105"/>
        <v>49340</v>
      </c>
      <c r="G191" s="73">
        <f>IFERROR(IF(AND(F191&lt;=$F$9,$F$5=Robocze!$B$4,$E191&lt;=$F$9,MONTH($F$8)=MONTH(E191)),$F$4,0)+IF(AND(F191&lt;=$F$9,$F$5=Robocze!$B$3,E191&lt;=$F$9),KALKULATOR!$F$4/12,0),"")</f>
        <v>0</v>
      </c>
      <c r="H191" s="73">
        <f t="shared" si="106"/>
        <v>94085.999999999985</v>
      </c>
      <c r="I191" s="74">
        <f t="shared" si="102"/>
        <v>0.04</v>
      </c>
      <c r="J191" s="73">
        <f t="shared" si="123"/>
        <v>0</v>
      </c>
      <c r="K191" s="75" t="str">
        <f t="shared" si="124"/>
        <v/>
      </c>
      <c r="L191" s="73">
        <f t="shared" si="125"/>
        <v>94085.999999999985</v>
      </c>
      <c r="M191" s="73">
        <f t="shared" si="126"/>
        <v>125674.64334181359</v>
      </c>
      <c r="N191" s="73">
        <f t="shared" si="127"/>
        <v>125674.64334181359</v>
      </c>
      <c r="O191" s="73">
        <f t="shared" si="128"/>
        <v>120854.55220214596</v>
      </c>
      <c r="P191" s="73">
        <f t="shared" si="129"/>
        <v>120854.55220214596</v>
      </c>
      <c r="Q191" s="73">
        <f t="shared" si="130"/>
        <v>119802.97607219339</v>
      </c>
      <c r="R191" s="73"/>
      <c r="S191" s="76">
        <f t="shared" si="103"/>
        <v>0.17</v>
      </c>
      <c r="T191" s="73">
        <f t="shared" si="120"/>
        <v>422.37074854249596</v>
      </c>
      <c r="U191" s="73">
        <f t="shared" si="107"/>
        <v>127133.59531129127</v>
      </c>
      <c r="V191" s="76">
        <f t="shared" si="108"/>
        <v>0.17</v>
      </c>
      <c r="W191" s="73">
        <f t="shared" si="109"/>
        <v>0</v>
      </c>
      <c r="X191" s="73">
        <f>IF(B191&lt;&gt;"",IF(MONTH(E191)=MONTH($F$13),SUMIF($C$22:C573,"="&amp;(C191-1),$G$22:G573),0)*S191,"")</f>
        <v>0</v>
      </c>
      <c r="Y191" s="73">
        <f>IF(B191&lt;&gt;"",SUM($X$22:X191),"")</f>
        <v>14928.312000000005</v>
      </c>
      <c r="Z191" s="73">
        <f t="shared" si="121"/>
        <v>63.453512959814589</v>
      </c>
      <c r="AA191" s="73">
        <f t="shared" si="110"/>
        <v>12.056167462364773</v>
      </c>
      <c r="AB191" s="73">
        <f t="shared" si="111"/>
        <v>4159.1392334418342</v>
      </c>
      <c r="AC191" s="73">
        <f t="shared" si="112"/>
        <v>19087.451233441829</v>
      </c>
      <c r="AD191" s="73">
        <f>IFERROR($U191*(1-$V191)+SUM($W$22:$W191)+$AB191,"")</f>
        <v>125674.64334181359</v>
      </c>
      <c r="AE191" s="73" t="b">
        <f t="shared" si="113"/>
        <v>0</v>
      </c>
      <c r="AF191" s="73">
        <f>IF(AND(AE191=TRUE,D191&gt;=65),$U191*(1-10%)+SUM($W$22:$W191)+$AB191,AD191)</f>
        <v>125674.64334181359</v>
      </c>
      <c r="AG191" s="73">
        <f t="shared" si="131"/>
        <v>422.37074854249613</v>
      </c>
      <c r="AH191" s="73">
        <f t="shared" si="132"/>
        <v>33047.595311291334</v>
      </c>
      <c r="AI191" s="73">
        <f t="shared" si="133"/>
        <v>127133.59531129131</v>
      </c>
      <c r="AJ191" s="73">
        <f t="shared" si="134"/>
        <v>120854.55220214596</v>
      </c>
      <c r="AK191" s="73" t="b">
        <f t="shared" si="114"/>
        <v>0</v>
      </c>
      <c r="AL191" s="73">
        <f t="shared" si="135"/>
        <v>120854.55220214596</v>
      </c>
      <c r="AM191" s="73">
        <f t="shared" si="122"/>
        <v>398.26793016253913</v>
      </c>
      <c r="AN191" s="73">
        <f t="shared" si="115"/>
        <v>75.670906730882436</v>
      </c>
      <c r="AO191" s="73">
        <f t="shared" si="116"/>
        <v>25716.9760721934</v>
      </c>
      <c r="AP191" s="73">
        <f t="shared" si="117"/>
        <v>119802.97607219339</v>
      </c>
    </row>
    <row r="192" spans="1:42" s="31" customFormat="1" x14ac:dyDescent="0.6">
      <c r="A192" s="70">
        <f t="shared" si="101"/>
        <v>171</v>
      </c>
      <c r="B192" s="70" t="str">
        <f>IF(E192&lt;=$F$9,VLOOKUP(KALKULATOR!A192,Robocze!$B$23:$C$102,2),"")</f>
        <v>15 rok</v>
      </c>
      <c r="C192" s="70">
        <f t="shared" si="104"/>
        <v>2035</v>
      </c>
      <c r="D192" s="71">
        <f t="shared" si="118"/>
        <v>54.250000000000405</v>
      </c>
      <c r="E192" s="77">
        <f t="shared" si="119"/>
        <v>49341</v>
      </c>
      <c r="F192" s="72">
        <f t="shared" si="105"/>
        <v>49368</v>
      </c>
      <c r="G192" s="73">
        <f>IFERROR(IF(AND(F192&lt;=$F$9,$F$5=Robocze!$B$4,$E192&lt;=$F$9,MONTH($F$8)=MONTH(E192)),$F$4,0)+IF(AND(F192&lt;=$F$9,$F$5=Robocze!$B$3,E192&lt;=$F$9),KALKULATOR!$F$4/12,0),"")</f>
        <v>0</v>
      </c>
      <c r="H192" s="73">
        <f t="shared" si="106"/>
        <v>94085.999999999985</v>
      </c>
      <c r="I192" s="74">
        <f t="shared" si="102"/>
        <v>0.04</v>
      </c>
      <c r="J192" s="73">
        <f t="shared" si="123"/>
        <v>0</v>
      </c>
      <c r="K192" s="75" t="str">
        <f t="shared" si="124"/>
        <v/>
      </c>
      <c r="L192" s="73">
        <f t="shared" si="125"/>
        <v>94085.999999999985</v>
      </c>
      <c r="M192" s="73">
        <f t="shared" si="126"/>
        <v>126077.91574050511</v>
      </c>
      <c r="N192" s="73">
        <f t="shared" si="127"/>
        <v>126077.91574050511</v>
      </c>
      <c r="O192" s="73">
        <f t="shared" si="128"/>
        <v>121197.81290948646</v>
      </c>
      <c r="P192" s="73">
        <f t="shared" si="129"/>
        <v>121197.81290948646</v>
      </c>
      <c r="Q192" s="73">
        <f t="shared" si="130"/>
        <v>120126.44410758831</v>
      </c>
      <c r="R192" s="73"/>
      <c r="S192" s="76">
        <f t="shared" si="103"/>
        <v>0.17</v>
      </c>
      <c r="T192" s="73">
        <f t="shared" si="120"/>
        <v>423.77865103763759</v>
      </c>
      <c r="U192" s="73">
        <f t="shared" si="107"/>
        <v>127557.3739623289</v>
      </c>
      <c r="V192" s="76">
        <f t="shared" si="108"/>
        <v>0.17</v>
      </c>
      <c r="W192" s="73">
        <f t="shared" si="109"/>
        <v>0</v>
      </c>
      <c r="X192" s="73">
        <f>IF(B192&lt;&gt;"",IF(MONTH(E192)=MONTH($F$13),SUMIF($C$22:C574,"="&amp;(C192-1),$G$22:G574),0)*S192,"")</f>
        <v>0</v>
      </c>
      <c r="Y192" s="73">
        <f>IF(B192&lt;&gt;"",SUM($X$22:X192),"")</f>
        <v>14928.312000000005</v>
      </c>
      <c r="Z192" s="73">
        <f t="shared" si="121"/>
        <v>63.624837444806097</v>
      </c>
      <c r="AA192" s="73">
        <f t="shared" si="110"/>
        <v>12.088719114513159</v>
      </c>
      <c r="AB192" s="73">
        <f t="shared" si="111"/>
        <v>4210.6753517721272</v>
      </c>
      <c r="AC192" s="73">
        <f t="shared" si="112"/>
        <v>19138.987351772124</v>
      </c>
      <c r="AD192" s="73">
        <f>IFERROR($U192*(1-$V192)+SUM($W$22:$W192)+$AB192,"")</f>
        <v>126077.91574050511</v>
      </c>
      <c r="AE192" s="73" t="b">
        <f t="shared" si="113"/>
        <v>0</v>
      </c>
      <c r="AF192" s="73">
        <f>IF(AND(AE192=TRUE,D192&gt;=65),$U192*(1-10%)+SUM($W$22:$W192)+$AB192,AD192)</f>
        <v>126077.91574050511</v>
      </c>
      <c r="AG192" s="73">
        <f t="shared" si="131"/>
        <v>423.7786510376377</v>
      </c>
      <c r="AH192" s="73">
        <f t="shared" si="132"/>
        <v>33471.373962328973</v>
      </c>
      <c r="AI192" s="73">
        <f t="shared" si="133"/>
        <v>127557.37396232896</v>
      </c>
      <c r="AJ192" s="73">
        <f t="shared" si="134"/>
        <v>121197.81290948646</v>
      </c>
      <c r="AK192" s="73" t="b">
        <f t="shared" si="114"/>
        <v>0</v>
      </c>
      <c r="AL192" s="73">
        <f t="shared" si="135"/>
        <v>121197.81290948646</v>
      </c>
      <c r="AM192" s="73">
        <f t="shared" si="122"/>
        <v>399.34325357397796</v>
      </c>
      <c r="AN192" s="73">
        <f t="shared" si="115"/>
        <v>75.875218179055807</v>
      </c>
      <c r="AO192" s="73">
        <f t="shared" si="116"/>
        <v>26040.444107588322</v>
      </c>
      <c r="AP192" s="73">
        <f t="shared" si="117"/>
        <v>120126.44410758831</v>
      </c>
    </row>
    <row r="193" spans="1:42" s="31" customFormat="1" x14ac:dyDescent="0.6">
      <c r="A193" s="70">
        <f t="shared" si="101"/>
        <v>172</v>
      </c>
      <c r="B193" s="70" t="str">
        <f>IF(E193&lt;=$F$9,VLOOKUP(KALKULATOR!A193,Robocze!$B$23:$C$102,2),"")</f>
        <v>15 rok</v>
      </c>
      <c r="C193" s="70">
        <f t="shared" si="104"/>
        <v>2035</v>
      </c>
      <c r="D193" s="71">
        <f t="shared" si="118"/>
        <v>54.333333333333741</v>
      </c>
      <c r="E193" s="77">
        <f t="shared" si="119"/>
        <v>49369</v>
      </c>
      <c r="F193" s="72">
        <f t="shared" si="105"/>
        <v>49399</v>
      </c>
      <c r="G193" s="73">
        <f>IFERROR(IF(AND(F193&lt;=$F$9,$F$5=Robocze!$B$4,$E193&lt;=$F$9,MONTH($F$8)=MONTH(E193)),$F$4,0)+IF(AND(F193&lt;=$F$9,$F$5=Robocze!$B$3,E193&lt;=$F$9),KALKULATOR!$F$4/12,0),"")</f>
        <v>0</v>
      </c>
      <c r="H193" s="73">
        <f t="shared" si="106"/>
        <v>94085.999999999985</v>
      </c>
      <c r="I193" s="74">
        <f t="shared" si="102"/>
        <v>0.04</v>
      </c>
      <c r="J193" s="73">
        <f t="shared" si="123"/>
        <v>0</v>
      </c>
      <c r="K193" s="75" t="str">
        <f t="shared" si="124"/>
        <v/>
      </c>
      <c r="L193" s="73">
        <f t="shared" si="125"/>
        <v>94085.999999999985</v>
      </c>
      <c r="M193" s="73">
        <f t="shared" si="126"/>
        <v>126482.49974098401</v>
      </c>
      <c r="N193" s="73">
        <f t="shared" si="127"/>
        <v>126482.49974098401</v>
      </c>
      <c r="O193" s="73">
        <f t="shared" si="128"/>
        <v>121542.21781918473</v>
      </c>
      <c r="P193" s="73">
        <f t="shared" si="129"/>
        <v>121542.21781918473</v>
      </c>
      <c r="Q193" s="73">
        <f t="shared" si="130"/>
        <v>120450.78550667879</v>
      </c>
      <c r="R193" s="73"/>
      <c r="S193" s="76">
        <f t="shared" si="103"/>
        <v>0.17</v>
      </c>
      <c r="T193" s="73">
        <f t="shared" si="120"/>
        <v>425.19124654109635</v>
      </c>
      <c r="U193" s="73">
        <f t="shared" si="107"/>
        <v>127982.56520887</v>
      </c>
      <c r="V193" s="76">
        <f t="shared" si="108"/>
        <v>0.17</v>
      </c>
      <c r="W193" s="73">
        <f t="shared" si="109"/>
        <v>0</v>
      </c>
      <c r="X193" s="73">
        <f>IF(B193&lt;&gt;"",IF(MONTH(E193)=MONTH($F$13),SUMIF($C$22:C575,"="&amp;(C193-1),$G$22:G575),0)*S193,"")</f>
        <v>0</v>
      </c>
      <c r="Y193" s="73">
        <f>IF(B193&lt;&gt;"",SUM($X$22:X193),"")</f>
        <v>14928.312000000005</v>
      </c>
      <c r="Z193" s="73">
        <f t="shared" si="121"/>
        <v>63.796624505907083</v>
      </c>
      <c r="AA193" s="73">
        <f t="shared" si="110"/>
        <v>12.121358656122347</v>
      </c>
      <c r="AB193" s="73">
        <f t="shared" si="111"/>
        <v>4262.3506176219116</v>
      </c>
      <c r="AC193" s="73">
        <f t="shared" si="112"/>
        <v>19190.662617621911</v>
      </c>
      <c r="AD193" s="73">
        <f>IFERROR($U193*(1-$V193)+SUM($W$22:$W193)+$AB193,"")</f>
        <v>126482.49974098401</v>
      </c>
      <c r="AE193" s="73" t="b">
        <f t="shared" si="113"/>
        <v>0</v>
      </c>
      <c r="AF193" s="73">
        <f>IF(AND(AE193=TRUE,D193&gt;=65),$U193*(1-10%)+SUM($W$22:$W193)+$AB193,AD193)</f>
        <v>126482.49974098401</v>
      </c>
      <c r="AG193" s="73">
        <f t="shared" si="131"/>
        <v>425.19124654109652</v>
      </c>
      <c r="AH193" s="73">
        <f t="shared" si="132"/>
        <v>33896.565208870066</v>
      </c>
      <c r="AI193" s="73">
        <f t="shared" si="133"/>
        <v>127982.56520887004</v>
      </c>
      <c r="AJ193" s="73">
        <f t="shared" si="134"/>
        <v>121542.21781918473</v>
      </c>
      <c r="AK193" s="73" t="b">
        <f t="shared" si="114"/>
        <v>0</v>
      </c>
      <c r="AL193" s="73">
        <f t="shared" si="135"/>
        <v>121542.21781918473</v>
      </c>
      <c r="AM193" s="73">
        <f t="shared" si="122"/>
        <v>400.42148035862766</v>
      </c>
      <c r="AN193" s="73">
        <f t="shared" si="115"/>
        <v>76.080081268139253</v>
      </c>
      <c r="AO193" s="73">
        <f t="shared" si="116"/>
        <v>26364.785506678803</v>
      </c>
      <c r="AP193" s="73">
        <f t="shared" si="117"/>
        <v>120450.78550667879</v>
      </c>
    </row>
    <row r="194" spans="1:42" s="31" customFormat="1" x14ac:dyDescent="0.6">
      <c r="A194" s="70">
        <f t="shared" si="101"/>
        <v>173</v>
      </c>
      <c r="B194" s="70" t="str">
        <f>IF(E194&lt;=$F$9,VLOOKUP(KALKULATOR!A194,Robocze!$B$23:$C$102,2),"")</f>
        <v>15 rok</v>
      </c>
      <c r="C194" s="70">
        <f t="shared" si="104"/>
        <v>2035</v>
      </c>
      <c r="D194" s="71">
        <f t="shared" si="118"/>
        <v>54.416666666667076</v>
      </c>
      <c r="E194" s="77">
        <f t="shared" si="119"/>
        <v>49400</v>
      </c>
      <c r="F194" s="72">
        <f t="shared" si="105"/>
        <v>49429</v>
      </c>
      <c r="G194" s="73">
        <f>IFERROR(IF(AND(F194&lt;=$F$9,$F$5=Robocze!$B$4,$E194&lt;=$F$9,MONTH($F$8)=MONTH(E194)),$F$4,0)+IF(AND(F194&lt;=$F$9,$F$5=Robocze!$B$3,E194&lt;=$F$9),KALKULATOR!$F$4/12,0),"")</f>
        <v>0</v>
      </c>
      <c r="H194" s="73">
        <f t="shared" si="106"/>
        <v>94085.999999999985</v>
      </c>
      <c r="I194" s="74">
        <f t="shared" si="102"/>
        <v>0.04</v>
      </c>
      <c r="J194" s="73">
        <f t="shared" si="123"/>
        <v>0</v>
      </c>
      <c r="K194" s="75" t="str">
        <f t="shared" si="124"/>
        <v/>
      </c>
      <c r="L194" s="73">
        <f t="shared" si="125"/>
        <v>94085.999999999985</v>
      </c>
      <c r="M194" s="73">
        <f t="shared" si="126"/>
        <v>126891.27865872947</v>
      </c>
      <c r="N194" s="73">
        <f t="shared" si="127"/>
        <v>126891.27865872947</v>
      </c>
      <c r="O194" s="73">
        <f t="shared" si="128"/>
        <v>121887.77074524869</v>
      </c>
      <c r="P194" s="73">
        <f t="shared" si="129"/>
        <v>121887.77074524869</v>
      </c>
      <c r="Q194" s="73">
        <f t="shared" si="130"/>
        <v>120776.00262754681</v>
      </c>
      <c r="R194" s="73"/>
      <c r="S194" s="76">
        <f t="shared" si="103"/>
        <v>0.17</v>
      </c>
      <c r="T194" s="73">
        <f t="shared" si="120"/>
        <v>426.60855069623335</v>
      </c>
      <c r="U194" s="73">
        <f t="shared" si="107"/>
        <v>128409.17375956623</v>
      </c>
      <c r="V194" s="76">
        <f t="shared" si="108"/>
        <v>0.17</v>
      </c>
      <c r="W194" s="73">
        <f t="shared" si="109"/>
        <v>0</v>
      </c>
      <c r="X194" s="73">
        <f>IF(B194&lt;&gt;"",IF(MONTH(E194)=MONTH($F$13),SUMIF($C$22:C576,"="&amp;(C194-1),$G$22:G576),0)*S194,"")</f>
        <v>1066.308</v>
      </c>
      <c r="Y194" s="73">
        <f>IF(B194&lt;&gt;"",SUM($X$22:X194),"")</f>
        <v>15994.620000000006</v>
      </c>
      <c r="Z194" s="73">
        <f t="shared" si="121"/>
        <v>67.523235392073033</v>
      </c>
      <c r="AA194" s="73">
        <f t="shared" si="110"/>
        <v>12.829414724493876</v>
      </c>
      <c r="AB194" s="73">
        <f t="shared" si="111"/>
        <v>4317.0444382894902</v>
      </c>
      <c r="AC194" s="73">
        <f t="shared" si="112"/>
        <v>20311.664438289492</v>
      </c>
      <c r="AD194" s="73">
        <f>IFERROR($U194*(1-$V194)+SUM($W$22:$W194)+$AB194,"")</f>
        <v>126891.27865872947</v>
      </c>
      <c r="AE194" s="73" t="b">
        <f t="shared" si="113"/>
        <v>0</v>
      </c>
      <c r="AF194" s="73">
        <f>IF(AND(AE194=TRUE,D194&gt;=65),$U194*(1-10%)+SUM($W$22:$W194)+$AB194,AD194)</f>
        <v>126891.27865872947</v>
      </c>
      <c r="AG194" s="73">
        <f t="shared" si="131"/>
        <v>426.60855069623352</v>
      </c>
      <c r="AH194" s="73">
        <f t="shared" si="132"/>
        <v>34323.1737595663</v>
      </c>
      <c r="AI194" s="73">
        <f t="shared" si="133"/>
        <v>128409.17375956629</v>
      </c>
      <c r="AJ194" s="73">
        <f t="shared" si="134"/>
        <v>121887.77074524869</v>
      </c>
      <c r="AK194" s="73" t="b">
        <f t="shared" si="114"/>
        <v>0</v>
      </c>
      <c r="AL194" s="73">
        <f t="shared" si="135"/>
        <v>121887.77074524869</v>
      </c>
      <c r="AM194" s="73">
        <f t="shared" si="122"/>
        <v>401.50261835559598</v>
      </c>
      <c r="AN194" s="73">
        <f t="shared" si="115"/>
        <v>76.285497487563234</v>
      </c>
      <c r="AO194" s="73">
        <f t="shared" si="116"/>
        <v>26690.002627546826</v>
      </c>
      <c r="AP194" s="73">
        <f t="shared" si="117"/>
        <v>120776.00262754681</v>
      </c>
    </row>
    <row r="195" spans="1:42" s="31" customFormat="1" x14ac:dyDescent="0.6">
      <c r="A195" s="70">
        <f t="shared" si="101"/>
        <v>174</v>
      </c>
      <c r="B195" s="70" t="str">
        <f>IF(E195&lt;=$F$9,VLOOKUP(KALKULATOR!A195,Robocze!$B$23:$C$102,2),"")</f>
        <v>15 rok</v>
      </c>
      <c r="C195" s="70">
        <f t="shared" si="104"/>
        <v>2035</v>
      </c>
      <c r="D195" s="71">
        <f t="shared" si="118"/>
        <v>54.500000000000412</v>
      </c>
      <c r="E195" s="77">
        <f t="shared" si="119"/>
        <v>49430</v>
      </c>
      <c r="F195" s="72">
        <f t="shared" si="105"/>
        <v>49460</v>
      </c>
      <c r="G195" s="73">
        <f>IFERROR(IF(AND(F195&lt;=$F$9,$F$5=Robocze!$B$4,$E195&lt;=$F$9,MONTH($F$8)=MONTH(E195)),$F$4,0)+IF(AND(F195&lt;=$F$9,$F$5=Robocze!$B$3,E195&lt;=$F$9),KALKULATOR!$F$4/12,0),"")</f>
        <v>0</v>
      </c>
      <c r="H195" s="73">
        <f t="shared" si="106"/>
        <v>94085.999999999985</v>
      </c>
      <c r="I195" s="74">
        <f t="shared" si="102"/>
        <v>0.04</v>
      </c>
      <c r="J195" s="73">
        <f t="shared" si="123"/>
        <v>0</v>
      </c>
      <c r="K195" s="75" t="str">
        <f t="shared" si="124"/>
        <v/>
      </c>
      <c r="L195" s="73">
        <f t="shared" si="125"/>
        <v>94085.999999999985</v>
      </c>
      <c r="M195" s="73">
        <f t="shared" si="126"/>
        <v>127301.38553344764</v>
      </c>
      <c r="N195" s="73">
        <f t="shared" si="127"/>
        <v>127301.38553344764</v>
      </c>
      <c r="O195" s="73">
        <f t="shared" si="128"/>
        <v>122234.47551439951</v>
      </c>
      <c r="P195" s="73">
        <f t="shared" si="129"/>
        <v>122234.47551439951</v>
      </c>
      <c r="Q195" s="73">
        <f t="shared" si="130"/>
        <v>121102.0978346412</v>
      </c>
      <c r="R195" s="73"/>
      <c r="S195" s="76">
        <f t="shared" si="103"/>
        <v>0.17</v>
      </c>
      <c r="T195" s="73">
        <f t="shared" si="120"/>
        <v>428.03057919855411</v>
      </c>
      <c r="U195" s="73">
        <f t="shared" si="107"/>
        <v>128837.20433876479</v>
      </c>
      <c r="V195" s="76">
        <f t="shared" si="108"/>
        <v>0.17</v>
      </c>
      <c r="W195" s="73">
        <f t="shared" si="109"/>
        <v>0</v>
      </c>
      <c r="X195" s="73">
        <f>IF(B195&lt;&gt;"",IF(MONTH(E195)=MONTH($F$13),SUMIF($C$22:C577,"="&amp;(C195-1),$G$22:G577),0)*S195,"")</f>
        <v>0</v>
      </c>
      <c r="Y195" s="73">
        <f>IF(B195&lt;&gt;"",SUM($X$22:X195),"")</f>
        <v>15994.620000000006</v>
      </c>
      <c r="Z195" s="73">
        <f t="shared" si="121"/>
        <v>67.705548127631644</v>
      </c>
      <c r="AA195" s="73">
        <f t="shared" si="110"/>
        <v>12.864054144250012</v>
      </c>
      <c r="AB195" s="73">
        <f t="shared" si="111"/>
        <v>4371.8859322728722</v>
      </c>
      <c r="AC195" s="73">
        <f t="shared" si="112"/>
        <v>20366.505932272874</v>
      </c>
      <c r="AD195" s="73">
        <f>IFERROR($U195*(1-$V195)+SUM($W$22:$W195)+$AB195,"")</f>
        <v>127301.38553344764</v>
      </c>
      <c r="AE195" s="73" t="b">
        <f t="shared" si="113"/>
        <v>0</v>
      </c>
      <c r="AF195" s="73">
        <f>IF(AND(AE195=TRUE,D195&gt;=65),$U195*(1-10%)+SUM($W$22:$W195)+$AB195,AD195)</f>
        <v>127301.38553344764</v>
      </c>
      <c r="AG195" s="73">
        <f t="shared" si="131"/>
        <v>428.03057919855428</v>
      </c>
      <c r="AH195" s="73">
        <f t="shared" si="132"/>
        <v>34751.204338764852</v>
      </c>
      <c r="AI195" s="73">
        <f t="shared" si="133"/>
        <v>128837.20433876483</v>
      </c>
      <c r="AJ195" s="73">
        <f t="shared" si="134"/>
        <v>122234.47551439951</v>
      </c>
      <c r="AK195" s="73" t="b">
        <f t="shared" si="114"/>
        <v>0</v>
      </c>
      <c r="AL195" s="73">
        <f t="shared" si="135"/>
        <v>122234.47551439951</v>
      </c>
      <c r="AM195" s="73">
        <f t="shared" si="122"/>
        <v>402.58667542515605</v>
      </c>
      <c r="AN195" s="73">
        <f t="shared" si="115"/>
        <v>76.491468330779654</v>
      </c>
      <c r="AO195" s="73">
        <f t="shared" si="116"/>
        <v>27016.097834641216</v>
      </c>
      <c r="AP195" s="73">
        <f t="shared" si="117"/>
        <v>121102.0978346412</v>
      </c>
    </row>
    <row r="196" spans="1:42" s="31" customFormat="1" x14ac:dyDescent="0.6">
      <c r="A196" s="70">
        <f t="shared" si="101"/>
        <v>175</v>
      </c>
      <c r="B196" s="70" t="str">
        <f>IF(E196&lt;=$F$9,VLOOKUP(KALKULATOR!A196,Robocze!$B$23:$C$102,2),"")</f>
        <v>15 rok</v>
      </c>
      <c r="C196" s="70">
        <f t="shared" si="104"/>
        <v>2035</v>
      </c>
      <c r="D196" s="71">
        <f t="shared" si="118"/>
        <v>54.583333333333748</v>
      </c>
      <c r="E196" s="77">
        <f t="shared" si="119"/>
        <v>49461</v>
      </c>
      <c r="F196" s="72">
        <f t="shared" si="105"/>
        <v>49490</v>
      </c>
      <c r="G196" s="73">
        <f>IFERROR(IF(AND(F196&lt;=$F$9,$F$5=Robocze!$B$4,$E196&lt;=$F$9,MONTH($F$8)=MONTH(E196)),$F$4,0)+IF(AND(F196&lt;=$F$9,$F$5=Robocze!$B$3,E196&lt;=$F$9),KALKULATOR!$F$4/12,0),"")</f>
        <v>0</v>
      </c>
      <c r="H196" s="73">
        <f t="shared" si="106"/>
        <v>94085.999999999985</v>
      </c>
      <c r="I196" s="74">
        <f t="shared" si="102"/>
        <v>0.04</v>
      </c>
      <c r="J196" s="73">
        <f t="shared" si="123"/>
        <v>0</v>
      </c>
      <c r="K196" s="75" t="str">
        <f t="shared" si="124"/>
        <v/>
      </c>
      <c r="L196" s="73">
        <f t="shared" si="125"/>
        <v>94085.999999999985</v>
      </c>
      <c r="M196" s="73">
        <f t="shared" si="126"/>
        <v>127712.82469813537</v>
      </c>
      <c r="N196" s="73">
        <f t="shared" si="127"/>
        <v>127712.82469813537</v>
      </c>
      <c r="O196" s="73">
        <f t="shared" si="128"/>
        <v>122582.33596611419</v>
      </c>
      <c r="P196" s="73">
        <f t="shared" si="129"/>
        <v>122582.33596611419</v>
      </c>
      <c r="Q196" s="73">
        <f t="shared" si="130"/>
        <v>121429.07349879474</v>
      </c>
      <c r="R196" s="73"/>
      <c r="S196" s="76">
        <f t="shared" si="103"/>
        <v>0.17</v>
      </c>
      <c r="T196" s="73">
        <f t="shared" si="120"/>
        <v>429.45734779588264</v>
      </c>
      <c r="U196" s="73">
        <f t="shared" si="107"/>
        <v>129266.66168656066</v>
      </c>
      <c r="V196" s="76">
        <f t="shared" si="108"/>
        <v>0.17</v>
      </c>
      <c r="W196" s="73">
        <f t="shared" si="109"/>
        <v>0</v>
      </c>
      <c r="X196" s="73">
        <f>IF(B196&lt;&gt;"",IF(MONTH(E196)=MONTH($F$13),SUMIF($C$22:C578,"="&amp;(C196-1),$G$22:G578),0)*S196,"")</f>
        <v>0</v>
      </c>
      <c r="Y196" s="73">
        <f>IF(B196&lt;&gt;"",SUM($X$22:X196),"")</f>
        <v>15994.620000000006</v>
      </c>
      <c r="Z196" s="73">
        <f t="shared" si="121"/>
        <v>67.888353107576251</v>
      </c>
      <c r="AA196" s="73">
        <f t="shared" si="110"/>
        <v>12.898787090439487</v>
      </c>
      <c r="AB196" s="73">
        <f t="shared" si="111"/>
        <v>4426.8754982900091</v>
      </c>
      <c r="AC196" s="73">
        <f t="shared" si="112"/>
        <v>20421.495498290013</v>
      </c>
      <c r="AD196" s="73">
        <f>IFERROR($U196*(1-$V196)+SUM($W$22:$W196)+$AB196,"")</f>
        <v>127712.82469813537</v>
      </c>
      <c r="AE196" s="73" t="b">
        <f t="shared" si="113"/>
        <v>0</v>
      </c>
      <c r="AF196" s="73">
        <f>IF(AND(AE196=TRUE,D196&gt;=65),$U196*(1-10%)+SUM($W$22:$W196)+$AB196,AD196)</f>
        <v>127712.82469813537</v>
      </c>
      <c r="AG196" s="73">
        <f t="shared" si="131"/>
        <v>429.45734779588275</v>
      </c>
      <c r="AH196" s="73">
        <f t="shared" si="132"/>
        <v>35180.661686560736</v>
      </c>
      <c r="AI196" s="73">
        <f t="shared" si="133"/>
        <v>129266.66168656072</v>
      </c>
      <c r="AJ196" s="73">
        <f t="shared" si="134"/>
        <v>122582.33596611419</v>
      </c>
      <c r="AK196" s="73" t="b">
        <f t="shared" si="114"/>
        <v>0</v>
      </c>
      <c r="AL196" s="73">
        <f t="shared" si="135"/>
        <v>122582.33596611419</v>
      </c>
      <c r="AM196" s="73">
        <f t="shared" si="122"/>
        <v>403.67365944880402</v>
      </c>
      <c r="AN196" s="73">
        <f t="shared" si="115"/>
        <v>76.697995295272761</v>
      </c>
      <c r="AO196" s="73">
        <f t="shared" si="116"/>
        <v>27343.073498794751</v>
      </c>
      <c r="AP196" s="73">
        <f t="shared" si="117"/>
        <v>121429.07349879474</v>
      </c>
    </row>
    <row r="197" spans="1:42" s="31" customFormat="1" x14ac:dyDescent="0.6">
      <c r="A197" s="70">
        <f t="shared" si="101"/>
        <v>176</v>
      </c>
      <c r="B197" s="70" t="str">
        <f>IF(E197&lt;=$F$9,VLOOKUP(KALKULATOR!A197,Robocze!$B$23:$C$102,2),"")</f>
        <v>15 rok</v>
      </c>
      <c r="C197" s="70">
        <f t="shared" si="104"/>
        <v>2035</v>
      </c>
      <c r="D197" s="71">
        <f t="shared" si="118"/>
        <v>54.666666666667084</v>
      </c>
      <c r="E197" s="77">
        <f t="shared" si="119"/>
        <v>49491</v>
      </c>
      <c r="F197" s="72">
        <f t="shared" si="105"/>
        <v>49521</v>
      </c>
      <c r="G197" s="73">
        <f>IFERROR(IF(AND(F197&lt;=$F$9,$F$5=Robocze!$B$4,$E197&lt;=$F$9,MONTH($F$8)=MONTH(E197)),$F$4,0)+IF(AND(F197&lt;=$F$9,$F$5=Robocze!$B$3,E197&lt;=$F$9),KALKULATOR!$F$4/12,0),"")</f>
        <v>0</v>
      </c>
      <c r="H197" s="73">
        <f t="shared" si="106"/>
        <v>94085.999999999985</v>
      </c>
      <c r="I197" s="74">
        <f t="shared" si="102"/>
        <v>0.04</v>
      </c>
      <c r="J197" s="73">
        <f t="shared" si="123"/>
        <v>0</v>
      </c>
      <c r="K197" s="75" t="str">
        <f t="shared" si="124"/>
        <v/>
      </c>
      <c r="L197" s="73">
        <f t="shared" si="125"/>
        <v>94085.999999999985</v>
      </c>
      <c r="M197" s="73">
        <f t="shared" si="126"/>
        <v>128125.60049998022</v>
      </c>
      <c r="N197" s="73">
        <f t="shared" si="127"/>
        <v>128125.60049998022</v>
      </c>
      <c r="O197" s="73">
        <f t="shared" si="128"/>
        <v>122931.3559526679</v>
      </c>
      <c r="P197" s="73">
        <f t="shared" si="129"/>
        <v>122931.3559526679</v>
      </c>
      <c r="Q197" s="73">
        <f t="shared" si="130"/>
        <v>121756.9319972415</v>
      </c>
      <c r="R197" s="73"/>
      <c r="S197" s="76">
        <f t="shared" si="103"/>
        <v>0.17</v>
      </c>
      <c r="T197" s="73">
        <f t="shared" si="120"/>
        <v>430.88887228853559</v>
      </c>
      <c r="U197" s="73">
        <f t="shared" si="107"/>
        <v>129697.55055884919</v>
      </c>
      <c r="V197" s="76">
        <f t="shared" si="108"/>
        <v>0.17</v>
      </c>
      <c r="W197" s="73">
        <f t="shared" si="109"/>
        <v>0</v>
      </c>
      <c r="X197" s="73">
        <f>IF(B197&lt;&gt;"",IF(MONTH(E197)=MONTH($F$13),SUMIF($C$22:C579,"="&amp;(C197-1),$G$22:G579),0)*S197,"")</f>
        <v>0</v>
      </c>
      <c r="Y197" s="73">
        <f>IF(B197&lt;&gt;"",SUM($X$22:X197),"")</f>
        <v>15994.620000000006</v>
      </c>
      <c r="Z197" s="73">
        <f t="shared" si="121"/>
        <v>68.071651660966708</v>
      </c>
      <c r="AA197" s="73">
        <f t="shared" si="110"/>
        <v>12.933613815583675</v>
      </c>
      <c r="AB197" s="73">
        <f t="shared" si="111"/>
        <v>4482.0135361353914</v>
      </c>
      <c r="AC197" s="73">
        <f t="shared" si="112"/>
        <v>20476.633536135396</v>
      </c>
      <c r="AD197" s="73">
        <f>IFERROR($U197*(1-$V197)+SUM($W$22:$W197)+$AB197,"")</f>
        <v>128125.60049998022</v>
      </c>
      <c r="AE197" s="73" t="b">
        <f t="shared" si="113"/>
        <v>0</v>
      </c>
      <c r="AF197" s="73">
        <f>IF(AND(AE197=TRUE,D197&gt;=65),$U197*(1-10%)+SUM($W$22:$W197)+$AB197,AD197)</f>
        <v>128125.60049998022</v>
      </c>
      <c r="AG197" s="73">
        <f t="shared" si="131"/>
        <v>430.88887228853577</v>
      </c>
      <c r="AH197" s="73">
        <f t="shared" si="132"/>
        <v>35611.550558849274</v>
      </c>
      <c r="AI197" s="73">
        <f t="shared" si="133"/>
        <v>129697.55055884927</v>
      </c>
      <c r="AJ197" s="73">
        <f t="shared" si="134"/>
        <v>122931.3559526679</v>
      </c>
      <c r="AK197" s="73" t="b">
        <f t="shared" si="114"/>
        <v>0</v>
      </c>
      <c r="AL197" s="73">
        <f t="shared" si="135"/>
        <v>122931.3559526679</v>
      </c>
      <c r="AM197" s="73">
        <f t="shared" si="122"/>
        <v>404.76357832931581</v>
      </c>
      <c r="AN197" s="73">
        <f t="shared" si="115"/>
        <v>76.905079882570007</v>
      </c>
      <c r="AO197" s="73">
        <f t="shared" si="116"/>
        <v>27670.931997241511</v>
      </c>
      <c r="AP197" s="73">
        <f t="shared" si="117"/>
        <v>121756.9319972415</v>
      </c>
    </row>
    <row r="198" spans="1:42" s="31" customFormat="1" x14ac:dyDescent="0.6">
      <c r="A198" s="70">
        <f t="shared" si="101"/>
        <v>177</v>
      </c>
      <c r="B198" s="70" t="str">
        <f>IF(E198&lt;=$F$9,VLOOKUP(KALKULATOR!A198,Robocze!$B$23:$C$102,2),"")</f>
        <v>15 rok</v>
      </c>
      <c r="C198" s="70">
        <f t="shared" si="104"/>
        <v>2035</v>
      </c>
      <c r="D198" s="71">
        <f t="shared" si="118"/>
        <v>54.750000000000419</v>
      </c>
      <c r="E198" s="77">
        <f t="shared" si="119"/>
        <v>49522</v>
      </c>
      <c r="F198" s="72">
        <f t="shared" si="105"/>
        <v>49552</v>
      </c>
      <c r="G198" s="73">
        <f>IFERROR(IF(AND(F198&lt;=$F$9,$F$5=Robocze!$B$4,$E198&lt;=$F$9,MONTH($F$8)=MONTH(E198)),$F$4,0)+IF(AND(F198&lt;=$F$9,$F$5=Robocze!$B$3,E198&lt;=$F$9),KALKULATOR!$F$4/12,0),"")</f>
        <v>0</v>
      </c>
      <c r="H198" s="73">
        <f t="shared" si="106"/>
        <v>94085.999999999985</v>
      </c>
      <c r="I198" s="74">
        <f t="shared" si="102"/>
        <v>0.04</v>
      </c>
      <c r="J198" s="73">
        <f t="shared" si="123"/>
        <v>0</v>
      </c>
      <c r="K198" s="75" t="str">
        <f t="shared" si="124"/>
        <v/>
      </c>
      <c r="L198" s="73">
        <f t="shared" si="125"/>
        <v>94085.999999999985</v>
      </c>
      <c r="M198" s="73">
        <f t="shared" si="126"/>
        <v>128539.71730040728</v>
      </c>
      <c r="N198" s="73">
        <f t="shared" si="127"/>
        <v>128539.71730040728</v>
      </c>
      <c r="O198" s="73">
        <f t="shared" si="128"/>
        <v>123281.5393391768</v>
      </c>
      <c r="P198" s="73">
        <f t="shared" si="129"/>
        <v>123281.5393391768</v>
      </c>
      <c r="Q198" s="73">
        <f t="shared" si="130"/>
        <v>122085.67571363405</v>
      </c>
      <c r="R198" s="73"/>
      <c r="S198" s="76">
        <f t="shared" si="103"/>
        <v>0.17</v>
      </c>
      <c r="T198" s="73">
        <f t="shared" si="120"/>
        <v>432.32516852949732</v>
      </c>
      <c r="U198" s="73">
        <f t="shared" si="107"/>
        <v>130129.87572737869</v>
      </c>
      <c r="V198" s="76">
        <f t="shared" si="108"/>
        <v>0.17</v>
      </c>
      <c r="W198" s="73">
        <f t="shared" si="109"/>
        <v>0</v>
      </c>
      <c r="X198" s="73">
        <f>IF(B198&lt;&gt;"",IF(MONTH(E198)=MONTH($F$13),SUMIF($C$22:C580,"="&amp;(C198-1),$G$22:G580),0)*S198,"")</f>
        <v>0</v>
      </c>
      <c r="Y198" s="73">
        <f>IF(B198&lt;&gt;"",SUM($X$22:X198),"")</f>
        <v>15994.620000000006</v>
      </c>
      <c r="Z198" s="73">
        <f t="shared" si="121"/>
        <v>68.255445120451313</v>
      </c>
      <c r="AA198" s="73">
        <f t="shared" si="110"/>
        <v>12.96853457288575</v>
      </c>
      <c r="AB198" s="73">
        <f t="shared" si="111"/>
        <v>4537.300446682957</v>
      </c>
      <c r="AC198" s="73">
        <f t="shared" si="112"/>
        <v>20531.920446682961</v>
      </c>
      <c r="AD198" s="73">
        <f>IFERROR($U198*(1-$V198)+SUM($W$22:$W198)+$AB198,"")</f>
        <v>128539.71730040728</v>
      </c>
      <c r="AE198" s="73" t="b">
        <f t="shared" si="113"/>
        <v>0</v>
      </c>
      <c r="AF198" s="73">
        <f>IF(AND(AE198=TRUE,D198&gt;=65),$U198*(1-10%)+SUM($W$22:$W198)+$AB198,AD198)</f>
        <v>128539.71730040728</v>
      </c>
      <c r="AG198" s="73">
        <f t="shared" si="131"/>
        <v>432.3251685294976</v>
      </c>
      <c r="AH198" s="73">
        <f t="shared" si="132"/>
        <v>36043.875727378771</v>
      </c>
      <c r="AI198" s="73">
        <f t="shared" si="133"/>
        <v>130129.87572737876</v>
      </c>
      <c r="AJ198" s="73">
        <f t="shared" si="134"/>
        <v>123281.5393391768</v>
      </c>
      <c r="AK198" s="73" t="b">
        <f t="shared" si="114"/>
        <v>0</v>
      </c>
      <c r="AL198" s="73">
        <f t="shared" si="135"/>
        <v>123281.5393391768</v>
      </c>
      <c r="AM198" s="73">
        <f t="shared" si="122"/>
        <v>405.85643999080503</v>
      </c>
      <c r="AN198" s="73">
        <f t="shared" si="115"/>
        <v>77.112723598252956</v>
      </c>
      <c r="AO198" s="73">
        <f t="shared" si="116"/>
        <v>27999.67571363406</v>
      </c>
      <c r="AP198" s="73">
        <f t="shared" si="117"/>
        <v>122085.67571363405</v>
      </c>
    </row>
    <row r="199" spans="1:42" s="31" customFormat="1" x14ac:dyDescent="0.6">
      <c r="A199" s="70">
        <f t="shared" si="101"/>
        <v>178</v>
      </c>
      <c r="B199" s="70" t="str">
        <f>IF(E199&lt;=$F$9,VLOOKUP(KALKULATOR!A199,Robocze!$B$23:$C$102,2),"")</f>
        <v>15 rok</v>
      </c>
      <c r="C199" s="70">
        <f t="shared" si="104"/>
        <v>2035</v>
      </c>
      <c r="D199" s="71">
        <f t="shared" si="118"/>
        <v>54.833333333333755</v>
      </c>
      <c r="E199" s="77">
        <f t="shared" si="119"/>
        <v>49553</v>
      </c>
      <c r="F199" s="72">
        <f t="shared" si="105"/>
        <v>49582</v>
      </c>
      <c r="G199" s="73">
        <f>IFERROR(IF(AND(F199&lt;=$F$9,$F$5=Robocze!$B$4,$E199&lt;=$F$9,MONTH($F$8)=MONTH(E199)),$F$4,0)+IF(AND(F199&lt;=$F$9,$F$5=Robocze!$B$3,E199&lt;=$F$9),KALKULATOR!$F$4/12,0),"")</f>
        <v>0</v>
      </c>
      <c r="H199" s="73">
        <f t="shared" si="106"/>
        <v>94085.999999999985</v>
      </c>
      <c r="I199" s="74">
        <f t="shared" si="102"/>
        <v>0.04</v>
      </c>
      <c r="J199" s="73">
        <f t="shared" si="123"/>
        <v>0</v>
      </c>
      <c r="K199" s="75" t="str">
        <f t="shared" si="124"/>
        <v/>
      </c>
      <c r="L199" s="73">
        <f t="shared" si="125"/>
        <v>94085.999999999985</v>
      </c>
      <c r="M199" s="73">
        <f t="shared" si="126"/>
        <v>128955.17947512573</v>
      </c>
      <c r="N199" s="73">
        <f t="shared" si="127"/>
        <v>128955.17947512573</v>
      </c>
      <c r="O199" s="73">
        <f t="shared" si="128"/>
        <v>123632.89000364071</v>
      </c>
      <c r="P199" s="73">
        <f t="shared" si="129"/>
        <v>123632.89000364071</v>
      </c>
      <c r="Q199" s="73">
        <f t="shared" si="130"/>
        <v>122415.30703806086</v>
      </c>
      <c r="R199" s="73"/>
      <c r="S199" s="76">
        <f t="shared" si="103"/>
        <v>0.17</v>
      </c>
      <c r="T199" s="73">
        <f t="shared" si="120"/>
        <v>433.76625242459568</v>
      </c>
      <c r="U199" s="73">
        <f t="shared" si="107"/>
        <v>130563.64197980329</v>
      </c>
      <c r="V199" s="76">
        <f t="shared" si="108"/>
        <v>0.17</v>
      </c>
      <c r="W199" s="73">
        <f t="shared" si="109"/>
        <v>0</v>
      </c>
      <c r="X199" s="73">
        <f>IF(B199&lt;&gt;"",IF(MONTH(E199)=MONTH($F$13),SUMIF($C$22:C581,"="&amp;(C199-1),$G$22:G581),0)*S199,"")</f>
        <v>0</v>
      </c>
      <c r="Y199" s="73">
        <f>IF(B199&lt;&gt;"",SUM($X$22:X199),"")</f>
        <v>15994.620000000006</v>
      </c>
      <c r="Z199" s="73">
        <f t="shared" si="121"/>
        <v>68.439734822276549</v>
      </c>
      <c r="AA199" s="73">
        <f t="shared" si="110"/>
        <v>13.003549616232544</v>
      </c>
      <c r="AB199" s="73">
        <f t="shared" si="111"/>
        <v>4592.7366318890008</v>
      </c>
      <c r="AC199" s="73">
        <f t="shared" si="112"/>
        <v>20587.356631889008</v>
      </c>
      <c r="AD199" s="73">
        <f>IFERROR($U199*(1-$V199)+SUM($W$22:$W199)+$AB199,"")</f>
        <v>128955.17947512573</v>
      </c>
      <c r="AE199" s="73" t="b">
        <f t="shared" si="113"/>
        <v>0</v>
      </c>
      <c r="AF199" s="73">
        <f>IF(AND(AE199=TRUE,D199&gt;=65),$U199*(1-10%)+SUM($W$22:$W199)+$AB199,AD199)</f>
        <v>128955.17947512573</v>
      </c>
      <c r="AG199" s="73">
        <f t="shared" si="131"/>
        <v>433.7662524245959</v>
      </c>
      <c r="AH199" s="73">
        <f t="shared" si="132"/>
        <v>36477.641979803368</v>
      </c>
      <c r="AI199" s="73">
        <f t="shared" si="133"/>
        <v>130563.64197980336</v>
      </c>
      <c r="AJ199" s="73">
        <f t="shared" si="134"/>
        <v>123632.89000364071</v>
      </c>
      <c r="AK199" s="73" t="b">
        <f t="shared" si="114"/>
        <v>0</v>
      </c>
      <c r="AL199" s="73">
        <f t="shared" si="135"/>
        <v>123632.89000364071</v>
      </c>
      <c r="AM199" s="73">
        <f t="shared" si="122"/>
        <v>406.9522523787802</v>
      </c>
      <c r="AN199" s="73">
        <f t="shared" si="115"/>
        <v>77.320927951968244</v>
      </c>
      <c r="AO199" s="73">
        <f t="shared" si="116"/>
        <v>28329.30703806087</v>
      </c>
      <c r="AP199" s="73">
        <f t="shared" si="117"/>
        <v>122415.30703806086</v>
      </c>
    </row>
    <row r="200" spans="1:42" s="31" customFormat="1" x14ac:dyDescent="0.6">
      <c r="A200" s="70">
        <f t="shared" si="101"/>
        <v>179</v>
      </c>
      <c r="B200" s="70" t="str">
        <f>IF(E200&lt;=$F$9,VLOOKUP(KALKULATOR!A200,Robocze!$B$23:$C$102,2),"")</f>
        <v>15 rok</v>
      </c>
      <c r="C200" s="70">
        <f t="shared" si="104"/>
        <v>2035</v>
      </c>
      <c r="D200" s="71">
        <f t="shared" si="118"/>
        <v>54.916666666667091</v>
      </c>
      <c r="E200" s="77">
        <f t="shared" si="119"/>
        <v>49583</v>
      </c>
      <c r="F200" s="72">
        <f t="shared" si="105"/>
        <v>49613</v>
      </c>
      <c r="G200" s="73">
        <f>IFERROR(IF(AND(F200&lt;=$F$9,$F$5=Robocze!$B$4,$E200&lt;=$F$9,MONTH($F$8)=MONTH(E200)),$F$4,0)+IF(AND(F200&lt;=$F$9,$F$5=Robocze!$B$3,E200&lt;=$F$9),KALKULATOR!$F$4/12,0),"")</f>
        <v>0</v>
      </c>
      <c r="H200" s="73">
        <f t="shared" si="106"/>
        <v>94085.999999999985</v>
      </c>
      <c r="I200" s="74">
        <f t="shared" si="102"/>
        <v>0.04</v>
      </c>
      <c r="J200" s="73">
        <f t="shared" si="123"/>
        <v>0</v>
      </c>
      <c r="K200" s="75" t="str">
        <f t="shared" si="124"/>
        <v/>
      </c>
      <c r="L200" s="73">
        <f t="shared" si="125"/>
        <v>94085.999999999985</v>
      </c>
      <c r="M200" s="73">
        <f t="shared" si="126"/>
        <v>129371.99141417595</v>
      </c>
      <c r="N200" s="73">
        <f t="shared" si="127"/>
        <v>129371.99141417595</v>
      </c>
      <c r="O200" s="73">
        <f t="shared" si="128"/>
        <v>123985.41183698618</v>
      </c>
      <c r="P200" s="73">
        <f t="shared" si="129"/>
        <v>123985.41183698618</v>
      </c>
      <c r="Q200" s="73">
        <f t="shared" si="130"/>
        <v>122745.82836706362</v>
      </c>
      <c r="R200" s="73"/>
      <c r="S200" s="76">
        <f t="shared" si="103"/>
        <v>0.17</v>
      </c>
      <c r="T200" s="73">
        <f t="shared" si="120"/>
        <v>435.21213993267764</v>
      </c>
      <c r="U200" s="73">
        <f t="shared" si="107"/>
        <v>130998.85411973596</v>
      </c>
      <c r="V200" s="76">
        <f t="shared" si="108"/>
        <v>0.17</v>
      </c>
      <c r="W200" s="73">
        <f t="shared" si="109"/>
        <v>0</v>
      </c>
      <c r="X200" s="73">
        <f>IF(B200&lt;&gt;"",IF(MONTH(E200)=MONTH($F$13),SUMIF($C$22:C582,"="&amp;(C200-1),$G$22:G582),0)*S200,"")</f>
        <v>0</v>
      </c>
      <c r="Y200" s="73">
        <f>IF(B200&lt;&gt;"",SUM($X$22:X200),"")</f>
        <v>15994.620000000006</v>
      </c>
      <c r="Z200" s="73">
        <f t="shared" si="121"/>
        <v>68.624522106296695</v>
      </c>
      <c r="AA200" s="73">
        <f t="shared" si="110"/>
        <v>13.038659200196372</v>
      </c>
      <c r="AB200" s="73">
        <f t="shared" si="111"/>
        <v>4648.3224947951012</v>
      </c>
      <c r="AC200" s="73">
        <f t="shared" si="112"/>
        <v>20642.942494795108</v>
      </c>
      <c r="AD200" s="73">
        <f>IFERROR($U200*(1-$V200)+SUM($W$22:$W200)+$AB200,"")</f>
        <v>129371.99141417595</v>
      </c>
      <c r="AE200" s="73" t="b">
        <f t="shared" si="113"/>
        <v>0</v>
      </c>
      <c r="AF200" s="73">
        <f>IF(AND(AE200=TRUE,D200&gt;=65),$U200*(1-10%)+SUM($W$22:$W200)+$AB200,AD200)</f>
        <v>129371.99141417595</v>
      </c>
      <c r="AG200" s="73">
        <f t="shared" si="131"/>
        <v>435.21213993267787</v>
      </c>
      <c r="AH200" s="73">
        <f t="shared" si="132"/>
        <v>36912.854119736046</v>
      </c>
      <c r="AI200" s="73">
        <f t="shared" si="133"/>
        <v>130998.85411973603</v>
      </c>
      <c r="AJ200" s="73">
        <f t="shared" si="134"/>
        <v>123985.41183698618</v>
      </c>
      <c r="AK200" s="73" t="b">
        <f t="shared" si="114"/>
        <v>0</v>
      </c>
      <c r="AL200" s="73">
        <f t="shared" si="135"/>
        <v>123985.41183698618</v>
      </c>
      <c r="AM200" s="73">
        <f t="shared" si="122"/>
        <v>408.05102346020288</v>
      </c>
      <c r="AN200" s="73">
        <f t="shared" si="115"/>
        <v>77.529694457438552</v>
      </c>
      <c r="AO200" s="73">
        <f t="shared" si="116"/>
        <v>28659.82836706363</v>
      </c>
      <c r="AP200" s="73">
        <f t="shared" si="117"/>
        <v>122745.82836706362</v>
      </c>
    </row>
    <row r="201" spans="1:42" s="69" customFormat="1" x14ac:dyDescent="0.6">
      <c r="A201" s="78">
        <f t="shared" si="101"/>
        <v>180</v>
      </c>
      <c r="B201" s="78" t="str">
        <f>IF(E201&lt;=$F$9,VLOOKUP(KALKULATOR!A201,Robocze!$B$23:$C$102,2),"")</f>
        <v>15 rok</v>
      </c>
      <c r="C201" s="78">
        <f t="shared" si="104"/>
        <v>2035</v>
      </c>
      <c r="D201" s="79">
        <f t="shared" si="118"/>
        <v>55.000000000000426</v>
      </c>
      <c r="E201" s="80">
        <f t="shared" si="119"/>
        <v>49614</v>
      </c>
      <c r="F201" s="81">
        <f t="shared" si="105"/>
        <v>49643</v>
      </c>
      <c r="G201" s="82">
        <f>IFERROR(IF(AND(F201&lt;=$F$9,$F$5=Robocze!$B$4,$E201&lt;=$F$9,MONTH($F$8)=MONTH(E201)),$F$4,0)+IF(AND(F201&lt;=$F$9,$F$5=Robocze!$B$3,E201&lt;=$F$9),KALKULATOR!$F$4/12,0),"")</f>
        <v>0</v>
      </c>
      <c r="H201" s="82">
        <f t="shared" si="106"/>
        <v>94085.999999999985</v>
      </c>
      <c r="I201" s="83">
        <f t="shared" si="102"/>
        <v>0.04</v>
      </c>
      <c r="J201" s="82">
        <f t="shared" si="123"/>
        <v>0</v>
      </c>
      <c r="K201" s="84">
        <f t="shared" si="124"/>
        <v>15</v>
      </c>
      <c r="L201" s="82">
        <f t="shared" si="125"/>
        <v>94085.999999999985</v>
      </c>
      <c r="M201" s="82">
        <f t="shared" si="126"/>
        <v>129790.15752197649</v>
      </c>
      <c r="N201" s="82">
        <f t="shared" si="127"/>
        <v>129790.15752197649</v>
      </c>
      <c r="O201" s="82">
        <f t="shared" si="128"/>
        <v>124339.10874310949</v>
      </c>
      <c r="P201" s="82">
        <f t="shared" si="129"/>
        <v>124339.10874310949</v>
      </c>
      <c r="Q201" s="82">
        <f t="shared" si="130"/>
        <v>123077.24210365469</v>
      </c>
      <c r="R201" s="82"/>
      <c r="S201" s="85">
        <f t="shared" si="103"/>
        <v>0.17</v>
      </c>
      <c r="T201" s="82">
        <f t="shared" si="120"/>
        <v>436.66284706578654</v>
      </c>
      <c r="U201" s="82">
        <f t="shared" si="107"/>
        <v>131435.51696680175</v>
      </c>
      <c r="V201" s="85">
        <f t="shared" si="108"/>
        <v>0.17</v>
      </c>
      <c r="W201" s="82">
        <f t="shared" si="109"/>
        <v>0</v>
      </c>
      <c r="X201" s="82">
        <f>IF(B201&lt;&gt;"",IF(MONTH(E201)=MONTH($F$13),SUMIF($C$22:C583,"="&amp;(C201-1),$G$22:G583),0)*S201,"")</f>
        <v>0</v>
      </c>
      <c r="Y201" s="82">
        <f>IF(B201&lt;&gt;"",SUM($X$22:X201),"")</f>
        <v>15994.620000000006</v>
      </c>
      <c r="Z201" s="82">
        <f t="shared" si="121"/>
        <v>68.809808315983688</v>
      </c>
      <c r="AA201" s="82">
        <f t="shared" si="110"/>
        <v>13.073863580036901</v>
      </c>
      <c r="AB201" s="82">
        <f t="shared" si="111"/>
        <v>4704.058439531048</v>
      </c>
      <c r="AC201" s="82">
        <f t="shared" si="112"/>
        <v>20698.678439531053</v>
      </c>
      <c r="AD201" s="82">
        <f>IFERROR($U201*(1-$V201)+SUM($W$22:$W201)+$AB201,"")</f>
        <v>129790.15752197649</v>
      </c>
      <c r="AE201" s="73" t="b">
        <f t="shared" si="113"/>
        <v>0</v>
      </c>
      <c r="AF201" s="82">
        <f>IF(AND(AE201=TRUE,D201&gt;=65),$U201*(1-10%)+SUM($W$22:$W201)+$AB201,AD201)</f>
        <v>129790.15752197649</v>
      </c>
      <c r="AG201" s="82">
        <f t="shared" si="131"/>
        <v>436.66284706578676</v>
      </c>
      <c r="AH201" s="82">
        <f t="shared" si="132"/>
        <v>37349.516966801835</v>
      </c>
      <c r="AI201" s="82">
        <f t="shared" si="133"/>
        <v>131435.51696680184</v>
      </c>
      <c r="AJ201" s="82">
        <f t="shared" si="134"/>
        <v>124339.10874310949</v>
      </c>
      <c r="AK201" s="73" t="b">
        <f t="shared" si="114"/>
        <v>0</v>
      </c>
      <c r="AL201" s="82">
        <f t="shared" si="135"/>
        <v>124339.10874310949</v>
      </c>
      <c r="AM201" s="82">
        <f t="shared" si="122"/>
        <v>409.15276122354538</v>
      </c>
      <c r="AN201" s="82">
        <f t="shared" si="115"/>
        <v>77.73902463247363</v>
      </c>
      <c r="AO201" s="82">
        <f t="shared" si="116"/>
        <v>28991.242103654702</v>
      </c>
      <c r="AP201" s="82">
        <f t="shared" si="117"/>
        <v>123077.24210365469</v>
      </c>
    </row>
    <row r="202" spans="1:42" s="31" customFormat="1" x14ac:dyDescent="0.6">
      <c r="A202" s="70">
        <f t="shared" si="101"/>
        <v>181</v>
      </c>
      <c r="B202" s="70" t="str">
        <f>IF(E202&lt;=$F$9,VLOOKUP(KALKULATOR!A202,Robocze!$B$23:$C$102,2),"")</f>
        <v>16 rok</v>
      </c>
      <c r="C202" s="70">
        <f t="shared" si="104"/>
        <v>2035</v>
      </c>
      <c r="D202" s="71">
        <f t="shared" si="118"/>
        <v>55.083333333333762</v>
      </c>
      <c r="E202" s="72">
        <f t="shared" si="119"/>
        <v>49644</v>
      </c>
      <c r="F202" s="72">
        <f t="shared" si="105"/>
        <v>49674</v>
      </c>
      <c r="G202" s="73">
        <f>IFERROR(IF(AND(F202&lt;=$F$9,$F$5=Robocze!$B$4,$E202&lt;=$F$9,MONTH($F$8)=MONTH(E202)),$F$4,0)+IF(AND(F202&lt;=$F$9,$F$5=Robocze!$B$3,E202&lt;=$F$9),KALKULATOR!$F$4/12,0),"")</f>
        <v>6272.4</v>
      </c>
      <c r="H202" s="73">
        <f t="shared" si="106"/>
        <v>100358.39999999998</v>
      </c>
      <c r="I202" s="74">
        <f t="shared" si="102"/>
        <v>0.04</v>
      </c>
      <c r="J202" s="73">
        <f t="shared" si="123"/>
        <v>0</v>
      </c>
      <c r="K202" s="75" t="str">
        <f t="shared" si="124"/>
        <v/>
      </c>
      <c r="L202" s="73">
        <f t="shared" si="125"/>
        <v>100358.39999999998</v>
      </c>
      <c r="M202" s="73">
        <f t="shared" si="126"/>
        <v>136499.43585737137</v>
      </c>
      <c r="N202" s="73">
        <f t="shared" si="127"/>
        <v>136499.43585737137</v>
      </c>
      <c r="O202" s="73">
        <f t="shared" si="128"/>
        <v>130983.32011891984</v>
      </c>
      <c r="P202" s="73">
        <f t="shared" si="129"/>
        <v>130983.32011891984</v>
      </c>
      <c r="Q202" s="73">
        <f t="shared" si="130"/>
        <v>129698.88613733454</v>
      </c>
      <c r="R202" s="73"/>
      <c r="S202" s="76">
        <f t="shared" si="103"/>
        <v>0.17</v>
      </c>
      <c r="T202" s="73">
        <f t="shared" si="120"/>
        <v>459.02638988933916</v>
      </c>
      <c r="U202" s="73">
        <f t="shared" si="107"/>
        <v>138166.94335669107</v>
      </c>
      <c r="V202" s="76">
        <f t="shared" si="108"/>
        <v>0.17</v>
      </c>
      <c r="W202" s="73">
        <f t="shared" si="109"/>
        <v>1066.308</v>
      </c>
      <c r="X202" s="73">
        <f>IF(B202&lt;&gt;"",IF(MONTH(E202)=MONTH($F$13),SUMIF($C$22:C584,"="&amp;(C202-1),$G$22:G584),0)*S202,"")</f>
        <v>0</v>
      </c>
      <c r="Y202" s="73">
        <f>IF(B202&lt;&gt;"",SUM($X$22:X202),"")</f>
        <v>15994.620000000006</v>
      </c>
      <c r="Z202" s="73">
        <f t="shared" si="121"/>
        <v>68.995594798436841</v>
      </c>
      <c r="AA202" s="73">
        <f t="shared" si="110"/>
        <v>13.109163011703</v>
      </c>
      <c r="AB202" s="73">
        <f t="shared" si="111"/>
        <v>4759.9448713177826</v>
      </c>
      <c r="AC202" s="73">
        <f t="shared" si="112"/>
        <v>20754.564871317787</v>
      </c>
      <c r="AD202" s="73">
        <f>IFERROR($U202*(1-$V202)+SUM($W$22:$W202)+$AB202,"")</f>
        <v>136499.43585737137</v>
      </c>
      <c r="AE202" s="73" t="b">
        <f t="shared" si="113"/>
        <v>0</v>
      </c>
      <c r="AF202" s="73">
        <f>IF(AND(AE202=TRUE,D202&gt;=65),$U202*(1-10%)+SUM($W$22:$W202)+$AB202,AD202)</f>
        <v>136499.43585737137</v>
      </c>
      <c r="AG202" s="73">
        <f t="shared" si="131"/>
        <v>459.02638988933944</v>
      </c>
      <c r="AH202" s="73">
        <f t="shared" si="132"/>
        <v>37808.543356691174</v>
      </c>
      <c r="AI202" s="73">
        <f t="shared" si="133"/>
        <v>138166.94335669116</v>
      </c>
      <c r="AJ202" s="73">
        <f t="shared" si="134"/>
        <v>130983.32011891984</v>
      </c>
      <c r="AK202" s="73" t="b">
        <f t="shared" si="114"/>
        <v>0</v>
      </c>
      <c r="AL202" s="73">
        <f t="shared" si="135"/>
        <v>130983.32011891984</v>
      </c>
      <c r="AM202" s="73">
        <f t="shared" si="122"/>
        <v>431.16547367884891</v>
      </c>
      <c r="AN202" s="73">
        <f t="shared" si="115"/>
        <v>81.921439998981299</v>
      </c>
      <c r="AO202" s="73">
        <f t="shared" si="116"/>
        <v>29340.486137334563</v>
      </c>
      <c r="AP202" s="73">
        <f t="shared" si="117"/>
        <v>129698.88613733454</v>
      </c>
    </row>
    <row r="203" spans="1:42" s="31" customFormat="1" x14ac:dyDescent="0.6">
      <c r="A203" s="70">
        <f t="shared" si="101"/>
        <v>182</v>
      </c>
      <c r="B203" s="70" t="str">
        <f>IF(E203&lt;=$F$9,VLOOKUP(KALKULATOR!A203,Robocze!$B$23:$C$102,2),"")</f>
        <v>16 rok</v>
      </c>
      <c r="C203" s="70">
        <f t="shared" si="104"/>
        <v>2036</v>
      </c>
      <c r="D203" s="71">
        <f t="shared" si="118"/>
        <v>55.166666666667098</v>
      </c>
      <c r="E203" s="77">
        <f t="shared" si="119"/>
        <v>49675</v>
      </c>
      <c r="F203" s="72">
        <f t="shared" si="105"/>
        <v>49705</v>
      </c>
      <c r="G203" s="73">
        <f>IFERROR(IF(AND(F203&lt;=$F$9,$F$5=Robocze!$B$4,$E203&lt;=$F$9,MONTH($F$8)=MONTH(E203)),$F$4,0)+IF(AND(F203&lt;=$F$9,$F$5=Robocze!$B$3,E203&lt;=$F$9),KALKULATOR!$F$4/12,0),"")</f>
        <v>0</v>
      </c>
      <c r="H203" s="73">
        <f t="shared" si="106"/>
        <v>100358.39999999998</v>
      </c>
      <c r="I203" s="74">
        <f t="shared" si="102"/>
        <v>0.04</v>
      </c>
      <c r="J203" s="73">
        <f t="shared" si="123"/>
        <v>0</v>
      </c>
      <c r="K203" s="75" t="str">
        <f t="shared" si="124"/>
        <v/>
      </c>
      <c r="L203" s="73">
        <f t="shared" si="125"/>
        <v>100358.39999999998</v>
      </c>
      <c r="M203" s="73">
        <f t="shared" si="126"/>
        <v>136937.73505914412</v>
      </c>
      <c r="N203" s="73">
        <f t="shared" si="127"/>
        <v>136937.73505914412</v>
      </c>
      <c r="O203" s="73">
        <f t="shared" si="128"/>
        <v>131356.3708659829</v>
      </c>
      <c r="P203" s="73">
        <f t="shared" si="129"/>
        <v>131356.3708659829</v>
      </c>
      <c r="Q203" s="73">
        <f t="shared" si="130"/>
        <v>130049.07312990534</v>
      </c>
      <c r="R203" s="73"/>
      <c r="S203" s="76">
        <f t="shared" si="103"/>
        <v>0.17</v>
      </c>
      <c r="T203" s="73">
        <f t="shared" si="120"/>
        <v>460.55647785563696</v>
      </c>
      <c r="U203" s="73">
        <f t="shared" si="107"/>
        <v>138627.4998345467</v>
      </c>
      <c r="V203" s="76">
        <f t="shared" si="108"/>
        <v>0.17</v>
      </c>
      <c r="W203" s="73">
        <f t="shared" si="109"/>
        <v>0</v>
      </c>
      <c r="X203" s="73">
        <f>IF(B203&lt;&gt;"",IF(MONTH(E203)=MONTH($F$13),SUMIF($C$22:C585,"="&amp;(C203-1),$G$22:G585),0)*S203,"")</f>
        <v>0</v>
      </c>
      <c r="Y203" s="73">
        <f>IF(B203&lt;&gt;"",SUM($X$22:X203),"")</f>
        <v>15994.620000000006</v>
      </c>
      <c r="Z203" s="73">
        <f t="shared" si="121"/>
        <v>69.181882904392623</v>
      </c>
      <c r="AA203" s="73">
        <f t="shared" si="110"/>
        <v>13.144557751834599</v>
      </c>
      <c r="AB203" s="73">
        <f t="shared" si="111"/>
        <v>4815.9821964703406</v>
      </c>
      <c r="AC203" s="73">
        <f t="shared" si="112"/>
        <v>20810.602196470343</v>
      </c>
      <c r="AD203" s="73">
        <f>IFERROR($U203*(1-$V203)+SUM($W$22:$W203)+$AB203,"")</f>
        <v>136937.73505914412</v>
      </c>
      <c r="AE203" s="73" t="b">
        <f t="shared" si="113"/>
        <v>0</v>
      </c>
      <c r="AF203" s="73">
        <f>IF(AND(AE203=TRUE,D203&gt;=65),$U203*(1-10%)+SUM($W$22:$W203)+$AB203,AD203)</f>
        <v>136937.73505914412</v>
      </c>
      <c r="AG203" s="73">
        <f t="shared" si="131"/>
        <v>460.55647785563724</v>
      </c>
      <c r="AH203" s="73">
        <f t="shared" si="132"/>
        <v>38269.099834546811</v>
      </c>
      <c r="AI203" s="73">
        <f t="shared" si="133"/>
        <v>138627.49983454679</v>
      </c>
      <c r="AJ203" s="73">
        <f t="shared" si="134"/>
        <v>131356.3708659829</v>
      </c>
      <c r="AK203" s="73" t="b">
        <f t="shared" si="114"/>
        <v>0</v>
      </c>
      <c r="AL203" s="73">
        <f t="shared" si="135"/>
        <v>131356.3708659829</v>
      </c>
      <c r="AM203" s="73">
        <f t="shared" si="122"/>
        <v>432.3296204577818</v>
      </c>
      <c r="AN203" s="73">
        <f t="shared" si="115"/>
        <v>82.142627886978545</v>
      </c>
      <c r="AO203" s="73">
        <f t="shared" si="116"/>
        <v>29690.673129905364</v>
      </c>
      <c r="AP203" s="73">
        <f t="shared" si="117"/>
        <v>130049.07312990534</v>
      </c>
    </row>
    <row r="204" spans="1:42" s="31" customFormat="1" x14ac:dyDescent="0.6">
      <c r="A204" s="70">
        <f t="shared" si="101"/>
        <v>183</v>
      </c>
      <c r="B204" s="70" t="str">
        <f>IF(E204&lt;=$F$9,VLOOKUP(KALKULATOR!A204,Robocze!$B$23:$C$102,2),"")</f>
        <v>16 rok</v>
      </c>
      <c r="C204" s="70">
        <f t="shared" si="104"/>
        <v>2036</v>
      </c>
      <c r="D204" s="71">
        <f t="shared" si="118"/>
        <v>55.250000000000433</v>
      </c>
      <c r="E204" s="77">
        <f t="shared" si="119"/>
        <v>49706</v>
      </c>
      <c r="F204" s="72">
        <f t="shared" si="105"/>
        <v>49734</v>
      </c>
      <c r="G204" s="73">
        <f>IFERROR(IF(AND(F204&lt;=$F$9,$F$5=Robocze!$B$4,$E204&lt;=$F$9,MONTH($F$8)=MONTH(E204)),$F$4,0)+IF(AND(F204&lt;=$F$9,$F$5=Robocze!$B$3,E204&lt;=$F$9),KALKULATOR!$F$4/12,0),"")</f>
        <v>0</v>
      </c>
      <c r="H204" s="73">
        <f t="shared" si="106"/>
        <v>100358.39999999998</v>
      </c>
      <c r="I204" s="74">
        <f t="shared" si="102"/>
        <v>0.04</v>
      </c>
      <c r="J204" s="73">
        <f t="shared" si="123"/>
        <v>0</v>
      </c>
      <c r="K204" s="75" t="str">
        <f t="shared" si="124"/>
        <v/>
      </c>
      <c r="L204" s="73">
        <f t="shared" si="125"/>
        <v>100358.39999999998</v>
      </c>
      <c r="M204" s="73">
        <f t="shared" si="126"/>
        <v>137377.45976795015</v>
      </c>
      <c r="N204" s="73">
        <f t="shared" si="127"/>
        <v>137377.45976795015</v>
      </c>
      <c r="O204" s="73">
        <f t="shared" si="128"/>
        <v>131730.66511553616</v>
      </c>
      <c r="P204" s="73">
        <f t="shared" si="129"/>
        <v>131730.66511553616</v>
      </c>
      <c r="Q204" s="73">
        <f t="shared" si="130"/>
        <v>130400.20562735609</v>
      </c>
      <c r="R204" s="73"/>
      <c r="S204" s="76">
        <f t="shared" si="103"/>
        <v>0.17</v>
      </c>
      <c r="T204" s="73">
        <f t="shared" si="120"/>
        <v>462.0916661151557</v>
      </c>
      <c r="U204" s="73">
        <f t="shared" si="107"/>
        <v>139089.59150066186</v>
      </c>
      <c r="V204" s="76">
        <f t="shared" si="108"/>
        <v>0.17</v>
      </c>
      <c r="W204" s="73">
        <f t="shared" si="109"/>
        <v>0</v>
      </c>
      <c r="X204" s="73">
        <f>IF(B204&lt;&gt;"",IF(MONTH(E204)=MONTH($F$13),SUMIF($C$22:C586,"="&amp;(C204-1),$G$22:G586),0)*S204,"")</f>
        <v>0</v>
      </c>
      <c r="Y204" s="73">
        <f>IF(B204&lt;&gt;"",SUM($X$22:X204),"")</f>
        <v>15994.620000000006</v>
      </c>
      <c r="Z204" s="73">
        <f t="shared" si="121"/>
        <v>69.368673988234477</v>
      </c>
      <c r="AA204" s="73">
        <f t="shared" si="110"/>
        <v>13.180048057764552</v>
      </c>
      <c r="AB204" s="73">
        <f t="shared" si="111"/>
        <v>4872.1708224008098</v>
      </c>
      <c r="AC204" s="73">
        <f t="shared" si="112"/>
        <v>20866.790822400813</v>
      </c>
      <c r="AD204" s="73">
        <f>IFERROR($U204*(1-$V204)+SUM($W$22:$W204)+$AB204,"")</f>
        <v>137377.45976795015</v>
      </c>
      <c r="AE204" s="73" t="b">
        <f t="shared" si="113"/>
        <v>0</v>
      </c>
      <c r="AF204" s="73">
        <f>IF(AND(AE204=TRUE,D204&gt;=65),$U204*(1-10%)+SUM($W$22:$W204)+$AB204,AD204)</f>
        <v>137377.45976795015</v>
      </c>
      <c r="AG204" s="73">
        <f t="shared" si="131"/>
        <v>462.09166611515599</v>
      </c>
      <c r="AH204" s="73">
        <f t="shared" si="132"/>
        <v>38731.191500661967</v>
      </c>
      <c r="AI204" s="73">
        <f t="shared" si="133"/>
        <v>139089.59150066195</v>
      </c>
      <c r="AJ204" s="73">
        <f t="shared" si="134"/>
        <v>131730.66511553616</v>
      </c>
      <c r="AK204" s="73" t="b">
        <f t="shared" si="114"/>
        <v>0</v>
      </c>
      <c r="AL204" s="73">
        <f t="shared" si="135"/>
        <v>131730.66511553616</v>
      </c>
      <c r="AM204" s="73">
        <f t="shared" si="122"/>
        <v>433.49691043301783</v>
      </c>
      <c r="AN204" s="73">
        <f t="shared" si="115"/>
        <v>82.364412982273393</v>
      </c>
      <c r="AO204" s="73">
        <f t="shared" si="116"/>
        <v>30041.805627356109</v>
      </c>
      <c r="AP204" s="73">
        <f t="shared" si="117"/>
        <v>130400.20562735609</v>
      </c>
    </row>
    <row r="205" spans="1:42" s="31" customFormat="1" x14ac:dyDescent="0.6">
      <c r="A205" s="70">
        <f t="shared" si="101"/>
        <v>184</v>
      </c>
      <c r="B205" s="70" t="str">
        <f>IF(E205&lt;=$F$9,VLOOKUP(KALKULATOR!A205,Robocze!$B$23:$C$102,2),"")</f>
        <v>16 rok</v>
      </c>
      <c r="C205" s="70">
        <f t="shared" si="104"/>
        <v>2036</v>
      </c>
      <c r="D205" s="71">
        <f t="shared" si="118"/>
        <v>55.333333333333769</v>
      </c>
      <c r="E205" s="77">
        <f t="shared" si="119"/>
        <v>49735</v>
      </c>
      <c r="F205" s="72">
        <f t="shared" si="105"/>
        <v>49765</v>
      </c>
      <c r="G205" s="73">
        <f>IFERROR(IF(AND(F205&lt;=$F$9,$F$5=Robocze!$B$4,$E205&lt;=$F$9,MONTH($F$8)=MONTH(E205)),$F$4,0)+IF(AND(F205&lt;=$F$9,$F$5=Robocze!$B$3,E205&lt;=$F$9),KALKULATOR!$F$4/12,0),"")</f>
        <v>0</v>
      </c>
      <c r="H205" s="73">
        <f t="shared" si="106"/>
        <v>100358.39999999998</v>
      </c>
      <c r="I205" s="74">
        <f t="shared" si="102"/>
        <v>0.04</v>
      </c>
      <c r="J205" s="73">
        <f t="shared" si="123"/>
        <v>0</v>
      </c>
      <c r="K205" s="75" t="str">
        <f t="shared" si="124"/>
        <v/>
      </c>
      <c r="L205" s="73">
        <f t="shared" si="125"/>
        <v>100358.39999999998</v>
      </c>
      <c r="M205" s="73">
        <f t="shared" si="126"/>
        <v>137818.61463965577</v>
      </c>
      <c r="N205" s="73">
        <f t="shared" si="127"/>
        <v>137818.61463965577</v>
      </c>
      <c r="O205" s="73">
        <f t="shared" si="128"/>
        <v>132106.20701258798</v>
      </c>
      <c r="P205" s="73">
        <f t="shared" si="129"/>
        <v>132106.20701258798</v>
      </c>
      <c r="Q205" s="73">
        <f t="shared" si="130"/>
        <v>130752.28618254994</v>
      </c>
      <c r="R205" s="73"/>
      <c r="S205" s="76">
        <f t="shared" si="103"/>
        <v>0.17</v>
      </c>
      <c r="T205" s="73">
        <f t="shared" si="120"/>
        <v>463.63197166887289</v>
      </c>
      <c r="U205" s="73">
        <f t="shared" si="107"/>
        <v>139553.22347233072</v>
      </c>
      <c r="V205" s="76">
        <f t="shared" si="108"/>
        <v>0.17</v>
      </c>
      <c r="W205" s="73">
        <f t="shared" si="109"/>
        <v>0</v>
      </c>
      <c r="X205" s="73">
        <f>IF(B205&lt;&gt;"",IF(MONTH(E205)=MONTH($F$13),SUMIF($C$22:C587,"="&amp;(C205-1),$G$22:G587),0)*S205,"")</f>
        <v>0</v>
      </c>
      <c r="Y205" s="73">
        <f>IF(B205&lt;&gt;"",SUM($X$22:X205),"")</f>
        <v>15994.620000000006</v>
      </c>
      <c r="Z205" s="73">
        <f t="shared" si="121"/>
        <v>69.55596940800271</v>
      </c>
      <c r="AA205" s="73">
        <f t="shared" si="110"/>
        <v>13.215634187520514</v>
      </c>
      <c r="AB205" s="73">
        <f t="shared" si="111"/>
        <v>4928.5111576212921</v>
      </c>
      <c r="AC205" s="73">
        <f t="shared" si="112"/>
        <v>20923.131157621297</v>
      </c>
      <c r="AD205" s="73">
        <f>IFERROR($U205*(1-$V205)+SUM($W$22:$W205)+$AB205,"")</f>
        <v>137818.61463965577</v>
      </c>
      <c r="AE205" s="73" t="b">
        <f t="shared" si="113"/>
        <v>0</v>
      </c>
      <c r="AF205" s="73">
        <f>IF(AND(AE205=TRUE,D205&gt;=65),$U205*(1-10%)+SUM($W$22:$W205)+$AB205,AD205)</f>
        <v>137818.61463965577</v>
      </c>
      <c r="AG205" s="73">
        <f t="shared" si="131"/>
        <v>463.63197166887318</v>
      </c>
      <c r="AH205" s="73">
        <f t="shared" si="132"/>
        <v>39194.823472330841</v>
      </c>
      <c r="AI205" s="73">
        <f t="shared" si="133"/>
        <v>139553.22347233084</v>
      </c>
      <c r="AJ205" s="73">
        <f t="shared" si="134"/>
        <v>132106.20701258798</v>
      </c>
      <c r="AK205" s="73" t="b">
        <f t="shared" si="114"/>
        <v>0</v>
      </c>
      <c r="AL205" s="73">
        <f t="shared" si="135"/>
        <v>132106.20701258798</v>
      </c>
      <c r="AM205" s="73">
        <f t="shared" si="122"/>
        <v>434.66735209118696</v>
      </c>
      <c r="AN205" s="73">
        <f t="shared" si="115"/>
        <v>82.586796897325527</v>
      </c>
      <c r="AO205" s="73">
        <f t="shared" si="116"/>
        <v>30393.886182549963</v>
      </c>
      <c r="AP205" s="73">
        <f t="shared" si="117"/>
        <v>130752.28618254994</v>
      </c>
    </row>
    <row r="206" spans="1:42" s="31" customFormat="1" x14ac:dyDescent="0.6">
      <c r="A206" s="70">
        <f t="shared" si="101"/>
        <v>185</v>
      </c>
      <c r="B206" s="70" t="str">
        <f>IF(E206&lt;=$F$9,VLOOKUP(KALKULATOR!A206,Robocze!$B$23:$C$102,2),"")</f>
        <v>16 rok</v>
      </c>
      <c r="C206" s="70">
        <f t="shared" si="104"/>
        <v>2036</v>
      </c>
      <c r="D206" s="71">
        <f t="shared" si="118"/>
        <v>55.416666666667105</v>
      </c>
      <c r="E206" s="77">
        <f t="shared" si="119"/>
        <v>49766</v>
      </c>
      <c r="F206" s="72">
        <f t="shared" si="105"/>
        <v>49795</v>
      </c>
      <c r="G206" s="73">
        <f>IFERROR(IF(AND(F206&lt;=$F$9,$F$5=Robocze!$B$4,$E206&lt;=$F$9,MONTH($F$8)=MONTH(E206)),$F$4,0)+IF(AND(F206&lt;=$F$9,$F$5=Robocze!$B$3,E206&lt;=$F$9),KALKULATOR!$F$4/12,0),"")</f>
        <v>0</v>
      </c>
      <c r="H206" s="73">
        <f t="shared" si="106"/>
        <v>100358.39999999998</v>
      </c>
      <c r="I206" s="74">
        <f t="shared" si="102"/>
        <v>0.04</v>
      </c>
      <c r="J206" s="73">
        <f t="shared" si="123"/>
        <v>0</v>
      </c>
      <c r="K206" s="75" t="str">
        <f t="shared" si="124"/>
        <v/>
      </c>
      <c r="L206" s="73">
        <f t="shared" si="125"/>
        <v>100358.39999999998</v>
      </c>
      <c r="M206" s="73">
        <f t="shared" si="126"/>
        <v>138264.08337698816</v>
      </c>
      <c r="N206" s="73">
        <f t="shared" si="127"/>
        <v>138264.08337698816</v>
      </c>
      <c r="O206" s="73">
        <f t="shared" si="128"/>
        <v>132483.00071596325</v>
      </c>
      <c r="P206" s="73">
        <f t="shared" si="129"/>
        <v>132483.00071596325</v>
      </c>
      <c r="Q206" s="73">
        <f t="shared" si="130"/>
        <v>131105.31735524282</v>
      </c>
      <c r="R206" s="73"/>
      <c r="S206" s="76">
        <f t="shared" si="103"/>
        <v>0.17</v>
      </c>
      <c r="T206" s="73">
        <f t="shared" si="120"/>
        <v>465.17741157443578</v>
      </c>
      <c r="U206" s="73">
        <f t="shared" si="107"/>
        <v>140018.40088390515</v>
      </c>
      <c r="V206" s="76">
        <f t="shared" si="108"/>
        <v>0.17</v>
      </c>
      <c r="W206" s="73">
        <f t="shared" si="109"/>
        <v>0</v>
      </c>
      <c r="X206" s="73">
        <f>IF(B206&lt;&gt;"",IF(MONTH(E206)=MONTH($F$13),SUMIF($C$22:C588,"="&amp;(C206-1),$G$22:G588),0)*S206,"")</f>
        <v>1066.308</v>
      </c>
      <c r="Y206" s="73">
        <f>IF(B206&lt;&gt;"",SUM($X$22:X206),"")</f>
        <v>17060.928000000007</v>
      </c>
      <c r="Z206" s="73">
        <f t="shared" si="121"/>
        <v>73.298130525404332</v>
      </c>
      <c r="AA206" s="73">
        <f t="shared" si="110"/>
        <v>13.926644799826823</v>
      </c>
      <c r="AB206" s="73">
        <f t="shared" si="111"/>
        <v>4987.8826433468694</v>
      </c>
      <c r="AC206" s="73">
        <f t="shared" si="112"/>
        <v>22048.810643346875</v>
      </c>
      <c r="AD206" s="73">
        <f>IFERROR($U206*(1-$V206)+SUM($W$22:$W206)+$AB206,"")</f>
        <v>138264.08337698816</v>
      </c>
      <c r="AE206" s="73" t="b">
        <f t="shared" si="113"/>
        <v>0</v>
      </c>
      <c r="AF206" s="73">
        <f>IF(AND(AE206=TRUE,D206&gt;=65),$U206*(1-10%)+SUM($W$22:$W206)+$AB206,AD206)</f>
        <v>138264.08337698816</v>
      </c>
      <c r="AG206" s="73">
        <f t="shared" si="131"/>
        <v>465.17741157443612</v>
      </c>
      <c r="AH206" s="73">
        <f t="shared" si="132"/>
        <v>39660.000883905275</v>
      </c>
      <c r="AI206" s="73">
        <f t="shared" si="133"/>
        <v>140018.40088390524</v>
      </c>
      <c r="AJ206" s="73">
        <f t="shared" si="134"/>
        <v>132483.00071596325</v>
      </c>
      <c r="AK206" s="73" t="b">
        <f t="shared" si="114"/>
        <v>0</v>
      </c>
      <c r="AL206" s="73">
        <f t="shared" si="135"/>
        <v>132483.00071596325</v>
      </c>
      <c r="AM206" s="73">
        <f t="shared" si="122"/>
        <v>435.84095394183311</v>
      </c>
      <c r="AN206" s="73">
        <f t="shared" si="115"/>
        <v>82.809781248948298</v>
      </c>
      <c r="AO206" s="73">
        <f t="shared" si="116"/>
        <v>30746.91735524284</v>
      </c>
      <c r="AP206" s="73">
        <f t="shared" si="117"/>
        <v>131105.31735524282</v>
      </c>
    </row>
    <row r="207" spans="1:42" s="31" customFormat="1" x14ac:dyDescent="0.6">
      <c r="A207" s="70">
        <f t="shared" si="101"/>
        <v>186</v>
      </c>
      <c r="B207" s="70" t="str">
        <f>IF(E207&lt;=$F$9,VLOOKUP(KALKULATOR!A207,Robocze!$B$23:$C$102,2),"")</f>
        <v>16 rok</v>
      </c>
      <c r="C207" s="70">
        <f t="shared" si="104"/>
        <v>2036</v>
      </c>
      <c r="D207" s="71">
        <f t="shared" si="118"/>
        <v>55.500000000000441</v>
      </c>
      <c r="E207" s="77">
        <f t="shared" si="119"/>
        <v>49796</v>
      </c>
      <c r="F207" s="72">
        <f t="shared" si="105"/>
        <v>49826</v>
      </c>
      <c r="G207" s="73">
        <f>IFERROR(IF(AND(F207&lt;=$F$9,$F$5=Robocze!$B$4,$E207&lt;=$F$9,MONTH($F$8)=MONTH(E207)),$F$4,0)+IF(AND(F207&lt;=$F$9,$F$5=Robocze!$B$3,E207&lt;=$F$9),KALKULATOR!$F$4/12,0),"")</f>
        <v>0</v>
      </c>
      <c r="H207" s="73">
        <f t="shared" si="106"/>
        <v>100358.39999999998</v>
      </c>
      <c r="I207" s="74">
        <f t="shared" si="102"/>
        <v>0.04</v>
      </c>
      <c r="J207" s="73">
        <f t="shared" si="123"/>
        <v>0</v>
      </c>
      <c r="K207" s="75" t="str">
        <f t="shared" si="124"/>
        <v/>
      </c>
      <c r="L207" s="73">
        <f t="shared" si="125"/>
        <v>100358.39999999998</v>
      </c>
      <c r="M207" s="73">
        <f t="shared" si="126"/>
        <v>138710.99940817064</v>
      </c>
      <c r="N207" s="73">
        <f t="shared" si="127"/>
        <v>138710.99940817064</v>
      </c>
      <c r="O207" s="73">
        <f t="shared" si="128"/>
        <v>132861.05039834979</v>
      </c>
      <c r="P207" s="73">
        <f t="shared" si="129"/>
        <v>132861.05039834979</v>
      </c>
      <c r="Q207" s="73">
        <f t="shared" si="130"/>
        <v>131459.30171210197</v>
      </c>
      <c r="R207" s="73"/>
      <c r="S207" s="76">
        <f t="shared" si="103"/>
        <v>0.17</v>
      </c>
      <c r="T207" s="73">
        <f t="shared" si="120"/>
        <v>466.72800294635056</v>
      </c>
      <c r="U207" s="73">
        <f t="shared" si="107"/>
        <v>140485.12888685151</v>
      </c>
      <c r="V207" s="76">
        <f t="shared" si="108"/>
        <v>0.17</v>
      </c>
      <c r="W207" s="73">
        <f t="shared" si="109"/>
        <v>0</v>
      </c>
      <c r="X207" s="73">
        <f>IF(B207&lt;&gt;"",IF(MONTH(E207)=MONTH($F$13),SUMIF($C$22:C589,"="&amp;(C207-1),$G$22:G589),0)*S207,"")</f>
        <v>0</v>
      </c>
      <c r="Y207" s="73">
        <f>IF(B207&lt;&gt;"",SUM($X$22:X207),"")</f>
        <v>17060.928000000007</v>
      </c>
      <c r="Z207" s="73">
        <f t="shared" si="121"/>
        <v>73.496035477822915</v>
      </c>
      <c r="AA207" s="73">
        <f t="shared" si="110"/>
        <v>13.964246740786354</v>
      </c>
      <c r="AB207" s="73">
        <f t="shared" si="111"/>
        <v>5047.4144320839059</v>
      </c>
      <c r="AC207" s="73">
        <f t="shared" si="112"/>
        <v>22108.342432083911</v>
      </c>
      <c r="AD207" s="73">
        <f>IFERROR($U207*(1-$V207)+SUM($W$22:$W207)+$AB207,"")</f>
        <v>138710.99940817064</v>
      </c>
      <c r="AE207" s="73" t="b">
        <f t="shared" si="113"/>
        <v>0</v>
      </c>
      <c r="AF207" s="73">
        <f>IF(AND(AE207=TRUE,D207&gt;=65),$U207*(1-10%)+SUM($W$22:$W207)+$AB207,AD207)</f>
        <v>138710.99940817064</v>
      </c>
      <c r="AG207" s="73">
        <f t="shared" si="131"/>
        <v>466.72800294635084</v>
      </c>
      <c r="AH207" s="73">
        <f t="shared" si="132"/>
        <v>40126.728886851626</v>
      </c>
      <c r="AI207" s="73">
        <f t="shared" si="133"/>
        <v>140485.1288868516</v>
      </c>
      <c r="AJ207" s="73">
        <f t="shared" si="134"/>
        <v>132861.05039834979</v>
      </c>
      <c r="AK207" s="73" t="b">
        <f t="shared" si="114"/>
        <v>0</v>
      </c>
      <c r="AL207" s="73">
        <f t="shared" si="135"/>
        <v>132861.05039834979</v>
      </c>
      <c r="AM207" s="73">
        <f t="shared" si="122"/>
        <v>437.0177245174761</v>
      </c>
      <c r="AN207" s="73">
        <f t="shared" si="115"/>
        <v>83.033367658320458</v>
      </c>
      <c r="AO207" s="73">
        <f t="shared" si="116"/>
        <v>31100.901712101986</v>
      </c>
      <c r="AP207" s="73">
        <f t="shared" si="117"/>
        <v>131459.30171210197</v>
      </c>
    </row>
    <row r="208" spans="1:42" s="31" customFormat="1" x14ac:dyDescent="0.6">
      <c r="A208" s="70">
        <f t="shared" si="101"/>
        <v>187</v>
      </c>
      <c r="B208" s="70" t="str">
        <f>IF(E208&lt;=$F$9,VLOOKUP(KALKULATOR!A208,Robocze!$B$23:$C$102,2),"")</f>
        <v>16 rok</v>
      </c>
      <c r="C208" s="70">
        <f t="shared" si="104"/>
        <v>2036</v>
      </c>
      <c r="D208" s="71">
        <f t="shared" si="118"/>
        <v>55.583333333333776</v>
      </c>
      <c r="E208" s="77">
        <f t="shared" si="119"/>
        <v>49827</v>
      </c>
      <c r="F208" s="72">
        <f t="shared" si="105"/>
        <v>49856</v>
      </c>
      <c r="G208" s="73">
        <f>IFERROR(IF(AND(F208&lt;=$F$9,$F$5=Robocze!$B$4,$E208&lt;=$F$9,MONTH($F$8)=MONTH(E208)),$F$4,0)+IF(AND(F208&lt;=$F$9,$F$5=Robocze!$B$3,E208&lt;=$F$9),KALKULATOR!$F$4/12,0),"")</f>
        <v>0</v>
      </c>
      <c r="H208" s="73">
        <f t="shared" si="106"/>
        <v>100358.39999999998</v>
      </c>
      <c r="I208" s="74">
        <f t="shared" si="102"/>
        <v>0.04</v>
      </c>
      <c r="J208" s="73">
        <f t="shared" si="123"/>
        <v>0</v>
      </c>
      <c r="K208" s="75" t="str">
        <f t="shared" si="124"/>
        <v/>
      </c>
      <c r="L208" s="73">
        <f t="shared" si="125"/>
        <v>100358.39999999998</v>
      </c>
      <c r="M208" s="73">
        <f t="shared" si="126"/>
        <v>139159.36745599093</v>
      </c>
      <c r="N208" s="73">
        <f t="shared" si="127"/>
        <v>139159.36745599093</v>
      </c>
      <c r="O208" s="73">
        <f t="shared" si="128"/>
        <v>133240.36024634429</v>
      </c>
      <c r="P208" s="73">
        <f t="shared" si="129"/>
        <v>133240.36024634429</v>
      </c>
      <c r="Q208" s="73">
        <f t="shared" si="130"/>
        <v>131814.24182672464</v>
      </c>
      <c r="R208" s="73"/>
      <c r="S208" s="76">
        <f t="shared" si="103"/>
        <v>0.17</v>
      </c>
      <c r="T208" s="73">
        <f t="shared" si="120"/>
        <v>468.28376295617176</v>
      </c>
      <c r="U208" s="73">
        <f t="shared" si="107"/>
        <v>140953.41264980769</v>
      </c>
      <c r="V208" s="76">
        <f t="shared" si="108"/>
        <v>0.17</v>
      </c>
      <c r="W208" s="73">
        <f t="shared" si="109"/>
        <v>0</v>
      </c>
      <c r="X208" s="73">
        <f>IF(B208&lt;&gt;"",IF(MONTH(E208)=MONTH($F$13),SUMIF($C$22:C590,"="&amp;(C208-1),$G$22:G590),0)*S208,"")</f>
        <v>0</v>
      </c>
      <c r="Y208" s="73">
        <f>IF(B208&lt;&gt;"",SUM($X$22:X208),"")</f>
        <v>17060.928000000007</v>
      </c>
      <c r="Z208" s="73">
        <f t="shared" si="121"/>
        <v>73.694474773613038</v>
      </c>
      <c r="AA208" s="73">
        <f t="shared" si="110"/>
        <v>14.001950206986477</v>
      </c>
      <c r="AB208" s="73">
        <f t="shared" si="111"/>
        <v>5107.106956650533</v>
      </c>
      <c r="AC208" s="73">
        <f t="shared" si="112"/>
        <v>22168.034956650536</v>
      </c>
      <c r="AD208" s="73">
        <f>IFERROR($U208*(1-$V208)+SUM($W$22:$W208)+$AB208,"")</f>
        <v>139159.36745599093</v>
      </c>
      <c r="AE208" s="73" t="b">
        <f t="shared" si="113"/>
        <v>0</v>
      </c>
      <c r="AF208" s="73">
        <f>IF(AND(AE208=TRUE,D208&gt;=65),$U208*(1-10%)+SUM($W$22:$W208)+$AB208,AD208)</f>
        <v>139159.36745599093</v>
      </c>
      <c r="AG208" s="73">
        <f t="shared" si="131"/>
        <v>468.28376295617204</v>
      </c>
      <c r="AH208" s="73">
        <f t="shared" si="132"/>
        <v>40595.012649807795</v>
      </c>
      <c r="AI208" s="73">
        <f t="shared" si="133"/>
        <v>140953.41264980778</v>
      </c>
      <c r="AJ208" s="73">
        <f t="shared" si="134"/>
        <v>133240.36024634429</v>
      </c>
      <c r="AK208" s="73" t="b">
        <f t="shared" si="114"/>
        <v>0</v>
      </c>
      <c r="AL208" s="73">
        <f t="shared" si="135"/>
        <v>133240.36024634429</v>
      </c>
      <c r="AM208" s="73">
        <f t="shared" si="122"/>
        <v>438.19767237367324</v>
      </c>
      <c r="AN208" s="73">
        <f t="shared" si="115"/>
        <v>83.257557750997918</v>
      </c>
      <c r="AO208" s="73">
        <f t="shared" si="116"/>
        <v>31455.84182672466</v>
      </c>
      <c r="AP208" s="73">
        <f t="shared" si="117"/>
        <v>131814.24182672464</v>
      </c>
    </row>
    <row r="209" spans="1:42" s="31" customFormat="1" x14ac:dyDescent="0.6">
      <c r="A209" s="70">
        <f t="shared" si="101"/>
        <v>188</v>
      </c>
      <c r="B209" s="70" t="str">
        <f>IF(E209&lt;=$F$9,VLOOKUP(KALKULATOR!A209,Robocze!$B$23:$C$102,2),"")</f>
        <v>16 rok</v>
      </c>
      <c r="C209" s="70">
        <f t="shared" si="104"/>
        <v>2036</v>
      </c>
      <c r="D209" s="71">
        <f t="shared" si="118"/>
        <v>55.666666666667112</v>
      </c>
      <c r="E209" s="77">
        <f t="shared" si="119"/>
        <v>49857</v>
      </c>
      <c r="F209" s="72">
        <f t="shared" si="105"/>
        <v>49887</v>
      </c>
      <c r="G209" s="73">
        <f>IFERROR(IF(AND(F209&lt;=$F$9,$F$5=Robocze!$B$4,$E209&lt;=$F$9,MONTH($F$8)=MONTH(E209)),$F$4,0)+IF(AND(F209&lt;=$F$9,$F$5=Robocze!$B$3,E209&lt;=$F$9),KALKULATOR!$F$4/12,0),"")</f>
        <v>0</v>
      </c>
      <c r="H209" s="73">
        <f t="shared" si="106"/>
        <v>100358.39999999998</v>
      </c>
      <c r="I209" s="74">
        <f t="shared" si="102"/>
        <v>0.04</v>
      </c>
      <c r="J209" s="73">
        <f t="shared" si="123"/>
        <v>0</v>
      </c>
      <c r="K209" s="75" t="str">
        <f t="shared" si="124"/>
        <v/>
      </c>
      <c r="L209" s="73">
        <f t="shared" si="125"/>
        <v>100358.39999999998</v>
      </c>
      <c r="M209" s="73">
        <f t="shared" si="126"/>
        <v>139609.19225870501</v>
      </c>
      <c r="N209" s="73">
        <f t="shared" si="127"/>
        <v>139609.19225870501</v>
      </c>
      <c r="O209" s="73">
        <f t="shared" si="128"/>
        <v>133620.93446049877</v>
      </c>
      <c r="P209" s="73">
        <f t="shared" si="129"/>
        <v>133620.93446049877</v>
      </c>
      <c r="Q209" s="73">
        <f t="shared" si="130"/>
        <v>132170.1402796568</v>
      </c>
      <c r="R209" s="73"/>
      <c r="S209" s="76">
        <f t="shared" si="103"/>
        <v>0.17</v>
      </c>
      <c r="T209" s="73">
        <f t="shared" si="120"/>
        <v>469.84470883269233</v>
      </c>
      <c r="U209" s="73">
        <f t="shared" si="107"/>
        <v>141423.25735864037</v>
      </c>
      <c r="V209" s="76">
        <f t="shared" si="108"/>
        <v>0.17</v>
      </c>
      <c r="W209" s="73">
        <f t="shared" si="109"/>
        <v>0</v>
      </c>
      <c r="X209" s="73">
        <f>IF(B209&lt;&gt;"",IF(MONTH(E209)=MONTH($F$13),SUMIF($C$22:C591,"="&amp;(C209-1),$G$22:G591),0)*S209,"")</f>
        <v>0</v>
      </c>
      <c r="Y209" s="73">
        <f>IF(B209&lt;&gt;"",SUM($X$22:X209),"")</f>
        <v>17060.928000000007</v>
      </c>
      <c r="Z209" s="73">
        <f t="shared" si="121"/>
        <v>73.893449855501785</v>
      </c>
      <c r="AA209" s="73">
        <f t="shared" si="110"/>
        <v>14.039755472545339</v>
      </c>
      <c r="AB209" s="73">
        <f t="shared" si="111"/>
        <v>5166.9606510334897</v>
      </c>
      <c r="AC209" s="73">
        <f t="shared" si="112"/>
        <v>22227.888651033492</v>
      </c>
      <c r="AD209" s="73">
        <f>IFERROR($U209*(1-$V209)+SUM($W$22:$W209)+$AB209,"")</f>
        <v>139609.19225870501</v>
      </c>
      <c r="AE209" s="73" t="b">
        <f t="shared" si="113"/>
        <v>0</v>
      </c>
      <c r="AF209" s="73">
        <f>IF(AND(AE209=TRUE,D209&gt;=65),$U209*(1-10%)+SUM($W$22:$W209)+$AB209,AD209)</f>
        <v>139609.19225870501</v>
      </c>
      <c r="AG209" s="73">
        <f t="shared" si="131"/>
        <v>469.84470883269256</v>
      </c>
      <c r="AH209" s="73">
        <f t="shared" si="132"/>
        <v>41064.857358640489</v>
      </c>
      <c r="AI209" s="73">
        <f t="shared" si="133"/>
        <v>141423.25735864046</v>
      </c>
      <c r="AJ209" s="73">
        <f t="shared" si="134"/>
        <v>133620.93446049877</v>
      </c>
      <c r="AK209" s="73" t="b">
        <f t="shared" si="114"/>
        <v>0</v>
      </c>
      <c r="AL209" s="73">
        <f t="shared" si="135"/>
        <v>133620.93446049877</v>
      </c>
      <c r="AM209" s="73">
        <f t="shared" si="122"/>
        <v>439.38080608908217</v>
      </c>
      <c r="AN209" s="73">
        <f t="shared" si="115"/>
        <v>83.482353156925612</v>
      </c>
      <c r="AO209" s="73">
        <f t="shared" si="116"/>
        <v>31811.74027965682</v>
      </c>
      <c r="AP209" s="73">
        <f t="shared" si="117"/>
        <v>132170.1402796568</v>
      </c>
    </row>
    <row r="210" spans="1:42" s="31" customFormat="1" x14ac:dyDescent="0.6">
      <c r="A210" s="70">
        <f t="shared" si="101"/>
        <v>189</v>
      </c>
      <c r="B210" s="70" t="str">
        <f>IF(E210&lt;=$F$9,VLOOKUP(KALKULATOR!A210,Robocze!$B$23:$C$102,2),"")</f>
        <v>16 rok</v>
      </c>
      <c r="C210" s="70">
        <f t="shared" si="104"/>
        <v>2036</v>
      </c>
      <c r="D210" s="71">
        <f t="shared" si="118"/>
        <v>55.750000000000448</v>
      </c>
      <c r="E210" s="77">
        <f t="shared" si="119"/>
        <v>49888</v>
      </c>
      <c r="F210" s="72">
        <f t="shared" si="105"/>
        <v>49918</v>
      </c>
      <c r="G210" s="73">
        <f>IFERROR(IF(AND(F210&lt;=$F$9,$F$5=Robocze!$B$4,$E210&lt;=$F$9,MONTH($F$8)=MONTH(E210)),$F$4,0)+IF(AND(F210&lt;=$F$9,$F$5=Robocze!$B$3,E210&lt;=$F$9),KALKULATOR!$F$4/12,0),"")</f>
        <v>0</v>
      </c>
      <c r="H210" s="73">
        <f t="shared" si="106"/>
        <v>100358.39999999998</v>
      </c>
      <c r="I210" s="74">
        <f t="shared" si="102"/>
        <v>0.04</v>
      </c>
      <c r="J210" s="73">
        <f t="shared" si="123"/>
        <v>0</v>
      </c>
      <c r="K210" s="75" t="str">
        <f t="shared" si="124"/>
        <v/>
      </c>
      <c r="L210" s="73">
        <f t="shared" si="125"/>
        <v>100358.39999999998</v>
      </c>
      <c r="M210" s="73">
        <f t="shared" si="126"/>
        <v>140060.47857008837</v>
      </c>
      <c r="N210" s="73">
        <f t="shared" si="127"/>
        <v>140060.47857008837</v>
      </c>
      <c r="O210" s="73">
        <f t="shared" si="128"/>
        <v>134002.77725536711</v>
      </c>
      <c r="P210" s="73">
        <f t="shared" si="129"/>
        <v>134002.77725536711</v>
      </c>
      <c r="Q210" s="73">
        <f t="shared" si="130"/>
        <v>132526.99965841186</v>
      </c>
      <c r="R210" s="73"/>
      <c r="S210" s="76">
        <f t="shared" si="103"/>
        <v>0.17</v>
      </c>
      <c r="T210" s="73">
        <f t="shared" si="120"/>
        <v>471.41085786213461</v>
      </c>
      <c r="U210" s="73">
        <f t="shared" si="107"/>
        <v>141894.6682165025</v>
      </c>
      <c r="V210" s="76">
        <f t="shared" si="108"/>
        <v>0.17</v>
      </c>
      <c r="W210" s="73">
        <f t="shared" si="109"/>
        <v>0</v>
      </c>
      <c r="X210" s="73">
        <f>IF(B210&lt;&gt;"",IF(MONTH(E210)=MONTH($F$13),SUMIF($C$22:C592,"="&amp;(C210-1),$G$22:G592),0)*S210,"")</f>
        <v>0</v>
      </c>
      <c r="Y210" s="73">
        <f>IF(B210&lt;&gt;"",SUM($X$22:X210),"")</f>
        <v>17060.928000000007</v>
      </c>
      <c r="Z210" s="73">
        <f t="shared" si="121"/>
        <v>74.092962170111647</v>
      </c>
      <c r="AA210" s="73">
        <f t="shared" si="110"/>
        <v>14.077662812321213</v>
      </c>
      <c r="AB210" s="73">
        <f t="shared" si="111"/>
        <v>5226.9759503912801</v>
      </c>
      <c r="AC210" s="73">
        <f t="shared" si="112"/>
        <v>22287.903950391283</v>
      </c>
      <c r="AD210" s="73">
        <f>IFERROR($U210*(1-$V210)+SUM($W$22:$W210)+$AB210,"")</f>
        <v>140060.47857008837</v>
      </c>
      <c r="AE210" s="73" t="b">
        <f t="shared" si="113"/>
        <v>0</v>
      </c>
      <c r="AF210" s="73">
        <f>IF(AND(AE210=TRUE,D210&gt;=65),$U210*(1-10%)+SUM($W$22:$W210)+$AB210,AD210)</f>
        <v>140060.47857008837</v>
      </c>
      <c r="AG210" s="73">
        <f t="shared" si="131"/>
        <v>471.41085786213489</v>
      </c>
      <c r="AH210" s="73">
        <f t="shared" si="132"/>
        <v>41536.268216502627</v>
      </c>
      <c r="AI210" s="73">
        <f t="shared" si="133"/>
        <v>141894.66821650261</v>
      </c>
      <c r="AJ210" s="73">
        <f t="shared" si="134"/>
        <v>134002.77725536711</v>
      </c>
      <c r="AK210" s="73" t="b">
        <f t="shared" si="114"/>
        <v>0</v>
      </c>
      <c r="AL210" s="73">
        <f t="shared" si="135"/>
        <v>134002.77725536711</v>
      </c>
      <c r="AM210" s="73">
        <f t="shared" si="122"/>
        <v>440.56713426552272</v>
      </c>
      <c r="AN210" s="73">
        <f t="shared" si="115"/>
        <v>83.707755510449317</v>
      </c>
      <c r="AO210" s="73">
        <f t="shared" si="116"/>
        <v>32168.599658411884</v>
      </c>
      <c r="AP210" s="73">
        <f t="shared" si="117"/>
        <v>132526.99965841186</v>
      </c>
    </row>
    <row r="211" spans="1:42" s="31" customFormat="1" x14ac:dyDescent="0.6">
      <c r="A211" s="70">
        <f t="shared" si="101"/>
        <v>190</v>
      </c>
      <c r="B211" s="70" t="str">
        <f>IF(E211&lt;=$F$9,VLOOKUP(KALKULATOR!A211,Robocze!$B$23:$C$102,2),"")</f>
        <v>16 rok</v>
      </c>
      <c r="C211" s="70">
        <f t="shared" si="104"/>
        <v>2036</v>
      </c>
      <c r="D211" s="71">
        <f t="shared" si="118"/>
        <v>55.833333333333783</v>
      </c>
      <c r="E211" s="77">
        <f t="shared" si="119"/>
        <v>49919</v>
      </c>
      <c r="F211" s="72">
        <f t="shared" si="105"/>
        <v>49948</v>
      </c>
      <c r="G211" s="73">
        <f>IFERROR(IF(AND(F211&lt;=$F$9,$F$5=Robocze!$B$4,$E211&lt;=$F$9,MONTH($F$8)=MONTH(E211)),$F$4,0)+IF(AND(F211&lt;=$F$9,$F$5=Robocze!$B$3,E211&lt;=$F$9),KALKULATOR!$F$4/12,0),"")</f>
        <v>0</v>
      </c>
      <c r="H211" s="73">
        <f t="shared" si="106"/>
        <v>100358.39999999998</v>
      </c>
      <c r="I211" s="74">
        <f t="shared" si="102"/>
        <v>0.04</v>
      </c>
      <c r="J211" s="73">
        <f t="shared" si="123"/>
        <v>0</v>
      </c>
      <c r="K211" s="75" t="str">
        <f t="shared" si="124"/>
        <v/>
      </c>
      <c r="L211" s="73">
        <f t="shared" si="125"/>
        <v>100358.39999999998</v>
      </c>
      <c r="M211" s="73">
        <f t="shared" si="126"/>
        <v>140513.23115948672</v>
      </c>
      <c r="N211" s="73">
        <f t="shared" si="127"/>
        <v>140513.23115948672</v>
      </c>
      <c r="O211" s="73">
        <f t="shared" si="128"/>
        <v>134385.89285955165</v>
      </c>
      <c r="P211" s="73">
        <f t="shared" si="129"/>
        <v>134385.89285955165</v>
      </c>
      <c r="Q211" s="73">
        <f t="shared" si="130"/>
        <v>132884.82255748959</v>
      </c>
      <c r="R211" s="73"/>
      <c r="S211" s="76">
        <f t="shared" si="103"/>
        <v>0.17</v>
      </c>
      <c r="T211" s="73">
        <f t="shared" si="120"/>
        <v>472.9822273883417</v>
      </c>
      <c r="U211" s="73">
        <f t="shared" si="107"/>
        <v>142367.65044389083</v>
      </c>
      <c r="V211" s="76">
        <f t="shared" si="108"/>
        <v>0.17</v>
      </c>
      <c r="W211" s="73">
        <f t="shared" si="109"/>
        <v>0</v>
      </c>
      <c r="X211" s="73">
        <f>IF(B211&lt;&gt;"",IF(MONTH(E211)=MONTH($F$13),SUMIF($C$22:C593,"="&amp;(C211-1),$G$22:G593),0)*S211,"")</f>
        <v>0</v>
      </c>
      <c r="Y211" s="73">
        <f>IF(B211&lt;&gt;"",SUM($X$22:X211),"")</f>
        <v>17060.928000000007</v>
      </c>
      <c r="Z211" s="73">
        <f t="shared" si="121"/>
        <v>74.29301316797094</v>
      </c>
      <c r="AA211" s="73">
        <f t="shared" si="110"/>
        <v>14.115672501914478</v>
      </c>
      <c r="AB211" s="73">
        <f t="shared" si="111"/>
        <v>5287.1532910573369</v>
      </c>
      <c r="AC211" s="73">
        <f t="shared" si="112"/>
        <v>22348.08129105734</v>
      </c>
      <c r="AD211" s="73">
        <f>IFERROR($U211*(1-$V211)+SUM($W$22:$W211)+$AB211,"")</f>
        <v>140513.23115948672</v>
      </c>
      <c r="AE211" s="73" t="b">
        <f t="shared" si="113"/>
        <v>0</v>
      </c>
      <c r="AF211" s="73">
        <f>IF(AND(AE211=TRUE,D211&gt;=65),$U211*(1-10%)+SUM($W$22:$W211)+$AB211,AD211)</f>
        <v>140513.23115948672</v>
      </c>
      <c r="AG211" s="73">
        <f t="shared" si="131"/>
        <v>472.9822273883421</v>
      </c>
      <c r="AH211" s="73">
        <f t="shared" si="132"/>
        <v>42009.250443890967</v>
      </c>
      <c r="AI211" s="73">
        <f t="shared" si="133"/>
        <v>142367.65044389095</v>
      </c>
      <c r="AJ211" s="73">
        <f t="shared" si="134"/>
        <v>134385.89285955165</v>
      </c>
      <c r="AK211" s="73" t="b">
        <f t="shared" si="114"/>
        <v>0</v>
      </c>
      <c r="AL211" s="73">
        <f t="shared" si="135"/>
        <v>134385.89285955165</v>
      </c>
      <c r="AM211" s="73">
        <f t="shared" si="122"/>
        <v>441.75666552803955</v>
      </c>
      <c r="AN211" s="73">
        <f t="shared" si="115"/>
        <v>83.933766450327511</v>
      </c>
      <c r="AO211" s="73">
        <f t="shared" si="116"/>
        <v>32526.422557489612</v>
      </c>
      <c r="AP211" s="73">
        <f t="shared" si="117"/>
        <v>132884.82255748959</v>
      </c>
    </row>
    <row r="212" spans="1:42" s="31" customFormat="1" x14ac:dyDescent="0.6">
      <c r="A212" s="70">
        <f t="shared" si="101"/>
        <v>191</v>
      </c>
      <c r="B212" s="70" t="str">
        <f>IF(E212&lt;=$F$9,VLOOKUP(KALKULATOR!A212,Robocze!$B$23:$C$102,2),"")</f>
        <v>16 rok</v>
      </c>
      <c r="C212" s="70">
        <f t="shared" si="104"/>
        <v>2036</v>
      </c>
      <c r="D212" s="71">
        <f t="shared" si="118"/>
        <v>55.916666666667119</v>
      </c>
      <c r="E212" s="77">
        <f t="shared" si="119"/>
        <v>49949</v>
      </c>
      <c r="F212" s="72">
        <f t="shared" si="105"/>
        <v>49979</v>
      </c>
      <c r="G212" s="73">
        <f>IFERROR(IF(AND(F212&lt;=$F$9,$F$5=Robocze!$B$4,$E212&lt;=$F$9,MONTH($F$8)=MONTH(E212)),$F$4,0)+IF(AND(F212&lt;=$F$9,$F$5=Robocze!$B$3,E212&lt;=$F$9),KALKULATOR!$F$4/12,0),"")</f>
        <v>0</v>
      </c>
      <c r="H212" s="73">
        <f t="shared" si="106"/>
        <v>100358.39999999998</v>
      </c>
      <c r="I212" s="74">
        <f t="shared" si="102"/>
        <v>0.04</v>
      </c>
      <c r="J212" s="73">
        <f t="shared" si="123"/>
        <v>0</v>
      </c>
      <c r="K212" s="75" t="str">
        <f t="shared" si="124"/>
        <v/>
      </c>
      <c r="L212" s="73">
        <f t="shared" si="125"/>
        <v>100358.39999999998</v>
      </c>
      <c r="M212" s="73">
        <f t="shared" si="126"/>
        <v>140967.45481186738</v>
      </c>
      <c r="N212" s="73">
        <f t="shared" si="127"/>
        <v>140967.45481186738</v>
      </c>
      <c r="O212" s="73">
        <f t="shared" si="128"/>
        <v>134770.28551575015</v>
      </c>
      <c r="P212" s="73">
        <f t="shared" si="129"/>
        <v>134770.28551575015</v>
      </c>
      <c r="Q212" s="73">
        <f t="shared" si="130"/>
        <v>133243.6115783948</v>
      </c>
      <c r="R212" s="73"/>
      <c r="S212" s="76">
        <f t="shared" si="103"/>
        <v>0.17</v>
      </c>
      <c r="T212" s="73">
        <f t="shared" si="120"/>
        <v>474.55883481296945</v>
      </c>
      <c r="U212" s="73">
        <f t="shared" si="107"/>
        <v>142842.20927870381</v>
      </c>
      <c r="V212" s="76">
        <f t="shared" si="108"/>
        <v>0.17</v>
      </c>
      <c r="W212" s="73">
        <f t="shared" si="109"/>
        <v>0</v>
      </c>
      <c r="X212" s="73">
        <f>IF(B212&lt;&gt;"",IF(MONTH(E212)=MONTH($F$13),SUMIF($C$22:C594,"="&amp;(C212-1),$G$22:G594),0)*S212,"")</f>
        <v>0</v>
      </c>
      <c r="Y212" s="73">
        <f>IF(B212&lt;&gt;"",SUM($X$22:X212),"")</f>
        <v>17060.928000000007</v>
      </c>
      <c r="Z212" s="73">
        <f t="shared" si="121"/>
        <v>74.493604303524464</v>
      </c>
      <c r="AA212" s="73">
        <f t="shared" si="110"/>
        <v>14.153784817669647</v>
      </c>
      <c r="AB212" s="73">
        <f t="shared" si="111"/>
        <v>5347.4931105431915</v>
      </c>
      <c r="AC212" s="73">
        <f t="shared" si="112"/>
        <v>22408.421110543193</v>
      </c>
      <c r="AD212" s="73">
        <f>IFERROR($U212*(1-$V212)+SUM($W$22:$W212)+$AB212,"")</f>
        <v>140967.45481186738</v>
      </c>
      <c r="AE212" s="73" t="b">
        <f t="shared" si="113"/>
        <v>0</v>
      </c>
      <c r="AF212" s="73">
        <f>IF(AND(AE212=TRUE,D212&gt;=65),$U212*(1-10%)+SUM($W$22:$W212)+$AB212,AD212)</f>
        <v>140967.45481186738</v>
      </c>
      <c r="AG212" s="73">
        <f t="shared" si="131"/>
        <v>474.55883481296979</v>
      </c>
      <c r="AH212" s="73">
        <f t="shared" si="132"/>
        <v>42483.809278703935</v>
      </c>
      <c r="AI212" s="73">
        <f t="shared" si="133"/>
        <v>142842.2092787039</v>
      </c>
      <c r="AJ212" s="73">
        <f t="shared" si="134"/>
        <v>134770.28551575015</v>
      </c>
      <c r="AK212" s="73" t="b">
        <f t="shared" si="114"/>
        <v>0</v>
      </c>
      <c r="AL212" s="73">
        <f t="shared" si="135"/>
        <v>134770.28551575015</v>
      </c>
      <c r="AM212" s="73">
        <f t="shared" si="122"/>
        <v>442.94940852496529</v>
      </c>
      <c r="AN212" s="73">
        <f t="shared" si="115"/>
        <v>84.160387619743403</v>
      </c>
      <c r="AO212" s="73">
        <f t="shared" si="116"/>
        <v>32885.211578394825</v>
      </c>
      <c r="AP212" s="73">
        <f t="shared" si="117"/>
        <v>133243.6115783948</v>
      </c>
    </row>
    <row r="213" spans="1:42" s="69" customFormat="1" x14ac:dyDescent="0.6">
      <c r="A213" s="78">
        <f t="shared" si="101"/>
        <v>192</v>
      </c>
      <c r="B213" s="78" t="str">
        <f>IF(E213&lt;=$F$9,VLOOKUP(KALKULATOR!A213,Robocze!$B$23:$C$102,2),"")</f>
        <v>16 rok</v>
      </c>
      <c r="C213" s="78">
        <f t="shared" si="104"/>
        <v>2036</v>
      </c>
      <c r="D213" s="79">
        <f t="shared" si="118"/>
        <v>56.000000000000455</v>
      </c>
      <c r="E213" s="80">
        <f t="shared" si="119"/>
        <v>49980</v>
      </c>
      <c r="F213" s="81">
        <f t="shared" si="105"/>
        <v>50009</v>
      </c>
      <c r="G213" s="82">
        <f>IFERROR(IF(AND(F213&lt;=$F$9,$F$5=Robocze!$B$4,$E213&lt;=$F$9,MONTH($F$8)=MONTH(E213)),$F$4,0)+IF(AND(F213&lt;=$F$9,$F$5=Robocze!$B$3,E213&lt;=$F$9),KALKULATOR!$F$4/12,0),"")</f>
        <v>0</v>
      </c>
      <c r="H213" s="82">
        <f t="shared" si="106"/>
        <v>100358.39999999998</v>
      </c>
      <c r="I213" s="83">
        <f t="shared" si="102"/>
        <v>0.04</v>
      </c>
      <c r="J213" s="82">
        <f t="shared" si="123"/>
        <v>0</v>
      </c>
      <c r="K213" s="84">
        <f t="shared" si="124"/>
        <v>16</v>
      </c>
      <c r="L213" s="82">
        <f t="shared" si="125"/>
        <v>100358.39999999998</v>
      </c>
      <c r="M213" s="82">
        <f t="shared" si="126"/>
        <v>141423.15432787026</v>
      </c>
      <c r="N213" s="82">
        <f t="shared" si="127"/>
        <v>141423.15432787026</v>
      </c>
      <c r="O213" s="82">
        <f t="shared" si="128"/>
        <v>135155.95948080267</v>
      </c>
      <c r="P213" s="82">
        <f t="shared" si="129"/>
        <v>135155.95948080267</v>
      </c>
      <c r="Q213" s="82">
        <f t="shared" si="130"/>
        <v>133603.36932965647</v>
      </c>
      <c r="R213" s="82"/>
      <c r="S213" s="85">
        <f t="shared" si="103"/>
        <v>0.17</v>
      </c>
      <c r="T213" s="82">
        <f t="shared" si="120"/>
        <v>476.1406975956794</v>
      </c>
      <c r="U213" s="82">
        <f t="shared" si="107"/>
        <v>143318.34997629951</v>
      </c>
      <c r="V213" s="85">
        <f t="shared" si="108"/>
        <v>0.17</v>
      </c>
      <c r="W213" s="82">
        <f t="shared" si="109"/>
        <v>0</v>
      </c>
      <c r="X213" s="82">
        <f>IF(B213&lt;&gt;"",IF(MONTH(E213)=MONTH($F$13),SUMIF($C$22:C595,"="&amp;(C213-1),$G$22:G595),0)*S213,"")</f>
        <v>0</v>
      </c>
      <c r="Y213" s="82">
        <f>IF(B213&lt;&gt;"",SUM($X$22:X213),"")</f>
        <v>17060.928000000007</v>
      </c>
      <c r="Z213" s="82">
        <f t="shared" si="121"/>
        <v>74.694737035143973</v>
      </c>
      <c r="AA213" s="82">
        <f t="shared" si="110"/>
        <v>14.192000036677355</v>
      </c>
      <c r="AB213" s="82">
        <f t="shared" si="111"/>
        <v>5407.9958475416579</v>
      </c>
      <c r="AC213" s="82">
        <f t="shared" si="112"/>
        <v>22468.923847541661</v>
      </c>
      <c r="AD213" s="82">
        <f>IFERROR($U213*(1-$V213)+SUM($W$22:$W213)+$AB213,"")</f>
        <v>141423.15432787026</v>
      </c>
      <c r="AE213" s="73" t="b">
        <f t="shared" si="113"/>
        <v>0</v>
      </c>
      <c r="AF213" s="82">
        <f>IF(AND(AE213=TRUE,D213&gt;=65),$U213*(1-10%)+SUM($W$22:$W213)+$AB213,AD213)</f>
        <v>141423.15432787026</v>
      </c>
      <c r="AG213" s="82">
        <f t="shared" si="131"/>
        <v>476.14069759567968</v>
      </c>
      <c r="AH213" s="82">
        <f t="shared" si="132"/>
        <v>42959.949976299613</v>
      </c>
      <c r="AI213" s="82">
        <f t="shared" si="133"/>
        <v>143318.34997629959</v>
      </c>
      <c r="AJ213" s="82">
        <f t="shared" si="134"/>
        <v>135155.95948080267</v>
      </c>
      <c r="AK213" s="73" t="b">
        <f t="shared" si="114"/>
        <v>0</v>
      </c>
      <c r="AL213" s="82">
        <f t="shared" si="135"/>
        <v>135155.95948080267</v>
      </c>
      <c r="AM213" s="82">
        <f t="shared" si="122"/>
        <v>444.14537192798269</v>
      </c>
      <c r="AN213" s="82">
        <f t="shared" si="115"/>
        <v>84.387620666316707</v>
      </c>
      <c r="AO213" s="82">
        <f t="shared" si="116"/>
        <v>33244.969329656495</v>
      </c>
      <c r="AP213" s="82">
        <f t="shared" si="117"/>
        <v>133603.36932965647</v>
      </c>
    </row>
    <row r="214" spans="1:42" s="31" customFormat="1" x14ac:dyDescent="0.6">
      <c r="A214" s="70">
        <f t="shared" ref="A214:A277" si="136">IFERROR(IF((A213+1)&lt;=$F$7*12,A213+1,""),"")</f>
        <v>193</v>
      </c>
      <c r="B214" s="70" t="str">
        <f>IF(E214&lt;=$F$9,VLOOKUP(KALKULATOR!A214,Robocze!$B$23:$C$102,2),"")</f>
        <v>17 rok</v>
      </c>
      <c r="C214" s="70">
        <f t="shared" si="104"/>
        <v>2036</v>
      </c>
      <c r="D214" s="71">
        <f t="shared" si="118"/>
        <v>56.08333333333379</v>
      </c>
      <c r="E214" s="72">
        <f t="shared" si="119"/>
        <v>50010</v>
      </c>
      <c r="F214" s="72">
        <f t="shared" si="105"/>
        <v>50040</v>
      </c>
      <c r="G214" s="73">
        <f>IFERROR(IF(AND(F214&lt;=$F$9,$F$5=Robocze!$B$4,$E214&lt;=$F$9,MONTH($F$8)=MONTH(E214)),$F$4,0)+IF(AND(F214&lt;=$F$9,$F$5=Robocze!$B$3,E214&lt;=$F$9),KALKULATOR!$F$4/12,0),"")</f>
        <v>6272.4</v>
      </c>
      <c r="H214" s="73">
        <f t="shared" si="106"/>
        <v>106630.79999999997</v>
      </c>
      <c r="I214" s="74">
        <f t="shared" ref="I214:I277" si="137">IF(E214&lt;=$F$9,$F$2,"")</f>
        <v>0.04</v>
      </c>
      <c r="J214" s="73">
        <f t="shared" si="123"/>
        <v>0</v>
      </c>
      <c r="K214" s="75" t="str">
        <f t="shared" si="124"/>
        <v/>
      </c>
      <c r="L214" s="73">
        <f t="shared" si="125"/>
        <v>106630.79999999997</v>
      </c>
      <c r="M214" s="73">
        <f t="shared" si="126"/>
        <v>148170.08816385971</v>
      </c>
      <c r="N214" s="73">
        <f t="shared" si="127"/>
        <v>148170.08816385971</v>
      </c>
      <c r="O214" s="73">
        <f t="shared" si="128"/>
        <v>141832.25450573865</v>
      </c>
      <c r="P214" s="73">
        <f t="shared" si="129"/>
        <v>141832.25450573865</v>
      </c>
      <c r="Q214" s="73">
        <f t="shared" si="130"/>
        <v>140253.43390684653</v>
      </c>
      <c r="R214" s="73"/>
      <c r="S214" s="76">
        <f t="shared" ref="S214:S277" si="138">IF(B214&lt;&gt;"",$F$11,"")</f>
        <v>0.17</v>
      </c>
      <c r="T214" s="73">
        <f t="shared" si="120"/>
        <v>498.63583325433171</v>
      </c>
      <c r="U214" s="73">
        <f t="shared" si="107"/>
        <v>150089.38580955385</v>
      </c>
      <c r="V214" s="76">
        <f t="shared" si="108"/>
        <v>0.17</v>
      </c>
      <c r="W214" s="73">
        <f t="shared" si="109"/>
        <v>1066.308</v>
      </c>
      <c r="X214" s="73">
        <f>IF(B214&lt;&gt;"",IF(MONTH(E214)=MONTH($F$13),SUMIF($C$22:C596,"="&amp;(C214-1),$G$22:G596),0)*S214,"")</f>
        <v>0</v>
      </c>
      <c r="Y214" s="73">
        <f>IF(B214&lt;&gt;"",SUM($X$22:X214),"")</f>
        <v>17060.928000000007</v>
      </c>
      <c r="Z214" s="73">
        <f t="shared" si="121"/>
        <v>74.896412825138867</v>
      </c>
      <c r="AA214" s="73">
        <f t="shared" si="110"/>
        <v>14.230318436776384</v>
      </c>
      <c r="AB214" s="73">
        <f t="shared" si="111"/>
        <v>5468.6619419300205</v>
      </c>
      <c r="AC214" s="73">
        <f t="shared" si="112"/>
        <v>22529.589941930022</v>
      </c>
      <c r="AD214" s="73">
        <f>IFERROR($U214*(1-$V214)+SUM($W$22:$W214)+$AB214,"")</f>
        <v>148170.08816385971</v>
      </c>
      <c r="AE214" s="73" t="b">
        <f t="shared" si="113"/>
        <v>0</v>
      </c>
      <c r="AF214" s="73">
        <f>IF(AND(AE214=TRUE,D214&gt;=65),$U214*(1-10%)+SUM($W$22:$W214)+$AB214,AD214)</f>
        <v>148170.08816385971</v>
      </c>
      <c r="AG214" s="73">
        <f t="shared" si="131"/>
        <v>498.635833254332</v>
      </c>
      <c r="AH214" s="73">
        <f t="shared" si="132"/>
        <v>43458.585809553944</v>
      </c>
      <c r="AI214" s="73">
        <f t="shared" si="133"/>
        <v>150089.3858095539</v>
      </c>
      <c r="AJ214" s="73">
        <f t="shared" si="134"/>
        <v>141832.25450573865</v>
      </c>
      <c r="AK214" s="73" t="b">
        <f t="shared" si="114"/>
        <v>0</v>
      </c>
      <c r="AL214" s="73">
        <f t="shared" si="135"/>
        <v>141832.25450573865</v>
      </c>
      <c r="AM214" s="73">
        <f t="shared" si="122"/>
        <v>466.25256443218819</v>
      </c>
      <c r="AN214" s="73">
        <f t="shared" si="115"/>
        <v>88.587987242115759</v>
      </c>
      <c r="AO214" s="73">
        <f t="shared" si="116"/>
        <v>33622.63390684656</v>
      </c>
      <c r="AP214" s="73">
        <f t="shared" si="117"/>
        <v>140253.43390684653</v>
      </c>
    </row>
    <row r="215" spans="1:42" s="31" customFormat="1" x14ac:dyDescent="0.6">
      <c r="A215" s="70">
        <f t="shared" si="136"/>
        <v>194</v>
      </c>
      <c r="B215" s="70" t="str">
        <f>IF(E215&lt;=$F$9,VLOOKUP(KALKULATOR!A215,Robocze!$B$23:$C$102,2),"")</f>
        <v>17 rok</v>
      </c>
      <c r="C215" s="70">
        <f t="shared" ref="C215:C278" si="139">IF(B215="","",YEAR(E215))</f>
        <v>2037</v>
      </c>
      <c r="D215" s="71">
        <f t="shared" si="118"/>
        <v>56.166666666667126</v>
      </c>
      <c r="E215" s="77">
        <f t="shared" si="119"/>
        <v>50041</v>
      </c>
      <c r="F215" s="72">
        <f t="shared" ref="F215:F278" si="140">IFERROR(EOMONTH(E215,0),"")</f>
        <v>50071</v>
      </c>
      <c r="G215" s="73">
        <f>IFERROR(IF(AND(F215&lt;=$F$9,$F$5=Robocze!$B$4,$E215&lt;=$F$9,MONTH($F$8)=MONTH(E215)),$F$4,0)+IF(AND(F215&lt;=$F$9,$F$5=Robocze!$B$3,E215&lt;=$F$9),KALKULATOR!$F$4/12,0),"")</f>
        <v>0</v>
      </c>
      <c r="H215" s="73">
        <f t="shared" ref="H215:H278" si="141">IFERROR(H214+G215,"")</f>
        <v>106630.79999999997</v>
      </c>
      <c r="I215" s="74">
        <f t="shared" si="137"/>
        <v>0.04</v>
      </c>
      <c r="J215" s="73">
        <f t="shared" si="123"/>
        <v>0</v>
      </c>
      <c r="K215" s="75" t="str">
        <f t="shared" si="124"/>
        <v/>
      </c>
      <c r="L215" s="73">
        <f t="shared" si="125"/>
        <v>106630.79999999997</v>
      </c>
      <c r="M215" s="73">
        <f t="shared" si="126"/>
        <v>148646.16535744272</v>
      </c>
      <c r="N215" s="73">
        <f t="shared" si="127"/>
        <v>148646.16535744272</v>
      </c>
      <c r="O215" s="73">
        <f t="shared" si="128"/>
        <v>142237.49584742449</v>
      </c>
      <c r="P215" s="73">
        <f t="shared" si="129"/>
        <v>142237.49584742449</v>
      </c>
      <c r="Q215" s="73">
        <f t="shared" si="130"/>
        <v>140632.11817839503</v>
      </c>
      <c r="R215" s="73"/>
      <c r="S215" s="76">
        <f t="shared" si="138"/>
        <v>0.17</v>
      </c>
      <c r="T215" s="73">
        <f t="shared" si="120"/>
        <v>500.29795269851286</v>
      </c>
      <c r="U215" s="73">
        <f t="shared" ref="U215:U278" si="142">IF(B215&lt;&gt;"",U214+T215-J215+G215,"")</f>
        <v>150589.68376225236</v>
      </c>
      <c r="V215" s="76">
        <f t="shared" ref="V215:V278" si="143">IF(B215&lt;&gt;"",$F$12,"")</f>
        <v>0.17</v>
      </c>
      <c r="W215" s="73">
        <f t="shared" ref="W215:W278" si="144">IF(B215&lt;&gt;"",G215*S215,"")</f>
        <v>0</v>
      </c>
      <c r="X215" s="73">
        <f>IF(B215&lt;&gt;"",IF(MONTH(E215)=MONTH($F$13),SUMIF($C$22:C597,"="&amp;(C215-1),$G$22:G597),0)*S215,"")</f>
        <v>0</v>
      </c>
      <c r="Y215" s="73">
        <f>IF(B215&lt;&gt;"",SUM($X$22:X215),"")</f>
        <v>17060.928000000007</v>
      </c>
      <c r="Z215" s="73">
        <f t="shared" si="121"/>
        <v>75.098633139766733</v>
      </c>
      <c r="AA215" s="73">
        <f t="shared" ref="AA215:AA278" si="145">IF(B215&lt;&gt;"",MAX(0,Z215*$F$14),"")</f>
        <v>14.268740296555679</v>
      </c>
      <c r="AB215" s="73">
        <f t="shared" ref="AB215:AB278" si="146">IF(B215&lt;&gt;"",AB214+Z215-AA215,"")</f>
        <v>5529.4918347732319</v>
      </c>
      <c r="AC215" s="73">
        <f t="shared" ref="AC215:AC278" si="147">IF(B215&lt;&gt;"",AC214+Z215-AA215+X215,"")</f>
        <v>22590.419834773231</v>
      </c>
      <c r="AD215" s="73">
        <f>IFERROR($U215*(1-$V215)+SUM($W$22:$W215)+$AB215,"")</f>
        <v>148646.16535744272</v>
      </c>
      <c r="AE215" s="73" t="b">
        <f t="shared" ref="AE215:AE278" si="148">IFERROR(IF(AE214=TRUE,AE214,AND(YEAR(E215)-YEAR($F$8)&gt;=5,D215&gt;=65)),"")</f>
        <v>0</v>
      </c>
      <c r="AF215" s="73">
        <f>IF(AND(AE215=TRUE,D215&gt;=65),$U215*(1-10%)+SUM($W$22:$W215)+$AB215,AD215)</f>
        <v>148646.16535744272</v>
      </c>
      <c r="AG215" s="73">
        <f t="shared" si="131"/>
        <v>500.29795269851303</v>
      </c>
      <c r="AH215" s="73">
        <f t="shared" si="132"/>
        <v>43958.883762252459</v>
      </c>
      <c r="AI215" s="73">
        <f t="shared" si="133"/>
        <v>150589.68376225245</v>
      </c>
      <c r="AJ215" s="73">
        <f t="shared" si="134"/>
        <v>142237.49584742449</v>
      </c>
      <c r="AK215" s="73" t="b">
        <f t="shared" ref="AK215:AK278" si="149">IFERROR(IF(AK214=TRUE,AK214,AND(YEAR(E215)-YEAR($F$8)&gt;=5,D215&gt;=55,OR(D215&gt;=60,D215&gt;=$F$10))),"")</f>
        <v>0</v>
      </c>
      <c r="AL215" s="73">
        <f t="shared" si="135"/>
        <v>142237.49584742449</v>
      </c>
      <c r="AM215" s="73">
        <f t="shared" si="122"/>
        <v>467.51144635615515</v>
      </c>
      <c r="AN215" s="73">
        <f t="shared" ref="AN215:AN278" si="150">IF(B215&lt;&gt;"",MAX(0,AM215*$F$14),"")</f>
        <v>88.827174807669479</v>
      </c>
      <c r="AO215" s="73">
        <f t="shared" ref="AO215:AO278" si="151">IF(B215&lt;&gt;"",AP215-H215,"")</f>
        <v>34001.318178395057</v>
      </c>
      <c r="AP215" s="73">
        <f t="shared" ref="AP215:AP278" si="152">IF(B215&lt;&gt;"",AP214+G215+AM215-AN215,"")</f>
        <v>140632.11817839503</v>
      </c>
    </row>
    <row r="216" spans="1:42" s="31" customFormat="1" x14ac:dyDescent="0.6">
      <c r="A216" s="70">
        <f t="shared" si="136"/>
        <v>195</v>
      </c>
      <c r="B216" s="70" t="str">
        <f>IF(E216&lt;=$F$9,VLOOKUP(KALKULATOR!A216,Robocze!$B$23:$C$102,2),"")</f>
        <v>17 rok</v>
      </c>
      <c r="C216" s="70">
        <f t="shared" si="139"/>
        <v>2037</v>
      </c>
      <c r="D216" s="71">
        <f t="shared" ref="D216:D279" si="153">IF(B216="","",D215+1/12)</f>
        <v>56.250000000000462</v>
      </c>
      <c r="E216" s="77">
        <f t="shared" ref="E216:E279" si="154">IF(OR(B215="",E215&gt;$F$9,A216=""),"",EDATE(E215,1))</f>
        <v>50072</v>
      </c>
      <c r="F216" s="72">
        <f t="shared" si="140"/>
        <v>50099</v>
      </c>
      <c r="G216" s="73">
        <f>IFERROR(IF(AND(F216&lt;=$F$9,$F$5=Robocze!$B$4,$E216&lt;=$F$9,MONTH($F$8)=MONTH(E216)),$F$4,0)+IF(AND(F216&lt;=$F$9,$F$5=Robocze!$B$3,E216&lt;=$F$9),KALKULATOR!$F$4/12,0),"")</f>
        <v>0</v>
      </c>
      <c r="H216" s="73">
        <f t="shared" si="141"/>
        <v>106630.79999999997</v>
      </c>
      <c r="I216" s="74">
        <f t="shared" si="137"/>
        <v>0.04</v>
      </c>
      <c r="J216" s="73">
        <f t="shared" si="123"/>
        <v>0</v>
      </c>
      <c r="K216" s="75" t="str">
        <f t="shared" si="124"/>
        <v/>
      </c>
      <c r="L216" s="73">
        <f t="shared" si="125"/>
        <v>106630.79999999997</v>
      </c>
      <c r="M216" s="73">
        <f t="shared" si="126"/>
        <v>149123.79094940549</v>
      </c>
      <c r="N216" s="73">
        <f t="shared" si="127"/>
        <v>149123.79094940549</v>
      </c>
      <c r="O216" s="73">
        <f t="shared" si="128"/>
        <v>142644.08799358257</v>
      </c>
      <c r="P216" s="73">
        <f t="shared" si="129"/>
        <v>142644.08799358257</v>
      </c>
      <c r="Q216" s="73">
        <f t="shared" si="130"/>
        <v>141011.8248974767</v>
      </c>
      <c r="R216" s="73"/>
      <c r="S216" s="76">
        <f t="shared" si="138"/>
        <v>0.17</v>
      </c>
      <c r="T216" s="73">
        <f t="shared" ref="T216:T279" si="155">IF(B216&lt;&gt;"",(U215-J216+G216)*(I216/12),"")</f>
        <v>501.96561254084122</v>
      </c>
      <c r="U216" s="73">
        <f t="shared" si="142"/>
        <v>151091.6493747932</v>
      </c>
      <c r="V216" s="76">
        <f t="shared" si="143"/>
        <v>0.17</v>
      </c>
      <c r="W216" s="73">
        <f t="shared" si="144"/>
        <v>0</v>
      </c>
      <c r="X216" s="73">
        <f>IF(B216&lt;&gt;"",IF(MONTH(E216)=MONTH($F$13),SUMIF($C$22:C598,"="&amp;(C216-1),$G$22:G598),0)*S216,"")</f>
        <v>0</v>
      </c>
      <c r="Y216" s="73">
        <f>IF(B216&lt;&gt;"",SUM($X$22:X216),"")</f>
        <v>17060.928000000007</v>
      </c>
      <c r="Z216" s="73">
        <f t="shared" ref="Z216:Z279" si="156">IF(B216&lt;&gt;"",(AC215+X216)*I216/12,"")</f>
        <v>75.301399449244101</v>
      </c>
      <c r="AA216" s="73">
        <f t="shared" si="145"/>
        <v>14.30726589535638</v>
      </c>
      <c r="AB216" s="73">
        <f t="shared" si="146"/>
        <v>5590.4859683271197</v>
      </c>
      <c r="AC216" s="73">
        <f t="shared" si="147"/>
        <v>22651.413968327117</v>
      </c>
      <c r="AD216" s="73">
        <f>IFERROR($U216*(1-$V216)+SUM($W$22:$W216)+$AB216,"")</f>
        <v>149123.79094940549</v>
      </c>
      <c r="AE216" s="73" t="b">
        <f t="shared" si="148"/>
        <v>0</v>
      </c>
      <c r="AF216" s="73">
        <f>IF(AND(AE216=TRUE,D216&gt;=65),$U216*(1-10%)+SUM($W$22:$W216)+$AB216,AD216)</f>
        <v>149123.79094940549</v>
      </c>
      <c r="AG216" s="73">
        <f t="shared" si="131"/>
        <v>501.96561254084151</v>
      </c>
      <c r="AH216" s="73">
        <f t="shared" si="132"/>
        <v>44460.849374793303</v>
      </c>
      <c r="AI216" s="73">
        <f t="shared" si="133"/>
        <v>151091.64937479328</v>
      </c>
      <c r="AJ216" s="73">
        <f t="shared" si="134"/>
        <v>142644.08799358257</v>
      </c>
      <c r="AK216" s="73" t="b">
        <f t="shared" si="149"/>
        <v>0</v>
      </c>
      <c r="AL216" s="73">
        <f t="shared" si="135"/>
        <v>142644.08799358257</v>
      </c>
      <c r="AM216" s="73">
        <f t="shared" ref="AM216:AM279" si="157">IF(B216&lt;&gt;"",(AP215+G216)*I216/12,"")</f>
        <v>468.77372726131676</v>
      </c>
      <c r="AN216" s="73">
        <f t="shared" si="150"/>
        <v>89.067008179650188</v>
      </c>
      <c r="AO216" s="73">
        <f t="shared" si="151"/>
        <v>34381.024897476731</v>
      </c>
      <c r="AP216" s="73">
        <f t="shared" si="152"/>
        <v>141011.8248974767</v>
      </c>
    </row>
    <row r="217" spans="1:42" s="31" customFormat="1" x14ac:dyDescent="0.6">
      <c r="A217" s="70">
        <f t="shared" si="136"/>
        <v>196</v>
      </c>
      <c r="B217" s="70" t="str">
        <f>IF(E217&lt;=$F$9,VLOOKUP(KALKULATOR!A217,Robocze!$B$23:$C$102,2),"")</f>
        <v>17 rok</v>
      </c>
      <c r="C217" s="70">
        <f t="shared" si="139"/>
        <v>2037</v>
      </c>
      <c r="D217" s="71">
        <f t="shared" si="153"/>
        <v>56.333333333333798</v>
      </c>
      <c r="E217" s="77">
        <f t="shared" si="154"/>
        <v>50100</v>
      </c>
      <c r="F217" s="72">
        <f t="shared" si="140"/>
        <v>50130</v>
      </c>
      <c r="G217" s="73">
        <f>IFERROR(IF(AND(F217&lt;=$F$9,$F$5=Robocze!$B$4,$E217&lt;=$F$9,MONTH($F$8)=MONTH(E217)),$F$4,0)+IF(AND(F217&lt;=$F$9,$F$5=Robocze!$B$3,E217&lt;=$F$9),KALKULATOR!$F$4/12,0),"")</f>
        <v>0</v>
      </c>
      <c r="H217" s="73">
        <f t="shared" si="141"/>
        <v>106630.79999999997</v>
      </c>
      <c r="I217" s="74">
        <f t="shared" si="137"/>
        <v>0.04</v>
      </c>
      <c r="J217" s="73">
        <f t="shared" si="123"/>
        <v>0</v>
      </c>
      <c r="K217" s="75" t="str">
        <f t="shared" si="124"/>
        <v/>
      </c>
      <c r="L217" s="73">
        <f t="shared" si="125"/>
        <v>106630.79999999997</v>
      </c>
      <c r="M217" s="73">
        <f t="shared" si="126"/>
        <v>149602.96999705691</v>
      </c>
      <c r="N217" s="73">
        <f t="shared" si="127"/>
        <v>149602.96999705691</v>
      </c>
      <c r="O217" s="73">
        <f t="shared" si="128"/>
        <v>143052.0354468945</v>
      </c>
      <c r="P217" s="73">
        <f t="shared" si="129"/>
        <v>143052.0354468945</v>
      </c>
      <c r="Q217" s="73">
        <f t="shared" si="130"/>
        <v>141392.55682469989</v>
      </c>
      <c r="R217" s="73"/>
      <c r="S217" s="76">
        <f t="shared" si="138"/>
        <v>0.17</v>
      </c>
      <c r="T217" s="73">
        <f t="shared" si="155"/>
        <v>503.63883124931067</v>
      </c>
      <c r="U217" s="73">
        <f t="shared" si="142"/>
        <v>151595.28820604252</v>
      </c>
      <c r="V217" s="76">
        <f t="shared" si="143"/>
        <v>0.17</v>
      </c>
      <c r="W217" s="73">
        <f t="shared" si="144"/>
        <v>0</v>
      </c>
      <c r="X217" s="73">
        <f>IF(B217&lt;&gt;"",IF(MONTH(E217)=MONTH($F$13),SUMIF($C$22:C599,"="&amp;(C217-1),$G$22:G599),0)*S217,"")</f>
        <v>0</v>
      </c>
      <c r="Y217" s="73">
        <f>IF(B217&lt;&gt;"",SUM($X$22:X217),"")</f>
        <v>17060.928000000007</v>
      </c>
      <c r="Z217" s="73">
        <f t="shared" si="156"/>
        <v>75.504713227757051</v>
      </c>
      <c r="AA217" s="73">
        <f t="shared" si="145"/>
        <v>14.34589551327384</v>
      </c>
      <c r="AB217" s="73">
        <f t="shared" si="146"/>
        <v>5651.6447860416029</v>
      </c>
      <c r="AC217" s="73">
        <f t="shared" si="147"/>
        <v>22712.572786041601</v>
      </c>
      <c r="AD217" s="73">
        <f>IFERROR($U217*(1-$V217)+SUM($W$22:$W217)+$AB217,"")</f>
        <v>149602.96999705691</v>
      </c>
      <c r="AE217" s="73" t="b">
        <f t="shared" si="148"/>
        <v>0</v>
      </c>
      <c r="AF217" s="73">
        <f>IF(AND(AE217=TRUE,D217&gt;=65),$U217*(1-10%)+SUM($W$22:$W217)+$AB217,AD217)</f>
        <v>149602.96999705691</v>
      </c>
      <c r="AG217" s="73">
        <f t="shared" si="131"/>
        <v>503.63883124931095</v>
      </c>
      <c r="AH217" s="73">
        <f t="shared" si="132"/>
        <v>44964.488206042617</v>
      </c>
      <c r="AI217" s="73">
        <f t="shared" si="133"/>
        <v>151595.28820604261</v>
      </c>
      <c r="AJ217" s="73">
        <f t="shared" si="134"/>
        <v>143052.0354468945</v>
      </c>
      <c r="AK217" s="73" t="b">
        <f t="shared" si="149"/>
        <v>0</v>
      </c>
      <c r="AL217" s="73">
        <f t="shared" si="135"/>
        <v>143052.0354468945</v>
      </c>
      <c r="AM217" s="73">
        <f t="shared" si="157"/>
        <v>470.03941632492234</v>
      </c>
      <c r="AN217" s="73">
        <f t="shared" si="150"/>
        <v>89.307489101735243</v>
      </c>
      <c r="AO217" s="73">
        <f t="shared" si="151"/>
        <v>34761.756824699914</v>
      </c>
      <c r="AP217" s="73">
        <f t="shared" si="152"/>
        <v>141392.55682469989</v>
      </c>
    </row>
    <row r="218" spans="1:42" s="31" customFormat="1" x14ac:dyDescent="0.6">
      <c r="A218" s="70">
        <f t="shared" si="136"/>
        <v>197</v>
      </c>
      <c r="B218" s="70" t="str">
        <f>IF(E218&lt;=$F$9,VLOOKUP(KALKULATOR!A218,Robocze!$B$23:$C$102,2),"")</f>
        <v>17 rok</v>
      </c>
      <c r="C218" s="70">
        <f t="shared" si="139"/>
        <v>2037</v>
      </c>
      <c r="D218" s="71">
        <f t="shared" si="153"/>
        <v>56.416666666667133</v>
      </c>
      <c r="E218" s="77">
        <f t="shared" si="154"/>
        <v>50131</v>
      </c>
      <c r="F218" s="72">
        <f t="shared" si="140"/>
        <v>50160</v>
      </c>
      <c r="G218" s="73">
        <f>IFERROR(IF(AND(F218&lt;=$F$9,$F$5=Robocze!$B$4,$E218&lt;=$F$9,MONTH($F$8)=MONTH(E218)),$F$4,0)+IF(AND(F218&lt;=$F$9,$F$5=Robocze!$B$3,E218&lt;=$F$9),KALKULATOR!$F$4/12,0),"")</f>
        <v>0</v>
      </c>
      <c r="H218" s="73">
        <f t="shared" si="141"/>
        <v>106630.79999999997</v>
      </c>
      <c r="I218" s="74">
        <f t="shared" si="137"/>
        <v>0.04</v>
      </c>
      <c r="J218" s="73">
        <f t="shared" si="123"/>
        <v>0</v>
      </c>
      <c r="K218" s="75" t="str">
        <f t="shared" si="124"/>
        <v/>
      </c>
      <c r="L218" s="73">
        <f t="shared" si="125"/>
        <v>106630.79999999997</v>
      </c>
      <c r="M218" s="73">
        <f t="shared" si="126"/>
        <v>150086.58660588259</v>
      </c>
      <c r="N218" s="73">
        <f t="shared" si="127"/>
        <v>150086.58660588259</v>
      </c>
      <c r="O218" s="73">
        <f t="shared" si="128"/>
        <v>143461.34272505081</v>
      </c>
      <c r="P218" s="73">
        <f t="shared" si="129"/>
        <v>143461.34272505081</v>
      </c>
      <c r="Q218" s="73">
        <f t="shared" si="130"/>
        <v>141774.31672812658</v>
      </c>
      <c r="R218" s="73"/>
      <c r="S218" s="76">
        <f t="shared" si="138"/>
        <v>0.17</v>
      </c>
      <c r="T218" s="73">
        <f t="shared" si="155"/>
        <v>505.31762735347507</v>
      </c>
      <c r="U218" s="73">
        <f t="shared" si="142"/>
        <v>152100.605833396</v>
      </c>
      <c r="V218" s="76">
        <f t="shared" si="143"/>
        <v>0.17</v>
      </c>
      <c r="W218" s="73">
        <f t="shared" si="144"/>
        <v>0</v>
      </c>
      <c r="X218" s="73">
        <f>IF(B218&lt;&gt;"",IF(MONTH(E218)=MONTH($F$13),SUMIF($C$22:C600,"="&amp;(C218-1),$G$22:G600),0)*S218,"")</f>
        <v>1066.308</v>
      </c>
      <c r="Y218" s="73">
        <f>IF(B218&lt;&gt;"",SUM($X$22:X218),"")</f>
        <v>18127.236000000008</v>
      </c>
      <c r="Z218" s="73">
        <f t="shared" si="156"/>
        <v>79.262935953472009</v>
      </c>
      <c r="AA218" s="73">
        <f t="shared" si="145"/>
        <v>15.059957831159682</v>
      </c>
      <c r="AB218" s="73">
        <f t="shared" si="146"/>
        <v>5715.8477641639156</v>
      </c>
      <c r="AC218" s="73">
        <f t="shared" si="147"/>
        <v>23843.083764163915</v>
      </c>
      <c r="AD218" s="73">
        <f>IFERROR($U218*(1-$V218)+SUM($W$22:$W218)+$AB218,"")</f>
        <v>150086.58660588259</v>
      </c>
      <c r="AE218" s="73" t="b">
        <f t="shared" si="148"/>
        <v>0</v>
      </c>
      <c r="AF218" s="73">
        <f>IF(AND(AE218=TRUE,D218&gt;=65),$U218*(1-10%)+SUM($W$22:$W218)+$AB218,AD218)</f>
        <v>150086.58660588259</v>
      </c>
      <c r="AG218" s="73">
        <f t="shared" si="131"/>
        <v>505.31762735347542</v>
      </c>
      <c r="AH218" s="73">
        <f t="shared" si="132"/>
        <v>45469.805833396094</v>
      </c>
      <c r="AI218" s="73">
        <f t="shared" si="133"/>
        <v>152100.60583339608</v>
      </c>
      <c r="AJ218" s="73">
        <f t="shared" si="134"/>
        <v>143461.34272505081</v>
      </c>
      <c r="AK218" s="73" t="b">
        <f t="shared" si="149"/>
        <v>0</v>
      </c>
      <c r="AL218" s="73">
        <f t="shared" si="135"/>
        <v>143461.34272505081</v>
      </c>
      <c r="AM218" s="73">
        <f t="shared" si="157"/>
        <v>471.30852274899962</v>
      </c>
      <c r="AN218" s="73">
        <f t="shared" si="150"/>
        <v>89.548619322309932</v>
      </c>
      <c r="AO218" s="73">
        <f t="shared" si="151"/>
        <v>35143.516728126604</v>
      </c>
      <c r="AP218" s="73">
        <f t="shared" si="152"/>
        <v>141774.31672812658</v>
      </c>
    </row>
    <row r="219" spans="1:42" s="31" customFormat="1" x14ac:dyDescent="0.6">
      <c r="A219" s="70">
        <f t="shared" si="136"/>
        <v>198</v>
      </c>
      <c r="B219" s="70" t="str">
        <f>IF(E219&lt;=$F$9,VLOOKUP(KALKULATOR!A219,Robocze!$B$23:$C$102,2),"")</f>
        <v>17 rok</v>
      </c>
      <c r="C219" s="70">
        <f t="shared" si="139"/>
        <v>2037</v>
      </c>
      <c r="D219" s="71">
        <f t="shared" si="153"/>
        <v>56.500000000000469</v>
      </c>
      <c r="E219" s="77">
        <f t="shared" si="154"/>
        <v>50161</v>
      </c>
      <c r="F219" s="72">
        <f t="shared" si="140"/>
        <v>50191</v>
      </c>
      <c r="G219" s="73">
        <f>IFERROR(IF(AND(F219&lt;=$F$9,$F$5=Robocze!$B$4,$E219&lt;=$F$9,MONTH($F$8)=MONTH(E219)),$F$4,0)+IF(AND(F219&lt;=$F$9,$F$5=Robocze!$B$3,E219&lt;=$F$9),KALKULATOR!$F$4/12,0),"")</f>
        <v>0</v>
      </c>
      <c r="H219" s="73">
        <f t="shared" si="141"/>
        <v>106630.79999999997</v>
      </c>
      <c r="I219" s="74">
        <f t="shared" si="137"/>
        <v>0.04</v>
      </c>
      <c r="J219" s="73">
        <f t="shared" si="123"/>
        <v>0</v>
      </c>
      <c r="K219" s="75" t="str">
        <f t="shared" si="124"/>
        <v/>
      </c>
      <c r="L219" s="73">
        <f t="shared" si="125"/>
        <v>106630.79999999997</v>
      </c>
      <c r="M219" s="73">
        <f t="shared" si="126"/>
        <v>150571.7746081849</v>
      </c>
      <c r="N219" s="73">
        <f t="shared" si="127"/>
        <v>150571.7746081849</v>
      </c>
      <c r="O219" s="73">
        <f t="shared" si="128"/>
        <v>143872.014360801</v>
      </c>
      <c r="P219" s="73">
        <f t="shared" si="129"/>
        <v>143872.014360801</v>
      </c>
      <c r="Q219" s="73">
        <f t="shared" si="130"/>
        <v>142157.10738329252</v>
      </c>
      <c r="R219" s="73"/>
      <c r="S219" s="76">
        <f t="shared" si="138"/>
        <v>0.17</v>
      </c>
      <c r="T219" s="73">
        <f t="shared" si="155"/>
        <v>507.00201944465334</v>
      </c>
      <c r="U219" s="73">
        <f t="shared" si="142"/>
        <v>152607.60785284065</v>
      </c>
      <c r="V219" s="76">
        <f t="shared" si="143"/>
        <v>0.17</v>
      </c>
      <c r="W219" s="73">
        <f t="shared" si="144"/>
        <v>0</v>
      </c>
      <c r="X219" s="73">
        <f>IF(B219&lt;&gt;"",IF(MONTH(E219)=MONTH($F$13),SUMIF($C$22:C601,"="&amp;(C219-1),$G$22:G601),0)*S219,"")</f>
        <v>0</v>
      </c>
      <c r="Y219" s="73">
        <f>IF(B219&lt;&gt;"",SUM($X$22:X219),"")</f>
        <v>18127.236000000008</v>
      </c>
      <c r="Z219" s="73">
        <f t="shared" si="156"/>
        <v>79.476945880546381</v>
      </c>
      <c r="AA219" s="73">
        <f t="shared" si="145"/>
        <v>15.100619717303813</v>
      </c>
      <c r="AB219" s="73">
        <f t="shared" si="146"/>
        <v>5780.2240903271586</v>
      </c>
      <c r="AC219" s="73">
        <f t="shared" si="147"/>
        <v>23907.460090327157</v>
      </c>
      <c r="AD219" s="73">
        <f>IFERROR($U219*(1-$V219)+SUM($W$22:$W219)+$AB219,"")</f>
        <v>150571.7746081849</v>
      </c>
      <c r="AE219" s="73" t="b">
        <f t="shared" si="148"/>
        <v>0</v>
      </c>
      <c r="AF219" s="73">
        <f>IF(AND(AE219=TRUE,D219&gt;=65),$U219*(1-10%)+SUM($W$22:$W219)+$AB219,AD219)</f>
        <v>150571.7746081849</v>
      </c>
      <c r="AG219" s="73">
        <f t="shared" si="131"/>
        <v>507.00201944465363</v>
      </c>
      <c r="AH219" s="73">
        <f t="shared" si="132"/>
        <v>45976.80785284075</v>
      </c>
      <c r="AI219" s="73">
        <f t="shared" si="133"/>
        <v>152607.60785284074</v>
      </c>
      <c r="AJ219" s="73">
        <f t="shared" si="134"/>
        <v>143872.014360801</v>
      </c>
      <c r="AK219" s="73" t="b">
        <f t="shared" si="149"/>
        <v>0</v>
      </c>
      <c r="AL219" s="73">
        <f t="shared" si="135"/>
        <v>143872.014360801</v>
      </c>
      <c r="AM219" s="73">
        <f t="shared" si="157"/>
        <v>472.58105576042198</v>
      </c>
      <c r="AN219" s="73">
        <f t="shared" si="150"/>
        <v>89.790400594480175</v>
      </c>
      <c r="AO219" s="73">
        <f t="shared" si="151"/>
        <v>35526.307383292544</v>
      </c>
      <c r="AP219" s="73">
        <f t="shared" si="152"/>
        <v>142157.10738329252</v>
      </c>
    </row>
    <row r="220" spans="1:42" s="31" customFormat="1" x14ac:dyDescent="0.6">
      <c r="A220" s="70">
        <f t="shared" si="136"/>
        <v>199</v>
      </c>
      <c r="B220" s="70" t="str">
        <f>IF(E220&lt;=$F$9,VLOOKUP(KALKULATOR!A220,Robocze!$B$23:$C$102,2),"")</f>
        <v>17 rok</v>
      </c>
      <c r="C220" s="70">
        <f t="shared" si="139"/>
        <v>2037</v>
      </c>
      <c r="D220" s="71">
        <f t="shared" si="153"/>
        <v>56.583333333333805</v>
      </c>
      <c r="E220" s="77">
        <f t="shared" si="154"/>
        <v>50192</v>
      </c>
      <c r="F220" s="72">
        <f t="shared" si="140"/>
        <v>50221</v>
      </c>
      <c r="G220" s="73">
        <f>IFERROR(IF(AND(F220&lt;=$F$9,$F$5=Robocze!$B$4,$E220&lt;=$F$9,MONTH($F$8)=MONTH(E220)),$F$4,0)+IF(AND(F220&lt;=$F$9,$F$5=Robocze!$B$3,E220&lt;=$F$9),KALKULATOR!$F$4/12,0),"")</f>
        <v>0</v>
      </c>
      <c r="H220" s="73">
        <f t="shared" si="141"/>
        <v>106630.79999999997</v>
      </c>
      <c r="I220" s="74">
        <f t="shared" si="137"/>
        <v>0.04</v>
      </c>
      <c r="J220" s="73">
        <f t="shared" si="123"/>
        <v>0</v>
      </c>
      <c r="K220" s="75" t="str">
        <f t="shared" si="124"/>
        <v/>
      </c>
      <c r="L220" s="73">
        <f t="shared" si="125"/>
        <v>106630.79999999997</v>
      </c>
      <c r="M220" s="73">
        <f t="shared" si="126"/>
        <v>151058.53913215498</v>
      </c>
      <c r="N220" s="73">
        <f t="shared" si="127"/>
        <v>151058.53913215498</v>
      </c>
      <c r="O220" s="73">
        <f t="shared" si="128"/>
        <v>144284.05490200364</v>
      </c>
      <c r="P220" s="73">
        <f t="shared" si="129"/>
        <v>144284.05490200364</v>
      </c>
      <c r="Q220" s="73">
        <f t="shared" si="130"/>
        <v>142540.9315732274</v>
      </c>
      <c r="R220" s="73"/>
      <c r="S220" s="76">
        <f t="shared" si="138"/>
        <v>0.17</v>
      </c>
      <c r="T220" s="73">
        <f t="shared" si="155"/>
        <v>508.69202617613553</v>
      </c>
      <c r="U220" s="73">
        <f t="shared" si="142"/>
        <v>153116.29987901679</v>
      </c>
      <c r="V220" s="76">
        <f t="shared" si="143"/>
        <v>0.17</v>
      </c>
      <c r="W220" s="73">
        <f t="shared" si="144"/>
        <v>0</v>
      </c>
      <c r="X220" s="73">
        <f>IF(B220&lt;&gt;"",IF(MONTH(E220)=MONTH($F$13),SUMIF($C$22:C602,"="&amp;(C220-1),$G$22:G602),0)*S220,"")</f>
        <v>0</v>
      </c>
      <c r="Y220" s="73">
        <f>IF(B220&lt;&gt;"",SUM($X$22:X220),"")</f>
        <v>18127.236000000008</v>
      </c>
      <c r="Z220" s="73">
        <f t="shared" si="156"/>
        <v>79.691533634423863</v>
      </c>
      <c r="AA220" s="73">
        <f t="shared" si="145"/>
        <v>15.141391390540534</v>
      </c>
      <c r="AB220" s="73">
        <f t="shared" si="146"/>
        <v>5844.7742325710415</v>
      </c>
      <c r="AC220" s="73">
        <f t="shared" si="147"/>
        <v>23972.01023257104</v>
      </c>
      <c r="AD220" s="73">
        <f>IFERROR($U220*(1-$V220)+SUM($W$22:$W220)+$AB220,"")</f>
        <v>151058.53913215498</v>
      </c>
      <c r="AE220" s="73" t="b">
        <f t="shared" si="148"/>
        <v>0</v>
      </c>
      <c r="AF220" s="73">
        <f>IF(AND(AE220=TRUE,D220&gt;=65),$U220*(1-10%)+SUM($W$22:$W220)+$AB220,AD220)</f>
        <v>151058.53913215498</v>
      </c>
      <c r="AG220" s="73">
        <f t="shared" si="131"/>
        <v>508.69202617613581</v>
      </c>
      <c r="AH220" s="73">
        <f t="shared" si="132"/>
        <v>46485.499879016883</v>
      </c>
      <c r="AI220" s="73">
        <f t="shared" si="133"/>
        <v>153116.29987901685</v>
      </c>
      <c r="AJ220" s="73">
        <f t="shared" si="134"/>
        <v>144284.05490200364</v>
      </c>
      <c r="AK220" s="73" t="b">
        <f t="shared" si="149"/>
        <v>0</v>
      </c>
      <c r="AL220" s="73">
        <f t="shared" si="135"/>
        <v>144284.05490200364</v>
      </c>
      <c r="AM220" s="73">
        <f t="shared" si="157"/>
        <v>473.85702461097503</v>
      </c>
      <c r="AN220" s="73">
        <f t="shared" si="150"/>
        <v>90.032834676085258</v>
      </c>
      <c r="AO220" s="73">
        <f t="shared" si="151"/>
        <v>35910.131573227423</v>
      </c>
      <c r="AP220" s="73">
        <f t="shared" si="152"/>
        <v>142540.9315732274</v>
      </c>
    </row>
    <row r="221" spans="1:42" s="31" customFormat="1" x14ac:dyDescent="0.6">
      <c r="A221" s="70">
        <f t="shared" si="136"/>
        <v>200</v>
      </c>
      <c r="B221" s="70" t="str">
        <f>IF(E221&lt;=$F$9,VLOOKUP(KALKULATOR!A221,Robocze!$B$23:$C$102,2),"")</f>
        <v>17 rok</v>
      </c>
      <c r="C221" s="70">
        <f t="shared" si="139"/>
        <v>2037</v>
      </c>
      <c r="D221" s="71">
        <f t="shared" si="153"/>
        <v>56.66666666666714</v>
      </c>
      <c r="E221" s="77">
        <f t="shared" si="154"/>
        <v>50222</v>
      </c>
      <c r="F221" s="72">
        <f t="shared" si="140"/>
        <v>50252</v>
      </c>
      <c r="G221" s="73">
        <f>IFERROR(IF(AND(F221&lt;=$F$9,$F$5=Robocze!$B$4,$E221&lt;=$F$9,MONTH($F$8)=MONTH(E221)),$F$4,0)+IF(AND(F221&lt;=$F$9,$F$5=Robocze!$B$3,E221&lt;=$F$9),KALKULATOR!$F$4/12,0),"")</f>
        <v>0</v>
      </c>
      <c r="H221" s="73">
        <f t="shared" si="141"/>
        <v>106630.79999999997</v>
      </c>
      <c r="I221" s="74">
        <f t="shared" si="137"/>
        <v>0.04</v>
      </c>
      <c r="J221" s="73">
        <f t="shared" si="123"/>
        <v>0</v>
      </c>
      <c r="K221" s="75" t="str">
        <f t="shared" si="124"/>
        <v/>
      </c>
      <c r="L221" s="73">
        <f t="shared" si="125"/>
        <v>106630.79999999997</v>
      </c>
      <c r="M221" s="73">
        <f t="shared" si="126"/>
        <v>151546.88532278154</v>
      </c>
      <c r="N221" s="73">
        <f t="shared" si="127"/>
        <v>151546.88532278154</v>
      </c>
      <c r="O221" s="73">
        <f t="shared" si="128"/>
        <v>144697.46891167702</v>
      </c>
      <c r="P221" s="73">
        <f t="shared" si="129"/>
        <v>144697.46891167702</v>
      </c>
      <c r="Q221" s="73">
        <f t="shared" si="130"/>
        <v>142925.79208847514</v>
      </c>
      <c r="R221" s="73"/>
      <c r="S221" s="76">
        <f t="shared" si="138"/>
        <v>0.17</v>
      </c>
      <c r="T221" s="73">
        <f t="shared" si="155"/>
        <v>510.38766626338935</v>
      </c>
      <c r="U221" s="73">
        <f t="shared" si="142"/>
        <v>153626.68754528018</v>
      </c>
      <c r="V221" s="76">
        <f t="shared" si="143"/>
        <v>0.17</v>
      </c>
      <c r="W221" s="73">
        <f t="shared" si="144"/>
        <v>0</v>
      </c>
      <c r="X221" s="73">
        <f>IF(B221&lt;&gt;"",IF(MONTH(E221)=MONTH($F$13),SUMIF($C$22:C603,"="&amp;(C221-1),$G$22:G603),0)*S221,"")</f>
        <v>0</v>
      </c>
      <c r="Y221" s="73">
        <f>IF(B221&lt;&gt;"",SUM($X$22:X221),"")</f>
        <v>18127.236000000008</v>
      </c>
      <c r="Z221" s="73">
        <f t="shared" si="156"/>
        <v>79.9067007752368</v>
      </c>
      <c r="AA221" s="73">
        <f t="shared" si="145"/>
        <v>15.182273147294993</v>
      </c>
      <c r="AB221" s="73">
        <f t="shared" si="146"/>
        <v>5909.4986601989831</v>
      </c>
      <c r="AC221" s="73">
        <f t="shared" si="147"/>
        <v>24036.734660198981</v>
      </c>
      <c r="AD221" s="73">
        <f>IFERROR($U221*(1-$V221)+SUM($W$22:$W221)+$AB221,"")</f>
        <v>151546.88532278154</v>
      </c>
      <c r="AE221" s="73" t="b">
        <f t="shared" si="148"/>
        <v>0</v>
      </c>
      <c r="AF221" s="73">
        <f>IF(AND(AE221=TRUE,D221&gt;=65),$U221*(1-10%)+SUM($W$22:$W221)+$AB221,AD221)</f>
        <v>151546.88532278154</v>
      </c>
      <c r="AG221" s="73">
        <f t="shared" si="131"/>
        <v>510.38766626338952</v>
      </c>
      <c r="AH221" s="73">
        <f t="shared" si="132"/>
        <v>46995.887545280275</v>
      </c>
      <c r="AI221" s="73">
        <f t="shared" si="133"/>
        <v>153626.68754528026</v>
      </c>
      <c r="AJ221" s="73">
        <f t="shared" si="134"/>
        <v>144697.46891167702</v>
      </c>
      <c r="AK221" s="73" t="b">
        <f t="shared" si="149"/>
        <v>0</v>
      </c>
      <c r="AL221" s="73">
        <f t="shared" si="135"/>
        <v>144697.46891167702</v>
      </c>
      <c r="AM221" s="73">
        <f t="shared" si="157"/>
        <v>475.13643857742471</v>
      </c>
      <c r="AN221" s="73">
        <f t="shared" si="150"/>
        <v>90.275923329710693</v>
      </c>
      <c r="AO221" s="73">
        <f t="shared" si="151"/>
        <v>36294.992088475163</v>
      </c>
      <c r="AP221" s="73">
        <f t="shared" si="152"/>
        <v>142925.79208847514</v>
      </c>
    </row>
    <row r="222" spans="1:42" s="31" customFormat="1" x14ac:dyDescent="0.6">
      <c r="A222" s="70">
        <f t="shared" si="136"/>
        <v>201</v>
      </c>
      <c r="B222" s="70" t="str">
        <f>IF(E222&lt;=$F$9,VLOOKUP(KALKULATOR!A222,Robocze!$B$23:$C$102,2),"")</f>
        <v>17 rok</v>
      </c>
      <c r="C222" s="70">
        <f t="shared" si="139"/>
        <v>2037</v>
      </c>
      <c r="D222" s="71">
        <f t="shared" si="153"/>
        <v>56.750000000000476</v>
      </c>
      <c r="E222" s="77">
        <f t="shared" si="154"/>
        <v>50253</v>
      </c>
      <c r="F222" s="72">
        <f t="shared" si="140"/>
        <v>50283</v>
      </c>
      <c r="G222" s="73">
        <f>IFERROR(IF(AND(F222&lt;=$F$9,$F$5=Robocze!$B$4,$E222&lt;=$F$9,MONTH($F$8)=MONTH(E222)),$F$4,0)+IF(AND(F222&lt;=$F$9,$F$5=Robocze!$B$3,E222&lt;=$F$9),KALKULATOR!$F$4/12,0),"")</f>
        <v>0</v>
      </c>
      <c r="H222" s="73">
        <f t="shared" si="141"/>
        <v>106630.79999999997</v>
      </c>
      <c r="I222" s="74">
        <f t="shared" si="137"/>
        <v>0.04</v>
      </c>
      <c r="J222" s="73">
        <f t="shared" si="123"/>
        <v>0</v>
      </c>
      <c r="K222" s="75" t="str">
        <f t="shared" si="124"/>
        <v/>
      </c>
      <c r="L222" s="73">
        <f t="shared" si="125"/>
        <v>106630.79999999997</v>
      </c>
      <c r="M222" s="73">
        <f t="shared" si="126"/>
        <v>152036.81834190601</v>
      </c>
      <c r="N222" s="73">
        <f t="shared" si="127"/>
        <v>152036.81834190601</v>
      </c>
      <c r="O222" s="73">
        <f t="shared" si="128"/>
        <v>145112.26096804923</v>
      </c>
      <c r="P222" s="73">
        <f t="shared" si="129"/>
        <v>145112.26096804923</v>
      </c>
      <c r="Q222" s="73">
        <f t="shared" si="130"/>
        <v>143311.69172711403</v>
      </c>
      <c r="R222" s="73"/>
      <c r="S222" s="76">
        <f t="shared" si="138"/>
        <v>0.17</v>
      </c>
      <c r="T222" s="73">
        <f t="shared" si="155"/>
        <v>512.08895848426732</v>
      </c>
      <c r="U222" s="73">
        <f t="shared" si="142"/>
        <v>154138.77650376444</v>
      </c>
      <c r="V222" s="76">
        <f t="shared" si="143"/>
        <v>0.17</v>
      </c>
      <c r="W222" s="73">
        <f t="shared" si="144"/>
        <v>0</v>
      </c>
      <c r="X222" s="73">
        <f>IF(B222&lt;&gt;"",IF(MONTH(E222)=MONTH($F$13),SUMIF($C$22:C604,"="&amp;(C222-1),$G$22:G604),0)*S222,"")</f>
        <v>0</v>
      </c>
      <c r="Y222" s="73">
        <f>IF(B222&lt;&gt;"",SUM($X$22:X222),"")</f>
        <v>18127.236000000008</v>
      </c>
      <c r="Z222" s="73">
        <f t="shared" si="156"/>
        <v>80.122448867329936</v>
      </c>
      <c r="AA222" s="73">
        <f t="shared" si="145"/>
        <v>15.223265284792689</v>
      </c>
      <c r="AB222" s="73">
        <f t="shared" si="146"/>
        <v>5974.3978437815204</v>
      </c>
      <c r="AC222" s="73">
        <f t="shared" si="147"/>
        <v>24101.633843781517</v>
      </c>
      <c r="AD222" s="73">
        <f>IFERROR($U222*(1-$V222)+SUM($W$22:$W222)+$AB222,"")</f>
        <v>152036.81834190601</v>
      </c>
      <c r="AE222" s="73" t="b">
        <f t="shared" si="148"/>
        <v>0</v>
      </c>
      <c r="AF222" s="73">
        <f>IF(AND(AE222=TRUE,D222&gt;=65),$U222*(1-10%)+SUM($W$22:$W222)+$AB222,AD222)</f>
        <v>152036.81834190601</v>
      </c>
      <c r="AG222" s="73">
        <f t="shared" si="131"/>
        <v>512.08895848426755</v>
      </c>
      <c r="AH222" s="73">
        <f t="shared" si="132"/>
        <v>47507.976503764541</v>
      </c>
      <c r="AI222" s="73">
        <f t="shared" si="133"/>
        <v>154138.7765037645</v>
      </c>
      <c r="AJ222" s="73">
        <f t="shared" si="134"/>
        <v>145112.26096804923</v>
      </c>
      <c r="AK222" s="73" t="b">
        <f t="shared" si="149"/>
        <v>0</v>
      </c>
      <c r="AL222" s="73">
        <f t="shared" si="135"/>
        <v>145112.26096804923</v>
      </c>
      <c r="AM222" s="73">
        <f t="shared" si="157"/>
        <v>476.4193069615838</v>
      </c>
      <c r="AN222" s="73">
        <f t="shared" si="150"/>
        <v>90.519668322700923</v>
      </c>
      <c r="AO222" s="73">
        <f t="shared" si="151"/>
        <v>36680.891727114053</v>
      </c>
      <c r="AP222" s="73">
        <f t="shared" si="152"/>
        <v>143311.69172711403</v>
      </c>
    </row>
    <row r="223" spans="1:42" s="31" customFormat="1" x14ac:dyDescent="0.6">
      <c r="A223" s="70">
        <f t="shared" si="136"/>
        <v>202</v>
      </c>
      <c r="B223" s="70" t="str">
        <f>IF(E223&lt;=$F$9,VLOOKUP(KALKULATOR!A223,Robocze!$B$23:$C$102,2),"")</f>
        <v>17 rok</v>
      </c>
      <c r="C223" s="70">
        <f t="shared" si="139"/>
        <v>2037</v>
      </c>
      <c r="D223" s="71">
        <f t="shared" si="153"/>
        <v>56.833333333333812</v>
      </c>
      <c r="E223" s="77">
        <f t="shared" si="154"/>
        <v>50284</v>
      </c>
      <c r="F223" s="72">
        <f t="shared" si="140"/>
        <v>50313</v>
      </c>
      <c r="G223" s="73">
        <f>IFERROR(IF(AND(F223&lt;=$F$9,$F$5=Robocze!$B$4,$E223&lt;=$F$9,MONTH($F$8)=MONTH(E223)),$F$4,0)+IF(AND(F223&lt;=$F$9,$F$5=Robocze!$B$3,E223&lt;=$F$9),KALKULATOR!$F$4/12,0),"")</f>
        <v>0</v>
      </c>
      <c r="H223" s="73">
        <f t="shared" si="141"/>
        <v>106630.79999999997</v>
      </c>
      <c r="I223" s="74">
        <f t="shared" si="137"/>
        <v>0.04</v>
      </c>
      <c r="J223" s="73">
        <f t="shared" si="123"/>
        <v>0</v>
      </c>
      <c r="K223" s="75" t="str">
        <f t="shared" si="124"/>
        <v/>
      </c>
      <c r="L223" s="73">
        <f t="shared" si="125"/>
        <v>106630.79999999997</v>
      </c>
      <c r="M223" s="73">
        <f t="shared" si="126"/>
        <v>152528.34336827794</v>
      </c>
      <c r="N223" s="73">
        <f t="shared" si="127"/>
        <v>152528.34336827794</v>
      </c>
      <c r="O223" s="73">
        <f t="shared" si="128"/>
        <v>145528.43566460942</v>
      </c>
      <c r="P223" s="73">
        <f t="shared" si="129"/>
        <v>145528.43566460942</v>
      </c>
      <c r="Q223" s="73">
        <f t="shared" si="130"/>
        <v>143698.63329477725</v>
      </c>
      <c r="R223" s="73"/>
      <c r="S223" s="76">
        <f t="shared" si="138"/>
        <v>0.17</v>
      </c>
      <c r="T223" s="73">
        <f t="shared" si="155"/>
        <v>513.79592167921487</v>
      </c>
      <c r="U223" s="73">
        <f t="shared" si="142"/>
        <v>154652.57242544365</v>
      </c>
      <c r="V223" s="76">
        <f t="shared" si="143"/>
        <v>0.17</v>
      </c>
      <c r="W223" s="73">
        <f t="shared" si="144"/>
        <v>0</v>
      </c>
      <c r="X223" s="73">
        <f>IF(B223&lt;&gt;"",IF(MONTH(E223)=MONTH($F$13),SUMIF($C$22:C605,"="&amp;(C223-1),$G$22:G605),0)*S223,"")</f>
        <v>0</v>
      </c>
      <c r="Y223" s="73">
        <f>IF(B223&lt;&gt;"",SUM($X$22:X223),"")</f>
        <v>18127.236000000008</v>
      </c>
      <c r="Z223" s="73">
        <f t="shared" si="156"/>
        <v>80.338779479271736</v>
      </c>
      <c r="AA223" s="73">
        <f t="shared" si="145"/>
        <v>15.264368101061629</v>
      </c>
      <c r="AB223" s="73">
        <f t="shared" si="146"/>
        <v>6039.4722551597306</v>
      </c>
      <c r="AC223" s="73">
        <f t="shared" si="147"/>
        <v>24166.708255159727</v>
      </c>
      <c r="AD223" s="73">
        <f>IFERROR($U223*(1-$V223)+SUM($W$22:$W223)+$AB223,"")</f>
        <v>152528.34336827794</v>
      </c>
      <c r="AE223" s="73" t="b">
        <f t="shared" si="148"/>
        <v>0</v>
      </c>
      <c r="AF223" s="73">
        <f>IF(AND(AE223=TRUE,D223&gt;=65),$U223*(1-10%)+SUM($W$22:$W223)+$AB223,AD223)</f>
        <v>152528.34336827794</v>
      </c>
      <c r="AG223" s="73">
        <f t="shared" si="131"/>
        <v>513.79592167921498</v>
      </c>
      <c r="AH223" s="73">
        <f t="shared" si="132"/>
        <v>48021.772425443756</v>
      </c>
      <c r="AI223" s="73">
        <f t="shared" si="133"/>
        <v>154652.57242544374</v>
      </c>
      <c r="AJ223" s="73">
        <f t="shared" si="134"/>
        <v>145528.43566460942</v>
      </c>
      <c r="AK223" s="73" t="b">
        <f t="shared" si="149"/>
        <v>0</v>
      </c>
      <c r="AL223" s="73">
        <f t="shared" si="135"/>
        <v>145528.43566460942</v>
      </c>
      <c r="AM223" s="73">
        <f t="shared" si="157"/>
        <v>477.70563909038009</v>
      </c>
      <c r="AN223" s="73">
        <f t="shared" si="150"/>
        <v>90.764071427172212</v>
      </c>
      <c r="AO223" s="73">
        <f t="shared" si="151"/>
        <v>37067.833294777272</v>
      </c>
      <c r="AP223" s="73">
        <f t="shared" si="152"/>
        <v>143698.63329477725</v>
      </c>
    </row>
    <row r="224" spans="1:42" s="31" customFormat="1" x14ac:dyDescent="0.6">
      <c r="A224" s="70">
        <f t="shared" si="136"/>
        <v>203</v>
      </c>
      <c r="B224" s="70" t="str">
        <f>IF(E224&lt;=$F$9,VLOOKUP(KALKULATOR!A224,Robocze!$B$23:$C$102,2),"")</f>
        <v>17 rok</v>
      </c>
      <c r="C224" s="70">
        <f t="shared" si="139"/>
        <v>2037</v>
      </c>
      <c r="D224" s="71">
        <f t="shared" si="153"/>
        <v>56.916666666667147</v>
      </c>
      <c r="E224" s="77">
        <f t="shared" si="154"/>
        <v>50314</v>
      </c>
      <c r="F224" s="72">
        <f t="shared" si="140"/>
        <v>50344</v>
      </c>
      <c r="G224" s="73">
        <f>IFERROR(IF(AND(F224&lt;=$F$9,$F$5=Robocze!$B$4,$E224&lt;=$F$9,MONTH($F$8)=MONTH(E224)),$F$4,0)+IF(AND(F224&lt;=$F$9,$F$5=Robocze!$B$3,E224&lt;=$F$9),KALKULATOR!$F$4/12,0),"")</f>
        <v>0</v>
      </c>
      <c r="H224" s="73">
        <f t="shared" si="141"/>
        <v>106630.79999999997</v>
      </c>
      <c r="I224" s="74">
        <f t="shared" si="137"/>
        <v>0.04</v>
      </c>
      <c r="J224" s="73">
        <f t="shared" si="123"/>
        <v>0</v>
      </c>
      <c r="K224" s="75" t="str">
        <f t="shared" si="124"/>
        <v/>
      </c>
      <c r="L224" s="73">
        <f t="shared" si="125"/>
        <v>106630.79999999997</v>
      </c>
      <c r="M224" s="73">
        <f t="shared" si="126"/>
        <v>153021.46559761063</v>
      </c>
      <c r="N224" s="73">
        <f t="shared" si="127"/>
        <v>153021.46559761063</v>
      </c>
      <c r="O224" s="73">
        <f t="shared" si="128"/>
        <v>145945.99761015811</v>
      </c>
      <c r="P224" s="73">
        <f t="shared" si="129"/>
        <v>145945.99761015811</v>
      </c>
      <c r="Q224" s="73">
        <f t="shared" si="130"/>
        <v>144086.61960467315</v>
      </c>
      <c r="R224" s="73"/>
      <c r="S224" s="76">
        <f t="shared" si="138"/>
        <v>0.17</v>
      </c>
      <c r="T224" s="73">
        <f t="shared" si="155"/>
        <v>515.50857475147882</v>
      </c>
      <c r="U224" s="73">
        <f t="shared" si="142"/>
        <v>155168.08100019512</v>
      </c>
      <c r="V224" s="76">
        <f t="shared" si="143"/>
        <v>0.17</v>
      </c>
      <c r="W224" s="73">
        <f t="shared" si="144"/>
        <v>0</v>
      </c>
      <c r="X224" s="73">
        <f>IF(B224&lt;&gt;"",IF(MONTH(E224)=MONTH($F$13),SUMIF($C$22:C606,"="&amp;(C224-1),$G$22:G606),0)*S224,"")</f>
        <v>0</v>
      </c>
      <c r="Y224" s="73">
        <f>IF(B224&lt;&gt;"",SUM($X$22:X224),"")</f>
        <v>18127.236000000008</v>
      </c>
      <c r="Z224" s="73">
        <f t="shared" si="156"/>
        <v>80.555694183865754</v>
      </c>
      <c r="AA224" s="73">
        <f t="shared" si="145"/>
        <v>15.305581894934493</v>
      </c>
      <c r="AB224" s="73">
        <f t="shared" si="146"/>
        <v>6104.7223674486622</v>
      </c>
      <c r="AC224" s="73">
        <f t="shared" si="147"/>
        <v>24231.958367448657</v>
      </c>
      <c r="AD224" s="73">
        <f>IFERROR($U224*(1-$V224)+SUM($W$22:$W224)+$AB224,"")</f>
        <v>153021.46559761063</v>
      </c>
      <c r="AE224" s="73" t="b">
        <f t="shared" si="148"/>
        <v>0</v>
      </c>
      <c r="AF224" s="73">
        <f>IF(AND(AE224=TRUE,D224&gt;=65),$U224*(1-10%)+SUM($W$22:$W224)+$AB224,AD224)</f>
        <v>153021.46559761063</v>
      </c>
      <c r="AG224" s="73">
        <f t="shared" si="131"/>
        <v>515.50857475147916</v>
      </c>
      <c r="AH224" s="73">
        <f t="shared" si="132"/>
        <v>48537.281000195238</v>
      </c>
      <c r="AI224" s="73">
        <f t="shared" si="133"/>
        <v>155168.0810001952</v>
      </c>
      <c r="AJ224" s="73">
        <f t="shared" si="134"/>
        <v>145945.99761015811</v>
      </c>
      <c r="AK224" s="73" t="b">
        <f t="shared" si="149"/>
        <v>0</v>
      </c>
      <c r="AL224" s="73">
        <f t="shared" si="135"/>
        <v>145945.99761015811</v>
      </c>
      <c r="AM224" s="73">
        <f t="shared" si="157"/>
        <v>478.9954443159242</v>
      </c>
      <c r="AN224" s="73">
        <f t="shared" si="150"/>
        <v>91.009134420025603</v>
      </c>
      <c r="AO224" s="73">
        <f t="shared" si="151"/>
        <v>37455.819604673175</v>
      </c>
      <c r="AP224" s="73">
        <f t="shared" si="152"/>
        <v>144086.61960467315</v>
      </c>
    </row>
    <row r="225" spans="1:42" s="69" customFormat="1" x14ac:dyDescent="0.6">
      <c r="A225" s="78">
        <f t="shared" si="136"/>
        <v>204</v>
      </c>
      <c r="B225" s="78" t="str">
        <f>IF(E225&lt;=$F$9,VLOOKUP(KALKULATOR!A225,Robocze!$B$23:$C$102,2),"")</f>
        <v>17 rok</v>
      </c>
      <c r="C225" s="78">
        <f t="shared" si="139"/>
        <v>2037</v>
      </c>
      <c r="D225" s="79">
        <f t="shared" si="153"/>
        <v>57.000000000000483</v>
      </c>
      <c r="E225" s="80">
        <f t="shared" si="154"/>
        <v>50345</v>
      </c>
      <c r="F225" s="81">
        <f t="shared" si="140"/>
        <v>50374</v>
      </c>
      <c r="G225" s="82">
        <f>IFERROR(IF(AND(F225&lt;=$F$9,$F$5=Robocze!$B$4,$E225&lt;=$F$9,MONTH($F$8)=MONTH(E225)),$F$4,0)+IF(AND(F225&lt;=$F$9,$F$5=Robocze!$B$3,E225&lt;=$F$9),KALKULATOR!$F$4/12,0),"")</f>
        <v>0</v>
      </c>
      <c r="H225" s="82">
        <f t="shared" si="141"/>
        <v>106630.79999999997</v>
      </c>
      <c r="I225" s="83">
        <f t="shared" si="137"/>
        <v>0.04</v>
      </c>
      <c r="J225" s="82">
        <f t="shared" si="123"/>
        <v>0</v>
      </c>
      <c r="K225" s="84">
        <f t="shared" si="124"/>
        <v>17</v>
      </c>
      <c r="L225" s="82">
        <f t="shared" si="125"/>
        <v>106630.79999999997</v>
      </c>
      <c r="M225" s="82">
        <f t="shared" si="126"/>
        <v>153516.1902426366</v>
      </c>
      <c r="N225" s="82">
        <f t="shared" si="127"/>
        <v>153516.1902426366</v>
      </c>
      <c r="O225" s="82">
        <f t="shared" si="128"/>
        <v>146364.95142885862</v>
      </c>
      <c r="P225" s="82">
        <f t="shared" si="129"/>
        <v>146364.95142885862</v>
      </c>
      <c r="Q225" s="82">
        <f t="shared" si="130"/>
        <v>144475.65347760578</v>
      </c>
      <c r="R225" s="82"/>
      <c r="S225" s="85">
        <f t="shared" si="138"/>
        <v>0.17</v>
      </c>
      <c r="T225" s="82">
        <f t="shared" si="155"/>
        <v>517.22693666731709</v>
      </c>
      <c r="U225" s="82">
        <f t="shared" si="142"/>
        <v>155685.30793686243</v>
      </c>
      <c r="V225" s="85">
        <f t="shared" si="143"/>
        <v>0.17</v>
      </c>
      <c r="W225" s="82">
        <f t="shared" si="144"/>
        <v>0</v>
      </c>
      <c r="X225" s="82">
        <f>IF(B225&lt;&gt;"",IF(MONTH(E225)=MONTH($F$13),SUMIF($C$22:C607,"="&amp;(C225-1),$G$22:G607),0)*S225,"")</f>
        <v>0</v>
      </c>
      <c r="Y225" s="82">
        <f>IF(B225&lt;&gt;"",SUM($X$22:X225),"")</f>
        <v>18127.236000000008</v>
      </c>
      <c r="Z225" s="82">
        <f t="shared" si="156"/>
        <v>80.773194558162189</v>
      </c>
      <c r="AA225" s="82">
        <f t="shared" si="145"/>
        <v>15.346906966050817</v>
      </c>
      <c r="AB225" s="82">
        <f t="shared" si="146"/>
        <v>6170.1486550407735</v>
      </c>
      <c r="AC225" s="82">
        <f t="shared" si="147"/>
        <v>24297.384655040769</v>
      </c>
      <c r="AD225" s="82">
        <f>IFERROR($U225*(1-$V225)+SUM($W$22:$W225)+$AB225,"")</f>
        <v>153516.1902426366</v>
      </c>
      <c r="AE225" s="73" t="b">
        <f t="shared" si="148"/>
        <v>0</v>
      </c>
      <c r="AF225" s="82">
        <f>IF(AND(AE225=TRUE,D225&gt;=65),$U225*(1-10%)+SUM($W$22:$W225)+$AB225,AD225)</f>
        <v>153516.1902426366</v>
      </c>
      <c r="AG225" s="82">
        <f t="shared" si="131"/>
        <v>517.22693666731732</v>
      </c>
      <c r="AH225" s="82">
        <f t="shared" si="132"/>
        <v>49054.507936862559</v>
      </c>
      <c r="AI225" s="82">
        <f t="shared" si="133"/>
        <v>155685.30793686252</v>
      </c>
      <c r="AJ225" s="82">
        <f t="shared" si="134"/>
        <v>146364.95142885862</v>
      </c>
      <c r="AK225" s="73" t="b">
        <f t="shared" si="149"/>
        <v>0</v>
      </c>
      <c r="AL225" s="82">
        <f t="shared" si="135"/>
        <v>146364.95142885862</v>
      </c>
      <c r="AM225" s="82">
        <f t="shared" si="157"/>
        <v>480.28873201557718</v>
      </c>
      <c r="AN225" s="82">
        <f t="shared" si="150"/>
        <v>91.254859082959669</v>
      </c>
      <c r="AO225" s="82">
        <f t="shared" si="151"/>
        <v>37844.853477605808</v>
      </c>
      <c r="AP225" s="82">
        <f t="shared" si="152"/>
        <v>144475.65347760578</v>
      </c>
    </row>
    <row r="226" spans="1:42" s="31" customFormat="1" x14ac:dyDescent="0.6">
      <c r="A226" s="70">
        <f t="shared" si="136"/>
        <v>205</v>
      </c>
      <c r="B226" s="70" t="str">
        <f>IF(E226&lt;=$F$9,VLOOKUP(KALKULATOR!A226,Robocze!$B$23:$C$102,2),"")</f>
        <v>18 rok</v>
      </c>
      <c r="C226" s="70">
        <f t="shared" si="139"/>
        <v>2037</v>
      </c>
      <c r="D226" s="71">
        <f t="shared" si="153"/>
        <v>57.083333333333819</v>
      </c>
      <c r="E226" s="72">
        <f t="shared" si="154"/>
        <v>50375</v>
      </c>
      <c r="F226" s="72">
        <f t="shared" si="140"/>
        <v>50405</v>
      </c>
      <c r="G226" s="73">
        <f>IFERROR(IF(AND(F226&lt;=$F$9,$F$5=Robocze!$B$4,$E226&lt;=$F$9,MONTH($F$8)=MONTH(E226)),$F$4,0)+IF(AND(F226&lt;=$F$9,$F$5=Robocze!$B$3,E226&lt;=$F$9),KALKULATOR!$F$4/12,0),"")</f>
        <v>6272.4</v>
      </c>
      <c r="H226" s="73">
        <f t="shared" si="141"/>
        <v>112903.19999999997</v>
      </c>
      <c r="I226" s="74">
        <f t="shared" si="137"/>
        <v>0.04</v>
      </c>
      <c r="J226" s="73">
        <f t="shared" si="123"/>
        <v>0</v>
      </c>
      <c r="K226" s="75" t="str">
        <f t="shared" si="124"/>
        <v/>
      </c>
      <c r="L226" s="73">
        <f t="shared" si="125"/>
        <v>112903.19999999997</v>
      </c>
      <c r="M226" s="73">
        <f t="shared" si="126"/>
        <v>160302.2761731639</v>
      </c>
      <c r="N226" s="73">
        <f t="shared" si="127"/>
        <v>160302.2761731639</v>
      </c>
      <c r="O226" s="73">
        <f t="shared" si="128"/>
        <v>153074.63724028817</v>
      </c>
      <c r="P226" s="73">
        <f t="shared" si="129"/>
        <v>153074.63724028817</v>
      </c>
      <c r="Q226" s="73">
        <f t="shared" si="130"/>
        <v>151155.07322199529</v>
      </c>
      <c r="R226" s="73"/>
      <c r="S226" s="76">
        <f t="shared" si="138"/>
        <v>0.17</v>
      </c>
      <c r="T226" s="73">
        <f t="shared" si="155"/>
        <v>539.85902645620808</v>
      </c>
      <c r="U226" s="73">
        <f t="shared" si="142"/>
        <v>162497.56696331865</v>
      </c>
      <c r="V226" s="76">
        <f t="shared" si="143"/>
        <v>0.17</v>
      </c>
      <c r="W226" s="73">
        <f t="shared" si="144"/>
        <v>1066.308</v>
      </c>
      <c r="X226" s="73">
        <f>IF(B226&lt;&gt;"",IF(MONTH(E226)=MONTH($F$13),SUMIF($C$22:C608,"="&amp;(C226-1),$G$22:G608),0)*S226,"")</f>
        <v>0</v>
      </c>
      <c r="Y226" s="73">
        <f>IF(B226&lt;&gt;"",SUM($X$22:X226),"")</f>
        <v>18127.236000000008</v>
      </c>
      <c r="Z226" s="73">
        <f t="shared" si="156"/>
        <v>80.991282183469238</v>
      </c>
      <c r="AA226" s="73">
        <f t="shared" si="145"/>
        <v>15.388343614859155</v>
      </c>
      <c r="AB226" s="73">
        <f t="shared" si="146"/>
        <v>6235.7515936093841</v>
      </c>
      <c r="AC226" s="73">
        <f t="shared" si="147"/>
        <v>24362.987593609378</v>
      </c>
      <c r="AD226" s="73">
        <f>IFERROR($U226*(1-$V226)+SUM($W$22:$W226)+$AB226,"")</f>
        <v>160302.2761731639</v>
      </c>
      <c r="AE226" s="73" t="b">
        <f t="shared" si="148"/>
        <v>0</v>
      </c>
      <c r="AF226" s="73">
        <f>IF(AND(AE226=TRUE,D226&gt;=65),$U226*(1-10%)+SUM($W$22:$W226)+$AB226,AD226)</f>
        <v>160302.2761731639</v>
      </c>
      <c r="AG226" s="73">
        <f t="shared" si="131"/>
        <v>539.85902645620843</v>
      </c>
      <c r="AH226" s="73">
        <f t="shared" si="132"/>
        <v>49594.366963318767</v>
      </c>
      <c r="AI226" s="73">
        <f t="shared" si="133"/>
        <v>162497.56696331874</v>
      </c>
      <c r="AJ226" s="73">
        <f t="shared" si="134"/>
        <v>153074.63724028817</v>
      </c>
      <c r="AK226" s="73" t="b">
        <f t="shared" si="149"/>
        <v>0</v>
      </c>
      <c r="AL226" s="73">
        <f t="shared" si="135"/>
        <v>153074.63724028817</v>
      </c>
      <c r="AM226" s="73">
        <f t="shared" si="157"/>
        <v>502.49351159201927</v>
      </c>
      <c r="AN226" s="73">
        <f t="shared" si="150"/>
        <v>95.473767202483657</v>
      </c>
      <c r="AO226" s="73">
        <f t="shared" si="151"/>
        <v>38251.873221995324</v>
      </c>
      <c r="AP226" s="73">
        <f t="shared" si="152"/>
        <v>151155.07322199529</v>
      </c>
    </row>
    <row r="227" spans="1:42" s="31" customFormat="1" x14ac:dyDescent="0.6">
      <c r="A227" s="70">
        <f t="shared" si="136"/>
        <v>206</v>
      </c>
      <c r="B227" s="70" t="str">
        <f>IF(E227&lt;=$F$9,VLOOKUP(KALKULATOR!A227,Robocze!$B$23:$C$102,2),"")</f>
        <v>18 rok</v>
      </c>
      <c r="C227" s="70">
        <f t="shared" si="139"/>
        <v>2038</v>
      </c>
      <c r="D227" s="71">
        <f t="shared" si="153"/>
        <v>57.166666666667155</v>
      </c>
      <c r="E227" s="77">
        <f t="shared" si="154"/>
        <v>50406</v>
      </c>
      <c r="F227" s="72">
        <f t="shared" si="140"/>
        <v>50436</v>
      </c>
      <c r="G227" s="73">
        <f>IFERROR(IF(AND(F227&lt;=$F$9,$F$5=Robocze!$B$4,$E227&lt;=$F$9,MONTH($F$8)=MONTH(E227)),$F$4,0)+IF(AND(F227&lt;=$F$9,$F$5=Robocze!$B$3,E227&lt;=$F$9),KALKULATOR!$F$4/12,0),"")</f>
        <v>0</v>
      </c>
      <c r="H227" s="73">
        <f t="shared" si="141"/>
        <v>112903.19999999997</v>
      </c>
      <c r="I227" s="74">
        <f t="shared" si="137"/>
        <v>0.04</v>
      </c>
      <c r="J227" s="73">
        <f t="shared" si="123"/>
        <v>0</v>
      </c>
      <c r="K227" s="75" t="str">
        <f t="shared" si="124"/>
        <v/>
      </c>
      <c r="L227" s="73">
        <f t="shared" si="125"/>
        <v>112903.19999999997</v>
      </c>
      <c r="M227" s="73">
        <f t="shared" si="126"/>
        <v>160817.63284159845</v>
      </c>
      <c r="N227" s="73">
        <f t="shared" si="127"/>
        <v>160817.63284159845</v>
      </c>
      <c r="O227" s="73">
        <f t="shared" si="128"/>
        <v>153513.38067108914</v>
      </c>
      <c r="P227" s="73">
        <f t="shared" si="129"/>
        <v>153513.38067108914</v>
      </c>
      <c r="Q227" s="73">
        <f t="shared" si="130"/>
        <v>151563.19191969468</v>
      </c>
      <c r="R227" s="73"/>
      <c r="S227" s="76">
        <f t="shared" si="138"/>
        <v>0.17</v>
      </c>
      <c r="T227" s="73">
        <f t="shared" si="155"/>
        <v>541.65855654439554</v>
      </c>
      <c r="U227" s="73">
        <f t="shared" si="142"/>
        <v>163039.22551986304</v>
      </c>
      <c r="V227" s="76">
        <f t="shared" si="143"/>
        <v>0.17</v>
      </c>
      <c r="W227" s="73">
        <f t="shared" si="144"/>
        <v>0</v>
      </c>
      <c r="X227" s="73">
        <f>IF(B227&lt;&gt;"",IF(MONTH(E227)=MONTH($F$13),SUMIF($C$22:C609,"="&amp;(C227-1),$G$22:G609),0)*S227,"")</f>
        <v>0</v>
      </c>
      <c r="Y227" s="73">
        <f>IF(B227&lt;&gt;"",SUM($X$22:X227),"")</f>
        <v>18127.236000000008</v>
      </c>
      <c r="Z227" s="73">
        <f t="shared" si="156"/>
        <v>81.209958645364594</v>
      </c>
      <c r="AA227" s="73">
        <f t="shared" si="145"/>
        <v>15.429892142619273</v>
      </c>
      <c r="AB227" s="73">
        <f t="shared" si="146"/>
        <v>6301.5316601121294</v>
      </c>
      <c r="AC227" s="73">
        <f t="shared" si="147"/>
        <v>24428.767660112124</v>
      </c>
      <c r="AD227" s="73">
        <f>IFERROR($U227*(1-$V227)+SUM($W$22:$W227)+$AB227,"")</f>
        <v>160817.63284159845</v>
      </c>
      <c r="AE227" s="73" t="b">
        <f t="shared" si="148"/>
        <v>0</v>
      </c>
      <c r="AF227" s="73">
        <f>IF(AND(AE227=TRUE,D227&gt;=65),$U227*(1-10%)+SUM($W$22:$W227)+$AB227,AD227)</f>
        <v>160817.63284159845</v>
      </c>
      <c r="AG227" s="73">
        <f t="shared" si="131"/>
        <v>541.65855654439576</v>
      </c>
      <c r="AH227" s="73">
        <f t="shared" si="132"/>
        <v>50136.025519863164</v>
      </c>
      <c r="AI227" s="73">
        <f t="shared" si="133"/>
        <v>163039.22551986313</v>
      </c>
      <c r="AJ227" s="73">
        <f t="shared" si="134"/>
        <v>153513.38067108914</v>
      </c>
      <c r="AK227" s="73" t="b">
        <f t="shared" si="149"/>
        <v>0</v>
      </c>
      <c r="AL227" s="73">
        <f t="shared" si="135"/>
        <v>153513.38067108914</v>
      </c>
      <c r="AM227" s="73">
        <f t="shared" si="157"/>
        <v>503.8502440733177</v>
      </c>
      <c r="AN227" s="73">
        <f t="shared" si="150"/>
        <v>95.731546373930357</v>
      </c>
      <c r="AO227" s="73">
        <f t="shared" si="151"/>
        <v>38659.991919694716</v>
      </c>
      <c r="AP227" s="73">
        <f t="shared" si="152"/>
        <v>151563.19191969468</v>
      </c>
    </row>
    <row r="228" spans="1:42" s="31" customFormat="1" x14ac:dyDescent="0.6">
      <c r="A228" s="70">
        <f t="shared" si="136"/>
        <v>207</v>
      </c>
      <c r="B228" s="70" t="str">
        <f>IF(E228&lt;=$F$9,VLOOKUP(KALKULATOR!A228,Robocze!$B$23:$C$102,2),"")</f>
        <v>18 rok</v>
      </c>
      <c r="C228" s="70">
        <f t="shared" si="139"/>
        <v>2038</v>
      </c>
      <c r="D228" s="71">
        <f t="shared" si="153"/>
        <v>57.25000000000049</v>
      </c>
      <c r="E228" s="77">
        <f t="shared" si="154"/>
        <v>50437</v>
      </c>
      <c r="F228" s="72">
        <f t="shared" si="140"/>
        <v>50464</v>
      </c>
      <c r="G228" s="73">
        <f>IFERROR(IF(AND(F228&lt;=$F$9,$F$5=Robocze!$B$4,$E228&lt;=$F$9,MONTH($F$8)=MONTH(E228)),$F$4,0)+IF(AND(F228&lt;=$F$9,$F$5=Robocze!$B$3,E228&lt;=$F$9),KALKULATOR!$F$4/12,0),"")</f>
        <v>0</v>
      </c>
      <c r="H228" s="73">
        <f t="shared" si="141"/>
        <v>112903.19999999997</v>
      </c>
      <c r="I228" s="74">
        <f t="shared" si="137"/>
        <v>0.04</v>
      </c>
      <c r="J228" s="73">
        <f t="shared" si="123"/>
        <v>0</v>
      </c>
      <c r="K228" s="75" t="str">
        <f t="shared" si="124"/>
        <v/>
      </c>
      <c r="L228" s="73">
        <f t="shared" si="125"/>
        <v>112903.19999999997</v>
      </c>
      <c r="M228" s="73">
        <f t="shared" si="126"/>
        <v>161334.66570488573</v>
      </c>
      <c r="N228" s="73">
        <f t="shared" si="127"/>
        <v>161334.66570488573</v>
      </c>
      <c r="O228" s="73">
        <f t="shared" si="128"/>
        <v>153953.58657999279</v>
      </c>
      <c r="P228" s="73">
        <f t="shared" si="129"/>
        <v>153953.58657999279</v>
      </c>
      <c r="Q228" s="73">
        <f t="shared" si="130"/>
        <v>151972.41253787786</v>
      </c>
      <c r="R228" s="73"/>
      <c r="S228" s="76">
        <f t="shared" si="138"/>
        <v>0.17</v>
      </c>
      <c r="T228" s="73">
        <f t="shared" si="155"/>
        <v>543.46408506621015</v>
      </c>
      <c r="U228" s="73">
        <f t="shared" si="142"/>
        <v>163582.68960492924</v>
      </c>
      <c r="V228" s="76">
        <f t="shared" si="143"/>
        <v>0.17</v>
      </c>
      <c r="W228" s="73">
        <f t="shared" si="144"/>
        <v>0</v>
      </c>
      <c r="X228" s="73">
        <f>IF(B228&lt;&gt;"",IF(MONTH(E228)=MONTH($F$13),SUMIF($C$22:C610,"="&amp;(C228-1),$G$22:G610),0)*S228,"")</f>
        <v>0</v>
      </c>
      <c r="Y228" s="73">
        <f>IF(B228&lt;&gt;"",SUM($X$22:X228),"")</f>
        <v>18127.236000000008</v>
      </c>
      <c r="Z228" s="73">
        <f t="shared" si="156"/>
        <v>81.429225533707083</v>
      </c>
      <c r="AA228" s="73">
        <f t="shared" si="145"/>
        <v>15.471552851404345</v>
      </c>
      <c r="AB228" s="73">
        <f t="shared" si="146"/>
        <v>6367.4893327944319</v>
      </c>
      <c r="AC228" s="73">
        <f t="shared" si="147"/>
        <v>24494.725332794424</v>
      </c>
      <c r="AD228" s="73">
        <f>IFERROR($U228*(1-$V228)+SUM($W$22:$W228)+$AB228,"")</f>
        <v>161334.66570488573</v>
      </c>
      <c r="AE228" s="73" t="b">
        <f t="shared" si="148"/>
        <v>0</v>
      </c>
      <c r="AF228" s="73">
        <f>IF(AND(AE228=TRUE,D228&gt;=65),$U228*(1-10%)+SUM($W$22:$W228)+$AB228,AD228)</f>
        <v>161334.66570488573</v>
      </c>
      <c r="AG228" s="73">
        <f t="shared" si="131"/>
        <v>543.46408506621049</v>
      </c>
      <c r="AH228" s="73">
        <f t="shared" si="132"/>
        <v>50679.489604929375</v>
      </c>
      <c r="AI228" s="73">
        <f t="shared" si="133"/>
        <v>163582.68960492936</v>
      </c>
      <c r="AJ228" s="73">
        <f t="shared" si="134"/>
        <v>153953.58657999279</v>
      </c>
      <c r="AK228" s="73" t="b">
        <f t="shared" si="149"/>
        <v>0</v>
      </c>
      <c r="AL228" s="73">
        <f t="shared" si="135"/>
        <v>153953.58657999279</v>
      </c>
      <c r="AM228" s="73">
        <f t="shared" si="157"/>
        <v>505.21063973231566</v>
      </c>
      <c r="AN228" s="73">
        <f t="shared" si="150"/>
        <v>95.990021549139982</v>
      </c>
      <c r="AO228" s="73">
        <f t="shared" si="151"/>
        <v>39069.212537877887</v>
      </c>
      <c r="AP228" s="73">
        <f t="shared" si="152"/>
        <v>151972.41253787786</v>
      </c>
    </row>
    <row r="229" spans="1:42" s="31" customFormat="1" x14ac:dyDescent="0.6">
      <c r="A229" s="70">
        <f t="shared" si="136"/>
        <v>208</v>
      </c>
      <c r="B229" s="70" t="str">
        <f>IF(E229&lt;=$F$9,VLOOKUP(KALKULATOR!A229,Robocze!$B$23:$C$102,2),"")</f>
        <v>18 rok</v>
      </c>
      <c r="C229" s="70">
        <f t="shared" si="139"/>
        <v>2038</v>
      </c>
      <c r="D229" s="71">
        <f t="shared" si="153"/>
        <v>57.333333333333826</v>
      </c>
      <c r="E229" s="77">
        <f t="shared" si="154"/>
        <v>50465</v>
      </c>
      <c r="F229" s="72">
        <f t="shared" si="140"/>
        <v>50495</v>
      </c>
      <c r="G229" s="73">
        <f>IFERROR(IF(AND(F229&lt;=$F$9,$F$5=Robocze!$B$4,$E229&lt;=$F$9,MONTH($F$8)=MONTH(E229)),$F$4,0)+IF(AND(F229&lt;=$F$9,$F$5=Robocze!$B$3,E229&lt;=$F$9),KALKULATOR!$F$4/12,0),"")</f>
        <v>0</v>
      </c>
      <c r="H229" s="73">
        <f t="shared" si="141"/>
        <v>112903.19999999997</v>
      </c>
      <c r="I229" s="74">
        <f t="shared" si="137"/>
        <v>0.04</v>
      </c>
      <c r="J229" s="73">
        <f t="shared" si="123"/>
        <v>0</v>
      </c>
      <c r="K229" s="75" t="str">
        <f t="shared" si="124"/>
        <v/>
      </c>
      <c r="L229" s="73">
        <f t="shared" si="125"/>
        <v>112903.19999999997</v>
      </c>
      <c r="M229" s="73">
        <f t="shared" si="126"/>
        <v>161853.3802378579</v>
      </c>
      <c r="N229" s="73">
        <f t="shared" si="127"/>
        <v>161853.3802378579</v>
      </c>
      <c r="O229" s="73">
        <f t="shared" si="128"/>
        <v>154395.25984192608</v>
      </c>
      <c r="P229" s="73">
        <f t="shared" si="129"/>
        <v>154395.25984192608</v>
      </c>
      <c r="Q229" s="73">
        <f t="shared" si="130"/>
        <v>152382.73805173012</v>
      </c>
      <c r="R229" s="73"/>
      <c r="S229" s="76">
        <f t="shared" si="138"/>
        <v>0.17</v>
      </c>
      <c r="T229" s="73">
        <f t="shared" si="155"/>
        <v>545.27563201643079</v>
      </c>
      <c r="U229" s="73">
        <f t="shared" si="142"/>
        <v>164127.96523694566</v>
      </c>
      <c r="V229" s="76">
        <f t="shared" si="143"/>
        <v>0.17</v>
      </c>
      <c r="W229" s="73">
        <f t="shared" si="144"/>
        <v>0</v>
      </c>
      <c r="X229" s="73">
        <f>IF(B229&lt;&gt;"",IF(MONTH(E229)=MONTH($F$13),SUMIF($C$22:C611,"="&amp;(C229-1),$G$22:G611),0)*S229,"")</f>
        <v>0</v>
      </c>
      <c r="Y229" s="73">
        <f>IF(B229&lt;&gt;"",SUM($X$22:X229),"")</f>
        <v>18127.236000000008</v>
      </c>
      <c r="Z229" s="73">
        <f t="shared" si="156"/>
        <v>81.649084442648089</v>
      </c>
      <c r="AA229" s="73">
        <f t="shared" si="145"/>
        <v>15.513326044103136</v>
      </c>
      <c r="AB229" s="73">
        <f t="shared" si="146"/>
        <v>6433.6250911929765</v>
      </c>
      <c r="AC229" s="73">
        <f t="shared" si="147"/>
        <v>24560.861091192968</v>
      </c>
      <c r="AD229" s="73">
        <f>IFERROR($U229*(1-$V229)+SUM($W$22:$W229)+$AB229,"")</f>
        <v>161853.3802378579</v>
      </c>
      <c r="AE229" s="73" t="b">
        <f t="shared" si="148"/>
        <v>0</v>
      </c>
      <c r="AF229" s="73">
        <f>IF(AND(AE229=TRUE,D229&gt;=65),$U229*(1-10%)+SUM($W$22:$W229)+$AB229,AD229)</f>
        <v>161853.3802378579</v>
      </c>
      <c r="AG229" s="73">
        <f t="shared" si="131"/>
        <v>545.27563201643113</v>
      </c>
      <c r="AH229" s="73">
        <f t="shared" si="132"/>
        <v>51224.765236945808</v>
      </c>
      <c r="AI229" s="73">
        <f t="shared" si="133"/>
        <v>164127.96523694578</v>
      </c>
      <c r="AJ229" s="73">
        <f t="shared" si="134"/>
        <v>154395.25984192608</v>
      </c>
      <c r="AK229" s="73" t="b">
        <f t="shared" si="149"/>
        <v>0</v>
      </c>
      <c r="AL229" s="73">
        <f t="shared" si="135"/>
        <v>154395.25984192608</v>
      </c>
      <c r="AM229" s="73">
        <f t="shared" si="157"/>
        <v>506.57470845959284</v>
      </c>
      <c r="AN229" s="73">
        <f t="shared" si="150"/>
        <v>96.249194607322636</v>
      </c>
      <c r="AO229" s="73">
        <f t="shared" si="151"/>
        <v>39479.538051730153</v>
      </c>
      <c r="AP229" s="73">
        <f t="shared" si="152"/>
        <v>152382.73805173012</v>
      </c>
    </row>
    <row r="230" spans="1:42" s="31" customFormat="1" x14ac:dyDescent="0.6">
      <c r="A230" s="70">
        <f t="shared" si="136"/>
        <v>209</v>
      </c>
      <c r="B230" s="70" t="str">
        <f>IF(E230&lt;=$F$9,VLOOKUP(KALKULATOR!A230,Robocze!$B$23:$C$102,2),"")</f>
        <v>18 rok</v>
      </c>
      <c r="C230" s="70">
        <f t="shared" si="139"/>
        <v>2038</v>
      </c>
      <c r="D230" s="71">
        <f t="shared" si="153"/>
        <v>57.416666666667162</v>
      </c>
      <c r="E230" s="77">
        <f t="shared" si="154"/>
        <v>50496</v>
      </c>
      <c r="F230" s="72">
        <f t="shared" si="140"/>
        <v>50525</v>
      </c>
      <c r="G230" s="73">
        <f>IFERROR(IF(AND(F230&lt;=$F$9,$F$5=Robocze!$B$4,$E230&lt;=$F$9,MONTH($F$8)=MONTH(E230)),$F$4,0)+IF(AND(F230&lt;=$F$9,$F$5=Robocze!$B$3,E230&lt;=$F$9),KALKULATOR!$F$4/12,0),"")</f>
        <v>0</v>
      </c>
      <c r="H230" s="73">
        <f t="shared" si="141"/>
        <v>112903.19999999997</v>
      </c>
      <c r="I230" s="74">
        <f t="shared" si="137"/>
        <v>0.04</v>
      </c>
      <c r="J230" s="73">
        <f t="shared" si="123"/>
        <v>0</v>
      </c>
      <c r="K230" s="75" t="str">
        <f t="shared" si="124"/>
        <v/>
      </c>
      <c r="L230" s="73">
        <f t="shared" si="125"/>
        <v>112903.19999999997</v>
      </c>
      <c r="M230" s="73">
        <f t="shared" si="126"/>
        <v>162376.66096489297</v>
      </c>
      <c r="N230" s="73">
        <f t="shared" si="127"/>
        <v>162376.66096489297</v>
      </c>
      <c r="O230" s="73">
        <f t="shared" si="128"/>
        <v>154838.40534806583</v>
      </c>
      <c r="P230" s="73">
        <f t="shared" si="129"/>
        <v>154838.40534806583</v>
      </c>
      <c r="Q230" s="73">
        <f t="shared" si="130"/>
        <v>152794.1714444698</v>
      </c>
      <c r="R230" s="73"/>
      <c r="S230" s="76">
        <f t="shared" si="138"/>
        <v>0.17</v>
      </c>
      <c r="T230" s="73">
        <f t="shared" si="155"/>
        <v>547.0932174564856</v>
      </c>
      <c r="U230" s="73">
        <f t="shared" si="142"/>
        <v>164675.05845440214</v>
      </c>
      <c r="V230" s="76">
        <f t="shared" si="143"/>
        <v>0.17</v>
      </c>
      <c r="W230" s="73">
        <f t="shared" si="144"/>
        <v>0</v>
      </c>
      <c r="X230" s="73">
        <f>IF(B230&lt;&gt;"",IF(MONTH(E230)=MONTH($F$13),SUMIF($C$22:C612,"="&amp;(C230-1),$G$22:G612),0)*S230,"")</f>
        <v>1066.308</v>
      </c>
      <c r="Y230" s="73">
        <f>IF(B230&lt;&gt;"",SUM($X$22:X230),"")</f>
        <v>19193.544000000009</v>
      </c>
      <c r="Z230" s="73">
        <f t="shared" si="156"/>
        <v>85.423896970643227</v>
      </c>
      <c r="AA230" s="73">
        <f t="shared" si="145"/>
        <v>16.230540424422212</v>
      </c>
      <c r="AB230" s="73">
        <f t="shared" si="146"/>
        <v>6502.8184477391969</v>
      </c>
      <c r="AC230" s="73">
        <f t="shared" si="147"/>
        <v>25696.36244773919</v>
      </c>
      <c r="AD230" s="73">
        <f>IFERROR($U230*(1-$V230)+SUM($W$22:$W230)+$AB230,"")</f>
        <v>162376.66096489297</v>
      </c>
      <c r="AE230" s="73" t="b">
        <f t="shared" si="148"/>
        <v>0</v>
      </c>
      <c r="AF230" s="73">
        <f>IF(AND(AE230=TRUE,D230&gt;=65),$U230*(1-10%)+SUM($W$22:$W230)+$AB230,AD230)</f>
        <v>162376.66096489297</v>
      </c>
      <c r="AG230" s="73">
        <f t="shared" si="131"/>
        <v>547.09321745648595</v>
      </c>
      <c r="AH230" s="73">
        <f t="shared" si="132"/>
        <v>51771.858454402296</v>
      </c>
      <c r="AI230" s="73">
        <f t="shared" si="133"/>
        <v>164675.05845440226</v>
      </c>
      <c r="AJ230" s="73">
        <f t="shared" si="134"/>
        <v>154838.40534806583</v>
      </c>
      <c r="AK230" s="73" t="b">
        <f t="shared" si="149"/>
        <v>0</v>
      </c>
      <c r="AL230" s="73">
        <f t="shared" si="135"/>
        <v>154838.40534806583</v>
      </c>
      <c r="AM230" s="73">
        <f t="shared" si="157"/>
        <v>507.94246017243375</v>
      </c>
      <c r="AN230" s="73">
        <f t="shared" si="150"/>
        <v>96.509067432762421</v>
      </c>
      <c r="AO230" s="73">
        <f t="shared" si="151"/>
        <v>39890.971444469833</v>
      </c>
      <c r="AP230" s="73">
        <f t="shared" si="152"/>
        <v>152794.1714444698</v>
      </c>
    </row>
    <row r="231" spans="1:42" s="31" customFormat="1" x14ac:dyDescent="0.6">
      <c r="A231" s="70">
        <f t="shared" si="136"/>
        <v>210</v>
      </c>
      <c r="B231" s="70" t="str">
        <f>IF(E231&lt;=$F$9,VLOOKUP(KALKULATOR!A231,Robocze!$B$23:$C$102,2),"")</f>
        <v>18 rok</v>
      </c>
      <c r="C231" s="70">
        <f t="shared" si="139"/>
        <v>2038</v>
      </c>
      <c r="D231" s="71">
        <f t="shared" si="153"/>
        <v>57.500000000000497</v>
      </c>
      <c r="E231" s="77">
        <f t="shared" si="154"/>
        <v>50526</v>
      </c>
      <c r="F231" s="72">
        <f t="shared" si="140"/>
        <v>50556</v>
      </c>
      <c r="G231" s="73">
        <f>IFERROR(IF(AND(F231&lt;=$F$9,$F$5=Robocze!$B$4,$E231&lt;=$F$9,MONTH($F$8)=MONTH(E231)),$F$4,0)+IF(AND(F231&lt;=$F$9,$F$5=Robocze!$B$3,E231&lt;=$F$9),KALKULATOR!$F$4/12,0),"")</f>
        <v>0</v>
      </c>
      <c r="H231" s="73">
        <f t="shared" si="141"/>
        <v>112903.19999999997</v>
      </c>
      <c r="I231" s="74">
        <f t="shared" si="137"/>
        <v>0.04</v>
      </c>
      <c r="J231" s="73">
        <f t="shared" si="123"/>
        <v>0</v>
      </c>
      <c r="K231" s="75" t="str">
        <f t="shared" si="124"/>
        <v/>
      </c>
      <c r="L231" s="73">
        <f t="shared" si="125"/>
        <v>112903.19999999997</v>
      </c>
      <c r="M231" s="73">
        <f t="shared" si="126"/>
        <v>162901.64213855905</v>
      </c>
      <c r="N231" s="73">
        <f t="shared" si="127"/>
        <v>162901.64213855905</v>
      </c>
      <c r="O231" s="73">
        <f t="shared" si="128"/>
        <v>155283.0280058927</v>
      </c>
      <c r="P231" s="73">
        <f t="shared" si="129"/>
        <v>155283.0280058927</v>
      </c>
      <c r="Q231" s="73">
        <f t="shared" si="130"/>
        <v>153206.71570736985</v>
      </c>
      <c r="R231" s="73"/>
      <c r="S231" s="76">
        <f t="shared" si="138"/>
        <v>0.17</v>
      </c>
      <c r="T231" s="73">
        <f t="shared" si="155"/>
        <v>548.91686151467388</v>
      </c>
      <c r="U231" s="73">
        <f t="shared" si="142"/>
        <v>165223.97531591682</v>
      </c>
      <c r="V231" s="76">
        <f t="shared" si="143"/>
        <v>0.17</v>
      </c>
      <c r="W231" s="73">
        <f t="shared" si="144"/>
        <v>0</v>
      </c>
      <c r="X231" s="73">
        <f>IF(B231&lt;&gt;"",IF(MONTH(E231)=MONTH($F$13),SUMIF($C$22:C613,"="&amp;(C231-1),$G$22:G613),0)*S231,"")</f>
        <v>0</v>
      </c>
      <c r="Y231" s="73">
        <f>IF(B231&lt;&gt;"",SUM($X$22:X231),"")</f>
        <v>19193.544000000009</v>
      </c>
      <c r="Z231" s="73">
        <f t="shared" si="156"/>
        <v>85.654541492463963</v>
      </c>
      <c r="AA231" s="73">
        <f t="shared" si="145"/>
        <v>16.274362883568152</v>
      </c>
      <c r="AB231" s="73">
        <f t="shared" si="146"/>
        <v>6572.1986263480931</v>
      </c>
      <c r="AC231" s="73">
        <f t="shared" si="147"/>
        <v>25765.742626348085</v>
      </c>
      <c r="AD231" s="73">
        <f>IFERROR($U231*(1-$V231)+SUM($W$22:$W231)+$AB231,"")</f>
        <v>162901.64213855905</v>
      </c>
      <c r="AE231" s="73" t="b">
        <f t="shared" si="148"/>
        <v>0</v>
      </c>
      <c r="AF231" s="73">
        <f>IF(AND(AE231=TRUE,D231&gt;=65),$U231*(1-10%)+SUM($W$22:$W231)+$AB231,AD231)</f>
        <v>162901.64213855905</v>
      </c>
      <c r="AG231" s="73">
        <f t="shared" si="131"/>
        <v>548.91686151467422</v>
      </c>
      <c r="AH231" s="73">
        <f t="shared" si="132"/>
        <v>52320.775315916973</v>
      </c>
      <c r="AI231" s="73">
        <f t="shared" si="133"/>
        <v>165223.97531591693</v>
      </c>
      <c r="AJ231" s="73">
        <f t="shared" si="134"/>
        <v>155283.0280058927</v>
      </c>
      <c r="AK231" s="73" t="b">
        <f t="shared" si="149"/>
        <v>0</v>
      </c>
      <c r="AL231" s="73">
        <f t="shared" si="135"/>
        <v>155283.0280058927</v>
      </c>
      <c r="AM231" s="73">
        <f t="shared" si="157"/>
        <v>509.31390481489933</v>
      </c>
      <c r="AN231" s="73">
        <f t="shared" si="150"/>
        <v>96.769641914830871</v>
      </c>
      <c r="AO231" s="73">
        <f t="shared" si="151"/>
        <v>40303.515707369879</v>
      </c>
      <c r="AP231" s="73">
        <f t="shared" si="152"/>
        <v>153206.71570736985</v>
      </c>
    </row>
    <row r="232" spans="1:42" s="31" customFormat="1" x14ac:dyDescent="0.6">
      <c r="A232" s="70">
        <f t="shared" si="136"/>
        <v>211</v>
      </c>
      <c r="B232" s="70" t="str">
        <f>IF(E232&lt;=$F$9,VLOOKUP(KALKULATOR!A232,Robocze!$B$23:$C$102,2),"")</f>
        <v>18 rok</v>
      </c>
      <c r="C232" s="70">
        <f t="shared" si="139"/>
        <v>2038</v>
      </c>
      <c r="D232" s="71">
        <f t="shared" si="153"/>
        <v>57.583333333333833</v>
      </c>
      <c r="E232" s="77">
        <f t="shared" si="154"/>
        <v>50557</v>
      </c>
      <c r="F232" s="72">
        <f t="shared" si="140"/>
        <v>50586</v>
      </c>
      <c r="G232" s="73">
        <f>IFERROR(IF(AND(F232&lt;=$F$9,$F$5=Robocze!$B$4,$E232&lt;=$F$9,MONTH($F$8)=MONTH(E232)),$F$4,0)+IF(AND(F232&lt;=$F$9,$F$5=Robocze!$B$3,E232&lt;=$F$9),KALKULATOR!$F$4/12,0),"")</f>
        <v>0</v>
      </c>
      <c r="H232" s="73">
        <f t="shared" si="141"/>
        <v>112903.19999999997</v>
      </c>
      <c r="I232" s="74">
        <f t="shared" si="137"/>
        <v>0.04</v>
      </c>
      <c r="J232" s="73">
        <f t="shared" si="123"/>
        <v>0</v>
      </c>
      <c r="K232" s="75" t="str">
        <f t="shared" si="124"/>
        <v/>
      </c>
      <c r="L232" s="73">
        <f t="shared" si="125"/>
        <v>112903.19999999997</v>
      </c>
      <c r="M232" s="73">
        <f t="shared" si="126"/>
        <v>163428.32930869091</v>
      </c>
      <c r="N232" s="73">
        <f t="shared" si="127"/>
        <v>163428.32930869091</v>
      </c>
      <c r="O232" s="73">
        <f t="shared" si="128"/>
        <v>155729.13273924569</v>
      </c>
      <c r="P232" s="73">
        <f t="shared" si="129"/>
        <v>155729.13273924569</v>
      </c>
      <c r="Q232" s="73">
        <f t="shared" si="130"/>
        <v>153620.37383977973</v>
      </c>
      <c r="R232" s="73"/>
      <c r="S232" s="76">
        <f t="shared" si="138"/>
        <v>0.17</v>
      </c>
      <c r="T232" s="73">
        <f t="shared" si="155"/>
        <v>550.74658438638937</v>
      </c>
      <c r="U232" s="73">
        <f t="shared" si="142"/>
        <v>165774.72190030321</v>
      </c>
      <c r="V232" s="76">
        <f t="shared" si="143"/>
        <v>0.17</v>
      </c>
      <c r="W232" s="73">
        <f t="shared" si="144"/>
        <v>0</v>
      </c>
      <c r="X232" s="73">
        <f>IF(B232&lt;&gt;"",IF(MONTH(E232)=MONTH($F$13),SUMIF($C$22:C614,"="&amp;(C232-1),$G$22:G614),0)*S232,"")</f>
        <v>0</v>
      </c>
      <c r="Y232" s="73">
        <f>IF(B232&lt;&gt;"",SUM($X$22:X232),"")</f>
        <v>19193.544000000009</v>
      </c>
      <c r="Z232" s="73">
        <f t="shared" si="156"/>
        <v>85.88580875449361</v>
      </c>
      <c r="AA232" s="73">
        <f t="shared" si="145"/>
        <v>16.318303663353785</v>
      </c>
      <c r="AB232" s="73">
        <f t="shared" si="146"/>
        <v>6641.7661314392326</v>
      </c>
      <c r="AC232" s="73">
        <f t="shared" si="147"/>
        <v>25835.310131439226</v>
      </c>
      <c r="AD232" s="73">
        <f>IFERROR($U232*(1-$V232)+SUM($W$22:$W232)+$AB232,"")</f>
        <v>163428.32930869091</v>
      </c>
      <c r="AE232" s="73" t="b">
        <f t="shared" si="148"/>
        <v>0</v>
      </c>
      <c r="AF232" s="73">
        <f>IF(AND(AE232=TRUE,D232&gt;=65),$U232*(1-10%)+SUM($W$22:$W232)+$AB232,AD232)</f>
        <v>163428.32930869091</v>
      </c>
      <c r="AG232" s="73">
        <f t="shared" si="131"/>
        <v>550.74658438638983</v>
      </c>
      <c r="AH232" s="73">
        <f t="shared" si="132"/>
        <v>52871.521900303364</v>
      </c>
      <c r="AI232" s="73">
        <f t="shared" si="133"/>
        <v>165774.72190030332</v>
      </c>
      <c r="AJ232" s="73">
        <f t="shared" si="134"/>
        <v>155729.13273924569</v>
      </c>
      <c r="AK232" s="73" t="b">
        <f t="shared" si="149"/>
        <v>0</v>
      </c>
      <c r="AL232" s="73">
        <f t="shared" si="135"/>
        <v>155729.13273924569</v>
      </c>
      <c r="AM232" s="73">
        <f t="shared" si="157"/>
        <v>510.68905235789953</v>
      </c>
      <c r="AN232" s="73">
        <f t="shared" si="150"/>
        <v>97.030919948000914</v>
      </c>
      <c r="AO232" s="73">
        <f t="shared" si="151"/>
        <v>40717.17383977976</v>
      </c>
      <c r="AP232" s="73">
        <f t="shared" si="152"/>
        <v>153620.37383977973</v>
      </c>
    </row>
    <row r="233" spans="1:42" s="31" customFormat="1" x14ac:dyDescent="0.6">
      <c r="A233" s="70">
        <f t="shared" si="136"/>
        <v>212</v>
      </c>
      <c r="B233" s="70" t="str">
        <f>IF(E233&lt;=$F$9,VLOOKUP(KALKULATOR!A233,Robocze!$B$23:$C$102,2),"")</f>
        <v>18 rok</v>
      </c>
      <c r="C233" s="70">
        <f t="shared" si="139"/>
        <v>2038</v>
      </c>
      <c r="D233" s="71">
        <f t="shared" si="153"/>
        <v>57.666666666667169</v>
      </c>
      <c r="E233" s="77">
        <f t="shared" si="154"/>
        <v>50587</v>
      </c>
      <c r="F233" s="72">
        <f t="shared" si="140"/>
        <v>50617</v>
      </c>
      <c r="G233" s="73">
        <f>IFERROR(IF(AND(F233&lt;=$F$9,$F$5=Robocze!$B$4,$E233&lt;=$F$9,MONTH($F$8)=MONTH(E233)),$F$4,0)+IF(AND(F233&lt;=$F$9,$F$5=Robocze!$B$3,E233&lt;=$F$9),KALKULATOR!$F$4/12,0),"")</f>
        <v>0</v>
      </c>
      <c r="H233" s="73">
        <f t="shared" si="141"/>
        <v>112903.19999999997</v>
      </c>
      <c r="I233" s="74">
        <f t="shared" si="137"/>
        <v>0.04</v>
      </c>
      <c r="J233" s="73">
        <f t="shared" si="123"/>
        <v>0</v>
      </c>
      <c r="K233" s="75" t="str">
        <f t="shared" si="124"/>
        <v/>
      </c>
      <c r="L233" s="73">
        <f t="shared" si="125"/>
        <v>112903.19999999997</v>
      </c>
      <c r="M233" s="73">
        <f t="shared" si="126"/>
        <v>163956.72804330327</v>
      </c>
      <c r="N233" s="73">
        <f t="shared" si="127"/>
        <v>163956.72804330327</v>
      </c>
      <c r="O233" s="73">
        <f t="shared" si="128"/>
        <v>156176.72448837649</v>
      </c>
      <c r="P233" s="73">
        <f t="shared" si="129"/>
        <v>156176.72448837649</v>
      </c>
      <c r="Q233" s="73">
        <f t="shared" si="130"/>
        <v>154035.14884914714</v>
      </c>
      <c r="R233" s="73"/>
      <c r="S233" s="76">
        <f t="shared" si="138"/>
        <v>0.17</v>
      </c>
      <c r="T233" s="73">
        <f t="shared" si="155"/>
        <v>552.58240633434411</v>
      </c>
      <c r="U233" s="73">
        <f t="shared" si="142"/>
        <v>166327.30430663755</v>
      </c>
      <c r="V233" s="76">
        <f t="shared" si="143"/>
        <v>0.17</v>
      </c>
      <c r="W233" s="73">
        <f t="shared" si="144"/>
        <v>0</v>
      </c>
      <c r="X233" s="73">
        <f>IF(B233&lt;&gt;"",IF(MONTH(E233)=MONTH($F$13),SUMIF($C$22:C615,"="&amp;(C233-1),$G$22:G615),0)*S233,"")</f>
        <v>0</v>
      </c>
      <c r="Y233" s="73">
        <f>IF(B233&lt;&gt;"",SUM($X$22:X233),"")</f>
        <v>19193.544000000009</v>
      </c>
      <c r="Z233" s="73">
        <f t="shared" si="156"/>
        <v>86.117700438130768</v>
      </c>
      <c r="AA233" s="73">
        <f t="shared" si="145"/>
        <v>16.362363083244848</v>
      </c>
      <c r="AB233" s="73">
        <f t="shared" si="146"/>
        <v>6711.5214687941188</v>
      </c>
      <c r="AC233" s="73">
        <f t="shared" si="147"/>
        <v>25905.065468794113</v>
      </c>
      <c r="AD233" s="73">
        <f>IFERROR($U233*(1-$V233)+SUM($W$22:$W233)+$AB233,"")</f>
        <v>163956.72804330327</v>
      </c>
      <c r="AE233" s="73" t="b">
        <f t="shared" si="148"/>
        <v>0</v>
      </c>
      <c r="AF233" s="73">
        <f>IF(AND(AE233=TRUE,D233&gt;=65),$U233*(1-10%)+SUM($W$22:$W233)+$AB233,AD233)</f>
        <v>163956.72804330327</v>
      </c>
      <c r="AG233" s="73">
        <f t="shared" si="131"/>
        <v>552.58240633434445</v>
      </c>
      <c r="AH233" s="73">
        <f t="shared" si="132"/>
        <v>53424.10430663771</v>
      </c>
      <c r="AI233" s="73">
        <f t="shared" si="133"/>
        <v>166327.30430663767</v>
      </c>
      <c r="AJ233" s="73">
        <f t="shared" si="134"/>
        <v>156176.72448837649</v>
      </c>
      <c r="AK233" s="73" t="b">
        <f t="shared" si="149"/>
        <v>0</v>
      </c>
      <c r="AL233" s="73">
        <f t="shared" si="135"/>
        <v>156176.72448837649</v>
      </c>
      <c r="AM233" s="73">
        <f t="shared" si="157"/>
        <v>512.06791279926574</v>
      </c>
      <c r="AN233" s="73">
        <f t="shared" si="150"/>
        <v>97.292903431860495</v>
      </c>
      <c r="AO233" s="73">
        <f t="shared" si="151"/>
        <v>41131.948849147171</v>
      </c>
      <c r="AP233" s="73">
        <f t="shared" si="152"/>
        <v>154035.14884914714</v>
      </c>
    </row>
    <row r="234" spans="1:42" s="31" customFormat="1" x14ac:dyDescent="0.6">
      <c r="A234" s="70">
        <f t="shared" si="136"/>
        <v>213</v>
      </c>
      <c r="B234" s="70" t="str">
        <f>IF(E234&lt;=$F$9,VLOOKUP(KALKULATOR!A234,Robocze!$B$23:$C$102,2),"")</f>
        <v>18 rok</v>
      </c>
      <c r="C234" s="70">
        <f t="shared" si="139"/>
        <v>2038</v>
      </c>
      <c r="D234" s="71">
        <f t="shared" si="153"/>
        <v>57.750000000000504</v>
      </c>
      <c r="E234" s="77">
        <f t="shared" si="154"/>
        <v>50618</v>
      </c>
      <c r="F234" s="72">
        <f t="shared" si="140"/>
        <v>50648</v>
      </c>
      <c r="G234" s="73">
        <f>IFERROR(IF(AND(F234&lt;=$F$9,$F$5=Robocze!$B$4,$E234&lt;=$F$9,MONTH($F$8)=MONTH(E234)),$F$4,0)+IF(AND(F234&lt;=$F$9,$F$5=Robocze!$B$3,E234&lt;=$F$9),KALKULATOR!$F$4/12,0),"")</f>
        <v>0</v>
      </c>
      <c r="H234" s="73">
        <f t="shared" si="141"/>
        <v>112903.19999999997</v>
      </c>
      <c r="I234" s="74">
        <f t="shared" si="137"/>
        <v>0.04</v>
      </c>
      <c r="J234" s="73">
        <f t="shared" si="123"/>
        <v>0</v>
      </c>
      <c r="K234" s="75" t="str">
        <f t="shared" si="124"/>
        <v/>
      </c>
      <c r="L234" s="73">
        <f t="shared" si="125"/>
        <v>112903.19999999997</v>
      </c>
      <c r="M234" s="73">
        <f t="shared" si="126"/>
        <v>164486.84392865072</v>
      </c>
      <c r="N234" s="73">
        <f t="shared" si="127"/>
        <v>164486.84392865072</v>
      </c>
      <c r="O234" s="73">
        <f t="shared" si="128"/>
        <v>156625.80821000444</v>
      </c>
      <c r="P234" s="73">
        <f t="shared" si="129"/>
        <v>156625.80821000444</v>
      </c>
      <c r="Q234" s="73">
        <f t="shared" si="130"/>
        <v>154451.04375103983</v>
      </c>
      <c r="R234" s="73"/>
      <c r="S234" s="76">
        <f t="shared" si="138"/>
        <v>0.17</v>
      </c>
      <c r="T234" s="73">
        <f t="shared" si="155"/>
        <v>554.42434768879184</v>
      </c>
      <c r="U234" s="73">
        <f t="shared" si="142"/>
        <v>166881.72865432635</v>
      </c>
      <c r="V234" s="76">
        <f t="shared" si="143"/>
        <v>0.17</v>
      </c>
      <c r="W234" s="73">
        <f t="shared" si="144"/>
        <v>0</v>
      </c>
      <c r="X234" s="73">
        <f>IF(B234&lt;&gt;"",IF(MONTH(E234)=MONTH($F$13),SUMIF($C$22:C616,"="&amp;(C234-1),$G$22:G616),0)*S234,"")</f>
        <v>0</v>
      </c>
      <c r="Y234" s="73">
        <f>IF(B234&lt;&gt;"",SUM($X$22:X234),"")</f>
        <v>19193.544000000009</v>
      </c>
      <c r="Z234" s="73">
        <f t="shared" si="156"/>
        <v>86.350218229313711</v>
      </c>
      <c r="AA234" s="73">
        <f t="shared" si="145"/>
        <v>16.406541463569607</v>
      </c>
      <c r="AB234" s="73">
        <f t="shared" si="146"/>
        <v>6781.4651455598632</v>
      </c>
      <c r="AC234" s="73">
        <f t="shared" si="147"/>
        <v>25975.009145559856</v>
      </c>
      <c r="AD234" s="73">
        <f>IFERROR($U234*(1-$V234)+SUM($W$22:$W234)+$AB234,"")</f>
        <v>164486.84392865072</v>
      </c>
      <c r="AE234" s="73" t="b">
        <f t="shared" si="148"/>
        <v>0</v>
      </c>
      <c r="AF234" s="73">
        <f>IF(AND(AE234=TRUE,D234&gt;=65),$U234*(1-10%)+SUM($W$22:$W234)+$AB234,AD234)</f>
        <v>164486.84392865072</v>
      </c>
      <c r="AG234" s="73">
        <f t="shared" si="131"/>
        <v>554.42434768879218</v>
      </c>
      <c r="AH234" s="73">
        <f t="shared" si="132"/>
        <v>53978.528654326503</v>
      </c>
      <c r="AI234" s="73">
        <f t="shared" si="133"/>
        <v>166881.72865432646</v>
      </c>
      <c r="AJ234" s="73">
        <f t="shared" si="134"/>
        <v>156625.80821000444</v>
      </c>
      <c r="AK234" s="73" t="b">
        <f t="shared" si="149"/>
        <v>0</v>
      </c>
      <c r="AL234" s="73">
        <f t="shared" si="135"/>
        <v>156625.80821000444</v>
      </c>
      <c r="AM234" s="73">
        <f t="shared" si="157"/>
        <v>513.4504961638238</v>
      </c>
      <c r="AN234" s="73">
        <f t="shared" si="150"/>
        <v>97.555594271126523</v>
      </c>
      <c r="AO234" s="73">
        <f t="shared" si="151"/>
        <v>41547.843751039865</v>
      </c>
      <c r="AP234" s="73">
        <f t="shared" si="152"/>
        <v>154451.04375103983</v>
      </c>
    </row>
    <row r="235" spans="1:42" s="31" customFormat="1" x14ac:dyDescent="0.6">
      <c r="A235" s="70">
        <f t="shared" si="136"/>
        <v>214</v>
      </c>
      <c r="B235" s="70" t="str">
        <f>IF(E235&lt;=$F$9,VLOOKUP(KALKULATOR!A235,Robocze!$B$23:$C$102,2),"")</f>
        <v>18 rok</v>
      </c>
      <c r="C235" s="70">
        <f t="shared" si="139"/>
        <v>2038</v>
      </c>
      <c r="D235" s="71">
        <f t="shared" si="153"/>
        <v>57.83333333333384</v>
      </c>
      <c r="E235" s="77">
        <f t="shared" si="154"/>
        <v>50649</v>
      </c>
      <c r="F235" s="72">
        <f t="shared" si="140"/>
        <v>50678</v>
      </c>
      <c r="G235" s="73">
        <f>IFERROR(IF(AND(F235&lt;=$F$9,$F$5=Robocze!$B$4,$E235&lt;=$F$9,MONTH($F$8)=MONTH(E235)),$F$4,0)+IF(AND(F235&lt;=$F$9,$F$5=Robocze!$B$3,E235&lt;=$F$9),KALKULATOR!$F$4/12,0),"")</f>
        <v>0</v>
      </c>
      <c r="H235" s="73">
        <f t="shared" si="141"/>
        <v>112903.19999999997</v>
      </c>
      <c r="I235" s="74">
        <f t="shared" si="137"/>
        <v>0.04</v>
      </c>
      <c r="J235" s="73">
        <f t="shared" si="123"/>
        <v>0</v>
      </c>
      <c r="K235" s="75" t="str">
        <f t="shared" si="124"/>
        <v/>
      </c>
      <c r="L235" s="73">
        <f t="shared" si="125"/>
        <v>112903.19999999997</v>
      </c>
      <c r="M235" s="73">
        <f t="shared" si="126"/>
        <v>165018.6825692874</v>
      </c>
      <c r="N235" s="73">
        <f t="shared" si="127"/>
        <v>165018.6825692874</v>
      </c>
      <c r="O235" s="73">
        <f t="shared" si="128"/>
        <v>157076.38887737112</v>
      </c>
      <c r="P235" s="73">
        <f t="shared" si="129"/>
        <v>157076.38887737112</v>
      </c>
      <c r="Q235" s="73">
        <f t="shared" si="130"/>
        <v>154868.06156916765</v>
      </c>
      <c r="R235" s="73"/>
      <c r="S235" s="76">
        <f t="shared" si="138"/>
        <v>0.17</v>
      </c>
      <c r="T235" s="73">
        <f t="shared" si="155"/>
        <v>556.27242884775455</v>
      </c>
      <c r="U235" s="73">
        <f t="shared" si="142"/>
        <v>167438.00108317411</v>
      </c>
      <c r="V235" s="76">
        <f t="shared" si="143"/>
        <v>0.17</v>
      </c>
      <c r="W235" s="73">
        <f t="shared" si="144"/>
        <v>0</v>
      </c>
      <c r="X235" s="73">
        <f>IF(B235&lt;&gt;"",IF(MONTH(E235)=MONTH($F$13),SUMIF($C$22:C617,"="&amp;(C235-1),$G$22:G617),0)*S235,"")</f>
        <v>0</v>
      </c>
      <c r="Y235" s="73">
        <f>IF(B235&lt;&gt;"",SUM($X$22:X235),"")</f>
        <v>19193.544000000009</v>
      </c>
      <c r="Z235" s="73">
        <f t="shared" si="156"/>
        <v>86.58336381853286</v>
      </c>
      <c r="AA235" s="73">
        <f t="shared" si="145"/>
        <v>16.450839125521245</v>
      </c>
      <c r="AB235" s="73">
        <f t="shared" si="146"/>
        <v>6851.5976702528751</v>
      </c>
      <c r="AC235" s="73">
        <f t="shared" si="147"/>
        <v>26045.141670252866</v>
      </c>
      <c r="AD235" s="73">
        <f>IFERROR($U235*(1-$V235)+SUM($W$22:$W235)+$AB235,"")</f>
        <v>165018.6825692874</v>
      </c>
      <c r="AE235" s="73" t="b">
        <f t="shared" si="148"/>
        <v>0</v>
      </c>
      <c r="AF235" s="73">
        <f>IF(AND(AE235=TRUE,D235&gt;=65),$U235*(1-10%)+SUM($W$22:$W235)+$AB235,AD235)</f>
        <v>165018.6825692874</v>
      </c>
      <c r="AG235" s="73">
        <f t="shared" si="131"/>
        <v>556.2724288477549</v>
      </c>
      <c r="AH235" s="73">
        <f t="shared" si="132"/>
        <v>54534.801083174258</v>
      </c>
      <c r="AI235" s="73">
        <f t="shared" si="133"/>
        <v>167438.00108317423</v>
      </c>
      <c r="AJ235" s="73">
        <f t="shared" si="134"/>
        <v>157076.38887737112</v>
      </c>
      <c r="AK235" s="73" t="b">
        <f t="shared" si="149"/>
        <v>0</v>
      </c>
      <c r="AL235" s="73">
        <f t="shared" si="135"/>
        <v>157076.38887737112</v>
      </c>
      <c r="AM235" s="73">
        <f t="shared" si="157"/>
        <v>514.83681250346615</v>
      </c>
      <c r="AN235" s="73">
        <f t="shared" si="150"/>
        <v>97.818994375658576</v>
      </c>
      <c r="AO235" s="73">
        <f t="shared" si="151"/>
        <v>41964.861569167682</v>
      </c>
      <c r="AP235" s="73">
        <f t="shared" si="152"/>
        <v>154868.06156916765</v>
      </c>
    </row>
    <row r="236" spans="1:42" s="31" customFormat="1" x14ac:dyDescent="0.6">
      <c r="A236" s="70">
        <f t="shared" si="136"/>
        <v>215</v>
      </c>
      <c r="B236" s="70" t="str">
        <f>IF(E236&lt;=$F$9,VLOOKUP(KALKULATOR!A236,Robocze!$B$23:$C$102,2),"")</f>
        <v>18 rok</v>
      </c>
      <c r="C236" s="70">
        <f t="shared" si="139"/>
        <v>2038</v>
      </c>
      <c r="D236" s="71">
        <f t="shared" si="153"/>
        <v>57.916666666667176</v>
      </c>
      <c r="E236" s="77">
        <f t="shared" si="154"/>
        <v>50679</v>
      </c>
      <c r="F236" s="72">
        <f t="shared" si="140"/>
        <v>50709</v>
      </c>
      <c r="G236" s="73">
        <f>IFERROR(IF(AND(F236&lt;=$F$9,$F$5=Robocze!$B$4,$E236&lt;=$F$9,MONTH($F$8)=MONTH(E236)),$F$4,0)+IF(AND(F236&lt;=$F$9,$F$5=Robocze!$B$3,E236&lt;=$F$9),KALKULATOR!$F$4/12,0),"")</f>
        <v>0</v>
      </c>
      <c r="H236" s="73">
        <f t="shared" si="141"/>
        <v>112903.19999999997</v>
      </c>
      <c r="I236" s="74">
        <f t="shared" si="137"/>
        <v>0.04</v>
      </c>
      <c r="J236" s="73">
        <f t="shared" si="123"/>
        <v>0</v>
      </c>
      <c r="K236" s="75" t="str">
        <f t="shared" si="124"/>
        <v/>
      </c>
      <c r="L236" s="73">
        <f t="shared" si="125"/>
        <v>112903.19999999997</v>
      </c>
      <c r="M236" s="73">
        <f t="shared" si="126"/>
        <v>165552.24958812716</v>
      </c>
      <c r="N236" s="73">
        <f t="shared" si="127"/>
        <v>165552.24958812716</v>
      </c>
      <c r="O236" s="73">
        <f t="shared" si="128"/>
        <v>157528.47148029567</v>
      </c>
      <c r="P236" s="73">
        <f t="shared" si="129"/>
        <v>157528.47148029567</v>
      </c>
      <c r="Q236" s="73">
        <f t="shared" si="130"/>
        <v>155286.2053354044</v>
      </c>
      <c r="R236" s="73"/>
      <c r="S236" s="76">
        <f t="shared" si="138"/>
        <v>0.17</v>
      </c>
      <c r="T236" s="73">
        <f t="shared" si="155"/>
        <v>558.12667027724706</v>
      </c>
      <c r="U236" s="73">
        <f t="shared" si="142"/>
        <v>167996.12775345135</v>
      </c>
      <c r="V236" s="76">
        <f t="shared" si="143"/>
        <v>0.17</v>
      </c>
      <c r="W236" s="73">
        <f t="shared" si="144"/>
        <v>0</v>
      </c>
      <c r="X236" s="73">
        <f>IF(B236&lt;&gt;"",IF(MONTH(E236)=MONTH($F$13),SUMIF($C$22:C618,"="&amp;(C236-1),$G$22:G618),0)*S236,"")</f>
        <v>0</v>
      </c>
      <c r="Y236" s="73">
        <f>IF(B236&lt;&gt;"",SUM($X$22:X236),"")</f>
        <v>19193.544000000009</v>
      </c>
      <c r="Z236" s="73">
        <f t="shared" si="156"/>
        <v>86.817138900842892</v>
      </c>
      <c r="AA236" s="73">
        <f t="shared" si="145"/>
        <v>16.495256391160151</v>
      </c>
      <c r="AB236" s="73">
        <f t="shared" si="146"/>
        <v>6921.9195527625579</v>
      </c>
      <c r="AC236" s="73">
        <f t="shared" si="147"/>
        <v>26115.463552762547</v>
      </c>
      <c r="AD236" s="73">
        <f>IFERROR($U236*(1-$V236)+SUM($W$22:$W236)+$AB236,"")</f>
        <v>165552.24958812716</v>
      </c>
      <c r="AE236" s="73" t="b">
        <f t="shared" si="148"/>
        <v>0</v>
      </c>
      <c r="AF236" s="73">
        <f>IF(AND(AE236=TRUE,D236&gt;=65),$U236*(1-10%)+SUM($W$22:$W236)+$AB236,AD236)</f>
        <v>165552.24958812716</v>
      </c>
      <c r="AG236" s="73">
        <f t="shared" si="131"/>
        <v>558.1266702772474</v>
      </c>
      <c r="AH236" s="73">
        <f t="shared" si="132"/>
        <v>55092.927753451506</v>
      </c>
      <c r="AI236" s="73">
        <f t="shared" si="133"/>
        <v>167996.12775345147</v>
      </c>
      <c r="AJ236" s="73">
        <f t="shared" si="134"/>
        <v>157528.47148029567</v>
      </c>
      <c r="AK236" s="73" t="b">
        <f t="shared" si="149"/>
        <v>0</v>
      </c>
      <c r="AL236" s="73">
        <f t="shared" si="135"/>
        <v>157528.47148029567</v>
      </c>
      <c r="AM236" s="73">
        <f t="shared" si="157"/>
        <v>516.22687189722558</v>
      </c>
      <c r="AN236" s="73">
        <f t="shared" si="150"/>
        <v>98.083105660472867</v>
      </c>
      <c r="AO236" s="73">
        <f t="shared" si="151"/>
        <v>42383.005335404436</v>
      </c>
      <c r="AP236" s="73">
        <f t="shared" si="152"/>
        <v>155286.2053354044</v>
      </c>
    </row>
    <row r="237" spans="1:42" s="69" customFormat="1" x14ac:dyDescent="0.6">
      <c r="A237" s="78">
        <f t="shared" si="136"/>
        <v>216</v>
      </c>
      <c r="B237" s="78" t="str">
        <f>IF(E237&lt;=$F$9,VLOOKUP(KALKULATOR!A237,Robocze!$B$23:$C$102,2),"")</f>
        <v>18 rok</v>
      </c>
      <c r="C237" s="78">
        <f t="shared" si="139"/>
        <v>2038</v>
      </c>
      <c r="D237" s="79">
        <f t="shared" si="153"/>
        <v>58.000000000000512</v>
      </c>
      <c r="E237" s="80">
        <f t="shared" si="154"/>
        <v>50710</v>
      </c>
      <c r="F237" s="81">
        <f t="shared" si="140"/>
        <v>50739</v>
      </c>
      <c r="G237" s="82">
        <f>IFERROR(IF(AND(F237&lt;=$F$9,$F$5=Robocze!$B$4,$E237&lt;=$F$9,MONTH($F$8)=MONTH(E237)),$F$4,0)+IF(AND(F237&lt;=$F$9,$F$5=Robocze!$B$3,E237&lt;=$F$9),KALKULATOR!$F$4/12,0),"")</f>
        <v>0</v>
      </c>
      <c r="H237" s="82">
        <f t="shared" si="141"/>
        <v>112903.19999999997</v>
      </c>
      <c r="I237" s="83">
        <f t="shared" si="137"/>
        <v>0.04</v>
      </c>
      <c r="J237" s="82">
        <f t="shared" si="123"/>
        <v>0</v>
      </c>
      <c r="K237" s="84">
        <f t="shared" si="124"/>
        <v>18</v>
      </c>
      <c r="L237" s="82">
        <f t="shared" si="125"/>
        <v>112903.19999999997</v>
      </c>
      <c r="M237" s="82">
        <f t="shared" si="126"/>
        <v>166087.55062650415</v>
      </c>
      <c r="N237" s="82">
        <f t="shared" si="127"/>
        <v>166087.55062650415</v>
      </c>
      <c r="O237" s="82">
        <f t="shared" si="128"/>
        <v>157982.06102522998</v>
      </c>
      <c r="P237" s="82">
        <f t="shared" si="129"/>
        <v>157982.06102522998</v>
      </c>
      <c r="Q237" s="82">
        <f t="shared" si="130"/>
        <v>155705.47808980997</v>
      </c>
      <c r="R237" s="82"/>
      <c r="S237" s="85">
        <f t="shared" si="138"/>
        <v>0.17</v>
      </c>
      <c r="T237" s="82">
        <f t="shared" si="155"/>
        <v>559.98709251150456</v>
      </c>
      <c r="U237" s="82">
        <f t="shared" si="142"/>
        <v>168556.11484596285</v>
      </c>
      <c r="V237" s="85">
        <f t="shared" si="143"/>
        <v>0.17</v>
      </c>
      <c r="W237" s="82">
        <f t="shared" si="144"/>
        <v>0</v>
      </c>
      <c r="X237" s="82">
        <f>IF(B237&lt;&gt;"",IF(MONTH(E237)=MONTH($F$13),SUMIF($C$22:C619,"="&amp;(C237-1),$G$22:G619),0)*S237,"")</f>
        <v>0</v>
      </c>
      <c r="Y237" s="82">
        <f>IF(B237&lt;&gt;"",SUM($X$22:X237),"")</f>
        <v>19193.544000000009</v>
      </c>
      <c r="Z237" s="82">
        <f t="shared" si="156"/>
        <v>87.051545175875162</v>
      </c>
      <c r="AA237" s="82">
        <f t="shared" si="145"/>
        <v>16.53979358341628</v>
      </c>
      <c r="AB237" s="82">
        <f t="shared" si="146"/>
        <v>6992.4313043550164</v>
      </c>
      <c r="AC237" s="82">
        <f t="shared" si="147"/>
        <v>26185.975304355008</v>
      </c>
      <c r="AD237" s="82">
        <f>IFERROR($U237*(1-$V237)+SUM($W$22:$W237)+$AB237,"")</f>
        <v>166087.55062650415</v>
      </c>
      <c r="AE237" s="73" t="b">
        <f t="shared" si="148"/>
        <v>0</v>
      </c>
      <c r="AF237" s="82">
        <f>IF(AND(AE237=TRUE,D237&gt;=65),$U237*(1-10%)+SUM($W$22:$W237)+$AB237,AD237)</f>
        <v>166087.55062650415</v>
      </c>
      <c r="AG237" s="82">
        <f t="shared" si="131"/>
        <v>559.9870925115049</v>
      </c>
      <c r="AH237" s="82">
        <f t="shared" si="132"/>
        <v>55652.914845963009</v>
      </c>
      <c r="AI237" s="82">
        <f t="shared" si="133"/>
        <v>168556.11484596296</v>
      </c>
      <c r="AJ237" s="82">
        <f t="shared" si="134"/>
        <v>157982.06102522998</v>
      </c>
      <c r="AK237" s="73" t="b">
        <f t="shared" si="149"/>
        <v>0</v>
      </c>
      <c r="AL237" s="82">
        <f t="shared" si="135"/>
        <v>157982.06102522998</v>
      </c>
      <c r="AM237" s="82">
        <f t="shared" si="157"/>
        <v>517.62068445134798</v>
      </c>
      <c r="AN237" s="82">
        <f t="shared" si="150"/>
        <v>98.347930045756115</v>
      </c>
      <c r="AO237" s="82">
        <f t="shared" si="151"/>
        <v>42802.278089810003</v>
      </c>
      <c r="AP237" s="82">
        <f t="shared" si="152"/>
        <v>155705.47808980997</v>
      </c>
    </row>
    <row r="238" spans="1:42" s="31" customFormat="1" x14ac:dyDescent="0.6">
      <c r="A238" s="70">
        <f t="shared" si="136"/>
        <v>217</v>
      </c>
      <c r="B238" s="70" t="str">
        <f>IF(E238&lt;=$F$9,VLOOKUP(KALKULATOR!A238,Robocze!$B$23:$C$102,2),"")</f>
        <v>19 rok</v>
      </c>
      <c r="C238" s="70">
        <f t="shared" si="139"/>
        <v>2038</v>
      </c>
      <c r="D238" s="71">
        <f t="shared" si="153"/>
        <v>58.083333333333847</v>
      </c>
      <c r="E238" s="72">
        <f t="shared" si="154"/>
        <v>50740</v>
      </c>
      <c r="F238" s="72">
        <f t="shared" si="140"/>
        <v>50770</v>
      </c>
      <c r="G238" s="73">
        <f>IFERROR(IF(AND(F238&lt;=$F$9,$F$5=Robocze!$B$4,$E238&lt;=$F$9,MONTH($F$8)=MONTH(E238)),$F$4,0)+IF(AND(F238&lt;=$F$9,$F$5=Robocze!$B$3,E238&lt;=$F$9),KALKULATOR!$F$4/12,0),"")</f>
        <v>6272.4</v>
      </c>
      <c r="H238" s="73">
        <f t="shared" si="141"/>
        <v>119175.59999999996</v>
      </c>
      <c r="I238" s="74">
        <f t="shared" si="137"/>
        <v>0.04</v>
      </c>
      <c r="J238" s="73">
        <f t="shared" si="123"/>
        <v>0</v>
      </c>
      <c r="K238" s="75" t="str">
        <f t="shared" si="124"/>
        <v/>
      </c>
      <c r="L238" s="73">
        <f t="shared" si="125"/>
        <v>119175.59999999996</v>
      </c>
      <c r="M238" s="73">
        <f t="shared" si="126"/>
        <v>172914.34498423309</v>
      </c>
      <c r="N238" s="73">
        <f t="shared" si="127"/>
        <v>172914.34498423309</v>
      </c>
      <c r="O238" s="73">
        <f t="shared" si="128"/>
        <v>164726.49801531408</v>
      </c>
      <c r="P238" s="73">
        <f t="shared" si="129"/>
        <v>164726.49801531408</v>
      </c>
      <c r="Q238" s="73">
        <f t="shared" si="130"/>
        <v>162415.21836065245</v>
      </c>
      <c r="R238" s="73"/>
      <c r="S238" s="76">
        <f t="shared" si="138"/>
        <v>0.17</v>
      </c>
      <c r="T238" s="73">
        <f t="shared" si="155"/>
        <v>582.76171615320948</v>
      </c>
      <c r="U238" s="73">
        <f t="shared" si="142"/>
        <v>175411.27656211605</v>
      </c>
      <c r="V238" s="76">
        <f t="shared" si="143"/>
        <v>0.17</v>
      </c>
      <c r="W238" s="73">
        <f t="shared" si="144"/>
        <v>1066.308</v>
      </c>
      <c r="X238" s="73">
        <f>IF(B238&lt;&gt;"",IF(MONTH(E238)=MONTH($F$13),SUMIF($C$22:C620,"="&amp;(C238-1),$G$22:G620),0)*S238,"")</f>
        <v>0</v>
      </c>
      <c r="Y238" s="73">
        <f>IF(B238&lt;&gt;"",SUM($X$22:X238),"")</f>
        <v>19193.544000000009</v>
      </c>
      <c r="Z238" s="73">
        <f t="shared" si="156"/>
        <v>87.286584347850024</v>
      </c>
      <c r="AA238" s="73">
        <f t="shared" si="145"/>
        <v>16.584451026091504</v>
      </c>
      <c r="AB238" s="73">
        <f t="shared" si="146"/>
        <v>7063.1334376767754</v>
      </c>
      <c r="AC238" s="73">
        <f t="shared" si="147"/>
        <v>26256.677437676768</v>
      </c>
      <c r="AD238" s="73">
        <f>IFERROR($U238*(1-$V238)+SUM($W$22:$W238)+$AB238,"")</f>
        <v>172914.34498423309</v>
      </c>
      <c r="AE238" s="73" t="b">
        <f t="shared" si="148"/>
        <v>0</v>
      </c>
      <c r="AF238" s="73">
        <f>IF(AND(AE238=TRUE,D238&gt;=65),$U238*(1-10%)+SUM($W$22:$W238)+$AB238,AD238)</f>
        <v>172914.34498423309</v>
      </c>
      <c r="AG238" s="73">
        <f t="shared" si="131"/>
        <v>582.76171615320993</v>
      </c>
      <c r="AH238" s="73">
        <f t="shared" si="132"/>
        <v>56235.676562116219</v>
      </c>
      <c r="AI238" s="73">
        <f t="shared" si="133"/>
        <v>175411.27656211617</v>
      </c>
      <c r="AJ238" s="73">
        <f t="shared" si="134"/>
        <v>164726.49801531408</v>
      </c>
      <c r="AK238" s="73" t="b">
        <f t="shared" si="149"/>
        <v>0</v>
      </c>
      <c r="AL238" s="73">
        <f t="shared" si="135"/>
        <v>164726.49801531408</v>
      </c>
      <c r="AM238" s="73">
        <f t="shared" si="157"/>
        <v>539.92626029936662</v>
      </c>
      <c r="AN238" s="73">
        <f t="shared" si="150"/>
        <v>102.58598945687966</v>
      </c>
      <c r="AO238" s="73">
        <f t="shared" si="151"/>
        <v>43239.618360652486</v>
      </c>
      <c r="AP238" s="73">
        <f t="shared" si="152"/>
        <v>162415.21836065245</v>
      </c>
    </row>
    <row r="239" spans="1:42" s="31" customFormat="1" x14ac:dyDescent="0.6">
      <c r="A239" s="70">
        <f t="shared" si="136"/>
        <v>218</v>
      </c>
      <c r="B239" s="70" t="str">
        <f>IF(E239&lt;=$F$9,VLOOKUP(KALKULATOR!A239,Robocze!$B$23:$C$102,2),"")</f>
        <v>19 rok</v>
      </c>
      <c r="C239" s="70">
        <f t="shared" si="139"/>
        <v>2039</v>
      </c>
      <c r="D239" s="71">
        <f t="shared" si="153"/>
        <v>58.166666666667183</v>
      </c>
      <c r="E239" s="77">
        <f t="shared" si="154"/>
        <v>50771</v>
      </c>
      <c r="F239" s="72">
        <f t="shared" si="140"/>
        <v>50801</v>
      </c>
      <c r="G239" s="73">
        <f>IFERROR(IF(AND(F239&lt;=$F$9,$F$5=Robocze!$B$4,$E239&lt;=$F$9,MONTH($F$8)=MONTH(E239)),$F$4,0)+IF(AND(F239&lt;=$F$9,$F$5=Robocze!$B$3,E239&lt;=$F$9),KALKULATOR!$F$4/12,0),"")</f>
        <v>0</v>
      </c>
      <c r="H239" s="73">
        <f t="shared" si="141"/>
        <v>119175.59999999996</v>
      </c>
      <c r="I239" s="74">
        <f t="shared" si="137"/>
        <v>0.04</v>
      </c>
      <c r="J239" s="73">
        <f t="shared" si="123"/>
        <v>0</v>
      </c>
      <c r="K239" s="75" t="str">
        <f t="shared" si="124"/>
        <v/>
      </c>
      <c r="L239" s="73">
        <f t="shared" si="125"/>
        <v>119175.59999999996</v>
      </c>
      <c r="M239" s="73">
        <f t="shared" si="126"/>
        <v>173470.5425451367</v>
      </c>
      <c r="N239" s="73">
        <f t="shared" si="127"/>
        <v>173470.5425451367</v>
      </c>
      <c r="O239" s="73">
        <f t="shared" si="128"/>
        <v>165200.10846203181</v>
      </c>
      <c r="P239" s="73">
        <f t="shared" si="129"/>
        <v>165200.10846203181</v>
      </c>
      <c r="Q239" s="73">
        <f t="shared" si="130"/>
        <v>162853.73945022622</v>
      </c>
      <c r="R239" s="73"/>
      <c r="S239" s="76">
        <f t="shared" si="138"/>
        <v>0.17</v>
      </c>
      <c r="T239" s="73">
        <f t="shared" si="155"/>
        <v>584.70425520705351</v>
      </c>
      <c r="U239" s="73">
        <f t="shared" si="142"/>
        <v>175995.98081732311</v>
      </c>
      <c r="V239" s="76">
        <f t="shared" si="143"/>
        <v>0.17</v>
      </c>
      <c r="W239" s="73">
        <f t="shared" si="144"/>
        <v>0</v>
      </c>
      <c r="X239" s="73">
        <f>IF(B239&lt;&gt;"",IF(MONTH(E239)=MONTH($F$13),SUMIF($C$22:C621,"="&amp;(C239-1),$G$22:G621),0)*S239,"")</f>
        <v>0</v>
      </c>
      <c r="Y239" s="73">
        <f>IF(B239&lt;&gt;"",SUM($X$22:X239),"")</f>
        <v>19193.544000000009</v>
      </c>
      <c r="Z239" s="73">
        <f t="shared" si="156"/>
        <v>87.522258125589232</v>
      </c>
      <c r="AA239" s="73">
        <f t="shared" si="145"/>
        <v>16.629229043861955</v>
      </c>
      <c r="AB239" s="73">
        <f t="shared" si="146"/>
        <v>7134.0264667585025</v>
      </c>
      <c r="AC239" s="73">
        <f t="shared" si="147"/>
        <v>26327.570466758494</v>
      </c>
      <c r="AD239" s="73">
        <f>IFERROR($U239*(1-$V239)+SUM($W$22:$W239)+$AB239,"")</f>
        <v>173470.5425451367</v>
      </c>
      <c r="AE239" s="73" t="b">
        <f t="shared" si="148"/>
        <v>0</v>
      </c>
      <c r="AF239" s="73">
        <f>IF(AND(AE239=TRUE,D239&gt;=65),$U239*(1-10%)+SUM($W$22:$W239)+$AB239,AD239)</f>
        <v>173470.5425451367</v>
      </c>
      <c r="AG239" s="73">
        <f t="shared" si="131"/>
        <v>584.70425520705396</v>
      </c>
      <c r="AH239" s="73">
        <f t="shared" si="132"/>
        <v>56820.380817323276</v>
      </c>
      <c r="AI239" s="73">
        <f t="shared" si="133"/>
        <v>175995.98081732323</v>
      </c>
      <c r="AJ239" s="73">
        <f t="shared" si="134"/>
        <v>165200.10846203181</v>
      </c>
      <c r="AK239" s="73" t="b">
        <f t="shared" si="149"/>
        <v>0</v>
      </c>
      <c r="AL239" s="73">
        <f t="shared" si="135"/>
        <v>165200.10846203181</v>
      </c>
      <c r="AM239" s="73">
        <f t="shared" si="157"/>
        <v>541.38406120217485</v>
      </c>
      <c r="AN239" s="73">
        <f t="shared" si="150"/>
        <v>102.86297162841322</v>
      </c>
      <c r="AO239" s="73">
        <f t="shared" si="151"/>
        <v>43678.139450226256</v>
      </c>
      <c r="AP239" s="73">
        <f t="shared" si="152"/>
        <v>162853.73945022622</v>
      </c>
    </row>
    <row r="240" spans="1:42" s="31" customFormat="1" x14ac:dyDescent="0.6">
      <c r="A240" s="70">
        <f t="shared" si="136"/>
        <v>219</v>
      </c>
      <c r="B240" s="70" t="str">
        <f>IF(E240&lt;=$F$9,VLOOKUP(KALKULATOR!A240,Robocze!$B$23:$C$102,2),"")</f>
        <v>19 rok</v>
      </c>
      <c r="C240" s="70">
        <f t="shared" si="139"/>
        <v>2039</v>
      </c>
      <c r="D240" s="71">
        <f t="shared" si="153"/>
        <v>58.250000000000519</v>
      </c>
      <c r="E240" s="77">
        <f t="shared" si="154"/>
        <v>50802</v>
      </c>
      <c r="F240" s="72">
        <f t="shared" si="140"/>
        <v>50829</v>
      </c>
      <c r="G240" s="73">
        <f>IFERROR(IF(AND(F240&lt;=$F$9,$F$5=Robocze!$B$4,$E240&lt;=$F$9,MONTH($F$8)=MONTH(E240)),$F$4,0)+IF(AND(F240&lt;=$F$9,$F$5=Robocze!$B$3,E240&lt;=$F$9),KALKULATOR!$F$4/12,0),"")</f>
        <v>0</v>
      </c>
      <c r="H240" s="73">
        <f t="shared" si="141"/>
        <v>119175.59999999996</v>
      </c>
      <c r="I240" s="74">
        <f t="shared" si="137"/>
        <v>0.04</v>
      </c>
      <c r="J240" s="73">
        <f t="shared" si="123"/>
        <v>0</v>
      </c>
      <c r="K240" s="75" t="str">
        <f t="shared" si="124"/>
        <v/>
      </c>
      <c r="L240" s="73">
        <f t="shared" si="125"/>
        <v>119175.59999999996</v>
      </c>
      <c r="M240" s="73">
        <f t="shared" si="126"/>
        <v>174028.5491989915</v>
      </c>
      <c r="N240" s="73">
        <f t="shared" si="127"/>
        <v>174028.5491989915</v>
      </c>
      <c r="O240" s="73">
        <f t="shared" si="128"/>
        <v>165675.29761023857</v>
      </c>
      <c r="P240" s="73">
        <f t="shared" si="129"/>
        <v>165675.29761023857</v>
      </c>
      <c r="Q240" s="73">
        <f t="shared" si="130"/>
        <v>163293.44454674184</v>
      </c>
      <c r="R240" s="73"/>
      <c r="S240" s="76">
        <f t="shared" si="138"/>
        <v>0.17</v>
      </c>
      <c r="T240" s="73">
        <f t="shared" si="155"/>
        <v>586.65326939107706</v>
      </c>
      <c r="U240" s="73">
        <f t="shared" si="142"/>
        <v>176582.63408671418</v>
      </c>
      <c r="V240" s="76">
        <f t="shared" si="143"/>
        <v>0.17</v>
      </c>
      <c r="W240" s="73">
        <f t="shared" si="144"/>
        <v>0</v>
      </c>
      <c r="X240" s="73">
        <f>IF(B240&lt;&gt;"",IF(MONTH(E240)=MONTH($F$13),SUMIF($C$22:C622,"="&amp;(C240-1),$G$22:G622),0)*S240,"")</f>
        <v>0</v>
      </c>
      <c r="Y240" s="73">
        <f>IF(B240&lt;&gt;"",SUM($X$22:X240),"")</f>
        <v>19193.544000000009</v>
      </c>
      <c r="Z240" s="73">
        <f t="shared" si="156"/>
        <v>87.758568222528311</v>
      </c>
      <c r="AA240" s="73">
        <f t="shared" si="145"/>
        <v>16.67412796228038</v>
      </c>
      <c r="AB240" s="73">
        <f t="shared" si="146"/>
        <v>7205.1109070187504</v>
      </c>
      <c r="AC240" s="73">
        <f t="shared" si="147"/>
        <v>26398.654907018743</v>
      </c>
      <c r="AD240" s="73">
        <f>IFERROR($U240*(1-$V240)+SUM($W$22:$W240)+$AB240,"")</f>
        <v>174028.5491989915</v>
      </c>
      <c r="AE240" s="73" t="b">
        <f t="shared" si="148"/>
        <v>0</v>
      </c>
      <c r="AF240" s="73">
        <f>IF(AND(AE240=TRUE,D240&gt;=65),$U240*(1-10%)+SUM($W$22:$W240)+$AB240,AD240)</f>
        <v>174028.5491989915</v>
      </c>
      <c r="AG240" s="73">
        <f t="shared" si="131"/>
        <v>586.65326939107752</v>
      </c>
      <c r="AH240" s="73">
        <f t="shared" si="132"/>
        <v>57407.034086714353</v>
      </c>
      <c r="AI240" s="73">
        <f t="shared" si="133"/>
        <v>176582.6340867143</v>
      </c>
      <c r="AJ240" s="73">
        <f t="shared" si="134"/>
        <v>165675.29761023857</v>
      </c>
      <c r="AK240" s="73" t="b">
        <f t="shared" si="149"/>
        <v>0</v>
      </c>
      <c r="AL240" s="73">
        <f t="shared" si="135"/>
        <v>165675.29761023857</v>
      </c>
      <c r="AM240" s="73">
        <f t="shared" si="157"/>
        <v>542.84579816742075</v>
      </c>
      <c r="AN240" s="73">
        <f t="shared" si="150"/>
        <v>103.14070165180995</v>
      </c>
      <c r="AO240" s="73">
        <f t="shared" si="151"/>
        <v>44117.844546741879</v>
      </c>
      <c r="AP240" s="73">
        <f t="shared" si="152"/>
        <v>163293.44454674184</v>
      </c>
    </row>
    <row r="241" spans="1:42" s="31" customFormat="1" x14ac:dyDescent="0.6">
      <c r="A241" s="70">
        <f t="shared" si="136"/>
        <v>220</v>
      </c>
      <c r="B241" s="70" t="str">
        <f>IF(E241&lt;=$F$9,VLOOKUP(KALKULATOR!A241,Robocze!$B$23:$C$102,2),"")</f>
        <v>19 rok</v>
      </c>
      <c r="C241" s="70">
        <f t="shared" si="139"/>
        <v>2039</v>
      </c>
      <c r="D241" s="71">
        <f t="shared" si="153"/>
        <v>58.333333333333854</v>
      </c>
      <c r="E241" s="77">
        <f t="shared" si="154"/>
        <v>50830</v>
      </c>
      <c r="F241" s="72">
        <f t="shared" si="140"/>
        <v>50860</v>
      </c>
      <c r="G241" s="73">
        <f>IFERROR(IF(AND(F241&lt;=$F$9,$F$5=Robocze!$B$4,$E241&lt;=$F$9,MONTH($F$8)=MONTH(E241)),$F$4,0)+IF(AND(F241&lt;=$F$9,$F$5=Robocze!$B$3,E241&lt;=$F$9),KALKULATOR!$F$4/12,0),"")</f>
        <v>0</v>
      </c>
      <c r="H241" s="73">
        <f t="shared" si="141"/>
        <v>119175.59999999996</v>
      </c>
      <c r="I241" s="74">
        <f t="shared" si="137"/>
        <v>0.04</v>
      </c>
      <c r="J241" s="73">
        <f t="shared" si="123"/>
        <v>0</v>
      </c>
      <c r="K241" s="75" t="str">
        <f t="shared" si="124"/>
        <v/>
      </c>
      <c r="L241" s="73">
        <f t="shared" si="125"/>
        <v>119175.59999999996</v>
      </c>
      <c r="M241" s="73">
        <f t="shared" si="126"/>
        <v>174588.3708548804</v>
      </c>
      <c r="N241" s="73">
        <f t="shared" si="127"/>
        <v>174588.3708548804</v>
      </c>
      <c r="O241" s="73">
        <f t="shared" si="128"/>
        <v>166152.07072227274</v>
      </c>
      <c r="P241" s="73">
        <f t="shared" si="129"/>
        <v>166152.07072227274</v>
      </c>
      <c r="Q241" s="73">
        <f t="shared" si="130"/>
        <v>163734.33684701804</v>
      </c>
      <c r="R241" s="73"/>
      <c r="S241" s="76">
        <f t="shared" si="138"/>
        <v>0.17</v>
      </c>
      <c r="T241" s="73">
        <f t="shared" si="155"/>
        <v>588.60878028904733</v>
      </c>
      <c r="U241" s="73">
        <f t="shared" si="142"/>
        <v>177171.24286700322</v>
      </c>
      <c r="V241" s="76">
        <f t="shared" si="143"/>
        <v>0.17</v>
      </c>
      <c r="W241" s="73">
        <f t="shared" si="144"/>
        <v>0</v>
      </c>
      <c r="X241" s="73">
        <f>IF(B241&lt;&gt;"",IF(MONTH(E241)=MONTH($F$13),SUMIF($C$22:C623,"="&amp;(C241-1),$G$22:G623),0)*S241,"")</f>
        <v>0</v>
      </c>
      <c r="Y241" s="73">
        <f>IF(B241&lt;&gt;"",SUM($X$22:X241),"")</f>
        <v>19193.544000000009</v>
      </c>
      <c r="Z241" s="73">
        <f t="shared" si="156"/>
        <v>87.995516356729141</v>
      </c>
      <c r="AA241" s="73">
        <f t="shared" si="145"/>
        <v>16.719148107778537</v>
      </c>
      <c r="AB241" s="73">
        <f t="shared" si="146"/>
        <v>7276.3872752677007</v>
      </c>
      <c r="AC241" s="73">
        <f t="shared" si="147"/>
        <v>26469.931275267692</v>
      </c>
      <c r="AD241" s="73">
        <f>IFERROR($U241*(1-$V241)+SUM($W$22:$W241)+$AB241,"")</f>
        <v>174588.3708548804</v>
      </c>
      <c r="AE241" s="73" t="b">
        <f t="shared" si="148"/>
        <v>0</v>
      </c>
      <c r="AF241" s="73">
        <f>IF(AND(AE241=TRUE,D241&gt;=65),$U241*(1-10%)+SUM($W$22:$W241)+$AB241,AD241)</f>
        <v>174588.3708548804</v>
      </c>
      <c r="AG241" s="73">
        <f t="shared" si="131"/>
        <v>588.60878028904767</v>
      </c>
      <c r="AH241" s="73">
        <f t="shared" si="132"/>
        <v>57995.6428670034</v>
      </c>
      <c r="AI241" s="73">
        <f t="shared" si="133"/>
        <v>177171.24286700337</v>
      </c>
      <c r="AJ241" s="73">
        <f t="shared" si="134"/>
        <v>166152.07072227274</v>
      </c>
      <c r="AK241" s="73" t="b">
        <f t="shared" si="149"/>
        <v>0</v>
      </c>
      <c r="AL241" s="73">
        <f t="shared" si="135"/>
        <v>166152.07072227274</v>
      </c>
      <c r="AM241" s="73">
        <f t="shared" si="157"/>
        <v>544.31148182247284</v>
      </c>
      <c r="AN241" s="73">
        <f t="shared" si="150"/>
        <v>103.41918154626984</v>
      </c>
      <c r="AO241" s="73">
        <f t="shared" si="151"/>
        <v>44558.736847018081</v>
      </c>
      <c r="AP241" s="73">
        <f t="shared" si="152"/>
        <v>163734.33684701804</v>
      </c>
    </row>
    <row r="242" spans="1:42" s="31" customFormat="1" x14ac:dyDescent="0.6">
      <c r="A242" s="70">
        <f t="shared" si="136"/>
        <v>221</v>
      </c>
      <c r="B242" s="70" t="str">
        <f>IF(E242&lt;=$F$9,VLOOKUP(KALKULATOR!A242,Robocze!$B$23:$C$102,2),"")</f>
        <v>19 rok</v>
      </c>
      <c r="C242" s="70">
        <f t="shared" si="139"/>
        <v>2039</v>
      </c>
      <c r="D242" s="71">
        <f t="shared" si="153"/>
        <v>58.41666666666719</v>
      </c>
      <c r="E242" s="77">
        <f t="shared" si="154"/>
        <v>50861</v>
      </c>
      <c r="F242" s="72">
        <f t="shared" si="140"/>
        <v>50890</v>
      </c>
      <c r="G242" s="73">
        <f>IFERROR(IF(AND(F242&lt;=$F$9,$F$5=Robocze!$B$4,$E242&lt;=$F$9,MONTH($F$8)=MONTH(E242)),$F$4,0)+IF(AND(F242&lt;=$F$9,$F$5=Robocze!$B$3,E242&lt;=$F$9),KALKULATOR!$F$4/12,0),"")</f>
        <v>0</v>
      </c>
      <c r="H242" s="73">
        <f t="shared" si="141"/>
        <v>119175.59999999996</v>
      </c>
      <c r="I242" s="74">
        <f t="shared" si="137"/>
        <v>0.04</v>
      </c>
      <c r="J242" s="73">
        <f t="shared" si="123"/>
        <v>0</v>
      </c>
      <c r="K242" s="75" t="str">
        <f t="shared" si="124"/>
        <v/>
      </c>
      <c r="L242" s="73">
        <f t="shared" si="125"/>
        <v>119175.59999999996</v>
      </c>
      <c r="M242" s="73">
        <f t="shared" si="126"/>
        <v>175152.89247285563</v>
      </c>
      <c r="N242" s="73">
        <f t="shared" si="127"/>
        <v>175152.89247285563</v>
      </c>
      <c r="O242" s="73">
        <f t="shared" si="128"/>
        <v>166630.43307801362</v>
      </c>
      <c r="P242" s="73">
        <f t="shared" si="129"/>
        <v>166630.43307801362</v>
      </c>
      <c r="Q242" s="73">
        <f t="shared" si="130"/>
        <v>164176.41955650499</v>
      </c>
      <c r="R242" s="73"/>
      <c r="S242" s="76">
        <f t="shared" si="138"/>
        <v>0.17</v>
      </c>
      <c r="T242" s="73">
        <f t="shared" si="155"/>
        <v>590.57080955667743</v>
      </c>
      <c r="U242" s="73">
        <f t="shared" si="142"/>
        <v>177761.81367655989</v>
      </c>
      <c r="V242" s="76">
        <f t="shared" si="143"/>
        <v>0.17</v>
      </c>
      <c r="W242" s="73">
        <f t="shared" si="144"/>
        <v>0</v>
      </c>
      <c r="X242" s="73">
        <f>IF(B242&lt;&gt;"",IF(MONTH(E242)=MONTH($F$13),SUMIF($C$22:C624,"="&amp;(C242-1),$G$22:G624),0)*S242,"")</f>
        <v>1066.308</v>
      </c>
      <c r="Y242" s="73">
        <f>IF(B242&lt;&gt;"",SUM($X$22:X242),"")</f>
        <v>20259.85200000001</v>
      </c>
      <c r="Z242" s="73">
        <f t="shared" si="156"/>
        <v>91.787464250892313</v>
      </c>
      <c r="AA242" s="73">
        <f t="shared" si="145"/>
        <v>17.43961820766954</v>
      </c>
      <c r="AB242" s="73">
        <f t="shared" si="146"/>
        <v>7350.7351213109232</v>
      </c>
      <c r="AC242" s="73">
        <f t="shared" si="147"/>
        <v>27610.587121310917</v>
      </c>
      <c r="AD242" s="73">
        <f>IFERROR($U242*(1-$V242)+SUM($W$22:$W242)+$AB242,"")</f>
        <v>175152.89247285563</v>
      </c>
      <c r="AE242" s="73" t="b">
        <f t="shared" si="148"/>
        <v>0</v>
      </c>
      <c r="AF242" s="73">
        <f>IF(AND(AE242=TRUE,D242&gt;=65),$U242*(1-10%)+SUM($W$22:$W242)+$AB242,AD242)</f>
        <v>175152.89247285563</v>
      </c>
      <c r="AG242" s="73">
        <f t="shared" si="131"/>
        <v>590.57080955667789</v>
      </c>
      <c r="AH242" s="73">
        <f t="shared" si="132"/>
        <v>58586.213676560081</v>
      </c>
      <c r="AI242" s="73">
        <f t="shared" si="133"/>
        <v>177761.81367656004</v>
      </c>
      <c r="AJ242" s="73">
        <f t="shared" si="134"/>
        <v>166630.43307801362</v>
      </c>
      <c r="AK242" s="73" t="b">
        <f t="shared" si="149"/>
        <v>0</v>
      </c>
      <c r="AL242" s="73">
        <f t="shared" si="135"/>
        <v>166630.43307801362</v>
      </c>
      <c r="AM242" s="73">
        <f t="shared" si="157"/>
        <v>545.7811228233935</v>
      </c>
      <c r="AN242" s="73">
        <f t="shared" si="150"/>
        <v>103.69841333644477</v>
      </c>
      <c r="AO242" s="73">
        <f t="shared" si="151"/>
        <v>45000.819556505026</v>
      </c>
      <c r="AP242" s="73">
        <f t="shared" si="152"/>
        <v>164176.41955650499</v>
      </c>
    </row>
    <row r="243" spans="1:42" s="31" customFormat="1" x14ac:dyDescent="0.6">
      <c r="A243" s="70">
        <f t="shared" si="136"/>
        <v>222</v>
      </c>
      <c r="B243" s="70" t="str">
        <f>IF(E243&lt;=$F$9,VLOOKUP(KALKULATOR!A243,Robocze!$B$23:$C$102,2),"")</f>
        <v>19 rok</v>
      </c>
      <c r="C243" s="70">
        <f t="shared" si="139"/>
        <v>2039</v>
      </c>
      <c r="D243" s="71">
        <f t="shared" si="153"/>
        <v>58.500000000000526</v>
      </c>
      <c r="E243" s="77">
        <f t="shared" si="154"/>
        <v>50891</v>
      </c>
      <c r="F243" s="72">
        <f t="shared" si="140"/>
        <v>50921</v>
      </c>
      <c r="G243" s="73">
        <f>IFERROR(IF(AND(F243&lt;=$F$9,$F$5=Robocze!$B$4,$E243&lt;=$F$9,MONTH($F$8)=MONTH(E243)),$F$4,0)+IF(AND(F243&lt;=$F$9,$F$5=Robocze!$B$3,E243&lt;=$F$9),KALKULATOR!$F$4/12,0),"")</f>
        <v>0</v>
      </c>
      <c r="H243" s="73">
        <f t="shared" si="141"/>
        <v>119175.59999999996</v>
      </c>
      <c r="I243" s="74">
        <f t="shared" si="137"/>
        <v>0.04</v>
      </c>
      <c r="J243" s="73">
        <f t="shared" si="123"/>
        <v>0</v>
      </c>
      <c r="K243" s="75" t="str">
        <f t="shared" si="124"/>
        <v/>
      </c>
      <c r="L243" s="73">
        <f t="shared" si="125"/>
        <v>119175.59999999996</v>
      </c>
      <c r="M243" s="73">
        <f t="shared" si="126"/>
        <v>175719.24874258833</v>
      </c>
      <c r="N243" s="73">
        <f t="shared" si="127"/>
        <v>175719.24874258833</v>
      </c>
      <c r="O243" s="73">
        <f t="shared" si="128"/>
        <v>167110.38997494034</v>
      </c>
      <c r="P243" s="73">
        <f t="shared" si="129"/>
        <v>167110.38997494034</v>
      </c>
      <c r="Q243" s="73">
        <f t="shared" si="130"/>
        <v>164619.69588930754</v>
      </c>
      <c r="R243" s="73"/>
      <c r="S243" s="76">
        <f t="shared" si="138"/>
        <v>0.17</v>
      </c>
      <c r="T243" s="73">
        <f t="shared" si="155"/>
        <v>592.53937892186639</v>
      </c>
      <c r="U243" s="73">
        <f t="shared" si="142"/>
        <v>178354.35305548177</v>
      </c>
      <c r="V243" s="76">
        <f t="shared" si="143"/>
        <v>0.17</v>
      </c>
      <c r="W243" s="73">
        <f t="shared" si="144"/>
        <v>0</v>
      </c>
      <c r="X243" s="73">
        <f>IF(B243&lt;&gt;"",IF(MONTH(E243)=MONTH($F$13),SUMIF($C$22:C625,"="&amp;(C243-1),$G$22:G625),0)*S243,"")</f>
        <v>0</v>
      </c>
      <c r="Y243" s="73">
        <f>IF(B243&lt;&gt;"",SUM($X$22:X243),"")</f>
        <v>20259.85200000001</v>
      </c>
      <c r="Z243" s="73">
        <f t="shared" si="156"/>
        <v>92.035290404369732</v>
      </c>
      <c r="AA243" s="73">
        <f t="shared" si="145"/>
        <v>17.486705176830249</v>
      </c>
      <c r="AB243" s="73">
        <f t="shared" si="146"/>
        <v>7425.283706538462</v>
      </c>
      <c r="AC243" s="73">
        <f t="shared" si="147"/>
        <v>27685.135706538455</v>
      </c>
      <c r="AD243" s="73">
        <f>IFERROR($U243*(1-$V243)+SUM($W$22:$W243)+$AB243,"")</f>
        <v>175719.24874258833</v>
      </c>
      <c r="AE243" s="73" t="b">
        <f t="shared" si="148"/>
        <v>0</v>
      </c>
      <c r="AF243" s="73">
        <f>IF(AND(AE243=TRUE,D243&gt;=65),$U243*(1-10%)+SUM($W$22:$W243)+$AB243,AD243)</f>
        <v>175719.24874258833</v>
      </c>
      <c r="AG243" s="73">
        <f t="shared" si="131"/>
        <v>592.53937892186684</v>
      </c>
      <c r="AH243" s="73">
        <f t="shared" si="132"/>
        <v>59178.753055481946</v>
      </c>
      <c r="AI243" s="73">
        <f t="shared" si="133"/>
        <v>178354.35305548192</v>
      </c>
      <c r="AJ243" s="73">
        <f t="shared" si="134"/>
        <v>167110.38997494034</v>
      </c>
      <c r="AK243" s="73" t="b">
        <f t="shared" si="149"/>
        <v>0</v>
      </c>
      <c r="AL243" s="73">
        <f t="shared" si="135"/>
        <v>167110.38997494034</v>
      </c>
      <c r="AM243" s="73">
        <f t="shared" si="157"/>
        <v>547.25473185501664</v>
      </c>
      <c r="AN243" s="73">
        <f t="shared" si="150"/>
        <v>103.97839905245317</v>
      </c>
      <c r="AO243" s="73">
        <f t="shared" si="151"/>
        <v>45444.095889307573</v>
      </c>
      <c r="AP243" s="73">
        <f t="shared" si="152"/>
        <v>164619.69588930754</v>
      </c>
    </row>
    <row r="244" spans="1:42" s="31" customFormat="1" x14ac:dyDescent="0.6">
      <c r="A244" s="70">
        <f t="shared" si="136"/>
        <v>223</v>
      </c>
      <c r="B244" s="70" t="str">
        <f>IF(E244&lt;=$F$9,VLOOKUP(KALKULATOR!A244,Robocze!$B$23:$C$102,2),"")</f>
        <v>19 rok</v>
      </c>
      <c r="C244" s="70">
        <f t="shared" si="139"/>
        <v>2039</v>
      </c>
      <c r="D244" s="71">
        <f t="shared" si="153"/>
        <v>58.583333333333862</v>
      </c>
      <c r="E244" s="77">
        <f t="shared" si="154"/>
        <v>50922</v>
      </c>
      <c r="F244" s="72">
        <f t="shared" si="140"/>
        <v>50951</v>
      </c>
      <c r="G244" s="73">
        <f>IFERROR(IF(AND(F244&lt;=$F$9,$F$5=Robocze!$B$4,$E244&lt;=$F$9,MONTH($F$8)=MONTH(E244)),$F$4,0)+IF(AND(F244&lt;=$F$9,$F$5=Robocze!$B$3,E244&lt;=$F$9),KALKULATOR!$F$4/12,0),"")</f>
        <v>0</v>
      </c>
      <c r="H244" s="73">
        <f t="shared" si="141"/>
        <v>119175.59999999996</v>
      </c>
      <c r="I244" s="74">
        <f t="shared" si="137"/>
        <v>0.04</v>
      </c>
      <c r="J244" s="73">
        <f t="shared" si="123"/>
        <v>0</v>
      </c>
      <c r="K244" s="75" t="str">
        <f t="shared" si="124"/>
        <v/>
      </c>
      <c r="L244" s="73">
        <f t="shared" si="125"/>
        <v>119175.59999999996</v>
      </c>
      <c r="M244" s="73">
        <f t="shared" si="126"/>
        <v>176287.4456524495</v>
      </c>
      <c r="N244" s="73">
        <f t="shared" si="127"/>
        <v>176287.4456524495</v>
      </c>
      <c r="O244" s="73">
        <f t="shared" si="128"/>
        <v>167591.94672819015</v>
      </c>
      <c r="P244" s="73">
        <f t="shared" si="129"/>
        <v>167591.94672819015</v>
      </c>
      <c r="Q244" s="73">
        <f t="shared" si="130"/>
        <v>165064.16906820866</v>
      </c>
      <c r="R244" s="73"/>
      <c r="S244" s="76">
        <f t="shared" si="138"/>
        <v>0.17</v>
      </c>
      <c r="T244" s="73">
        <f t="shared" si="155"/>
        <v>594.51451018493924</v>
      </c>
      <c r="U244" s="73">
        <f t="shared" si="142"/>
        <v>178948.8675656667</v>
      </c>
      <c r="V244" s="76">
        <f t="shared" si="143"/>
        <v>0.17</v>
      </c>
      <c r="W244" s="73">
        <f t="shared" si="144"/>
        <v>0</v>
      </c>
      <c r="X244" s="73">
        <f>IF(B244&lt;&gt;"",IF(MONTH(E244)=MONTH($F$13),SUMIF($C$22:C626,"="&amp;(C244-1),$G$22:G626),0)*S244,"")</f>
        <v>0</v>
      </c>
      <c r="Y244" s="73">
        <f>IF(B244&lt;&gt;"",SUM($X$22:X244),"")</f>
        <v>20259.85200000001</v>
      </c>
      <c r="Z244" s="73">
        <f t="shared" si="156"/>
        <v>92.283785688461521</v>
      </c>
      <c r="AA244" s="73">
        <f t="shared" si="145"/>
        <v>17.533919280807687</v>
      </c>
      <c r="AB244" s="73">
        <f t="shared" si="146"/>
        <v>7500.0335729461158</v>
      </c>
      <c r="AC244" s="73">
        <f t="shared" si="147"/>
        <v>27759.88557294611</v>
      </c>
      <c r="AD244" s="73">
        <f>IFERROR($U244*(1-$V244)+SUM($W$22:$W244)+$AB244,"")</f>
        <v>176287.4456524495</v>
      </c>
      <c r="AE244" s="73" t="b">
        <f t="shared" si="148"/>
        <v>0</v>
      </c>
      <c r="AF244" s="73">
        <f>IF(AND(AE244=TRUE,D244&gt;=65),$U244*(1-10%)+SUM($W$22:$W244)+$AB244,AD244)</f>
        <v>176287.4456524495</v>
      </c>
      <c r="AG244" s="73">
        <f t="shared" si="131"/>
        <v>594.5145101849397</v>
      </c>
      <c r="AH244" s="73">
        <f t="shared" si="132"/>
        <v>59773.267565666887</v>
      </c>
      <c r="AI244" s="73">
        <f t="shared" si="133"/>
        <v>178948.86756566685</v>
      </c>
      <c r="AJ244" s="73">
        <f t="shared" si="134"/>
        <v>167591.94672819015</v>
      </c>
      <c r="AK244" s="73" t="b">
        <f t="shared" si="149"/>
        <v>0</v>
      </c>
      <c r="AL244" s="73">
        <f t="shared" si="135"/>
        <v>167591.94672819015</v>
      </c>
      <c r="AM244" s="73">
        <f t="shared" si="157"/>
        <v>548.73231963102512</v>
      </c>
      <c r="AN244" s="73">
        <f t="shared" si="150"/>
        <v>104.25914072989477</v>
      </c>
      <c r="AO244" s="73">
        <f t="shared" si="151"/>
        <v>45888.569068208701</v>
      </c>
      <c r="AP244" s="73">
        <f t="shared" si="152"/>
        <v>165064.16906820866</v>
      </c>
    </row>
    <row r="245" spans="1:42" s="31" customFormat="1" x14ac:dyDescent="0.6">
      <c r="A245" s="70">
        <f t="shared" si="136"/>
        <v>224</v>
      </c>
      <c r="B245" s="70" t="str">
        <f>IF(E245&lt;=$F$9,VLOOKUP(KALKULATOR!A245,Robocze!$B$23:$C$102,2),"")</f>
        <v>19 rok</v>
      </c>
      <c r="C245" s="70">
        <f t="shared" si="139"/>
        <v>2039</v>
      </c>
      <c r="D245" s="71">
        <f t="shared" si="153"/>
        <v>58.666666666667197</v>
      </c>
      <c r="E245" s="77">
        <f t="shared" si="154"/>
        <v>50952</v>
      </c>
      <c r="F245" s="72">
        <f t="shared" si="140"/>
        <v>50982</v>
      </c>
      <c r="G245" s="73">
        <f>IFERROR(IF(AND(F245&lt;=$F$9,$F$5=Robocze!$B$4,$E245&lt;=$F$9,MONTH($F$8)=MONTH(E245)),$F$4,0)+IF(AND(F245&lt;=$F$9,$F$5=Robocze!$B$3,E245&lt;=$F$9),KALKULATOR!$F$4/12,0),"")</f>
        <v>0</v>
      </c>
      <c r="H245" s="73">
        <f t="shared" si="141"/>
        <v>119175.59999999996</v>
      </c>
      <c r="I245" s="74">
        <f t="shared" si="137"/>
        <v>0.04</v>
      </c>
      <c r="J245" s="73">
        <f t="shared" si="123"/>
        <v>0</v>
      </c>
      <c r="K245" s="75" t="str">
        <f t="shared" si="124"/>
        <v/>
      </c>
      <c r="L245" s="73">
        <f t="shared" si="125"/>
        <v>119175.59999999996</v>
      </c>
      <c r="M245" s="73">
        <f t="shared" si="126"/>
        <v>176857.48921042812</v>
      </c>
      <c r="N245" s="73">
        <f t="shared" si="127"/>
        <v>176857.48921042812</v>
      </c>
      <c r="O245" s="73">
        <f t="shared" si="128"/>
        <v>168075.10867061745</v>
      </c>
      <c r="P245" s="73">
        <f t="shared" si="129"/>
        <v>168075.10867061745</v>
      </c>
      <c r="Q245" s="73">
        <f t="shared" si="130"/>
        <v>165509.84232469284</v>
      </c>
      <c r="R245" s="73"/>
      <c r="S245" s="76">
        <f t="shared" si="138"/>
        <v>0.17</v>
      </c>
      <c r="T245" s="73">
        <f t="shared" si="155"/>
        <v>596.49622521888909</v>
      </c>
      <c r="U245" s="73">
        <f t="shared" si="142"/>
        <v>179545.3637908856</v>
      </c>
      <c r="V245" s="76">
        <f t="shared" si="143"/>
        <v>0.17</v>
      </c>
      <c r="W245" s="73">
        <f t="shared" si="144"/>
        <v>0</v>
      </c>
      <c r="X245" s="73">
        <f>IF(B245&lt;&gt;"",IF(MONTH(E245)=MONTH($F$13),SUMIF($C$22:C627,"="&amp;(C245-1),$G$22:G627),0)*S245,"")</f>
        <v>0</v>
      </c>
      <c r="Y245" s="73">
        <f>IF(B245&lt;&gt;"",SUM($X$22:X245),"")</f>
        <v>20259.85200000001</v>
      </c>
      <c r="Z245" s="73">
        <f t="shared" si="156"/>
        <v>92.532951909820369</v>
      </c>
      <c r="AA245" s="73">
        <f t="shared" si="145"/>
        <v>17.581260862865872</v>
      </c>
      <c r="AB245" s="73">
        <f t="shared" si="146"/>
        <v>7574.9852639930705</v>
      </c>
      <c r="AC245" s="73">
        <f t="shared" si="147"/>
        <v>27834.837263993064</v>
      </c>
      <c r="AD245" s="73">
        <f>IFERROR($U245*(1-$V245)+SUM($W$22:$W245)+$AB245,"")</f>
        <v>176857.48921042812</v>
      </c>
      <c r="AE245" s="73" t="b">
        <f t="shared" si="148"/>
        <v>0</v>
      </c>
      <c r="AF245" s="73">
        <f>IF(AND(AE245=TRUE,D245&gt;=65),$U245*(1-10%)+SUM($W$22:$W245)+$AB245,AD245)</f>
        <v>176857.48921042812</v>
      </c>
      <c r="AG245" s="73">
        <f t="shared" si="131"/>
        <v>596.49622521888944</v>
      </c>
      <c r="AH245" s="73">
        <f t="shared" si="132"/>
        <v>60369.76379088578</v>
      </c>
      <c r="AI245" s="73">
        <f t="shared" si="133"/>
        <v>179545.36379088575</v>
      </c>
      <c r="AJ245" s="73">
        <f t="shared" si="134"/>
        <v>168075.10867061745</v>
      </c>
      <c r="AK245" s="73" t="b">
        <f t="shared" si="149"/>
        <v>0</v>
      </c>
      <c r="AL245" s="73">
        <f t="shared" si="135"/>
        <v>168075.10867061745</v>
      </c>
      <c r="AM245" s="73">
        <f t="shared" si="157"/>
        <v>550.21389689402884</v>
      </c>
      <c r="AN245" s="73">
        <f t="shared" si="150"/>
        <v>104.54064040986547</v>
      </c>
      <c r="AO245" s="73">
        <f t="shared" si="151"/>
        <v>46334.242324692881</v>
      </c>
      <c r="AP245" s="73">
        <f t="shared" si="152"/>
        <v>165509.84232469284</v>
      </c>
    </row>
    <row r="246" spans="1:42" s="31" customFormat="1" x14ac:dyDescent="0.6">
      <c r="A246" s="70">
        <f t="shared" si="136"/>
        <v>225</v>
      </c>
      <c r="B246" s="70" t="str">
        <f>IF(E246&lt;=$F$9,VLOOKUP(KALKULATOR!A246,Robocze!$B$23:$C$102,2),"")</f>
        <v>19 rok</v>
      </c>
      <c r="C246" s="70">
        <f t="shared" si="139"/>
        <v>2039</v>
      </c>
      <c r="D246" s="71">
        <f t="shared" si="153"/>
        <v>58.750000000000533</v>
      </c>
      <c r="E246" s="77">
        <f t="shared" si="154"/>
        <v>50983</v>
      </c>
      <c r="F246" s="72">
        <f t="shared" si="140"/>
        <v>51013</v>
      </c>
      <c r="G246" s="73">
        <f>IFERROR(IF(AND(F246&lt;=$F$9,$F$5=Robocze!$B$4,$E246&lt;=$F$9,MONTH($F$8)=MONTH(E246)),$F$4,0)+IF(AND(F246&lt;=$F$9,$F$5=Robocze!$B$3,E246&lt;=$F$9),KALKULATOR!$F$4/12,0),"")</f>
        <v>0</v>
      </c>
      <c r="H246" s="73">
        <f t="shared" si="141"/>
        <v>119175.59999999996</v>
      </c>
      <c r="I246" s="74">
        <f t="shared" si="137"/>
        <v>0.04</v>
      </c>
      <c r="J246" s="73">
        <f t="shared" si="123"/>
        <v>0</v>
      </c>
      <c r="K246" s="75" t="str">
        <f t="shared" si="124"/>
        <v/>
      </c>
      <c r="L246" s="73">
        <f t="shared" si="125"/>
        <v>119175.59999999996</v>
      </c>
      <c r="M246" s="73">
        <f t="shared" si="126"/>
        <v>177429.38544419568</v>
      </c>
      <c r="N246" s="73">
        <f t="shared" si="127"/>
        <v>177429.38544419568</v>
      </c>
      <c r="O246" s="73">
        <f t="shared" si="128"/>
        <v>168559.88115285285</v>
      </c>
      <c r="P246" s="73">
        <f t="shared" si="129"/>
        <v>168559.88115285285</v>
      </c>
      <c r="Q246" s="73">
        <f t="shared" si="130"/>
        <v>165956.71889896953</v>
      </c>
      <c r="R246" s="73"/>
      <c r="S246" s="76">
        <f t="shared" si="138"/>
        <v>0.17</v>
      </c>
      <c r="T246" s="73">
        <f t="shared" si="155"/>
        <v>598.48454596961869</v>
      </c>
      <c r="U246" s="73">
        <f t="shared" si="142"/>
        <v>180143.84833685521</v>
      </c>
      <c r="V246" s="76">
        <f t="shared" si="143"/>
        <v>0.17</v>
      </c>
      <c r="W246" s="73">
        <f t="shared" si="144"/>
        <v>0</v>
      </c>
      <c r="X246" s="73">
        <f>IF(B246&lt;&gt;"",IF(MONTH(E246)=MONTH($F$13),SUMIF($C$22:C628,"="&amp;(C246-1),$G$22:G628),0)*S246,"")</f>
        <v>0</v>
      </c>
      <c r="Y246" s="73">
        <f>IF(B246&lt;&gt;"",SUM($X$22:X246),"")</f>
        <v>20259.85200000001</v>
      </c>
      <c r="Z246" s="73">
        <f t="shared" si="156"/>
        <v>92.782790879976872</v>
      </c>
      <c r="AA246" s="73">
        <f t="shared" si="145"/>
        <v>17.628730267195607</v>
      </c>
      <c r="AB246" s="73">
        <f t="shared" si="146"/>
        <v>7650.1393246058524</v>
      </c>
      <c r="AC246" s="73">
        <f t="shared" si="147"/>
        <v>27909.991324605846</v>
      </c>
      <c r="AD246" s="73">
        <f>IFERROR($U246*(1-$V246)+SUM($W$22:$W246)+$AB246,"")</f>
        <v>177429.38544419568</v>
      </c>
      <c r="AE246" s="73" t="b">
        <f t="shared" si="148"/>
        <v>0</v>
      </c>
      <c r="AF246" s="73">
        <f>IF(AND(AE246=TRUE,D246&gt;=65),$U246*(1-10%)+SUM($W$22:$W246)+$AB246,AD246)</f>
        <v>177429.38544419568</v>
      </c>
      <c r="AG246" s="73">
        <f t="shared" si="131"/>
        <v>598.48454596961915</v>
      </c>
      <c r="AH246" s="73">
        <f t="shared" si="132"/>
        <v>60968.248336855402</v>
      </c>
      <c r="AI246" s="73">
        <f t="shared" si="133"/>
        <v>180143.84833685536</v>
      </c>
      <c r="AJ246" s="73">
        <f t="shared" si="134"/>
        <v>168559.88115285285</v>
      </c>
      <c r="AK246" s="73" t="b">
        <f t="shared" si="149"/>
        <v>0</v>
      </c>
      <c r="AL246" s="73">
        <f t="shared" si="135"/>
        <v>168559.88115285285</v>
      </c>
      <c r="AM246" s="73">
        <f t="shared" si="157"/>
        <v>551.69947441564284</v>
      </c>
      <c r="AN246" s="73">
        <f t="shared" si="150"/>
        <v>104.82290013897214</v>
      </c>
      <c r="AO246" s="73">
        <f t="shared" si="151"/>
        <v>46781.118898969566</v>
      </c>
      <c r="AP246" s="73">
        <f t="shared" si="152"/>
        <v>165956.71889896953</v>
      </c>
    </row>
    <row r="247" spans="1:42" s="31" customFormat="1" x14ac:dyDescent="0.6">
      <c r="A247" s="70">
        <f t="shared" si="136"/>
        <v>226</v>
      </c>
      <c r="B247" s="70" t="str">
        <f>IF(E247&lt;=$F$9,VLOOKUP(KALKULATOR!A247,Robocze!$B$23:$C$102,2),"")</f>
        <v>19 rok</v>
      </c>
      <c r="C247" s="70">
        <f t="shared" si="139"/>
        <v>2039</v>
      </c>
      <c r="D247" s="71">
        <f t="shared" si="153"/>
        <v>58.833333333333869</v>
      </c>
      <c r="E247" s="77">
        <f t="shared" si="154"/>
        <v>51014</v>
      </c>
      <c r="F247" s="72">
        <f t="shared" si="140"/>
        <v>51043</v>
      </c>
      <c r="G247" s="73">
        <f>IFERROR(IF(AND(F247&lt;=$F$9,$F$5=Robocze!$B$4,$E247&lt;=$F$9,MONTH($F$8)=MONTH(E247)),$F$4,0)+IF(AND(F247&lt;=$F$9,$F$5=Robocze!$B$3,E247&lt;=$F$9),KALKULATOR!$F$4/12,0),"")</f>
        <v>0</v>
      </c>
      <c r="H247" s="73">
        <f t="shared" si="141"/>
        <v>119175.59999999996</v>
      </c>
      <c r="I247" s="74">
        <f t="shared" si="137"/>
        <v>0.04</v>
      </c>
      <c r="J247" s="73">
        <f t="shared" si="123"/>
        <v>0</v>
      </c>
      <c r="K247" s="75" t="str">
        <f t="shared" si="124"/>
        <v/>
      </c>
      <c r="L247" s="73">
        <f t="shared" si="125"/>
        <v>119175.59999999996</v>
      </c>
      <c r="M247" s="73">
        <f t="shared" si="126"/>
        <v>178003.14040117073</v>
      </c>
      <c r="N247" s="73">
        <f t="shared" si="127"/>
        <v>178003.14040117073</v>
      </c>
      <c r="O247" s="73">
        <f t="shared" si="128"/>
        <v>169046.26954336234</v>
      </c>
      <c r="P247" s="73">
        <f t="shared" si="129"/>
        <v>169046.26954336234</v>
      </c>
      <c r="Q247" s="73">
        <f t="shared" si="130"/>
        <v>166404.80203999675</v>
      </c>
      <c r="R247" s="73"/>
      <c r="S247" s="76">
        <f t="shared" si="138"/>
        <v>0.17</v>
      </c>
      <c r="T247" s="73">
        <f t="shared" si="155"/>
        <v>600.47949445618406</v>
      </c>
      <c r="U247" s="73">
        <f t="shared" si="142"/>
        <v>180744.32783131138</v>
      </c>
      <c r="V247" s="76">
        <f t="shared" si="143"/>
        <v>0.17</v>
      </c>
      <c r="W247" s="73">
        <f t="shared" si="144"/>
        <v>0</v>
      </c>
      <c r="X247" s="73">
        <f>IF(B247&lt;&gt;"",IF(MONTH(E247)=MONTH($F$13),SUMIF($C$22:C629,"="&amp;(C247-1),$G$22:G629),0)*S247,"")</f>
        <v>0</v>
      </c>
      <c r="Y247" s="73">
        <f>IF(B247&lt;&gt;"",SUM($X$22:X247),"")</f>
        <v>20259.85200000001</v>
      </c>
      <c r="Z247" s="73">
        <f t="shared" si="156"/>
        <v>93.033304415352816</v>
      </c>
      <c r="AA247" s="73">
        <f t="shared" si="145"/>
        <v>17.676327838917036</v>
      </c>
      <c r="AB247" s="73">
        <f t="shared" si="146"/>
        <v>7725.4963011822883</v>
      </c>
      <c r="AC247" s="73">
        <f t="shared" si="147"/>
        <v>27985.348301182283</v>
      </c>
      <c r="AD247" s="73">
        <f>IFERROR($U247*(1-$V247)+SUM($W$22:$W247)+$AB247,"")</f>
        <v>178003.14040117073</v>
      </c>
      <c r="AE247" s="73" t="b">
        <f t="shared" si="148"/>
        <v>0</v>
      </c>
      <c r="AF247" s="73">
        <f>IF(AND(AE247=TRUE,D247&gt;=65),$U247*(1-10%)+SUM($W$22:$W247)+$AB247,AD247)</f>
        <v>178003.14040117073</v>
      </c>
      <c r="AG247" s="73">
        <f t="shared" si="131"/>
        <v>600.47949445618451</v>
      </c>
      <c r="AH247" s="73">
        <f t="shared" si="132"/>
        <v>61568.727831311589</v>
      </c>
      <c r="AI247" s="73">
        <f t="shared" si="133"/>
        <v>180744.32783131156</v>
      </c>
      <c r="AJ247" s="73">
        <f t="shared" si="134"/>
        <v>169046.26954336234</v>
      </c>
      <c r="AK247" s="73" t="b">
        <f t="shared" si="149"/>
        <v>0</v>
      </c>
      <c r="AL247" s="73">
        <f t="shared" si="135"/>
        <v>169046.26954336234</v>
      </c>
      <c r="AM247" s="73">
        <f t="shared" si="157"/>
        <v>553.1890629965651</v>
      </c>
      <c r="AN247" s="73">
        <f t="shared" si="150"/>
        <v>105.10592196934736</v>
      </c>
      <c r="AO247" s="73">
        <f t="shared" si="151"/>
        <v>47229.202039996788</v>
      </c>
      <c r="AP247" s="73">
        <f t="shared" si="152"/>
        <v>166404.80203999675</v>
      </c>
    </row>
    <row r="248" spans="1:42" s="31" customFormat="1" x14ac:dyDescent="0.6">
      <c r="A248" s="70">
        <f t="shared" si="136"/>
        <v>227</v>
      </c>
      <c r="B248" s="70" t="str">
        <f>IF(E248&lt;=$F$9,VLOOKUP(KALKULATOR!A248,Robocze!$B$23:$C$102,2),"")</f>
        <v>19 rok</v>
      </c>
      <c r="C248" s="70">
        <f t="shared" si="139"/>
        <v>2039</v>
      </c>
      <c r="D248" s="71">
        <f t="shared" si="153"/>
        <v>58.916666666667204</v>
      </c>
      <c r="E248" s="77">
        <f t="shared" si="154"/>
        <v>51044</v>
      </c>
      <c r="F248" s="72">
        <f t="shared" si="140"/>
        <v>51074</v>
      </c>
      <c r="G248" s="73">
        <f>IFERROR(IF(AND(F248&lt;=$F$9,$F$5=Robocze!$B$4,$E248&lt;=$F$9,MONTH($F$8)=MONTH(E248)),$F$4,0)+IF(AND(F248&lt;=$F$9,$F$5=Robocze!$B$3,E248&lt;=$F$9),KALKULATOR!$F$4/12,0),"")</f>
        <v>0</v>
      </c>
      <c r="H248" s="73">
        <f t="shared" si="141"/>
        <v>119175.59999999996</v>
      </c>
      <c r="I248" s="74">
        <f t="shared" si="137"/>
        <v>0.04</v>
      </c>
      <c r="J248" s="73">
        <f t="shared" si="123"/>
        <v>0</v>
      </c>
      <c r="K248" s="75" t="str">
        <f t="shared" si="124"/>
        <v/>
      </c>
      <c r="L248" s="73">
        <f t="shared" si="125"/>
        <v>119175.59999999996</v>
      </c>
      <c r="M248" s="73">
        <f t="shared" si="126"/>
        <v>178578.76014858391</v>
      </c>
      <c r="N248" s="73">
        <f t="shared" si="127"/>
        <v>178578.76014858391</v>
      </c>
      <c r="O248" s="73">
        <f t="shared" si="128"/>
        <v>169534.27922850687</v>
      </c>
      <c r="P248" s="73">
        <f t="shared" si="129"/>
        <v>169534.27922850687</v>
      </c>
      <c r="Q248" s="73">
        <f t="shared" si="130"/>
        <v>166854.09500550473</v>
      </c>
      <c r="R248" s="73"/>
      <c r="S248" s="76">
        <f t="shared" si="138"/>
        <v>0.17</v>
      </c>
      <c r="T248" s="73">
        <f t="shared" si="155"/>
        <v>602.48109277103799</v>
      </c>
      <c r="U248" s="73">
        <f t="shared" si="142"/>
        <v>181346.80892408243</v>
      </c>
      <c r="V248" s="76">
        <f t="shared" si="143"/>
        <v>0.17</v>
      </c>
      <c r="W248" s="73">
        <f t="shared" si="144"/>
        <v>0</v>
      </c>
      <c r="X248" s="73">
        <f>IF(B248&lt;&gt;"",IF(MONTH(E248)=MONTH($F$13),SUMIF($C$22:C630,"="&amp;(C248-1),$G$22:G630),0)*S248,"")</f>
        <v>0</v>
      </c>
      <c r="Y248" s="73">
        <f>IF(B248&lt;&gt;"",SUM($X$22:X248),"")</f>
        <v>20259.85200000001</v>
      </c>
      <c r="Z248" s="73">
        <f t="shared" si="156"/>
        <v>93.284494337274282</v>
      </c>
      <c r="AA248" s="73">
        <f t="shared" si="145"/>
        <v>17.724053924082114</v>
      </c>
      <c r="AB248" s="73">
        <f t="shared" si="146"/>
        <v>7801.0567415954802</v>
      </c>
      <c r="AC248" s="73">
        <f t="shared" si="147"/>
        <v>28060.908741595475</v>
      </c>
      <c r="AD248" s="73">
        <f>IFERROR($U248*(1-$V248)+SUM($W$22:$W248)+$AB248,"")</f>
        <v>178578.76014858391</v>
      </c>
      <c r="AE248" s="73" t="b">
        <f t="shared" si="148"/>
        <v>0</v>
      </c>
      <c r="AF248" s="73">
        <f>IF(AND(AE248=TRUE,D248&gt;=65),$U248*(1-10%)+SUM($W$22:$W248)+$AB248,AD248)</f>
        <v>178578.76014858391</v>
      </c>
      <c r="AG248" s="73">
        <f t="shared" si="131"/>
        <v>602.48109277103856</v>
      </c>
      <c r="AH248" s="73">
        <f t="shared" si="132"/>
        <v>62171.208924082624</v>
      </c>
      <c r="AI248" s="73">
        <f t="shared" si="133"/>
        <v>181346.80892408258</v>
      </c>
      <c r="AJ248" s="73">
        <f t="shared" si="134"/>
        <v>169534.27922850687</v>
      </c>
      <c r="AK248" s="73" t="b">
        <f t="shared" si="149"/>
        <v>0</v>
      </c>
      <c r="AL248" s="73">
        <f t="shared" si="135"/>
        <v>169534.27922850687</v>
      </c>
      <c r="AM248" s="73">
        <f t="shared" si="157"/>
        <v>554.68267346665584</v>
      </c>
      <c r="AN248" s="73">
        <f t="shared" si="150"/>
        <v>105.38970795866462</v>
      </c>
      <c r="AO248" s="73">
        <f t="shared" si="151"/>
        <v>47678.495005504767</v>
      </c>
      <c r="AP248" s="73">
        <f t="shared" si="152"/>
        <v>166854.09500550473</v>
      </c>
    </row>
    <row r="249" spans="1:42" s="69" customFormat="1" x14ac:dyDescent="0.6">
      <c r="A249" s="78">
        <f t="shared" si="136"/>
        <v>228</v>
      </c>
      <c r="B249" s="78" t="str">
        <f>IF(E249&lt;=$F$9,VLOOKUP(KALKULATOR!A249,Robocze!$B$23:$C$102,2),"")</f>
        <v>19 rok</v>
      </c>
      <c r="C249" s="78">
        <f t="shared" si="139"/>
        <v>2039</v>
      </c>
      <c r="D249" s="79">
        <f t="shared" si="153"/>
        <v>59.00000000000054</v>
      </c>
      <c r="E249" s="80">
        <f t="shared" si="154"/>
        <v>51075</v>
      </c>
      <c r="F249" s="81">
        <f t="shared" si="140"/>
        <v>51104</v>
      </c>
      <c r="G249" s="82">
        <f>IFERROR(IF(AND(F249&lt;=$F$9,$F$5=Robocze!$B$4,$E249&lt;=$F$9,MONTH($F$8)=MONTH(E249)),$F$4,0)+IF(AND(F249&lt;=$F$9,$F$5=Robocze!$B$3,E249&lt;=$F$9),KALKULATOR!$F$4/12,0),"")</f>
        <v>0</v>
      </c>
      <c r="H249" s="82">
        <f t="shared" si="141"/>
        <v>119175.59999999996</v>
      </c>
      <c r="I249" s="83">
        <f t="shared" si="137"/>
        <v>0.04</v>
      </c>
      <c r="J249" s="82">
        <f t="shared" si="123"/>
        <v>0</v>
      </c>
      <c r="K249" s="84">
        <f t="shared" si="124"/>
        <v>19</v>
      </c>
      <c r="L249" s="82">
        <f t="shared" si="125"/>
        <v>119175.59999999996</v>
      </c>
      <c r="M249" s="82">
        <f t="shared" si="126"/>
        <v>179156.25077354282</v>
      </c>
      <c r="N249" s="82">
        <f t="shared" si="127"/>
        <v>179156.25077354282</v>
      </c>
      <c r="O249" s="82">
        <f t="shared" si="128"/>
        <v>170023.91561260191</v>
      </c>
      <c r="P249" s="82">
        <f t="shared" si="129"/>
        <v>170023.91561260191</v>
      </c>
      <c r="Q249" s="82">
        <f t="shared" si="130"/>
        <v>167304.60106201962</v>
      </c>
      <c r="R249" s="82"/>
      <c r="S249" s="85">
        <f t="shared" si="138"/>
        <v>0.17</v>
      </c>
      <c r="T249" s="82">
        <f t="shared" si="155"/>
        <v>604.48936308027487</v>
      </c>
      <c r="U249" s="82">
        <f t="shared" si="142"/>
        <v>181951.2982871627</v>
      </c>
      <c r="V249" s="85">
        <f t="shared" si="143"/>
        <v>0.17</v>
      </c>
      <c r="W249" s="82">
        <f t="shared" si="144"/>
        <v>0</v>
      </c>
      <c r="X249" s="82">
        <f>IF(B249&lt;&gt;"",IF(MONTH(E249)=MONTH($F$13),SUMIF($C$22:C631,"="&amp;(C249-1),$G$22:G631),0)*S249,"")</f>
        <v>0</v>
      </c>
      <c r="Y249" s="82">
        <f>IF(B249&lt;&gt;"",SUM($X$22:X249),"")</f>
        <v>20259.85200000001</v>
      </c>
      <c r="Z249" s="82">
        <f t="shared" si="156"/>
        <v>93.53636247198493</v>
      </c>
      <c r="AA249" s="82">
        <f t="shared" si="145"/>
        <v>17.771908869677137</v>
      </c>
      <c r="AB249" s="82">
        <f t="shared" si="146"/>
        <v>7876.8211951977883</v>
      </c>
      <c r="AC249" s="82">
        <f t="shared" si="147"/>
        <v>28136.673195197785</v>
      </c>
      <c r="AD249" s="82">
        <f>IFERROR($U249*(1-$V249)+SUM($W$22:$W249)+$AB249,"")</f>
        <v>179156.25077354282</v>
      </c>
      <c r="AE249" s="73" t="b">
        <f t="shared" si="148"/>
        <v>0</v>
      </c>
      <c r="AF249" s="82">
        <f>IF(AND(AE249=TRUE,D249&gt;=65),$U249*(1-10%)+SUM($W$22:$W249)+$AB249,AD249)</f>
        <v>179156.25077354282</v>
      </c>
      <c r="AG249" s="82">
        <f t="shared" si="131"/>
        <v>604.48936308027521</v>
      </c>
      <c r="AH249" s="82">
        <f t="shared" si="132"/>
        <v>62775.698287162901</v>
      </c>
      <c r="AI249" s="82">
        <f t="shared" si="133"/>
        <v>181951.29828716285</v>
      </c>
      <c r="AJ249" s="82">
        <f t="shared" si="134"/>
        <v>170023.91561260191</v>
      </c>
      <c r="AK249" s="73" t="b">
        <f t="shared" si="149"/>
        <v>0</v>
      </c>
      <c r="AL249" s="82">
        <f t="shared" si="135"/>
        <v>170023.91561260191</v>
      </c>
      <c r="AM249" s="82">
        <f t="shared" si="157"/>
        <v>556.18031668501578</v>
      </c>
      <c r="AN249" s="82">
        <f t="shared" si="150"/>
        <v>105.674260170153</v>
      </c>
      <c r="AO249" s="82">
        <f t="shared" si="151"/>
        <v>48129.001062019655</v>
      </c>
      <c r="AP249" s="82">
        <f t="shared" si="152"/>
        <v>167304.60106201962</v>
      </c>
    </row>
    <row r="250" spans="1:42" s="31" customFormat="1" x14ac:dyDescent="0.6">
      <c r="A250" s="70">
        <f t="shared" si="136"/>
        <v>229</v>
      </c>
      <c r="B250" s="70" t="str">
        <f>IF(E250&lt;=$F$9,VLOOKUP(KALKULATOR!A250,Robocze!$B$23:$C$102,2),"")</f>
        <v>20 rok</v>
      </c>
      <c r="C250" s="70">
        <f t="shared" si="139"/>
        <v>2039</v>
      </c>
      <c r="D250" s="71">
        <f t="shared" si="153"/>
        <v>59.083333333333876</v>
      </c>
      <c r="E250" s="72">
        <f t="shared" si="154"/>
        <v>51105</v>
      </c>
      <c r="F250" s="72">
        <f t="shared" si="140"/>
        <v>51135</v>
      </c>
      <c r="G250" s="73">
        <f>IFERROR(IF(AND(F250&lt;=$F$9,$F$5=Robocze!$B$4,$E250&lt;=$F$9,MONTH($F$8)=MONTH(E250)),$F$4,0)+IF(AND(F250&lt;=$F$9,$F$5=Robocze!$B$3,E250&lt;=$F$9),KALKULATOR!$F$4/12,0),"")</f>
        <v>6272.4</v>
      </c>
      <c r="H250" s="73">
        <f t="shared" si="141"/>
        <v>125447.99999999996</v>
      </c>
      <c r="I250" s="74">
        <f t="shared" si="137"/>
        <v>0.04</v>
      </c>
      <c r="J250" s="73">
        <f t="shared" si="123"/>
        <v>0</v>
      </c>
      <c r="K250" s="75" t="str">
        <f t="shared" si="124"/>
        <v/>
      </c>
      <c r="L250" s="73">
        <f t="shared" si="125"/>
        <v>125447.99999999996</v>
      </c>
      <c r="M250" s="73">
        <f t="shared" si="126"/>
        <v>186025.37202309768</v>
      </c>
      <c r="N250" s="73">
        <f t="shared" si="127"/>
        <v>186025.37202309768</v>
      </c>
      <c r="O250" s="73">
        <f t="shared" si="128"/>
        <v>176804.51959797725</v>
      </c>
      <c r="P250" s="73">
        <f t="shared" si="129"/>
        <v>176804.51959797725</v>
      </c>
      <c r="Q250" s="73">
        <f t="shared" si="130"/>
        <v>174045.65896488706</v>
      </c>
      <c r="R250" s="73"/>
      <c r="S250" s="76">
        <f t="shared" si="138"/>
        <v>0.17</v>
      </c>
      <c r="T250" s="73">
        <f t="shared" si="155"/>
        <v>627.41232762387574</v>
      </c>
      <c r="U250" s="73">
        <f t="shared" si="142"/>
        <v>188851.11061478656</v>
      </c>
      <c r="V250" s="76">
        <f t="shared" si="143"/>
        <v>0.17</v>
      </c>
      <c r="W250" s="73">
        <f t="shared" si="144"/>
        <v>1066.308</v>
      </c>
      <c r="X250" s="73">
        <f>IF(B250&lt;&gt;"",IF(MONTH(E250)=MONTH($F$13),SUMIF($C$22:C632,"="&amp;(C250-1),$G$22:G632),0)*S250,"")</f>
        <v>0</v>
      </c>
      <c r="Y250" s="73">
        <f>IF(B250&lt;&gt;"",SUM($X$22:X250),"")</f>
        <v>20259.85200000001</v>
      </c>
      <c r="Z250" s="73">
        <f t="shared" si="156"/>
        <v>93.788910650659275</v>
      </c>
      <c r="AA250" s="73">
        <f t="shared" si="145"/>
        <v>17.819893023625262</v>
      </c>
      <c r="AB250" s="73">
        <f t="shared" si="146"/>
        <v>7952.7902128248224</v>
      </c>
      <c r="AC250" s="73">
        <f t="shared" si="147"/>
        <v>28212.64221282482</v>
      </c>
      <c r="AD250" s="73">
        <f>IFERROR($U250*(1-$V250)+SUM($W$22:$W250)+$AB250,"")</f>
        <v>186025.37202309768</v>
      </c>
      <c r="AE250" s="73" t="b">
        <f t="shared" si="148"/>
        <v>0</v>
      </c>
      <c r="AF250" s="73">
        <f>IF(AND(AE250=TRUE,D250&gt;=65),$U250*(1-10%)+SUM($W$22:$W250)+$AB250,AD250)</f>
        <v>186025.37202309768</v>
      </c>
      <c r="AG250" s="73">
        <f t="shared" si="131"/>
        <v>627.41232762387619</v>
      </c>
      <c r="AH250" s="73">
        <f t="shared" si="132"/>
        <v>63403.110614786776</v>
      </c>
      <c r="AI250" s="73">
        <f t="shared" si="133"/>
        <v>188851.11061478674</v>
      </c>
      <c r="AJ250" s="73">
        <f t="shared" si="134"/>
        <v>176804.51959797725</v>
      </c>
      <c r="AK250" s="73" t="b">
        <f t="shared" si="149"/>
        <v>0</v>
      </c>
      <c r="AL250" s="73">
        <f t="shared" si="135"/>
        <v>176804.51959797725</v>
      </c>
      <c r="AM250" s="73">
        <f t="shared" si="157"/>
        <v>578.59000354006537</v>
      </c>
      <c r="AN250" s="73">
        <f t="shared" si="150"/>
        <v>109.93210067261242</v>
      </c>
      <c r="AO250" s="73">
        <f t="shared" si="151"/>
        <v>48597.658964887101</v>
      </c>
      <c r="AP250" s="73">
        <f t="shared" si="152"/>
        <v>174045.65896488706</v>
      </c>
    </row>
    <row r="251" spans="1:42" s="31" customFormat="1" x14ac:dyDescent="0.6">
      <c r="A251" s="70">
        <f t="shared" si="136"/>
        <v>230</v>
      </c>
      <c r="B251" s="70" t="str">
        <f>IF(E251&lt;=$F$9,VLOOKUP(KALKULATOR!A251,Robocze!$B$23:$C$102,2),"")</f>
        <v>20 rok</v>
      </c>
      <c r="C251" s="70">
        <f t="shared" si="139"/>
        <v>2040</v>
      </c>
      <c r="D251" s="71">
        <f t="shared" si="153"/>
        <v>59.166666666667211</v>
      </c>
      <c r="E251" s="77">
        <f t="shared" si="154"/>
        <v>51136</v>
      </c>
      <c r="F251" s="72">
        <f t="shared" si="140"/>
        <v>51166</v>
      </c>
      <c r="G251" s="73">
        <f>IFERROR(IF(AND(F251&lt;=$F$9,$F$5=Robocze!$B$4,$E251&lt;=$F$9,MONTH($F$8)=MONTH(E251)),$F$4,0)+IF(AND(F251&lt;=$F$9,$F$5=Robocze!$B$3,E251&lt;=$F$9),KALKULATOR!$F$4/12,0),"")</f>
        <v>0</v>
      </c>
      <c r="H251" s="73">
        <f t="shared" si="141"/>
        <v>125447.99999999996</v>
      </c>
      <c r="I251" s="74">
        <f t="shared" si="137"/>
        <v>0.04</v>
      </c>
      <c r="J251" s="73">
        <f t="shared" ref="J251:J314" si="158">IFERROR(IF(MONTH($F$8)=MONTH(E251),$F$15,0),"")</f>
        <v>0</v>
      </c>
      <c r="K251" s="75" t="str">
        <f t="shared" ref="K251:K314" si="159">IFERROR(IF(AND(MOD(A251,12)=0,A251&lt;&gt;""),A251/12,""),"")</f>
        <v/>
      </c>
      <c r="L251" s="73">
        <f t="shared" ref="L251:L314" si="160">H251</f>
        <v>125447.99999999996</v>
      </c>
      <c r="M251" s="73">
        <f t="shared" ref="M251:M314" si="161">IFERROR(AF251,"")</f>
        <v>186624.03422977321</v>
      </c>
      <c r="N251" s="73">
        <f t="shared" ref="N251:N314" si="162">IFERROR(AD251,"")</f>
        <v>186624.03422977321</v>
      </c>
      <c r="O251" s="73">
        <f t="shared" ref="O251:O314" si="163">IFERROR(AL251,"")</f>
        <v>177314.41759663718</v>
      </c>
      <c r="P251" s="73">
        <f t="shared" ref="P251:P314" si="164">AJ251</f>
        <v>177314.41759663718</v>
      </c>
      <c r="Q251" s="73">
        <f t="shared" ref="Q251:Q314" si="165">AP251</f>
        <v>174515.58224409228</v>
      </c>
      <c r="R251" s="73"/>
      <c r="S251" s="76">
        <f t="shared" si="138"/>
        <v>0.17</v>
      </c>
      <c r="T251" s="73">
        <f t="shared" si="155"/>
        <v>629.50370204928856</v>
      </c>
      <c r="U251" s="73">
        <f t="shared" si="142"/>
        <v>189480.61431683585</v>
      </c>
      <c r="V251" s="76">
        <f t="shared" si="143"/>
        <v>0.17</v>
      </c>
      <c r="W251" s="73">
        <f t="shared" si="144"/>
        <v>0</v>
      </c>
      <c r="X251" s="73">
        <f>IF(B251&lt;&gt;"",IF(MONTH(E251)=MONTH($F$13),SUMIF($C$22:C633,"="&amp;(C251-1),$G$22:G633),0)*S251,"")</f>
        <v>0</v>
      </c>
      <c r="Y251" s="73">
        <f>IF(B251&lt;&gt;"",SUM($X$22:X251),"")</f>
        <v>20259.85200000001</v>
      </c>
      <c r="Z251" s="73">
        <f t="shared" si="156"/>
        <v>94.04214070941606</v>
      </c>
      <c r="AA251" s="73">
        <f t="shared" si="145"/>
        <v>17.868006734789052</v>
      </c>
      <c r="AB251" s="73">
        <f t="shared" si="146"/>
        <v>8028.9643467994501</v>
      </c>
      <c r="AC251" s="73">
        <f t="shared" si="147"/>
        <v>28288.816346799445</v>
      </c>
      <c r="AD251" s="73">
        <f>IFERROR($U251*(1-$V251)+SUM($W$22:$W251)+$AB251,"")</f>
        <v>186624.03422977321</v>
      </c>
      <c r="AE251" s="73" t="b">
        <f t="shared" si="148"/>
        <v>0</v>
      </c>
      <c r="AF251" s="73">
        <f>IF(AND(AE251=TRUE,D251&gt;=65),$U251*(1-10%)+SUM($W$22:$W251)+$AB251,AD251)</f>
        <v>186624.03422977321</v>
      </c>
      <c r="AG251" s="73">
        <f t="shared" ref="AG251:AG314" si="166">IF(B251&lt;&gt;"",(AI250+G251)*I251/12-J251,"")</f>
        <v>629.50370204928913</v>
      </c>
      <c r="AH251" s="73">
        <f t="shared" ref="AH251:AH314" si="167">IF(B251&lt;&gt;"",AH250+AG251,"")</f>
        <v>64032.614316836065</v>
      </c>
      <c r="AI251" s="73">
        <f t="shared" ref="AI251:AI314" si="168">IF(B251&lt;&gt;"",H251+AH251,"")</f>
        <v>189480.61431683603</v>
      </c>
      <c r="AJ251" s="73">
        <f t="shared" ref="AJ251:AJ314" si="169">IF(B251&lt;&gt;"",IF(AI251&gt;H251,AI251-AH251*$F$14,AI251),"")</f>
        <v>177314.41759663718</v>
      </c>
      <c r="AK251" s="73" t="b">
        <f t="shared" si="149"/>
        <v>0</v>
      </c>
      <c r="AL251" s="73">
        <f t="shared" ref="AL251:AL314" si="170">IF(AK251=TRUE,AI251,AJ251)</f>
        <v>177314.41759663718</v>
      </c>
      <c r="AM251" s="73">
        <f t="shared" si="157"/>
        <v>580.15219654962357</v>
      </c>
      <c r="AN251" s="73">
        <f t="shared" si="150"/>
        <v>110.22891734442848</v>
      </c>
      <c r="AO251" s="73">
        <f t="shared" si="151"/>
        <v>49067.582244092322</v>
      </c>
      <c r="AP251" s="73">
        <f t="shared" si="152"/>
        <v>174515.58224409228</v>
      </c>
    </row>
    <row r="252" spans="1:42" s="31" customFormat="1" x14ac:dyDescent="0.6">
      <c r="A252" s="70">
        <f t="shared" si="136"/>
        <v>231</v>
      </c>
      <c r="B252" s="70" t="str">
        <f>IF(E252&lt;=$F$9,VLOOKUP(KALKULATOR!A252,Robocze!$B$23:$C$102,2),"")</f>
        <v>20 rok</v>
      </c>
      <c r="C252" s="70">
        <f t="shared" si="139"/>
        <v>2040</v>
      </c>
      <c r="D252" s="71">
        <f t="shared" si="153"/>
        <v>59.250000000000547</v>
      </c>
      <c r="E252" s="77">
        <f t="shared" si="154"/>
        <v>51167</v>
      </c>
      <c r="F252" s="72">
        <f t="shared" si="140"/>
        <v>51195</v>
      </c>
      <c r="G252" s="73">
        <f>IFERROR(IF(AND(F252&lt;=$F$9,$F$5=Robocze!$B$4,$E252&lt;=$F$9,MONTH($F$8)=MONTH(E252)),$F$4,0)+IF(AND(F252&lt;=$F$9,$F$5=Robocze!$B$3,E252&lt;=$F$9),KALKULATOR!$F$4/12,0),"")</f>
        <v>0</v>
      </c>
      <c r="H252" s="73">
        <f t="shared" si="141"/>
        <v>125447.99999999996</v>
      </c>
      <c r="I252" s="74">
        <f t="shared" si="137"/>
        <v>0.04</v>
      </c>
      <c r="J252" s="73">
        <f t="shared" si="158"/>
        <v>0</v>
      </c>
      <c r="K252" s="75" t="str">
        <f t="shared" si="159"/>
        <v/>
      </c>
      <c r="L252" s="73">
        <f t="shared" si="160"/>
        <v>125447.99999999996</v>
      </c>
      <c r="M252" s="73">
        <f t="shared" si="161"/>
        <v>187224.64373351945</v>
      </c>
      <c r="N252" s="73">
        <f t="shared" si="162"/>
        <v>187224.64373351945</v>
      </c>
      <c r="O252" s="73">
        <f t="shared" si="163"/>
        <v>177826.01525529264</v>
      </c>
      <c r="P252" s="73">
        <f t="shared" si="164"/>
        <v>177826.01525529264</v>
      </c>
      <c r="Q252" s="73">
        <f t="shared" si="165"/>
        <v>174986.77431615134</v>
      </c>
      <c r="R252" s="73"/>
      <c r="S252" s="76">
        <f t="shared" si="138"/>
        <v>0.17</v>
      </c>
      <c r="T252" s="73">
        <f t="shared" si="155"/>
        <v>631.60204772278621</v>
      </c>
      <c r="U252" s="73">
        <f t="shared" si="142"/>
        <v>190112.21636455864</v>
      </c>
      <c r="V252" s="76">
        <f t="shared" si="143"/>
        <v>0.17</v>
      </c>
      <c r="W252" s="73">
        <f t="shared" si="144"/>
        <v>0</v>
      </c>
      <c r="X252" s="73">
        <f>IF(B252&lt;&gt;"",IF(MONTH(E252)=MONTH($F$13),SUMIF($C$22:C634,"="&amp;(C252-1),$G$22:G634),0)*S252,"")</f>
        <v>0</v>
      </c>
      <c r="Y252" s="73">
        <f>IF(B252&lt;&gt;"",SUM($X$22:X252),"")</f>
        <v>20259.85200000001</v>
      </c>
      <c r="Z252" s="73">
        <f t="shared" si="156"/>
        <v>94.296054489331482</v>
      </c>
      <c r="AA252" s="73">
        <f t="shared" si="145"/>
        <v>17.91625035297298</v>
      </c>
      <c r="AB252" s="73">
        <f t="shared" si="146"/>
        <v>8105.3441509358081</v>
      </c>
      <c r="AC252" s="73">
        <f t="shared" si="147"/>
        <v>28365.196150935804</v>
      </c>
      <c r="AD252" s="73">
        <f>IFERROR($U252*(1-$V252)+SUM($W$22:$W252)+$AB252,"")</f>
        <v>187224.64373351945</v>
      </c>
      <c r="AE252" s="73" t="b">
        <f t="shared" si="148"/>
        <v>0</v>
      </c>
      <c r="AF252" s="73">
        <f>IF(AND(AE252=TRUE,D252&gt;=65),$U252*(1-10%)+SUM($W$22:$W252)+$AB252,AD252)</f>
        <v>187224.64373351945</v>
      </c>
      <c r="AG252" s="73">
        <f t="shared" si="166"/>
        <v>631.60204772278678</v>
      </c>
      <c r="AH252" s="73">
        <f t="shared" si="167"/>
        <v>64664.216364558852</v>
      </c>
      <c r="AI252" s="73">
        <f t="shared" si="168"/>
        <v>190112.21636455882</v>
      </c>
      <c r="AJ252" s="73">
        <f t="shared" si="169"/>
        <v>177826.01525529264</v>
      </c>
      <c r="AK252" s="73" t="b">
        <f t="shared" si="149"/>
        <v>0</v>
      </c>
      <c r="AL252" s="73">
        <f t="shared" si="170"/>
        <v>177826.01525529264</v>
      </c>
      <c r="AM252" s="73">
        <f t="shared" si="157"/>
        <v>581.71860748030758</v>
      </c>
      <c r="AN252" s="73">
        <f t="shared" si="150"/>
        <v>110.52653542125844</v>
      </c>
      <c r="AO252" s="73">
        <f t="shared" si="151"/>
        <v>49538.774316151379</v>
      </c>
      <c r="AP252" s="73">
        <f t="shared" si="152"/>
        <v>174986.77431615134</v>
      </c>
    </row>
    <row r="253" spans="1:42" s="31" customFormat="1" x14ac:dyDescent="0.6">
      <c r="A253" s="70">
        <f t="shared" si="136"/>
        <v>232</v>
      </c>
      <c r="B253" s="70" t="str">
        <f>IF(E253&lt;=$F$9,VLOOKUP(KALKULATOR!A253,Robocze!$B$23:$C$102,2),"")</f>
        <v>20 rok</v>
      </c>
      <c r="C253" s="70">
        <f t="shared" si="139"/>
        <v>2040</v>
      </c>
      <c r="D253" s="71">
        <f t="shared" si="153"/>
        <v>59.333333333333883</v>
      </c>
      <c r="E253" s="77">
        <f t="shared" si="154"/>
        <v>51196</v>
      </c>
      <c r="F253" s="72">
        <f t="shared" si="140"/>
        <v>51226</v>
      </c>
      <c r="G253" s="73">
        <f>IFERROR(IF(AND(F253&lt;=$F$9,$F$5=Robocze!$B$4,$E253&lt;=$F$9,MONTH($F$8)=MONTH(E253)),$F$4,0)+IF(AND(F253&lt;=$F$9,$F$5=Robocze!$B$3,E253&lt;=$F$9),KALKULATOR!$F$4/12,0),"")</f>
        <v>0</v>
      </c>
      <c r="H253" s="73">
        <f t="shared" si="141"/>
        <v>125447.99999999996</v>
      </c>
      <c r="I253" s="74">
        <f t="shared" si="137"/>
        <v>0.04</v>
      </c>
      <c r="J253" s="73">
        <f t="shared" si="158"/>
        <v>0</v>
      </c>
      <c r="K253" s="75" t="str">
        <f t="shared" si="159"/>
        <v/>
      </c>
      <c r="L253" s="73">
        <f t="shared" si="160"/>
        <v>125447.99999999996</v>
      </c>
      <c r="M253" s="73">
        <f t="shared" si="161"/>
        <v>187827.20689506893</v>
      </c>
      <c r="N253" s="73">
        <f t="shared" si="162"/>
        <v>187827.20689506893</v>
      </c>
      <c r="O253" s="73">
        <f t="shared" si="163"/>
        <v>178339.31823947694</v>
      </c>
      <c r="P253" s="73">
        <f t="shared" si="164"/>
        <v>178339.31823947694</v>
      </c>
      <c r="Q253" s="73">
        <f t="shared" si="165"/>
        <v>175459.23860680495</v>
      </c>
      <c r="R253" s="73"/>
      <c r="S253" s="76">
        <f t="shared" si="138"/>
        <v>0.17</v>
      </c>
      <c r="T253" s="73">
        <f t="shared" si="155"/>
        <v>633.70738788186213</v>
      </c>
      <c r="U253" s="73">
        <f t="shared" si="142"/>
        <v>190745.92375244049</v>
      </c>
      <c r="V253" s="76">
        <f t="shared" si="143"/>
        <v>0.17</v>
      </c>
      <c r="W253" s="73">
        <f t="shared" si="144"/>
        <v>0</v>
      </c>
      <c r="X253" s="73">
        <f>IF(B253&lt;&gt;"",IF(MONTH(E253)=MONTH($F$13),SUMIF($C$22:C635,"="&amp;(C253-1),$G$22:G635),0)*S253,"")</f>
        <v>0</v>
      </c>
      <c r="Y253" s="73">
        <f>IF(B253&lt;&gt;"",SUM($X$22:X253),"")</f>
        <v>20259.85200000001</v>
      </c>
      <c r="Z253" s="73">
        <f t="shared" si="156"/>
        <v>94.550653836452682</v>
      </c>
      <c r="AA253" s="73">
        <f t="shared" si="145"/>
        <v>17.964624228926009</v>
      </c>
      <c r="AB253" s="73">
        <f t="shared" si="146"/>
        <v>8181.9301805433342</v>
      </c>
      <c r="AC253" s="73">
        <f t="shared" si="147"/>
        <v>28441.78218054333</v>
      </c>
      <c r="AD253" s="73">
        <f>IFERROR($U253*(1-$V253)+SUM($W$22:$W253)+$AB253,"")</f>
        <v>187827.20689506893</v>
      </c>
      <c r="AE253" s="73" t="b">
        <f t="shared" si="148"/>
        <v>0</v>
      </c>
      <c r="AF253" s="73">
        <f>IF(AND(AE253=TRUE,D253&gt;=65),$U253*(1-10%)+SUM($W$22:$W253)+$AB253,AD253)</f>
        <v>187827.20689506893</v>
      </c>
      <c r="AG253" s="73">
        <f t="shared" si="166"/>
        <v>633.7073878818627</v>
      </c>
      <c r="AH253" s="73">
        <f t="shared" si="167"/>
        <v>65297.923752440714</v>
      </c>
      <c r="AI253" s="73">
        <f t="shared" si="168"/>
        <v>190745.92375244066</v>
      </c>
      <c r="AJ253" s="73">
        <f t="shared" si="169"/>
        <v>178339.31823947694</v>
      </c>
      <c r="AK253" s="73" t="b">
        <f t="shared" si="149"/>
        <v>0</v>
      </c>
      <c r="AL253" s="73">
        <f t="shared" si="170"/>
        <v>178339.31823947694</v>
      </c>
      <c r="AM253" s="73">
        <f t="shared" si="157"/>
        <v>583.28924772050448</v>
      </c>
      <c r="AN253" s="73">
        <f t="shared" si="150"/>
        <v>110.82495706689585</v>
      </c>
      <c r="AO253" s="73">
        <f t="shared" si="151"/>
        <v>50011.238606804996</v>
      </c>
      <c r="AP253" s="73">
        <f t="shared" si="152"/>
        <v>175459.23860680495</v>
      </c>
    </row>
    <row r="254" spans="1:42" s="31" customFormat="1" x14ac:dyDescent="0.6">
      <c r="A254" s="70">
        <f t="shared" si="136"/>
        <v>233</v>
      </c>
      <c r="B254" s="70" t="str">
        <f>IF(E254&lt;=$F$9,VLOOKUP(KALKULATOR!A254,Robocze!$B$23:$C$102,2),"")</f>
        <v>20 rok</v>
      </c>
      <c r="C254" s="70">
        <f t="shared" si="139"/>
        <v>2040</v>
      </c>
      <c r="D254" s="71">
        <f t="shared" si="153"/>
        <v>59.416666666667219</v>
      </c>
      <c r="E254" s="77">
        <f t="shared" si="154"/>
        <v>51227</v>
      </c>
      <c r="F254" s="72">
        <f t="shared" si="140"/>
        <v>51256</v>
      </c>
      <c r="G254" s="73">
        <f>IFERROR(IF(AND(F254&lt;=$F$9,$F$5=Robocze!$B$4,$E254&lt;=$F$9,MONTH($F$8)=MONTH(E254)),$F$4,0)+IF(AND(F254&lt;=$F$9,$F$5=Robocze!$B$3,E254&lt;=$F$9),KALKULATOR!$F$4/12,0),"")</f>
        <v>0</v>
      </c>
      <c r="H254" s="73">
        <f t="shared" si="141"/>
        <v>125447.99999999996</v>
      </c>
      <c r="I254" s="74">
        <f t="shared" si="137"/>
        <v>0.04</v>
      </c>
      <c r="J254" s="73">
        <f t="shared" si="158"/>
        <v>0</v>
      </c>
      <c r="K254" s="75" t="str">
        <f t="shared" si="159"/>
        <v/>
      </c>
      <c r="L254" s="73">
        <f t="shared" si="160"/>
        <v>125447.99999999996</v>
      </c>
      <c r="M254" s="73">
        <f t="shared" si="161"/>
        <v>188434.60912760484</v>
      </c>
      <c r="N254" s="73">
        <f t="shared" si="162"/>
        <v>188434.60912760484</v>
      </c>
      <c r="O254" s="73">
        <f t="shared" si="163"/>
        <v>178854.33223360855</v>
      </c>
      <c r="P254" s="73">
        <f t="shared" si="164"/>
        <v>178854.33223360855</v>
      </c>
      <c r="Q254" s="73">
        <f t="shared" si="165"/>
        <v>175932.97855104331</v>
      </c>
      <c r="R254" s="73"/>
      <c r="S254" s="76">
        <f t="shared" si="138"/>
        <v>0.17</v>
      </c>
      <c r="T254" s="73">
        <f t="shared" si="155"/>
        <v>635.81974584146838</v>
      </c>
      <c r="U254" s="73">
        <f t="shared" si="142"/>
        <v>191381.74349828195</v>
      </c>
      <c r="V254" s="76">
        <f t="shared" si="143"/>
        <v>0.17</v>
      </c>
      <c r="W254" s="73">
        <f t="shared" si="144"/>
        <v>0</v>
      </c>
      <c r="X254" s="73">
        <f>IF(B254&lt;&gt;"",IF(MONTH(E254)=MONTH($F$13),SUMIF($C$22:C636,"="&amp;(C254-1),$G$22:G636),0)*S254,"")</f>
        <v>1066.308</v>
      </c>
      <c r="Y254" s="73">
        <f>IF(B254&lt;&gt;"",SUM($X$22:X254),"")</f>
        <v>21326.160000000011</v>
      </c>
      <c r="Z254" s="73">
        <f t="shared" si="156"/>
        <v>98.360300601811105</v>
      </c>
      <c r="AA254" s="73">
        <f t="shared" si="145"/>
        <v>18.688457114344111</v>
      </c>
      <c r="AB254" s="73">
        <f t="shared" si="146"/>
        <v>8261.6020240308007</v>
      </c>
      <c r="AC254" s="73">
        <f t="shared" si="147"/>
        <v>29587.762024030799</v>
      </c>
      <c r="AD254" s="73">
        <f>IFERROR($U254*(1-$V254)+SUM($W$22:$W254)+$AB254,"")</f>
        <v>188434.60912760484</v>
      </c>
      <c r="AE254" s="73" t="b">
        <f t="shared" si="148"/>
        <v>0</v>
      </c>
      <c r="AF254" s="73">
        <f>IF(AND(AE254=TRUE,D254&gt;=65),$U254*(1-10%)+SUM($W$22:$W254)+$AB254,AD254)</f>
        <v>188434.60912760484</v>
      </c>
      <c r="AG254" s="73">
        <f t="shared" si="166"/>
        <v>635.81974584146894</v>
      </c>
      <c r="AH254" s="73">
        <f t="shared" si="167"/>
        <v>65933.743498282187</v>
      </c>
      <c r="AI254" s="73">
        <f t="shared" si="168"/>
        <v>191381.74349828216</v>
      </c>
      <c r="AJ254" s="73">
        <f t="shared" si="169"/>
        <v>178854.33223360855</v>
      </c>
      <c r="AK254" s="73" t="b">
        <f t="shared" si="149"/>
        <v>0</v>
      </c>
      <c r="AL254" s="73">
        <f t="shared" si="170"/>
        <v>178854.33223360855</v>
      </c>
      <c r="AM254" s="73">
        <f t="shared" si="157"/>
        <v>584.86412868934985</v>
      </c>
      <c r="AN254" s="73">
        <f t="shared" si="150"/>
        <v>111.12418445097647</v>
      </c>
      <c r="AO254" s="73">
        <f t="shared" si="151"/>
        <v>50484.978551043358</v>
      </c>
      <c r="AP254" s="73">
        <f t="shared" si="152"/>
        <v>175932.97855104331</v>
      </c>
    </row>
    <row r="255" spans="1:42" s="31" customFormat="1" x14ac:dyDescent="0.6">
      <c r="A255" s="70">
        <f t="shared" si="136"/>
        <v>234</v>
      </c>
      <c r="B255" s="70" t="str">
        <f>IF(E255&lt;=$F$9,VLOOKUP(KALKULATOR!A255,Robocze!$B$23:$C$102,2),"")</f>
        <v>20 rok</v>
      </c>
      <c r="C255" s="70">
        <f t="shared" si="139"/>
        <v>2040</v>
      </c>
      <c r="D255" s="71">
        <f t="shared" si="153"/>
        <v>59.500000000000554</v>
      </c>
      <c r="E255" s="77">
        <f t="shared" si="154"/>
        <v>51257</v>
      </c>
      <c r="F255" s="72">
        <f t="shared" si="140"/>
        <v>51287</v>
      </c>
      <c r="G255" s="73">
        <f>IFERROR(IF(AND(F255&lt;=$F$9,$F$5=Robocze!$B$4,$E255&lt;=$F$9,MONTH($F$8)=MONTH(E255)),$F$4,0)+IF(AND(F255&lt;=$F$9,$F$5=Robocze!$B$3,E255&lt;=$F$9),KALKULATOR!$F$4/12,0),"")</f>
        <v>0</v>
      </c>
      <c r="H255" s="73">
        <f t="shared" si="141"/>
        <v>125447.99999999996</v>
      </c>
      <c r="I255" s="74">
        <f t="shared" si="137"/>
        <v>0.04</v>
      </c>
      <c r="J255" s="73">
        <f t="shared" si="158"/>
        <v>0</v>
      </c>
      <c r="K255" s="75" t="str">
        <f t="shared" si="159"/>
        <v/>
      </c>
      <c r="L255" s="73">
        <f t="shared" si="160"/>
        <v>125447.99999999996</v>
      </c>
      <c r="M255" s="73">
        <f t="shared" si="161"/>
        <v>189043.98557541496</v>
      </c>
      <c r="N255" s="73">
        <f t="shared" si="162"/>
        <v>189043.98557541496</v>
      </c>
      <c r="O255" s="73">
        <f t="shared" si="163"/>
        <v>179371.06294105388</v>
      </c>
      <c r="P255" s="73">
        <f t="shared" si="164"/>
        <v>179371.06294105388</v>
      </c>
      <c r="Q255" s="73">
        <f t="shared" si="165"/>
        <v>176407.99759313112</v>
      </c>
      <c r="R255" s="73"/>
      <c r="S255" s="76">
        <f t="shared" si="138"/>
        <v>0.17</v>
      </c>
      <c r="T255" s="73">
        <f t="shared" si="155"/>
        <v>637.93914499427319</v>
      </c>
      <c r="U255" s="73">
        <f t="shared" si="142"/>
        <v>192019.68264327623</v>
      </c>
      <c r="V255" s="76">
        <f t="shared" si="143"/>
        <v>0.17</v>
      </c>
      <c r="W255" s="73">
        <f t="shared" si="144"/>
        <v>0</v>
      </c>
      <c r="X255" s="73">
        <f>IF(B255&lt;&gt;"",IF(MONTH(E255)=MONTH($F$13),SUMIF($C$22:C637,"="&amp;(C255-1),$G$22:G637),0)*S255,"")</f>
        <v>0</v>
      </c>
      <c r="Y255" s="73">
        <f>IF(B255&lt;&gt;"",SUM($X$22:X255),"")</f>
        <v>21326.160000000011</v>
      </c>
      <c r="Z255" s="73">
        <f t="shared" si="156"/>
        <v>98.625873413435997</v>
      </c>
      <c r="AA255" s="73">
        <f t="shared" si="145"/>
        <v>18.73891594855284</v>
      </c>
      <c r="AB255" s="73">
        <f t="shared" si="146"/>
        <v>8341.4889814956841</v>
      </c>
      <c r="AC255" s="73">
        <f t="shared" si="147"/>
        <v>29667.64898149568</v>
      </c>
      <c r="AD255" s="73">
        <f>IFERROR($U255*(1-$V255)+SUM($W$22:$W255)+$AB255,"")</f>
        <v>189043.98557541496</v>
      </c>
      <c r="AE255" s="73" t="b">
        <f t="shared" si="148"/>
        <v>0</v>
      </c>
      <c r="AF255" s="73">
        <f>IF(AND(AE255=TRUE,D255&gt;=65),$U255*(1-10%)+SUM($W$22:$W255)+$AB255,AD255)</f>
        <v>189043.98557541496</v>
      </c>
      <c r="AG255" s="73">
        <f t="shared" si="166"/>
        <v>637.93914499427387</v>
      </c>
      <c r="AH255" s="73">
        <f t="shared" si="167"/>
        <v>66571.682643276465</v>
      </c>
      <c r="AI255" s="73">
        <f t="shared" si="168"/>
        <v>192019.68264327641</v>
      </c>
      <c r="AJ255" s="73">
        <f t="shared" si="169"/>
        <v>179371.06294105388</v>
      </c>
      <c r="AK255" s="73" t="b">
        <f t="shared" si="149"/>
        <v>0</v>
      </c>
      <c r="AL255" s="73">
        <f t="shared" si="170"/>
        <v>179371.06294105388</v>
      </c>
      <c r="AM255" s="73">
        <f t="shared" si="157"/>
        <v>586.44326183681108</v>
      </c>
      <c r="AN255" s="73">
        <f t="shared" si="150"/>
        <v>111.4242197489941</v>
      </c>
      <c r="AO255" s="73">
        <f t="shared" si="151"/>
        <v>50959.997593131164</v>
      </c>
      <c r="AP255" s="73">
        <f t="shared" si="152"/>
        <v>176407.99759313112</v>
      </c>
    </row>
    <row r="256" spans="1:42" s="31" customFormat="1" x14ac:dyDescent="0.6">
      <c r="A256" s="70">
        <f t="shared" si="136"/>
        <v>235</v>
      </c>
      <c r="B256" s="70" t="str">
        <f>IF(E256&lt;=$F$9,VLOOKUP(KALKULATOR!A256,Robocze!$B$23:$C$102,2),"")</f>
        <v>20 rok</v>
      </c>
      <c r="C256" s="70">
        <f t="shared" si="139"/>
        <v>2040</v>
      </c>
      <c r="D256" s="71">
        <f t="shared" si="153"/>
        <v>59.58333333333389</v>
      </c>
      <c r="E256" s="77">
        <f t="shared" si="154"/>
        <v>51288</v>
      </c>
      <c r="F256" s="72">
        <f t="shared" si="140"/>
        <v>51317</v>
      </c>
      <c r="G256" s="73">
        <f>IFERROR(IF(AND(F256&lt;=$F$9,$F$5=Robocze!$B$4,$E256&lt;=$F$9,MONTH($F$8)=MONTH(E256)),$F$4,0)+IF(AND(F256&lt;=$F$9,$F$5=Robocze!$B$3,E256&lt;=$F$9),KALKULATOR!$F$4/12,0),"")</f>
        <v>0</v>
      </c>
      <c r="H256" s="73">
        <f t="shared" si="141"/>
        <v>125447.99999999996</v>
      </c>
      <c r="I256" s="74">
        <f t="shared" si="137"/>
        <v>0.04</v>
      </c>
      <c r="J256" s="73">
        <f t="shared" si="158"/>
        <v>0</v>
      </c>
      <c r="K256" s="75" t="str">
        <f t="shared" si="159"/>
        <v/>
      </c>
      <c r="L256" s="73">
        <f t="shared" si="160"/>
        <v>125447.99999999996</v>
      </c>
      <c r="M256" s="73">
        <f t="shared" si="161"/>
        <v>189655.34268297808</v>
      </c>
      <c r="N256" s="73">
        <f t="shared" si="162"/>
        <v>189655.34268297808</v>
      </c>
      <c r="O256" s="73">
        <f t="shared" si="163"/>
        <v>179889.51608419072</v>
      </c>
      <c r="P256" s="73">
        <f t="shared" si="164"/>
        <v>179889.51608419072</v>
      </c>
      <c r="Q256" s="73">
        <f t="shared" si="165"/>
        <v>176884.29918663256</v>
      </c>
      <c r="R256" s="73"/>
      <c r="S256" s="76">
        <f t="shared" si="138"/>
        <v>0.17</v>
      </c>
      <c r="T256" s="73">
        <f t="shared" si="155"/>
        <v>640.06560881092082</v>
      </c>
      <c r="U256" s="73">
        <f t="shared" si="142"/>
        <v>192659.74825208716</v>
      </c>
      <c r="V256" s="76">
        <f t="shared" si="143"/>
        <v>0.17</v>
      </c>
      <c r="W256" s="73">
        <f t="shared" si="144"/>
        <v>0</v>
      </c>
      <c r="X256" s="73">
        <f>IF(B256&lt;&gt;"",IF(MONTH(E256)=MONTH($F$13),SUMIF($C$22:C638,"="&amp;(C256-1),$G$22:G638),0)*S256,"")</f>
        <v>0</v>
      </c>
      <c r="Y256" s="73">
        <f>IF(B256&lt;&gt;"",SUM($X$22:X256),"")</f>
        <v>21326.160000000011</v>
      </c>
      <c r="Z256" s="73">
        <f t="shared" si="156"/>
        <v>98.892163271652279</v>
      </c>
      <c r="AA256" s="73">
        <f t="shared" si="145"/>
        <v>18.789511021613933</v>
      </c>
      <c r="AB256" s="73">
        <f t="shared" si="146"/>
        <v>8421.591633745722</v>
      </c>
      <c r="AC256" s="73">
        <f t="shared" si="147"/>
        <v>29747.75163374572</v>
      </c>
      <c r="AD256" s="73">
        <f>IFERROR($U256*(1-$V256)+SUM($W$22:$W256)+$AB256,"")</f>
        <v>189655.34268297808</v>
      </c>
      <c r="AE256" s="73" t="b">
        <f t="shared" si="148"/>
        <v>0</v>
      </c>
      <c r="AF256" s="73">
        <f>IF(AND(AE256=TRUE,D256&gt;=65),$U256*(1-10%)+SUM($W$22:$W256)+$AB256,AD256)</f>
        <v>189655.34268297808</v>
      </c>
      <c r="AG256" s="73">
        <f t="shared" si="166"/>
        <v>640.06560881092139</v>
      </c>
      <c r="AH256" s="73">
        <f t="shared" si="167"/>
        <v>67211.748252087389</v>
      </c>
      <c r="AI256" s="73">
        <f t="shared" si="168"/>
        <v>192659.74825208733</v>
      </c>
      <c r="AJ256" s="73">
        <f t="shared" si="169"/>
        <v>179889.51608419072</v>
      </c>
      <c r="AK256" s="73" t="b">
        <f t="shared" si="149"/>
        <v>0</v>
      </c>
      <c r="AL256" s="73">
        <f t="shared" si="170"/>
        <v>179889.51608419072</v>
      </c>
      <c r="AM256" s="73">
        <f t="shared" si="157"/>
        <v>588.02665864377047</v>
      </c>
      <c r="AN256" s="73">
        <f t="shared" si="150"/>
        <v>111.7250651423164</v>
      </c>
      <c r="AO256" s="73">
        <f t="shared" si="151"/>
        <v>51436.299186632605</v>
      </c>
      <c r="AP256" s="73">
        <f t="shared" si="152"/>
        <v>176884.29918663256</v>
      </c>
    </row>
    <row r="257" spans="1:42" s="31" customFormat="1" x14ac:dyDescent="0.6">
      <c r="A257" s="70">
        <f t="shared" si="136"/>
        <v>236</v>
      </c>
      <c r="B257" s="70" t="str">
        <f>IF(E257&lt;=$F$9,VLOOKUP(KALKULATOR!A257,Robocze!$B$23:$C$102,2),"")</f>
        <v>20 rok</v>
      </c>
      <c r="C257" s="70">
        <f t="shared" si="139"/>
        <v>2040</v>
      </c>
      <c r="D257" s="71">
        <f t="shared" si="153"/>
        <v>59.666666666667226</v>
      </c>
      <c r="E257" s="77">
        <f t="shared" si="154"/>
        <v>51318</v>
      </c>
      <c r="F257" s="72">
        <f t="shared" si="140"/>
        <v>51348</v>
      </c>
      <c r="G257" s="73">
        <f>IFERROR(IF(AND(F257&lt;=$F$9,$F$5=Robocze!$B$4,$E257&lt;=$F$9,MONTH($F$8)=MONTH(E257)),$F$4,0)+IF(AND(F257&lt;=$F$9,$F$5=Robocze!$B$3,E257&lt;=$F$9),KALKULATOR!$F$4/12,0),"")</f>
        <v>0</v>
      </c>
      <c r="H257" s="73">
        <f t="shared" si="141"/>
        <v>125447.99999999996</v>
      </c>
      <c r="I257" s="74">
        <f t="shared" si="137"/>
        <v>0.04</v>
      </c>
      <c r="J257" s="73">
        <f t="shared" si="158"/>
        <v>0</v>
      </c>
      <c r="K257" s="75" t="str">
        <f t="shared" si="159"/>
        <v/>
      </c>
      <c r="L257" s="73">
        <f t="shared" si="160"/>
        <v>125447.99999999996</v>
      </c>
      <c r="M257" s="73">
        <f t="shared" si="161"/>
        <v>190268.68691588662</v>
      </c>
      <c r="N257" s="73">
        <f t="shared" si="162"/>
        <v>190268.68691588662</v>
      </c>
      <c r="O257" s="73">
        <f t="shared" si="163"/>
        <v>180409.69740447137</v>
      </c>
      <c r="P257" s="73">
        <f t="shared" si="164"/>
        <v>180409.69740447137</v>
      </c>
      <c r="Q257" s="73">
        <f t="shared" si="165"/>
        <v>177361.88679443646</v>
      </c>
      <c r="R257" s="73"/>
      <c r="S257" s="76">
        <f t="shared" si="138"/>
        <v>0.17</v>
      </c>
      <c r="T257" s="73">
        <f t="shared" si="155"/>
        <v>642.19916084029057</v>
      </c>
      <c r="U257" s="73">
        <f t="shared" si="142"/>
        <v>193301.94741292746</v>
      </c>
      <c r="V257" s="76">
        <f t="shared" si="143"/>
        <v>0.17</v>
      </c>
      <c r="W257" s="73">
        <f t="shared" si="144"/>
        <v>0</v>
      </c>
      <c r="X257" s="73">
        <f>IF(B257&lt;&gt;"",IF(MONTH(E257)=MONTH($F$13),SUMIF($C$22:C639,"="&amp;(C257-1),$G$22:G639),0)*S257,"")</f>
        <v>0</v>
      </c>
      <c r="Y257" s="73">
        <f>IF(B257&lt;&gt;"",SUM($X$22:X257),"")</f>
        <v>21326.160000000011</v>
      </c>
      <c r="Z257" s="73">
        <f t="shared" si="156"/>
        <v>99.159172112485734</v>
      </c>
      <c r="AA257" s="73">
        <f t="shared" si="145"/>
        <v>18.84024270137229</v>
      </c>
      <c r="AB257" s="73">
        <f t="shared" si="146"/>
        <v>8501.9105631568364</v>
      </c>
      <c r="AC257" s="73">
        <f t="shared" si="147"/>
        <v>29828.070563156834</v>
      </c>
      <c r="AD257" s="73">
        <f>IFERROR($U257*(1-$V257)+SUM($W$22:$W257)+$AB257,"")</f>
        <v>190268.68691588662</v>
      </c>
      <c r="AE257" s="73" t="b">
        <f t="shared" si="148"/>
        <v>0</v>
      </c>
      <c r="AF257" s="73">
        <f>IF(AND(AE257=TRUE,D257&gt;=65),$U257*(1-10%)+SUM($W$22:$W257)+$AB257,AD257)</f>
        <v>190268.68691588662</v>
      </c>
      <c r="AG257" s="73">
        <f t="shared" si="166"/>
        <v>642.19916084029114</v>
      </c>
      <c r="AH257" s="73">
        <f t="shared" si="167"/>
        <v>67853.947412927679</v>
      </c>
      <c r="AI257" s="73">
        <f t="shared" si="168"/>
        <v>193301.94741292764</v>
      </c>
      <c r="AJ257" s="73">
        <f t="shared" si="169"/>
        <v>180409.69740447137</v>
      </c>
      <c r="AK257" s="73" t="b">
        <f t="shared" si="149"/>
        <v>0</v>
      </c>
      <c r="AL257" s="73">
        <f t="shared" si="170"/>
        <v>180409.69740447137</v>
      </c>
      <c r="AM257" s="73">
        <f t="shared" si="157"/>
        <v>589.61433062210858</v>
      </c>
      <c r="AN257" s="73">
        <f t="shared" si="150"/>
        <v>112.02672281820062</v>
      </c>
      <c r="AO257" s="73">
        <f t="shared" si="151"/>
        <v>51913.886794436505</v>
      </c>
      <c r="AP257" s="73">
        <f t="shared" si="152"/>
        <v>177361.88679443646</v>
      </c>
    </row>
    <row r="258" spans="1:42" s="31" customFormat="1" x14ac:dyDescent="0.6">
      <c r="A258" s="70">
        <f t="shared" si="136"/>
        <v>237</v>
      </c>
      <c r="B258" s="70" t="str">
        <f>IF(E258&lt;=$F$9,VLOOKUP(KALKULATOR!A258,Robocze!$B$23:$C$102,2),"")</f>
        <v>20 rok</v>
      </c>
      <c r="C258" s="70">
        <f t="shared" si="139"/>
        <v>2040</v>
      </c>
      <c r="D258" s="71">
        <f t="shared" si="153"/>
        <v>59.750000000000561</v>
      </c>
      <c r="E258" s="77">
        <f t="shared" si="154"/>
        <v>51349</v>
      </c>
      <c r="F258" s="72">
        <f t="shared" si="140"/>
        <v>51379</v>
      </c>
      <c r="G258" s="73">
        <f>IFERROR(IF(AND(F258&lt;=$F$9,$F$5=Robocze!$B$4,$E258&lt;=$F$9,MONTH($F$8)=MONTH(E258)),$F$4,0)+IF(AND(F258&lt;=$F$9,$F$5=Robocze!$B$3,E258&lt;=$F$9),KALKULATOR!$F$4/12,0),"")</f>
        <v>0</v>
      </c>
      <c r="H258" s="73">
        <f t="shared" si="141"/>
        <v>125447.99999999996</v>
      </c>
      <c r="I258" s="74">
        <f t="shared" si="137"/>
        <v>0.04</v>
      </c>
      <c r="J258" s="73">
        <f t="shared" si="158"/>
        <v>0</v>
      </c>
      <c r="K258" s="75" t="str">
        <f t="shared" si="159"/>
        <v/>
      </c>
      <c r="L258" s="73">
        <f t="shared" si="160"/>
        <v>125447.99999999996</v>
      </c>
      <c r="M258" s="73">
        <f t="shared" si="161"/>
        <v>190884.02476091625</v>
      </c>
      <c r="N258" s="73">
        <f t="shared" si="162"/>
        <v>190884.02476091625</v>
      </c>
      <c r="O258" s="73">
        <f t="shared" si="163"/>
        <v>180931.61266248627</v>
      </c>
      <c r="P258" s="73">
        <f t="shared" si="164"/>
        <v>180931.61266248627</v>
      </c>
      <c r="Q258" s="73">
        <f t="shared" si="165"/>
        <v>177840.76388878142</v>
      </c>
      <c r="R258" s="73"/>
      <c r="S258" s="76">
        <f t="shared" si="138"/>
        <v>0.17</v>
      </c>
      <c r="T258" s="73">
        <f t="shared" si="155"/>
        <v>644.3398247097582</v>
      </c>
      <c r="U258" s="73">
        <f t="shared" si="142"/>
        <v>193946.28723763721</v>
      </c>
      <c r="V258" s="76">
        <f t="shared" si="143"/>
        <v>0.17</v>
      </c>
      <c r="W258" s="73">
        <f t="shared" si="144"/>
        <v>0</v>
      </c>
      <c r="X258" s="73">
        <f>IF(B258&lt;&gt;"",IF(MONTH(E258)=MONTH($F$13),SUMIF($C$22:C640,"="&amp;(C258-1),$G$22:G640),0)*S258,"")</f>
        <v>0</v>
      </c>
      <c r="Y258" s="73">
        <f>IF(B258&lt;&gt;"",SUM($X$22:X258),"")</f>
        <v>21326.160000000011</v>
      </c>
      <c r="Z258" s="73">
        <f t="shared" si="156"/>
        <v>99.426901877189451</v>
      </c>
      <c r="AA258" s="73">
        <f t="shared" si="145"/>
        <v>18.891111356665995</v>
      </c>
      <c r="AB258" s="73">
        <f t="shared" si="146"/>
        <v>8582.4463536773601</v>
      </c>
      <c r="AC258" s="73">
        <f t="shared" si="147"/>
        <v>29908.606353677358</v>
      </c>
      <c r="AD258" s="73">
        <f>IFERROR($U258*(1-$V258)+SUM($W$22:$W258)+$AB258,"")</f>
        <v>190884.02476091625</v>
      </c>
      <c r="AE258" s="73" t="b">
        <f t="shared" si="148"/>
        <v>0</v>
      </c>
      <c r="AF258" s="73">
        <f>IF(AND(AE258=TRUE,D258&gt;=65),$U258*(1-10%)+SUM($W$22:$W258)+$AB258,AD258)</f>
        <v>190884.02476091625</v>
      </c>
      <c r="AG258" s="73">
        <f t="shared" si="166"/>
        <v>644.33982470975877</v>
      </c>
      <c r="AH258" s="73">
        <f t="shared" si="167"/>
        <v>68498.287237637443</v>
      </c>
      <c r="AI258" s="73">
        <f t="shared" si="168"/>
        <v>193946.28723763739</v>
      </c>
      <c r="AJ258" s="73">
        <f t="shared" si="169"/>
        <v>180931.61266248627</v>
      </c>
      <c r="AK258" s="73" t="b">
        <f t="shared" si="149"/>
        <v>0</v>
      </c>
      <c r="AL258" s="73">
        <f t="shared" si="170"/>
        <v>180931.61266248627</v>
      </c>
      <c r="AM258" s="73">
        <f t="shared" si="157"/>
        <v>591.20628931478825</v>
      </c>
      <c r="AN258" s="73">
        <f t="shared" si="150"/>
        <v>112.32919496980976</v>
      </c>
      <c r="AO258" s="73">
        <f t="shared" si="151"/>
        <v>52392.763888781468</v>
      </c>
      <c r="AP258" s="73">
        <f t="shared" si="152"/>
        <v>177840.76388878142</v>
      </c>
    </row>
    <row r="259" spans="1:42" s="31" customFormat="1" x14ac:dyDescent="0.6">
      <c r="A259" s="70">
        <f t="shared" si="136"/>
        <v>238</v>
      </c>
      <c r="B259" s="70" t="str">
        <f>IF(E259&lt;=$F$9,VLOOKUP(KALKULATOR!A259,Robocze!$B$23:$C$102,2),"")</f>
        <v>20 rok</v>
      </c>
      <c r="C259" s="70">
        <f t="shared" si="139"/>
        <v>2040</v>
      </c>
      <c r="D259" s="71">
        <f t="shared" si="153"/>
        <v>59.833333333333897</v>
      </c>
      <c r="E259" s="77">
        <f t="shared" si="154"/>
        <v>51380</v>
      </c>
      <c r="F259" s="72">
        <f t="shared" si="140"/>
        <v>51409</v>
      </c>
      <c r="G259" s="73">
        <f>IFERROR(IF(AND(F259&lt;=$F$9,$F$5=Robocze!$B$4,$E259&lt;=$F$9,MONTH($F$8)=MONTH(E259)),$F$4,0)+IF(AND(F259&lt;=$F$9,$F$5=Robocze!$B$3,E259&lt;=$F$9),KALKULATOR!$F$4/12,0),"")</f>
        <v>0</v>
      </c>
      <c r="H259" s="73">
        <f t="shared" si="141"/>
        <v>125447.99999999996</v>
      </c>
      <c r="I259" s="74">
        <f t="shared" si="137"/>
        <v>0.04</v>
      </c>
      <c r="J259" s="73">
        <f t="shared" si="158"/>
        <v>0</v>
      </c>
      <c r="K259" s="75" t="str">
        <f t="shared" si="159"/>
        <v/>
      </c>
      <c r="L259" s="73">
        <f t="shared" si="160"/>
        <v>125447.99999999996</v>
      </c>
      <c r="M259" s="73">
        <f t="shared" si="161"/>
        <v>191501.36272609531</v>
      </c>
      <c r="N259" s="73">
        <f t="shared" si="162"/>
        <v>191501.36272609531</v>
      </c>
      <c r="O259" s="73">
        <f t="shared" si="163"/>
        <v>181455.2676380279</v>
      </c>
      <c r="P259" s="73">
        <f t="shared" si="164"/>
        <v>181455.2676380279</v>
      </c>
      <c r="Q259" s="73">
        <f t="shared" si="165"/>
        <v>178320.93395128116</v>
      </c>
      <c r="R259" s="73"/>
      <c r="S259" s="76">
        <f t="shared" si="138"/>
        <v>0.17</v>
      </c>
      <c r="T259" s="73">
        <f t="shared" si="155"/>
        <v>646.48762412545739</v>
      </c>
      <c r="U259" s="73">
        <f t="shared" si="142"/>
        <v>194592.77486176268</v>
      </c>
      <c r="V259" s="76">
        <f t="shared" si="143"/>
        <v>0.17</v>
      </c>
      <c r="W259" s="73">
        <f t="shared" si="144"/>
        <v>0</v>
      </c>
      <c r="X259" s="73">
        <f>IF(B259&lt;&gt;"",IF(MONTH(E259)=MONTH($F$13),SUMIF($C$22:C641,"="&amp;(C259-1),$G$22:G641),0)*S259,"")</f>
        <v>0</v>
      </c>
      <c r="Y259" s="73">
        <f>IF(B259&lt;&gt;"",SUM($X$22:X259),"")</f>
        <v>21326.160000000011</v>
      </c>
      <c r="Z259" s="73">
        <f t="shared" si="156"/>
        <v>99.69535451225785</v>
      </c>
      <c r="AA259" s="73">
        <f t="shared" si="145"/>
        <v>18.942117357328993</v>
      </c>
      <c r="AB259" s="73">
        <f t="shared" si="146"/>
        <v>8663.1995908322897</v>
      </c>
      <c r="AC259" s="73">
        <f t="shared" si="147"/>
        <v>29989.35959083229</v>
      </c>
      <c r="AD259" s="73">
        <f>IFERROR($U259*(1-$V259)+SUM($W$22:$W259)+$AB259,"")</f>
        <v>191501.36272609531</v>
      </c>
      <c r="AE259" s="73" t="b">
        <f t="shared" si="148"/>
        <v>0</v>
      </c>
      <c r="AF259" s="73">
        <f>IF(AND(AE259=TRUE,D259&gt;=65),$U259*(1-10%)+SUM($W$22:$W259)+$AB259,AD259)</f>
        <v>191501.36272609531</v>
      </c>
      <c r="AG259" s="73">
        <f t="shared" si="166"/>
        <v>646.48762412545796</v>
      </c>
      <c r="AH259" s="73">
        <f t="shared" si="167"/>
        <v>69144.774861762897</v>
      </c>
      <c r="AI259" s="73">
        <f t="shared" si="168"/>
        <v>194592.77486176285</v>
      </c>
      <c r="AJ259" s="73">
        <f t="shared" si="169"/>
        <v>181455.2676380279</v>
      </c>
      <c r="AK259" s="73" t="b">
        <f t="shared" si="149"/>
        <v>0</v>
      </c>
      <c r="AL259" s="73">
        <f t="shared" si="170"/>
        <v>181455.2676380279</v>
      </c>
      <c r="AM259" s="73">
        <f t="shared" si="157"/>
        <v>592.8025462959381</v>
      </c>
      <c r="AN259" s="73">
        <f t="shared" si="150"/>
        <v>112.63248379622824</v>
      </c>
      <c r="AO259" s="73">
        <f t="shared" si="151"/>
        <v>52872.9339512812</v>
      </c>
      <c r="AP259" s="73">
        <f t="shared" si="152"/>
        <v>178320.93395128116</v>
      </c>
    </row>
    <row r="260" spans="1:42" s="31" customFormat="1" x14ac:dyDescent="0.6">
      <c r="A260" s="70">
        <f t="shared" si="136"/>
        <v>239</v>
      </c>
      <c r="B260" s="70" t="str">
        <f>IF(E260&lt;=$F$9,VLOOKUP(KALKULATOR!A260,Robocze!$B$23:$C$102,2),"")</f>
        <v>20 rok</v>
      </c>
      <c r="C260" s="70">
        <f t="shared" si="139"/>
        <v>2040</v>
      </c>
      <c r="D260" s="71">
        <f t="shared" si="153"/>
        <v>59.916666666667233</v>
      </c>
      <c r="E260" s="77">
        <f t="shared" si="154"/>
        <v>51410</v>
      </c>
      <c r="F260" s="72">
        <f t="shared" si="140"/>
        <v>51440</v>
      </c>
      <c r="G260" s="73">
        <f>IFERROR(IF(AND(F260&lt;=$F$9,$F$5=Robocze!$B$4,$E260&lt;=$F$9,MONTH($F$8)=MONTH(E260)),$F$4,0)+IF(AND(F260&lt;=$F$9,$F$5=Robocze!$B$3,E260&lt;=$F$9),KALKULATOR!$F$4/12,0),"")</f>
        <v>0</v>
      </c>
      <c r="H260" s="73">
        <f t="shared" si="141"/>
        <v>125447.99999999996</v>
      </c>
      <c r="I260" s="74">
        <f t="shared" si="137"/>
        <v>0.04</v>
      </c>
      <c r="J260" s="73">
        <f t="shared" si="158"/>
        <v>0</v>
      </c>
      <c r="K260" s="75" t="str">
        <f t="shared" si="159"/>
        <v/>
      </c>
      <c r="L260" s="73">
        <f t="shared" si="160"/>
        <v>125447.99999999996</v>
      </c>
      <c r="M260" s="73">
        <f t="shared" si="161"/>
        <v>192120.70734077474</v>
      </c>
      <c r="N260" s="73">
        <f t="shared" si="162"/>
        <v>192120.70734077474</v>
      </c>
      <c r="O260" s="73">
        <f t="shared" si="163"/>
        <v>181980.66813015469</v>
      </c>
      <c r="P260" s="73">
        <f t="shared" si="164"/>
        <v>181980.66813015469</v>
      </c>
      <c r="Q260" s="73">
        <f t="shared" si="165"/>
        <v>178802.40047294961</v>
      </c>
      <c r="R260" s="73"/>
      <c r="S260" s="76">
        <f t="shared" si="138"/>
        <v>0.17</v>
      </c>
      <c r="T260" s="73">
        <f t="shared" si="155"/>
        <v>648.64258287254233</v>
      </c>
      <c r="U260" s="73">
        <f t="shared" si="142"/>
        <v>195241.41744463521</v>
      </c>
      <c r="V260" s="76">
        <f t="shared" si="143"/>
        <v>0.17</v>
      </c>
      <c r="W260" s="73">
        <f t="shared" si="144"/>
        <v>0</v>
      </c>
      <c r="X260" s="73">
        <f>IF(B260&lt;&gt;"",IF(MONTH(E260)=MONTH($F$13),SUMIF($C$22:C642,"="&amp;(C260-1),$G$22:G642),0)*S260,"")</f>
        <v>0</v>
      </c>
      <c r="Y260" s="73">
        <f>IF(B260&lt;&gt;"",SUM($X$22:X260),"")</f>
        <v>21326.160000000011</v>
      </c>
      <c r="Z260" s="73">
        <f t="shared" si="156"/>
        <v>99.964531969440955</v>
      </c>
      <c r="AA260" s="73">
        <f t="shared" si="145"/>
        <v>18.993261074193782</v>
      </c>
      <c r="AB260" s="73">
        <f t="shared" si="146"/>
        <v>8744.1708617275362</v>
      </c>
      <c r="AC260" s="73">
        <f t="shared" si="147"/>
        <v>30070.33086172754</v>
      </c>
      <c r="AD260" s="73">
        <f>IFERROR($U260*(1-$V260)+SUM($W$22:$W260)+$AB260,"")</f>
        <v>192120.70734077474</v>
      </c>
      <c r="AE260" s="73" t="b">
        <f t="shared" si="148"/>
        <v>0</v>
      </c>
      <c r="AF260" s="73">
        <f>IF(AND(AE260=TRUE,D260&gt;=65),$U260*(1-10%)+SUM($W$22:$W260)+$AB260,AD260)</f>
        <v>192120.70734077474</v>
      </c>
      <c r="AG260" s="73">
        <f t="shared" si="166"/>
        <v>648.6425828725429</v>
      </c>
      <c r="AH260" s="73">
        <f t="shared" si="167"/>
        <v>69793.417444635445</v>
      </c>
      <c r="AI260" s="73">
        <f t="shared" si="168"/>
        <v>195241.41744463542</v>
      </c>
      <c r="AJ260" s="73">
        <f t="shared" si="169"/>
        <v>181980.66813015469</v>
      </c>
      <c r="AK260" s="73" t="b">
        <f t="shared" si="149"/>
        <v>0</v>
      </c>
      <c r="AL260" s="73">
        <f t="shared" si="170"/>
        <v>181980.66813015469</v>
      </c>
      <c r="AM260" s="73">
        <f t="shared" si="157"/>
        <v>594.40311317093722</v>
      </c>
      <c r="AN260" s="73">
        <f t="shared" si="150"/>
        <v>112.93659150247807</v>
      </c>
      <c r="AO260" s="73">
        <f t="shared" si="151"/>
        <v>53354.400472949652</v>
      </c>
      <c r="AP260" s="73">
        <f t="shared" si="152"/>
        <v>178802.40047294961</v>
      </c>
    </row>
    <row r="261" spans="1:42" s="69" customFormat="1" x14ac:dyDescent="0.6">
      <c r="A261" s="78">
        <f t="shared" si="136"/>
        <v>240</v>
      </c>
      <c r="B261" s="78" t="str">
        <f>IF(E261&lt;=$F$9,VLOOKUP(KALKULATOR!A261,Robocze!$B$23:$C$102,2),"")</f>
        <v>20 rok</v>
      </c>
      <c r="C261" s="78">
        <f t="shared" si="139"/>
        <v>2040</v>
      </c>
      <c r="D261" s="79">
        <f t="shared" si="153"/>
        <v>60.000000000000568</v>
      </c>
      <c r="E261" s="80">
        <f t="shared" si="154"/>
        <v>51441</v>
      </c>
      <c r="F261" s="81">
        <f t="shared" si="140"/>
        <v>51470</v>
      </c>
      <c r="G261" s="82">
        <f>IFERROR(IF(AND(F261&lt;=$F$9,$F$5=Robocze!$B$4,$E261&lt;=$F$9,MONTH($F$8)=MONTH(E261)),$F$4,0)+IF(AND(F261&lt;=$F$9,$F$5=Robocze!$B$3,E261&lt;=$F$9),KALKULATOR!$F$4/12,0),"")</f>
        <v>0</v>
      </c>
      <c r="H261" s="82">
        <f t="shared" si="141"/>
        <v>125447.99999999996</v>
      </c>
      <c r="I261" s="83">
        <f t="shared" si="137"/>
        <v>0.04</v>
      </c>
      <c r="J261" s="82">
        <f t="shared" si="158"/>
        <v>0</v>
      </c>
      <c r="K261" s="84">
        <f t="shared" si="159"/>
        <v>20</v>
      </c>
      <c r="L261" s="82">
        <f t="shared" si="160"/>
        <v>125447.99999999996</v>
      </c>
      <c r="M261" s="82">
        <f t="shared" si="161"/>
        <v>192742.06515569825</v>
      </c>
      <c r="N261" s="82">
        <f t="shared" si="162"/>
        <v>192742.06515569825</v>
      </c>
      <c r="O261" s="82">
        <f t="shared" si="163"/>
        <v>195892.22216945083</v>
      </c>
      <c r="P261" s="82">
        <f t="shared" si="164"/>
        <v>182507.81995725515</v>
      </c>
      <c r="Q261" s="82">
        <f t="shared" si="165"/>
        <v>179285.16695422656</v>
      </c>
      <c r="R261" s="82"/>
      <c r="S261" s="85">
        <f t="shared" si="138"/>
        <v>0.17</v>
      </c>
      <c r="T261" s="82">
        <f t="shared" si="155"/>
        <v>650.80472481545075</v>
      </c>
      <c r="U261" s="82">
        <f t="shared" si="142"/>
        <v>195892.22216945066</v>
      </c>
      <c r="V261" s="85">
        <f t="shared" si="143"/>
        <v>0.17</v>
      </c>
      <c r="W261" s="82">
        <f t="shared" si="144"/>
        <v>0</v>
      </c>
      <c r="X261" s="82">
        <f>IF(B261&lt;&gt;"",IF(MONTH(E261)=MONTH($F$13),SUMIF($C$22:C643,"="&amp;(C261-1),$G$22:G643),0)*S261,"")</f>
        <v>0</v>
      </c>
      <c r="Y261" s="82">
        <f>IF(B261&lt;&gt;"",SUM($X$22:X261),"")</f>
        <v>21326.160000000011</v>
      </c>
      <c r="Z261" s="82">
        <f t="shared" si="156"/>
        <v>100.23443620575847</v>
      </c>
      <c r="AA261" s="82">
        <f t="shared" si="145"/>
        <v>19.044542879094109</v>
      </c>
      <c r="AB261" s="82">
        <f t="shared" si="146"/>
        <v>8825.3607550542019</v>
      </c>
      <c r="AC261" s="82">
        <f t="shared" si="147"/>
        <v>30151.520755054204</v>
      </c>
      <c r="AD261" s="82">
        <f>IFERROR($U261*(1-$V261)+SUM($W$22:$W261)+$AB261,"")</f>
        <v>192742.06515569825</v>
      </c>
      <c r="AE261" s="73" t="b">
        <f t="shared" si="148"/>
        <v>0</v>
      </c>
      <c r="AF261" s="82">
        <f>IF(AND(AE261=TRUE,D261&gt;=65),$U261*(1-10%)+SUM($W$22:$W261)+$AB261,AD261)</f>
        <v>192742.06515569825</v>
      </c>
      <c r="AG261" s="82">
        <f t="shared" si="166"/>
        <v>650.80472481545132</v>
      </c>
      <c r="AH261" s="82">
        <f t="shared" si="167"/>
        <v>70444.222169450892</v>
      </c>
      <c r="AI261" s="82">
        <f t="shared" si="168"/>
        <v>195892.22216945083</v>
      </c>
      <c r="AJ261" s="82">
        <f t="shared" si="169"/>
        <v>182507.81995725515</v>
      </c>
      <c r="AK261" s="73" t="b">
        <f t="shared" si="149"/>
        <v>1</v>
      </c>
      <c r="AL261" s="82">
        <f t="shared" si="170"/>
        <v>195892.22216945083</v>
      </c>
      <c r="AM261" s="82">
        <f t="shared" si="157"/>
        <v>596.00800157649871</v>
      </c>
      <c r="AN261" s="82">
        <f t="shared" si="150"/>
        <v>113.24152029953476</v>
      </c>
      <c r="AO261" s="82">
        <f t="shared" si="151"/>
        <v>53837.166954226603</v>
      </c>
      <c r="AP261" s="82">
        <f t="shared" si="152"/>
        <v>179285.16695422656</v>
      </c>
    </row>
    <row r="262" spans="1:42" s="31" customFormat="1" x14ac:dyDescent="0.6">
      <c r="A262" s="70">
        <f t="shared" si="136"/>
        <v>241</v>
      </c>
      <c r="B262" s="70" t="str">
        <f>IF(E262&lt;=$F$9,VLOOKUP(KALKULATOR!A262,Robocze!$B$23:$C$102,2),"")</f>
        <v>21 rok</v>
      </c>
      <c r="C262" s="70">
        <f t="shared" si="139"/>
        <v>2040</v>
      </c>
      <c r="D262" s="71">
        <f t="shared" si="153"/>
        <v>60.083333333333904</v>
      </c>
      <c r="E262" s="72">
        <f t="shared" si="154"/>
        <v>51471</v>
      </c>
      <c r="F262" s="72">
        <f t="shared" si="140"/>
        <v>51501</v>
      </c>
      <c r="G262" s="73">
        <f>IFERROR(IF(AND(F262&lt;=$F$9,$F$5=Robocze!$B$4,$E262&lt;=$F$9,MONTH($F$8)=MONTH(E262)),$F$4,0)+IF(AND(F262&lt;=$F$9,$F$5=Robocze!$B$3,E262&lt;=$F$9),KALKULATOR!$F$4/12,0),"")</f>
        <v>6272.4</v>
      </c>
      <c r="H262" s="73">
        <f t="shared" si="141"/>
        <v>131720.39999999997</v>
      </c>
      <c r="I262" s="74">
        <f t="shared" si="137"/>
        <v>0.04</v>
      </c>
      <c r="J262" s="73">
        <f t="shared" si="158"/>
        <v>0</v>
      </c>
      <c r="K262" s="75" t="str">
        <f t="shared" si="159"/>
        <v/>
      </c>
      <c r="L262" s="73">
        <f t="shared" si="160"/>
        <v>131720.39999999997</v>
      </c>
      <c r="M262" s="73">
        <f t="shared" si="161"/>
        <v>199655.19638307238</v>
      </c>
      <c r="N262" s="73">
        <f t="shared" si="162"/>
        <v>199655.19638307238</v>
      </c>
      <c r="O262" s="73">
        <f t="shared" si="163"/>
        <v>202838.50424334902</v>
      </c>
      <c r="P262" s="73">
        <f t="shared" si="164"/>
        <v>189326.06443711268</v>
      </c>
      <c r="Q262" s="73">
        <f t="shared" si="165"/>
        <v>186058.57238500298</v>
      </c>
      <c r="R262" s="73"/>
      <c r="S262" s="76">
        <f t="shared" si="138"/>
        <v>0.17</v>
      </c>
      <c r="T262" s="73">
        <f t="shared" si="155"/>
        <v>673.88207389816887</v>
      </c>
      <c r="U262" s="73">
        <f t="shared" si="142"/>
        <v>202838.50424334881</v>
      </c>
      <c r="V262" s="76">
        <f t="shared" si="143"/>
        <v>0.17</v>
      </c>
      <c r="W262" s="73">
        <f t="shared" si="144"/>
        <v>1066.308</v>
      </c>
      <c r="X262" s="73">
        <f>IF(B262&lt;&gt;"",IF(MONTH(E262)=MONTH($F$13),SUMIF($C$22:C644,"="&amp;(C262-1),$G$22:G644),0)*S262,"")</f>
        <v>0</v>
      </c>
      <c r="Y262" s="73">
        <f>IF(B262&lt;&gt;"",SUM($X$22:X262),"")</f>
        <v>21326.160000000011</v>
      </c>
      <c r="Z262" s="73">
        <f t="shared" si="156"/>
        <v>100.50506918351401</v>
      </c>
      <c r="AA262" s="73">
        <f t="shared" si="145"/>
        <v>19.095963144867664</v>
      </c>
      <c r="AB262" s="73">
        <f t="shared" si="146"/>
        <v>8906.7698610928473</v>
      </c>
      <c r="AC262" s="73">
        <f t="shared" si="147"/>
        <v>30232.929861092849</v>
      </c>
      <c r="AD262" s="73">
        <f>IFERROR($U262*(1-$V262)+SUM($W$22:$W262)+$AB262,"")</f>
        <v>199655.19638307238</v>
      </c>
      <c r="AE262" s="73" t="b">
        <f t="shared" si="148"/>
        <v>0</v>
      </c>
      <c r="AF262" s="73">
        <f>IF(AND(AE262=TRUE,D262&gt;=65),$U262*(1-10%)+SUM($W$22:$W262)+$AB262,AD262)</f>
        <v>199655.19638307238</v>
      </c>
      <c r="AG262" s="73">
        <f t="shared" si="166"/>
        <v>673.88207389816944</v>
      </c>
      <c r="AH262" s="73">
        <f t="shared" si="167"/>
        <v>71118.104243349066</v>
      </c>
      <c r="AI262" s="73">
        <f t="shared" si="168"/>
        <v>202838.50424334902</v>
      </c>
      <c r="AJ262" s="73">
        <f t="shared" si="169"/>
        <v>189326.06443711268</v>
      </c>
      <c r="AK262" s="73" t="b">
        <f t="shared" si="149"/>
        <v>1</v>
      </c>
      <c r="AL262" s="73">
        <f t="shared" si="170"/>
        <v>202838.50424334902</v>
      </c>
      <c r="AM262" s="73">
        <f t="shared" si="157"/>
        <v>618.52522318075523</v>
      </c>
      <c r="AN262" s="73">
        <f t="shared" si="150"/>
        <v>117.51979240434349</v>
      </c>
      <c r="AO262" s="73">
        <f t="shared" si="151"/>
        <v>54338.17238500301</v>
      </c>
      <c r="AP262" s="73">
        <f t="shared" si="152"/>
        <v>186058.57238500298</v>
      </c>
    </row>
    <row r="263" spans="1:42" s="31" customFormat="1" x14ac:dyDescent="0.6">
      <c r="A263" s="70">
        <f t="shared" si="136"/>
        <v>242</v>
      </c>
      <c r="B263" s="70" t="str">
        <f>IF(E263&lt;=$F$9,VLOOKUP(KALKULATOR!A263,Robocze!$B$23:$C$102,2),"")</f>
        <v>21 rok</v>
      </c>
      <c r="C263" s="70">
        <f t="shared" si="139"/>
        <v>2041</v>
      </c>
      <c r="D263" s="71">
        <f t="shared" si="153"/>
        <v>60.16666666666724</v>
      </c>
      <c r="E263" s="77">
        <f t="shared" si="154"/>
        <v>51502</v>
      </c>
      <c r="F263" s="72">
        <f t="shared" si="140"/>
        <v>51532</v>
      </c>
      <c r="G263" s="73">
        <f>IFERROR(IF(AND(F263&lt;=$F$9,$F$5=Robocze!$B$4,$E263&lt;=$F$9,MONTH($F$8)=MONTH(E263)),$F$4,0)+IF(AND(F263&lt;=$F$9,$F$5=Robocze!$B$3,E263&lt;=$F$9),KALKULATOR!$F$4/12,0),"")</f>
        <v>0</v>
      </c>
      <c r="H263" s="73">
        <f t="shared" si="141"/>
        <v>131720.39999999997</v>
      </c>
      <c r="I263" s="74">
        <f t="shared" si="137"/>
        <v>0.04</v>
      </c>
      <c r="J263" s="73">
        <f t="shared" si="158"/>
        <v>0</v>
      </c>
      <c r="K263" s="75" t="str">
        <f t="shared" si="159"/>
        <v/>
      </c>
      <c r="L263" s="73">
        <f t="shared" si="160"/>
        <v>131720.39999999997</v>
      </c>
      <c r="M263" s="73">
        <f t="shared" si="161"/>
        <v>200298.0118221039</v>
      </c>
      <c r="N263" s="73">
        <f t="shared" si="162"/>
        <v>200298.0118221039</v>
      </c>
      <c r="O263" s="73">
        <f t="shared" si="163"/>
        <v>203514.63259082686</v>
      </c>
      <c r="P263" s="73">
        <f t="shared" si="164"/>
        <v>189873.72839856974</v>
      </c>
      <c r="Q263" s="73">
        <f t="shared" si="165"/>
        <v>186560.93053044248</v>
      </c>
      <c r="R263" s="73"/>
      <c r="S263" s="76">
        <f t="shared" si="138"/>
        <v>0.17</v>
      </c>
      <c r="T263" s="73">
        <f t="shared" si="155"/>
        <v>676.12834747782938</v>
      </c>
      <c r="U263" s="73">
        <f t="shared" si="142"/>
        <v>203514.63259082663</v>
      </c>
      <c r="V263" s="76">
        <f t="shared" si="143"/>
        <v>0.17</v>
      </c>
      <c r="W263" s="73">
        <f t="shared" si="144"/>
        <v>0</v>
      </c>
      <c r="X263" s="73">
        <f>IF(B263&lt;&gt;"",IF(MONTH(E263)=MONTH($F$13),SUMIF($C$22:C645,"="&amp;(C263-1),$G$22:G645),0)*S263,"")</f>
        <v>0</v>
      </c>
      <c r="Y263" s="73">
        <f>IF(B263&lt;&gt;"",SUM($X$22:X263),"")</f>
        <v>21326.160000000011</v>
      </c>
      <c r="Z263" s="73">
        <f t="shared" si="156"/>
        <v>100.77643287030951</v>
      </c>
      <c r="AA263" s="73">
        <f t="shared" si="145"/>
        <v>19.147522245358807</v>
      </c>
      <c r="AB263" s="73">
        <f t="shared" si="146"/>
        <v>8988.398771717797</v>
      </c>
      <c r="AC263" s="73">
        <f t="shared" si="147"/>
        <v>30314.558771717799</v>
      </c>
      <c r="AD263" s="73">
        <f>IFERROR($U263*(1-$V263)+SUM($W$22:$W263)+$AB263,"")</f>
        <v>200298.0118221039</v>
      </c>
      <c r="AE263" s="73" t="b">
        <f t="shared" si="148"/>
        <v>0</v>
      </c>
      <c r="AF263" s="73">
        <f>IF(AND(AE263=TRUE,D263&gt;=65),$U263*(1-10%)+SUM($W$22:$W263)+$AB263,AD263)</f>
        <v>200298.0118221039</v>
      </c>
      <c r="AG263" s="73">
        <f t="shared" si="166"/>
        <v>676.12834747783006</v>
      </c>
      <c r="AH263" s="73">
        <f t="shared" si="167"/>
        <v>71794.232590826898</v>
      </c>
      <c r="AI263" s="73">
        <f t="shared" si="168"/>
        <v>203514.63259082686</v>
      </c>
      <c r="AJ263" s="73">
        <f t="shared" si="169"/>
        <v>189873.72839856974</v>
      </c>
      <c r="AK263" s="73" t="b">
        <f t="shared" si="149"/>
        <v>1</v>
      </c>
      <c r="AL263" s="73">
        <f t="shared" si="170"/>
        <v>203514.63259082686</v>
      </c>
      <c r="AM263" s="73">
        <f t="shared" si="157"/>
        <v>620.19524128334331</v>
      </c>
      <c r="AN263" s="73">
        <f t="shared" si="150"/>
        <v>117.83709584383523</v>
      </c>
      <c r="AO263" s="73">
        <f t="shared" si="151"/>
        <v>54840.530530442513</v>
      </c>
      <c r="AP263" s="73">
        <f t="shared" si="152"/>
        <v>186560.93053044248</v>
      </c>
    </row>
    <row r="264" spans="1:42" s="31" customFormat="1" x14ac:dyDescent="0.6">
      <c r="A264" s="70">
        <f t="shared" si="136"/>
        <v>243</v>
      </c>
      <c r="B264" s="70" t="str">
        <f>IF(E264&lt;=$F$9,VLOOKUP(KALKULATOR!A264,Robocze!$B$23:$C$102,2),"")</f>
        <v>21 rok</v>
      </c>
      <c r="C264" s="70">
        <f t="shared" si="139"/>
        <v>2041</v>
      </c>
      <c r="D264" s="71">
        <f t="shared" si="153"/>
        <v>60.250000000000576</v>
      </c>
      <c r="E264" s="77">
        <f t="shared" si="154"/>
        <v>51533</v>
      </c>
      <c r="F264" s="72">
        <f t="shared" si="140"/>
        <v>51560</v>
      </c>
      <c r="G264" s="73">
        <f>IFERROR(IF(AND(F264&lt;=$F$9,$F$5=Robocze!$B$4,$E264&lt;=$F$9,MONTH($F$8)=MONTH(E264)),$F$4,0)+IF(AND(F264&lt;=$F$9,$F$5=Robocze!$B$3,E264&lt;=$F$9),KALKULATOR!$F$4/12,0),"")</f>
        <v>0</v>
      </c>
      <c r="H264" s="73">
        <f t="shared" si="141"/>
        <v>131720.39999999997</v>
      </c>
      <c r="I264" s="74">
        <f t="shared" si="137"/>
        <v>0.04</v>
      </c>
      <c r="J264" s="73">
        <f t="shared" si="158"/>
        <v>0</v>
      </c>
      <c r="K264" s="75" t="str">
        <f t="shared" si="159"/>
        <v/>
      </c>
      <c r="L264" s="73">
        <f t="shared" si="160"/>
        <v>131720.39999999997</v>
      </c>
      <c r="M264" s="73">
        <f t="shared" si="161"/>
        <v>200942.91828095552</v>
      </c>
      <c r="N264" s="73">
        <f t="shared" si="162"/>
        <v>200942.91828095552</v>
      </c>
      <c r="O264" s="73">
        <f t="shared" si="163"/>
        <v>204193.01469946295</v>
      </c>
      <c r="P264" s="73">
        <f t="shared" si="164"/>
        <v>190423.21790656497</v>
      </c>
      <c r="Q264" s="73">
        <f t="shared" si="165"/>
        <v>187064.64504287468</v>
      </c>
      <c r="R264" s="73"/>
      <c r="S264" s="76">
        <f t="shared" si="138"/>
        <v>0.17</v>
      </c>
      <c r="T264" s="73">
        <f t="shared" si="155"/>
        <v>678.38210863608879</v>
      </c>
      <c r="U264" s="73">
        <f t="shared" si="142"/>
        <v>204193.01469946271</v>
      </c>
      <c r="V264" s="76">
        <f t="shared" si="143"/>
        <v>0.17</v>
      </c>
      <c r="W264" s="73">
        <f t="shared" si="144"/>
        <v>0</v>
      </c>
      <c r="X264" s="73">
        <f>IF(B264&lt;&gt;"",IF(MONTH(E264)=MONTH($F$13),SUMIF($C$22:C646,"="&amp;(C264-1),$G$22:G646),0)*S264,"")</f>
        <v>0</v>
      </c>
      <c r="Y264" s="73">
        <f>IF(B264&lt;&gt;"",SUM($X$22:X264),"")</f>
        <v>21326.160000000011</v>
      </c>
      <c r="Z264" s="73">
        <f t="shared" si="156"/>
        <v>101.04852923905933</v>
      </c>
      <c r="AA264" s="73">
        <f t="shared" si="145"/>
        <v>19.199220555421274</v>
      </c>
      <c r="AB264" s="73">
        <f t="shared" si="146"/>
        <v>9070.248080401434</v>
      </c>
      <c r="AC264" s="73">
        <f t="shared" si="147"/>
        <v>30396.408080401437</v>
      </c>
      <c r="AD264" s="73">
        <f>IFERROR($U264*(1-$V264)+SUM($W$22:$W264)+$AB264,"")</f>
        <v>200942.91828095552</v>
      </c>
      <c r="AE264" s="73" t="b">
        <f t="shared" si="148"/>
        <v>0</v>
      </c>
      <c r="AF264" s="73">
        <f>IF(AND(AE264=TRUE,D264&gt;=65),$U264*(1-10%)+SUM($W$22:$W264)+$AB264,AD264)</f>
        <v>200942.91828095552</v>
      </c>
      <c r="AG264" s="73">
        <f t="shared" si="166"/>
        <v>678.38210863608958</v>
      </c>
      <c r="AH264" s="73">
        <f t="shared" si="167"/>
        <v>72472.614699462982</v>
      </c>
      <c r="AI264" s="73">
        <f t="shared" si="168"/>
        <v>204193.01469946295</v>
      </c>
      <c r="AJ264" s="73">
        <f t="shared" si="169"/>
        <v>190423.21790656497</v>
      </c>
      <c r="AK264" s="73" t="b">
        <f t="shared" si="149"/>
        <v>1</v>
      </c>
      <c r="AL264" s="73">
        <f t="shared" si="170"/>
        <v>204193.01469946295</v>
      </c>
      <c r="AM264" s="73">
        <f t="shared" si="157"/>
        <v>621.86976843480829</v>
      </c>
      <c r="AN264" s="73">
        <f t="shared" si="150"/>
        <v>118.15525600261358</v>
      </c>
      <c r="AO264" s="73">
        <f t="shared" si="151"/>
        <v>55344.245042874711</v>
      </c>
      <c r="AP264" s="73">
        <f t="shared" si="152"/>
        <v>187064.64504287468</v>
      </c>
    </row>
    <row r="265" spans="1:42" s="31" customFormat="1" x14ac:dyDescent="0.6">
      <c r="A265" s="70">
        <f t="shared" si="136"/>
        <v>244</v>
      </c>
      <c r="B265" s="70" t="str">
        <f>IF(E265&lt;=$F$9,VLOOKUP(KALKULATOR!A265,Robocze!$B$23:$C$102,2),"")</f>
        <v>21 rok</v>
      </c>
      <c r="C265" s="70">
        <f t="shared" si="139"/>
        <v>2041</v>
      </c>
      <c r="D265" s="71">
        <f t="shared" si="153"/>
        <v>60.333333333333911</v>
      </c>
      <c r="E265" s="77">
        <f t="shared" si="154"/>
        <v>51561</v>
      </c>
      <c r="F265" s="72">
        <f t="shared" si="140"/>
        <v>51591</v>
      </c>
      <c r="G265" s="73">
        <f>IFERROR(IF(AND(F265&lt;=$F$9,$F$5=Robocze!$B$4,$E265&lt;=$F$9,MONTH($F$8)=MONTH(E265)),$F$4,0)+IF(AND(F265&lt;=$F$9,$F$5=Robocze!$B$3,E265&lt;=$F$9),KALKULATOR!$F$4/12,0),"")</f>
        <v>0</v>
      </c>
      <c r="H265" s="73">
        <f t="shared" si="141"/>
        <v>131720.39999999997</v>
      </c>
      <c r="I265" s="74">
        <f t="shared" si="137"/>
        <v>0.04</v>
      </c>
      <c r="J265" s="73">
        <f t="shared" si="158"/>
        <v>0</v>
      </c>
      <c r="K265" s="75" t="str">
        <f t="shared" si="159"/>
        <v/>
      </c>
      <c r="L265" s="73">
        <f t="shared" si="160"/>
        <v>131720.39999999997</v>
      </c>
      <c r="M265" s="73">
        <f t="shared" si="161"/>
        <v>201589.92259010774</v>
      </c>
      <c r="N265" s="73">
        <f t="shared" si="162"/>
        <v>201589.92259010774</v>
      </c>
      <c r="O265" s="73">
        <f t="shared" si="163"/>
        <v>204873.65808179451</v>
      </c>
      <c r="P265" s="73">
        <f t="shared" si="164"/>
        <v>190974.53904625354</v>
      </c>
      <c r="Q265" s="73">
        <f t="shared" si="165"/>
        <v>187569.71958449043</v>
      </c>
      <c r="R265" s="73"/>
      <c r="S265" s="76">
        <f t="shared" si="138"/>
        <v>0.17</v>
      </c>
      <c r="T265" s="73">
        <f t="shared" si="155"/>
        <v>680.6433823315424</v>
      </c>
      <c r="U265" s="73">
        <f t="shared" si="142"/>
        <v>204873.65808179424</v>
      </c>
      <c r="V265" s="76">
        <f t="shared" si="143"/>
        <v>0.17</v>
      </c>
      <c r="W265" s="73">
        <f t="shared" si="144"/>
        <v>0</v>
      </c>
      <c r="X265" s="73">
        <f>IF(B265&lt;&gt;"",IF(MONTH(E265)=MONTH($F$13),SUMIF($C$22:C647,"="&amp;(C265-1),$G$22:G647),0)*S265,"")</f>
        <v>0</v>
      </c>
      <c r="Y265" s="73">
        <f>IF(B265&lt;&gt;"",SUM($X$22:X265),"")</f>
        <v>21326.160000000011</v>
      </c>
      <c r="Z265" s="73">
        <f t="shared" si="156"/>
        <v>101.3213602680048</v>
      </c>
      <c r="AA265" s="73">
        <f t="shared" si="145"/>
        <v>19.251058450920912</v>
      </c>
      <c r="AB265" s="73">
        <f t="shared" si="146"/>
        <v>9152.3183822185183</v>
      </c>
      <c r="AC265" s="73">
        <f t="shared" si="147"/>
        <v>30478.47838221852</v>
      </c>
      <c r="AD265" s="73">
        <f>IFERROR($U265*(1-$V265)+SUM($W$22:$W265)+$AB265,"")</f>
        <v>201589.92259010774</v>
      </c>
      <c r="AE265" s="73" t="b">
        <f t="shared" si="148"/>
        <v>0</v>
      </c>
      <c r="AF265" s="73">
        <f>IF(AND(AE265=TRUE,D265&gt;=65),$U265*(1-10%)+SUM($W$22:$W265)+$AB265,AD265)</f>
        <v>201589.92259010774</v>
      </c>
      <c r="AG265" s="73">
        <f t="shared" si="166"/>
        <v>680.64338233154319</v>
      </c>
      <c r="AH265" s="73">
        <f t="shared" si="167"/>
        <v>73153.258081794527</v>
      </c>
      <c r="AI265" s="73">
        <f t="shared" si="168"/>
        <v>204873.65808179451</v>
      </c>
      <c r="AJ265" s="73">
        <f t="shared" si="169"/>
        <v>190974.53904625354</v>
      </c>
      <c r="AK265" s="73" t="b">
        <f t="shared" si="149"/>
        <v>1</v>
      </c>
      <c r="AL265" s="73">
        <f t="shared" si="170"/>
        <v>204873.65808179451</v>
      </c>
      <c r="AM265" s="73">
        <f t="shared" si="157"/>
        <v>623.54881680958226</v>
      </c>
      <c r="AN265" s="73">
        <f t="shared" si="150"/>
        <v>118.47427519382063</v>
      </c>
      <c r="AO265" s="73">
        <f t="shared" si="151"/>
        <v>55849.319584490469</v>
      </c>
      <c r="AP265" s="73">
        <f t="shared" si="152"/>
        <v>187569.71958449043</v>
      </c>
    </row>
    <row r="266" spans="1:42" s="31" customFormat="1" x14ac:dyDescent="0.6">
      <c r="A266" s="70">
        <f t="shared" si="136"/>
        <v>245</v>
      </c>
      <c r="B266" s="70" t="str">
        <f>IF(E266&lt;=$F$9,VLOOKUP(KALKULATOR!A266,Robocze!$B$23:$C$102,2),"")</f>
        <v>21 rok</v>
      </c>
      <c r="C266" s="70">
        <f t="shared" si="139"/>
        <v>2041</v>
      </c>
      <c r="D266" s="71">
        <f t="shared" si="153"/>
        <v>60.416666666667247</v>
      </c>
      <c r="E266" s="77">
        <f t="shared" si="154"/>
        <v>51592</v>
      </c>
      <c r="F266" s="72">
        <f t="shared" si="140"/>
        <v>51621</v>
      </c>
      <c r="G266" s="73">
        <f>IFERROR(IF(AND(F266&lt;=$F$9,$F$5=Robocze!$B$4,$E266&lt;=$F$9,MONTH($F$8)=MONTH(E266)),$F$4,0)+IF(AND(F266&lt;=$F$9,$F$5=Robocze!$B$3,E266&lt;=$F$9),KALKULATOR!$F$4/12,0),"")</f>
        <v>0</v>
      </c>
      <c r="H266" s="73">
        <f t="shared" si="141"/>
        <v>131720.39999999997</v>
      </c>
      <c r="I266" s="74">
        <f t="shared" si="137"/>
        <v>0.04</v>
      </c>
      <c r="J266" s="73">
        <f t="shared" si="158"/>
        <v>0</v>
      </c>
      <c r="K266" s="75" t="str">
        <f t="shared" si="159"/>
        <v/>
      </c>
      <c r="L266" s="73">
        <f t="shared" si="160"/>
        <v>131720.39999999997</v>
      </c>
      <c r="M266" s="73">
        <f t="shared" si="161"/>
        <v>202241.91063403268</v>
      </c>
      <c r="N266" s="73">
        <f t="shared" si="162"/>
        <v>202241.91063403268</v>
      </c>
      <c r="O266" s="73">
        <f t="shared" si="163"/>
        <v>205556.57027540047</v>
      </c>
      <c r="P266" s="73">
        <f t="shared" si="164"/>
        <v>191527.69792307439</v>
      </c>
      <c r="Q266" s="73">
        <f t="shared" si="165"/>
        <v>188076.15782736856</v>
      </c>
      <c r="R266" s="73"/>
      <c r="S266" s="76">
        <f t="shared" si="138"/>
        <v>0.17</v>
      </c>
      <c r="T266" s="73">
        <f t="shared" si="155"/>
        <v>682.91219360598086</v>
      </c>
      <c r="U266" s="73">
        <f t="shared" si="142"/>
        <v>205556.57027540021</v>
      </c>
      <c r="V266" s="76">
        <f t="shared" si="143"/>
        <v>0.17</v>
      </c>
      <c r="W266" s="73">
        <f t="shared" si="144"/>
        <v>0</v>
      </c>
      <c r="X266" s="73">
        <f>IF(B266&lt;&gt;"",IF(MONTH(E266)=MONTH($F$13),SUMIF($C$22:C648,"="&amp;(C266-1),$G$22:G648),0)*S266,"")</f>
        <v>1066.308</v>
      </c>
      <c r="Y266" s="73">
        <f>IF(B266&lt;&gt;"",SUM($X$22:X266),"")</f>
        <v>22392.468000000012</v>
      </c>
      <c r="Z266" s="73">
        <f t="shared" si="156"/>
        <v>105.14928794072841</v>
      </c>
      <c r="AA266" s="73">
        <f t="shared" si="145"/>
        <v>19.9783647087384</v>
      </c>
      <c r="AB266" s="73">
        <f t="shared" si="146"/>
        <v>9237.4893054505083</v>
      </c>
      <c r="AC266" s="73">
        <f t="shared" si="147"/>
        <v>31629.957305450509</v>
      </c>
      <c r="AD266" s="73">
        <f>IFERROR($U266*(1-$V266)+SUM($W$22:$W266)+$AB266,"")</f>
        <v>202241.91063403268</v>
      </c>
      <c r="AE266" s="73" t="b">
        <f t="shared" si="148"/>
        <v>0</v>
      </c>
      <c r="AF266" s="73">
        <f>IF(AND(AE266=TRUE,D266&gt;=65),$U266*(1-10%)+SUM($W$22:$W266)+$AB266,AD266)</f>
        <v>202241.91063403268</v>
      </c>
      <c r="AG266" s="73">
        <f t="shared" si="166"/>
        <v>682.91219360598177</v>
      </c>
      <c r="AH266" s="73">
        <f t="shared" si="167"/>
        <v>73836.170275400509</v>
      </c>
      <c r="AI266" s="73">
        <f t="shared" si="168"/>
        <v>205556.57027540047</v>
      </c>
      <c r="AJ266" s="73">
        <f t="shared" si="169"/>
        <v>191527.69792307439</v>
      </c>
      <c r="AK266" s="73" t="b">
        <f t="shared" si="149"/>
        <v>1</v>
      </c>
      <c r="AL266" s="73">
        <f t="shared" si="170"/>
        <v>205556.57027540047</v>
      </c>
      <c r="AM266" s="73">
        <f t="shared" si="157"/>
        <v>625.23239861496813</v>
      </c>
      <c r="AN266" s="73">
        <f t="shared" si="150"/>
        <v>118.79415573684395</v>
      </c>
      <c r="AO266" s="73">
        <f t="shared" si="151"/>
        <v>56355.757827368594</v>
      </c>
      <c r="AP266" s="73">
        <f t="shared" si="152"/>
        <v>188076.15782736856</v>
      </c>
    </row>
    <row r="267" spans="1:42" s="31" customFormat="1" x14ac:dyDescent="0.6">
      <c r="A267" s="70">
        <f t="shared" si="136"/>
        <v>246</v>
      </c>
      <c r="B267" s="70" t="str">
        <f>IF(E267&lt;=$F$9,VLOOKUP(KALKULATOR!A267,Robocze!$B$23:$C$102,2),"")</f>
        <v>21 rok</v>
      </c>
      <c r="C267" s="70">
        <f t="shared" si="139"/>
        <v>2041</v>
      </c>
      <c r="D267" s="71">
        <f t="shared" si="153"/>
        <v>60.500000000000583</v>
      </c>
      <c r="E267" s="77">
        <f t="shared" si="154"/>
        <v>51622</v>
      </c>
      <c r="F267" s="72">
        <f t="shared" si="140"/>
        <v>51652</v>
      </c>
      <c r="G267" s="73">
        <f>IFERROR(IF(AND(F267&lt;=$F$9,$F$5=Robocze!$B$4,$E267&lt;=$F$9,MONTH($F$8)=MONTH(E267)),$F$4,0)+IF(AND(F267&lt;=$F$9,$F$5=Robocze!$B$3,E267&lt;=$F$9),KALKULATOR!$F$4/12,0),"")</f>
        <v>0</v>
      </c>
      <c r="H267" s="73">
        <f t="shared" si="141"/>
        <v>131720.39999999997</v>
      </c>
      <c r="I267" s="74">
        <f t="shared" si="137"/>
        <v>0.04</v>
      </c>
      <c r="J267" s="73">
        <f t="shared" si="158"/>
        <v>0</v>
      </c>
      <c r="K267" s="75" t="str">
        <f t="shared" si="159"/>
        <v/>
      </c>
      <c r="L267" s="73">
        <f t="shared" si="160"/>
        <v>131720.39999999997</v>
      </c>
      <c r="M267" s="73">
        <f t="shared" si="161"/>
        <v>202896.01802985271</v>
      </c>
      <c r="N267" s="73">
        <f t="shared" si="162"/>
        <v>202896.01802985271</v>
      </c>
      <c r="O267" s="73">
        <f t="shared" si="163"/>
        <v>206241.75884298515</v>
      </c>
      <c r="P267" s="73">
        <f t="shared" si="164"/>
        <v>192082.70066281795</v>
      </c>
      <c r="Q267" s="73">
        <f t="shared" si="165"/>
        <v>188583.96345350248</v>
      </c>
      <c r="R267" s="73"/>
      <c r="S267" s="76">
        <f t="shared" si="138"/>
        <v>0.17</v>
      </c>
      <c r="T267" s="73">
        <f t="shared" si="155"/>
        <v>685.18856758466745</v>
      </c>
      <c r="U267" s="73">
        <f t="shared" si="142"/>
        <v>206241.75884298488</v>
      </c>
      <c r="V267" s="76">
        <f t="shared" si="143"/>
        <v>0.17</v>
      </c>
      <c r="W267" s="73">
        <f t="shared" si="144"/>
        <v>0</v>
      </c>
      <c r="X267" s="73">
        <f>IF(B267&lt;&gt;"",IF(MONTH(E267)=MONTH($F$13),SUMIF($C$22:C649,"="&amp;(C267-1),$G$22:G649),0)*S267,"")</f>
        <v>0</v>
      </c>
      <c r="Y267" s="73">
        <f>IF(B267&lt;&gt;"",SUM($X$22:X267),"")</f>
        <v>22392.468000000012</v>
      </c>
      <c r="Z267" s="73">
        <f t="shared" si="156"/>
        <v>105.43319101816837</v>
      </c>
      <c r="AA267" s="73">
        <f t="shared" si="145"/>
        <v>20.032306293451992</v>
      </c>
      <c r="AB267" s="73">
        <f t="shared" si="146"/>
        <v>9322.8901901752251</v>
      </c>
      <c r="AC267" s="73">
        <f t="shared" si="147"/>
        <v>31715.358190175226</v>
      </c>
      <c r="AD267" s="73">
        <f>IFERROR($U267*(1-$V267)+SUM($W$22:$W267)+$AB267,"")</f>
        <v>202896.01802985271</v>
      </c>
      <c r="AE267" s="73" t="b">
        <f t="shared" si="148"/>
        <v>0</v>
      </c>
      <c r="AF267" s="73">
        <f>IF(AND(AE267=TRUE,D267&gt;=65),$U267*(1-10%)+SUM($W$22:$W267)+$AB267,AD267)</f>
        <v>202896.01802985271</v>
      </c>
      <c r="AG267" s="73">
        <f t="shared" si="166"/>
        <v>685.18856758466825</v>
      </c>
      <c r="AH267" s="73">
        <f t="shared" si="167"/>
        <v>74521.358842985181</v>
      </c>
      <c r="AI267" s="73">
        <f t="shared" si="168"/>
        <v>206241.75884298515</v>
      </c>
      <c r="AJ267" s="73">
        <f t="shared" si="169"/>
        <v>192082.70066281795</v>
      </c>
      <c r="AK267" s="73" t="b">
        <f t="shared" si="149"/>
        <v>1</v>
      </c>
      <c r="AL267" s="73">
        <f t="shared" si="170"/>
        <v>206241.75884298515</v>
      </c>
      <c r="AM267" s="73">
        <f t="shared" si="157"/>
        <v>626.92052609122857</v>
      </c>
      <c r="AN267" s="73">
        <f t="shared" si="150"/>
        <v>119.11489995733344</v>
      </c>
      <c r="AO267" s="73">
        <f t="shared" si="151"/>
        <v>56863.563453502516</v>
      </c>
      <c r="AP267" s="73">
        <f t="shared" si="152"/>
        <v>188583.96345350248</v>
      </c>
    </row>
    <row r="268" spans="1:42" s="31" customFormat="1" x14ac:dyDescent="0.6">
      <c r="A268" s="70">
        <f t="shared" si="136"/>
        <v>247</v>
      </c>
      <c r="B268" s="70" t="str">
        <f>IF(E268&lt;=$F$9,VLOOKUP(KALKULATOR!A268,Robocze!$B$23:$C$102,2),"")</f>
        <v>21 rok</v>
      </c>
      <c r="C268" s="70">
        <f t="shared" si="139"/>
        <v>2041</v>
      </c>
      <c r="D268" s="71">
        <f t="shared" si="153"/>
        <v>60.583333333333918</v>
      </c>
      <c r="E268" s="77">
        <f t="shared" si="154"/>
        <v>51653</v>
      </c>
      <c r="F268" s="72">
        <f t="shared" si="140"/>
        <v>51682</v>
      </c>
      <c r="G268" s="73">
        <f>IFERROR(IF(AND(F268&lt;=$F$9,$F$5=Robocze!$B$4,$E268&lt;=$F$9,MONTH($F$8)=MONTH(E268)),$F$4,0)+IF(AND(F268&lt;=$F$9,$F$5=Robocze!$B$3,E268&lt;=$F$9),KALKULATOR!$F$4/12,0),"")</f>
        <v>0</v>
      </c>
      <c r="H268" s="73">
        <f t="shared" si="141"/>
        <v>131720.39999999997</v>
      </c>
      <c r="I268" s="74">
        <f t="shared" si="137"/>
        <v>0.04</v>
      </c>
      <c r="J268" s="73">
        <f t="shared" si="158"/>
        <v>0</v>
      </c>
      <c r="K268" s="75" t="str">
        <f t="shared" si="159"/>
        <v/>
      </c>
      <c r="L268" s="73">
        <f t="shared" si="160"/>
        <v>131720.39999999997</v>
      </c>
      <c r="M268" s="73">
        <f t="shared" si="161"/>
        <v>203552.25169643175</v>
      </c>
      <c r="N268" s="73">
        <f t="shared" si="162"/>
        <v>203552.25169643175</v>
      </c>
      <c r="O268" s="73">
        <f t="shared" si="163"/>
        <v>206929.23137246177</v>
      </c>
      <c r="P268" s="73">
        <f t="shared" si="164"/>
        <v>192639.55341169404</v>
      </c>
      <c r="Q268" s="73">
        <f t="shared" si="165"/>
        <v>189093.14015482692</v>
      </c>
      <c r="R268" s="73"/>
      <c r="S268" s="76">
        <f t="shared" si="138"/>
        <v>0.17</v>
      </c>
      <c r="T268" s="73">
        <f t="shared" si="155"/>
        <v>687.47252947661627</v>
      </c>
      <c r="U268" s="73">
        <f t="shared" si="142"/>
        <v>206929.23137246151</v>
      </c>
      <c r="V268" s="76">
        <f t="shared" si="143"/>
        <v>0.17</v>
      </c>
      <c r="W268" s="73">
        <f t="shared" si="144"/>
        <v>0</v>
      </c>
      <c r="X268" s="73">
        <f>IF(B268&lt;&gt;"",IF(MONTH(E268)=MONTH($F$13),SUMIF($C$22:C650,"="&amp;(C268-1),$G$22:G650),0)*S268,"")</f>
        <v>0</v>
      </c>
      <c r="Y268" s="73">
        <f>IF(B268&lt;&gt;"",SUM($X$22:X268),"")</f>
        <v>22392.468000000012</v>
      </c>
      <c r="Z268" s="73">
        <f t="shared" si="156"/>
        <v>105.71786063391743</v>
      </c>
      <c r="AA268" s="73">
        <f t="shared" si="145"/>
        <v>20.086393520444311</v>
      </c>
      <c r="AB268" s="73">
        <f t="shared" si="146"/>
        <v>9408.5216572886966</v>
      </c>
      <c r="AC268" s="73">
        <f t="shared" si="147"/>
        <v>31800.989657288701</v>
      </c>
      <c r="AD268" s="73">
        <f>IFERROR($U268*(1-$V268)+SUM($W$22:$W268)+$AB268,"")</f>
        <v>203552.25169643175</v>
      </c>
      <c r="AE268" s="73" t="b">
        <f t="shared" si="148"/>
        <v>0</v>
      </c>
      <c r="AF268" s="73">
        <f>IF(AND(AE268=TRUE,D268&gt;=65),$U268*(1-10%)+SUM($W$22:$W268)+$AB268,AD268)</f>
        <v>203552.25169643175</v>
      </c>
      <c r="AG268" s="73">
        <f t="shared" si="166"/>
        <v>687.47252947661718</v>
      </c>
      <c r="AH268" s="73">
        <f t="shared" si="167"/>
        <v>75208.831372461791</v>
      </c>
      <c r="AI268" s="73">
        <f t="shared" si="168"/>
        <v>206929.23137246177</v>
      </c>
      <c r="AJ268" s="73">
        <f t="shared" si="169"/>
        <v>192639.55341169404</v>
      </c>
      <c r="AK268" s="73" t="b">
        <f t="shared" si="149"/>
        <v>1</v>
      </c>
      <c r="AL268" s="73">
        <f t="shared" si="170"/>
        <v>206929.23137246177</v>
      </c>
      <c r="AM268" s="73">
        <f t="shared" si="157"/>
        <v>628.61321151167488</v>
      </c>
      <c r="AN268" s="73">
        <f t="shared" si="150"/>
        <v>119.43651018721823</v>
      </c>
      <c r="AO268" s="73">
        <f t="shared" si="151"/>
        <v>57372.740154826955</v>
      </c>
      <c r="AP268" s="73">
        <f t="shared" si="152"/>
        <v>189093.14015482692</v>
      </c>
    </row>
    <row r="269" spans="1:42" s="31" customFormat="1" x14ac:dyDescent="0.6">
      <c r="A269" s="70">
        <f t="shared" si="136"/>
        <v>248</v>
      </c>
      <c r="B269" s="70" t="str">
        <f>IF(E269&lt;=$F$9,VLOOKUP(KALKULATOR!A269,Robocze!$B$23:$C$102,2),"")</f>
        <v>21 rok</v>
      </c>
      <c r="C269" s="70">
        <f t="shared" si="139"/>
        <v>2041</v>
      </c>
      <c r="D269" s="71">
        <f t="shared" si="153"/>
        <v>60.666666666667254</v>
      </c>
      <c r="E269" s="77">
        <f t="shared" si="154"/>
        <v>51683</v>
      </c>
      <c r="F269" s="72">
        <f t="shared" si="140"/>
        <v>51713</v>
      </c>
      <c r="G269" s="73">
        <f>IFERROR(IF(AND(F269&lt;=$F$9,$F$5=Robocze!$B$4,$E269&lt;=$F$9,MONTH($F$8)=MONTH(E269)),$F$4,0)+IF(AND(F269&lt;=$F$9,$F$5=Robocze!$B$3,E269&lt;=$F$9),KALKULATOR!$F$4/12,0),"")</f>
        <v>0</v>
      </c>
      <c r="H269" s="73">
        <f t="shared" si="141"/>
        <v>131720.39999999997</v>
      </c>
      <c r="I269" s="74">
        <f t="shared" si="137"/>
        <v>0.04</v>
      </c>
      <c r="J269" s="73">
        <f t="shared" si="158"/>
        <v>0</v>
      </c>
      <c r="K269" s="75" t="str">
        <f t="shared" si="159"/>
        <v/>
      </c>
      <c r="L269" s="73">
        <f t="shared" si="160"/>
        <v>131720.39999999997</v>
      </c>
      <c r="M269" s="73">
        <f t="shared" si="161"/>
        <v>204210.61857530358</v>
      </c>
      <c r="N269" s="73">
        <f t="shared" si="162"/>
        <v>204210.61857530358</v>
      </c>
      <c r="O269" s="73">
        <f t="shared" si="163"/>
        <v>207618.99547703663</v>
      </c>
      <c r="P269" s="73">
        <f t="shared" si="164"/>
        <v>193198.26233639967</v>
      </c>
      <c r="Q269" s="73">
        <f t="shared" si="165"/>
        <v>189603.69163324495</v>
      </c>
      <c r="R269" s="73"/>
      <c r="S269" s="76">
        <f t="shared" si="138"/>
        <v>0.17</v>
      </c>
      <c r="T269" s="73">
        <f t="shared" si="155"/>
        <v>689.76410457487179</v>
      </c>
      <c r="U269" s="73">
        <f t="shared" si="142"/>
        <v>207618.99547703637</v>
      </c>
      <c r="V269" s="76">
        <f t="shared" si="143"/>
        <v>0.17</v>
      </c>
      <c r="W269" s="73">
        <f t="shared" si="144"/>
        <v>0</v>
      </c>
      <c r="X269" s="73">
        <f>IF(B269&lt;&gt;"",IF(MONTH(E269)=MONTH($F$13),SUMIF($C$22:C651,"="&amp;(C269-1),$G$22:G651),0)*S269,"")</f>
        <v>0</v>
      </c>
      <c r="Y269" s="73">
        <f>IF(B269&lt;&gt;"",SUM($X$22:X269),"")</f>
        <v>22392.468000000012</v>
      </c>
      <c r="Z269" s="73">
        <f t="shared" si="156"/>
        <v>106.00329885762902</v>
      </c>
      <c r="AA269" s="73">
        <f t="shared" si="145"/>
        <v>20.140626782949514</v>
      </c>
      <c r="AB269" s="73">
        <f t="shared" si="146"/>
        <v>9494.3843293633763</v>
      </c>
      <c r="AC269" s="73">
        <f t="shared" si="147"/>
        <v>31886.852329363381</v>
      </c>
      <c r="AD269" s="73">
        <f>IFERROR($U269*(1-$V269)+SUM($W$22:$W269)+$AB269,"")</f>
        <v>204210.61857530358</v>
      </c>
      <c r="AE269" s="73" t="b">
        <f t="shared" si="148"/>
        <v>0</v>
      </c>
      <c r="AF269" s="73">
        <f>IF(AND(AE269=TRUE,D269&gt;=65),$U269*(1-10%)+SUM($W$22:$W269)+$AB269,AD269)</f>
        <v>204210.61857530358</v>
      </c>
      <c r="AG269" s="73">
        <f t="shared" si="166"/>
        <v>689.76410457487248</v>
      </c>
      <c r="AH269" s="73">
        <f t="shared" si="167"/>
        <v>75898.595477036666</v>
      </c>
      <c r="AI269" s="73">
        <f t="shared" si="168"/>
        <v>207618.99547703663</v>
      </c>
      <c r="AJ269" s="73">
        <f t="shared" si="169"/>
        <v>193198.26233639967</v>
      </c>
      <c r="AK269" s="73" t="b">
        <f t="shared" si="149"/>
        <v>1</v>
      </c>
      <c r="AL269" s="73">
        <f t="shared" si="170"/>
        <v>207618.99547703663</v>
      </c>
      <c r="AM269" s="73">
        <f t="shared" si="157"/>
        <v>630.31046718275638</v>
      </c>
      <c r="AN269" s="73">
        <f t="shared" si="150"/>
        <v>119.75898876472371</v>
      </c>
      <c r="AO269" s="73">
        <f t="shared" si="151"/>
        <v>57883.291633244982</v>
      </c>
      <c r="AP269" s="73">
        <f t="shared" si="152"/>
        <v>189603.69163324495</v>
      </c>
    </row>
    <row r="270" spans="1:42" s="31" customFormat="1" x14ac:dyDescent="0.6">
      <c r="A270" s="70">
        <f t="shared" si="136"/>
        <v>249</v>
      </c>
      <c r="B270" s="70" t="str">
        <f>IF(E270&lt;=$F$9,VLOOKUP(KALKULATOR!A270,Robocze!$B$23:$C$102,2),"")</f>
        <v>21 rok</v>
      </c>
      <c r="C270" s="70">
        <f t="shared" si="139"/>
        <v>2041</v>
      </c>
      <c r="D270" s="71">
        <f t="shared" si="153"/>
        <v>60.75000000000059</v>
      </c>
      <c r="E270" s="77">
        <f t="shared" si="154"/>
        <v>51714</v>
      </c>
      <c r="F270" s="72">
        <f t="shared" si="140"/>
        <v>51744</v>
      </c>
      <c r="G270" s="73">
        <f>IFERROR(IF(AND(F270&lt;=$F$9,$F$5=Robocze!$B$4,$E270&lt;=$F$9,MONTH($F$8)=MONTH(E270)),$F$4,0)+IF(AND(F270&lt;=$F$9,$F$5=Robocze!$B$3,E270&lt;=$F$9),KALKULATOR!$F$4/12,0),"")</f>
        <v>0</v>
      </c>
      <c r="H270" s="73">
        <f t="shared" si="141"/>
        <v>131720.39999999997</v>
      </c>
      <c r="I270" s="74">
        <f t="shared" si="137"/>
        <v>0.04</v>
      </c>
      <c r="J270" s="73">
        <f t="shared" si="158"/>
        <v>0</v>
      </c>
      <c r="K270" s="75" t="str">
        <f t="shared" si="159"/>
        <v/>
      </c>
      <c r="L270" s="73">
        <f t="shared" si="160"/>
        <v>131720.39999999997</v>
      </c>
      <c r="M270" s="73">
        <f t="shared" si="161"/>
        <v>204871.12563074598</v>
      </c>
      <c r="N270" s="73">
        <f t="shared" si="162"/>
        <v>204871.12563074598</v>
      </c>
      <c r="O270" s="73">
        <f t="shared" si="163"/>
        <v>208311.05879529341</v>
      </c>
      <c r="P270" s="73">
        <f t="shared" si="164"/>
        <v>193758.83362418765</v>
      </c>
      <c r="Q270" s="73">
        <f t="shared" si="165"/>
        <v>190115.6216006547</v>
      </c>
      <c r="R270" s="73"/>
      <c r="S270" s="76">
        <f t="shared" si="138"/>
        <v>0.17</v>
      </c>
      <c r="T270" s="73">
        <f t="shared" si="155"/>
        <v>692.06331825678797</v>
      </c>
      <c r="U270" s="73">
        <f t="shared" si="142"/>
        <v>208311.05879529315</v>
      </c>
      <c r="V270" s="76">
        <f t="shared" si="143"/>
        <v>0.17</v>
      </c>
      <c r="W270" s="73">
        <f t="shared" si="144"/>
        <v>0</v>
      </c>
      <c r="X270" s="73">
        <f>IF(B270&lt;&gt;"",IF(MONTH(E270)=MONTH($F$13),SUMIF($C$22:C652,"="&amp;(C270-1),$G$22:G652),0)*S270,"")</f>
        <v>0</v>
      </c>
      <c r="Y270" s="73">
        <f>IF(B270&lt;&gt;"",SUM($X$22:X270),"")</f>
        <v>22392.468000000012</v>
      </c>
      <c r="Z270" s="73">
        <f t="shared" si="156"/>
        <v>106.28950776454461</v>
      </c>
      <c r="AA270" s="73">
        <f t="shared" si="145"/>
        <v>20.195006475263476</v>
      </c>
      <c r="AB270" s="73">
        <f t="shared" si="146"/>
        <v>9580.4788306526571</v>
      </c>
      <c r="AC270" s="73">
        <f t="shared" si="147"/>
        <v>31972.946830652661</v>
      </c>
      <c r="AD270" s="73">
        <f>IFERROR($U270*(1-$V270)+SUM($W$22:$W270)+$AB270,"")</f>
        <v>204871.12563074598</v>
      </c>
      <c r="AE270" s="73" t="b">
        <f t="shared" si="148"/>
        <v>0</v>
      </c>
      <c r="AF270" s="73">
        <f>IF(AND(AE270=TRUE,D270&gt;=65),$U270*(1-10%)+SUM($W$22:$W270)+$AB270,AD270)</f>
        <v>204871.12563074598</v>
      </c>
      <c r="AG270" s="73">
        <f t="shared" si="166"/>
        <v>692.06331825678888</v>
      </c>
      <c r="AH270" s="73">
        <f t="shared" si="167"/>
        <v>76590.65879529345</v>
      </c>
      <c r="AI270" s="73">
        <f t="shared" si="168"/>
        <v>208311.05879529341</v>
      </c>
      <c r="AJ270" s="73">
        <f t="shared" si="169"/>
        <v>193758.83362418765</v>
      </c>
      <c r="AK270" s="73" t="b">
        <f t="shared" si="149"/>
        <v>1</v>
      </c>
      <c r="AL270" s="73">
        <f t="shared" si="170"/>
        <v>208311.05879529341</v>
      </c>
      <c r="AM270" s="73">
        <f t="shared" si="157"/>
        <v>632.01230544414977</v>
      </c>
      <c r="AN270" s="73">
        <f t="shared" si="150"/>
        <v>120.08233803438846</v>
      </c>
      <c r="AO270" s="73">
        <f t="shared" si="151"/>
        <v>58395.221600654739</v>
      </c>
      <c r="AP270" s="73">
        <f t="shared" si="152"/>
        <v>190115.6216006547</v>
      </c>
    </row>
    <row r="271" spans="1:42" s="31" customFormat="1" x14ac:dyDescent="0.6">
      <c r="A271" s="70">
        <f t="shared" si="136"/>
        <v>250</v>
      </c>
      <c r="B271" s="70" t="str">
        <f>IF(E271&lt;=$F$9,VLOOKUP(KALKULATOR!A271,Robocze!$B$23:$C$102,2),"")</f>
        <v>21 rok</v>
      </c>
      <c r="C271" s="70">
        <f t="shared" si="139"/>
        <v>2041</v>
      </c>
      <c r="D271" s="71">
        <f t="shared" si="153"/>
        <v>60.833333333333925</v>
      </c>
      <c r="E271" s="77">
        <f t="shared" si="154"/>
        <v>51745</v>
      </c>
      <c r="F271" s="72">
        <f t="shared" si="140"/>
        <v>51774</v>
      </c>
      <c r="G271" s="73">
        <f>IFERROR(IF(AND(F271&lt;=$F$9,$F$5=Robocze!$B$4,$E271&lt;=$F$9,MONTH($F$8)=MONTH(E271)),$F$4,0)+IF(AND(F271&lt;=$F$9,$F$5=Robocze!$B$3,E271&lt;=$F$9),KALKULATOR!$F$4/12,0),"")</f>
        <v>0</v>
      </c>
      <c r="H271" s="73">
        <f t="shared" si="141"/>
        <v>131720.39999999997</v>
      </c>
      <c r="I271" s="74">
        <f t="shared" si="137"/>
        <v>0.04</v>
      </c>
      <c r="J271" s="73">
        <f t="shared" si="158"/>
        <v>0</v>
      </c>
      <c r="K271" s="75" t="str">
        <f t="shared" si="159"/>
        <v/>
      </c>
      <c r="L271" s="73">
        <f t="shared" si="160"/>
        <v>131720.39999999997</v>
      </c>
      <c r="M271" s="73">
        <f t="shared" si="161"/>
        <v>205533.77984985572</v>
      </c>
      <c r="N271" s="73">
        <f t="shared" si="162"/>
        <v>205533.77984985572</v>
      </c>
      <c r="O271" s="73">
        <f t="shared" si="163"/>
        <v>209005.42899127773</v>
      </c>
      <c r="P271" s="73">
        <f t="shared" si="164"/>
        <v>194321.27348293495</v>
      </c>
      <c r="Q271" s="73">
        <f t="shared" si="165"/>
        <v>190628.93377897647</v>
      </c>
      <c r="R271" s="73"/>
      <c r="S271" s="76">
        <f t="shared" si="138"/>
        <v>0.17</v>
      </c>
      <c r="T271" s="73">
        <f t="shared" si="155"/>
        <v>694.3701959843105</v>
      </c>
      <c r="U271" s="73">
        <f t="shared" si="142"/>
        <v>209005.42899127747</v>
      </c>
      <c r="V271" s="76">
        <f t="shared" si="143"/>
        <v>0.17</v>
      </c>
      <c r="W271" s="73">
        <f t="shared" si="144"/>
        <v>0</v>
      </c>
      <c r="X271" s="73">
        <f>IF(B271&lt;&gt;"",IF(MONTH(E271)=MONTH($F$13),SUMIF($C$22:C653,"="&amp;(C271-1),$G$22:G653),0)*S271,"")</f>
        <v>0</v>
      </c>
      <c r="Y271" s="73">
        <f>IF(B271&lt;&gt;"",SUM($X$22:X271),"")</f>
        <v>22392.468000000012</v>
      </c>
      <c r="Z271" s="73">
        <f t="shared" si="156"/>
        <v>106.57648943550886</v>
      </c>
      <c r="AA271" s="73">
        <f t="shared" si="145"/>
        <v>20.249532992746683</v>
      </c>
      <c r="AB271" s="73">
        <f t="shared" si="146"/>
        <v>9666.8057870954199</v>
      </c>
      <c r="AC271" s="73">
        <f t="shared" si="147"/>
        <v>32059.273787095422</v>
      </c>
      <c r="AD271" s="73">
        <f>IFERROR($U271*(1-$V271)+SUM($W$22:$W271)+$AB271,"")</f>
        <v>205533.77984985572</v>
      </c>
      <c r="AE271" s="73" t="b">
        <f t="shared" si="148"/>
        <v>0</v>
      </c>
      <c r="AF271" s="73">
        <f>IF(AND(AE271=TRUE,D271&gt;=65),$U271*(1-10%)+SUM($W$22:$W271)+$AB271,AD271)</f>
        <v>205533.77984985572</v>
      </c>
      <c r="AG271" s="73">
        <f t="shared" si="166"/>
        <v>694.37019598431141</v>
      </c>
      <c r="AH271" s="73">
        <f t="shared" si="167"/>
        <v>77285.028991277766</v>
      </c>
      <c r="AI271" s="73">
        <f t="shared" si="168"/>
        <v>209005.42899127773</v>
      </c>
      <c r="AJ271" s="73">
        <f t="shared" si="169"/>
        <v>194321.27348293495</v>
      </c>
      <c r="AK271" s="73" t="b">
        <f t="shared" si="149"/>
        <v>1</v>
      </c>
      <c r="AL271" s="73">
        <f t="shared" si="170"/>
        <v>209005.42899127773</v>
      </c>
      <c r="AM271" s="73">
        <f t="shared" si="157"/>
        <v>633.71873866884903</v>
      </c>
      <c r="AN271" s="73">
        <f t="shared" si="150"/>
        <v>120.40656034708131</v>
      </c>
      <c r="AO271" s="73">
        <f t="shared" si="151"/>
        <v>58908.533778976504</v>
      </c>
      <c r="AP271" s="73">
        <f t="shared" si="152"/>
        <v>190628.93377897647</v>
      </c>
    </row>
    <row r="272" spans="1:42" s="31" customFormat="1" x14ac:dyDescent="0.6">
      <c r="A272" s="70">
        <f t="shared" si="136"/>
        <v>251</v>
      </c>
      <c r="B272" s="70" t="str">
        <f>IF(E272&lt;=$F$9,VLOOKUP(KALKULATOR!A272,Robocze!$B$23:$C$102,2),"")</f>
        <v>21 rok</v>
      </c>
      <c r="C272" s="70">
        <f t="shared" si="139"/>
        <v>2041</v>
      </c>
      <c r="D272" s="71">
        <f t="shared" si="153"/>
        <v>60.916666666667261</v>
      </c>
      <c r="E272" s="77">
        <f t="shared" si="154"/>
        <v>51775</v>
      </c>
      <c r="F272" s="72">
        <f t="shared" si="140"/>
        <v>51805</v>
      </c>
      <c r="G272" s="73">
        <f>IFERROR(IF(AND(F272&lt;=$F$9,$F$5=Robocze!$B$4,$E272&lt;=$F$9,MONTH($F$8)=MONTH(E272)),$F$4,0)+IF(AND(F272&lt;=$F$9,$F$5=Robocze!$B$3,E272&lt;=$F$9),KALKULATOR!$F$4/12,0),"")</f>
        <v>0</v>
      </c>
      <c r="H272" s="73">
        <f t="shared" si="141"/>
        <v>131720.39999999997</v>
      </c>
      <c r="I272" s="74">
        <f t="shared" si="137"/>
        <v>0.04</v>
      </c>
      <c r="J272" s="73">
        <f t="shared" si="158"/>
        <v>0</v>
      </c>
      <c r="K272" s="75" t="str">
        <f t="shared" si="159"/>
        <v/>
      </c>
      <c r="L272" s="73">
        <f t="shared" si="160"/>
        <v>131720.39999999997</v>
      </c>
      <c r="M272" s="73">
        <f t="shared" si="161"/>
        <v>206198.5882426234</v>
      </c>
      <c r="N272" s="73">
        <f t="shared" si="162"/>
        <v>206198.5882426234</v>
      </c>
      <c r="O272" s="73">
        <f t="shared" si="163"/>
        <v>209702.11375458201</v>
      </c>
      <c r="P272" s="73">
        <f t="shared" si="164"/>
        <v>194885.58814121142</v>
      </c>
      <c r="Q272" s="73">
        <f t="shared" si="165"/>
        <v>191143.63190017969</v>
      </c>
      <c r="R272" s="73"/>
      <c r="S272" s="76">
        <f t="shared" si="138"/>
        <v>0.17</v>
      </c>
      <c r="T272" s="73">
        <f t="shared" si="155"/>
        <v>696.68476330425824</v>
      </c>
      <c r="U272" s="73">
        <f t="shared" si="142"/>
        <v>209702.11375458172</v>
      </c>
      <c r="V272" s="76">
        <f t="shared" si="143"/>
        <v>0.17</v>
      </c>
      <c r="W272" s="73">
        <f t="shared" si="144"/>
        <v>0</v>
      </c>
      <c r="X272" s="73">
        <f>IF(B272&lt;&gt;"",IF(MONTH(E272)=MONTH($F$13),SUMIF($C$22:C654,"="&amp;(C272-1),$G$22:G654),0)*S272,"")</f>
        <v>0</v>
      </c>
      <c r="Y272" s="73">
        <f>IF(B272&lt;&gt;"",SUM($X$22:X272),"")</f>
        <v>22392.468000000012</v>
      </c>
      <c r="Z272" s="73">
        <f t="shared" si="156"/>
        <v>106.86424595698475</v>
      </c>
      <c r="AA272" s="73">
        <f t="shared" si="145"/>
        <v>20.304206731827101</v>
      </c>
      <c r="AB272" s="73">
        <f t="shared" si="146"/>
        <v>9753.365826320578</v>
      </c>
      <c r="AC272" s="73">
        <f t="shared" si="147"/>
        <v>32145.833826320581</v>
      </c>
      <c r="AD272" s="73">
        <f>IFERROR($U272*(1-$V272)+SUM($W$22:$W272)+$AB272,"")</f>
        <v>206198.5882426234</v>
      </c>
      <c r="AE272" s="73" t="b">
        <f t="shared" si="148"/>
        <v>0</v>
      </c>
      <c r="AF272" s="73">
        <f>IF(AND(AE272=TRUE,D272&gt;=65),$U272*(1-10%)+SUM($W$22:$W272)+$AB272,AD272)</f>
        <v>206198.5882426234</v>
      </c>
      <c r="AG272" s="73">
        <f t="shared" si="166"/>
        <v>696.68476330425904</v>
      </c>
      <c r="AH272" s="73">
        <f t="shared" si="167"/>
        <v>77981.71375458203</v>
      </c>
      <c r="AI272" s="73">
        <f t="shared" si="168"/>
        <v>209702.11375458201</v>
      </c>
      <c r="AJ272" s="73">
        <f t="shared" si="169"/>
        <v>194885.58814121142</v>
      </c>
      <c r="AK272" s="73" t="b">
        <f t="shared" si="149"/>
        <v>1</v>
      </c>
      <c r="AL272" s="73">
        <f t="shared" si="170"/>
        <v>209702.11375458201</v>
      </c>
      <c r="AM272" s="73">
        <f t="shared" si="157"/>
        <v>635.42977926325489</v>
      </c>
      <c r="AN272" s="73">
        <f t="shared" si="150"/>
        <v>120.73165806001843</v>
      </c>
      <c r="AO272" s="73">
        <f t="shared" si="151"/>
        <v>59423.23190017973</v>
      </c>
      <c r="AP272" s="73">
        <f t="shared" si="152"/>
        <v>191143.63190017969</v>
      </c>
    </row>
    <row r="273" spans="1:42" s="69" customFormat="1" x14ac:dyDescent="0.6">
      <c r="A273" s="78">
        <f t="shared" si="136"/>
        <v>252</v>
      </c>
      <c r="B273" s="78" t="str">
        <f>IF(E273&lt;=$F$9,VLOOKUP(KALKULATOR!A273,Robocze!$B$23:$C$102,2),"")</f>
        <v>21 rok</v>
      </c>
      <c r="C273" s="78">
        <f t="shared" si="139"/>
        <v>2041</v>
      </c>
      <c r="D273" s="79">
        <f t="shared" si="153"/>
        <v>61.000000000000597</v>
      </c>
      <c r="E273" s="80">
        <f t="shared" si="154"/>
        <v>51806</v>
      </c>
      <c r="F273" s="81">
        <f t="shared" si="140"/>
        <v>51835</v>
      </c>
      <c r="G273" s="82">
        <f>IFERROR(IF(AND(F273&lt;=$F$9,$F$5=Robocze!$B$4,$E273&lt;=$F$9,MONTH($F$8)=MONTH(E273)),$F$4,0)+IF(AND(F273&lt;=$F$9,$F$5=Robocze!$B$3,E273&lt;=$F$9),KALKULATOR!$F$4/12,0),"")</f>
        <v>0</v>
      </c>
      <c r="H273" s="82">
        <f t="shared" si="141"/>
        <v>131720.39999999997</v>
      </c>
      <c r="I273" s="83">
        <f t="shared" si="137"/>
        <v>0.04</v>
      </c>
      <c r="J273" s="82">
        <f t="shared" si="158"/>
        <v>0</v>
      </c>
      <c r="K273" s="84">
        <f t="shared" si="159"/>
        <v>21</v>
      </c>
      <c r="L273" s="82">
        <f t="shared" si="160"/>
        <v>131720.39999999997</v>
      </c>
      <c r="M273" s="82">
        <f t="shared" si="161"/>
        <v>206865.55784200883</v>
      </c>
      <c r="N273" s="82">
        <f t="shared" si="162"/>
        <v>206865.55784200883</v>
      </c>
      <c r="O273" s="82">
        <f t="shared" si="163"/>
        <v>210401.1208004306</v>
      </c>
      <c r="P273" s="82">
        <f t="shared" si="164"/>
        <v>195451.78384834877</v>
      </c>
      <c r="Q273" s="82">
        <f t="shared" si="165"/>
        <v>191659.71970631019</v>
      </c>
      <c r="R273" s="82"/>
      <c r="S273" s="85">
        <f t="shared" si="138"/>
        <v>0.17</v>
      </c>
      <c r="T273" s="82">
        <f t="shared" si="155"/>
        <v>699.0070458486058</v>
      </c>
      <c r="U273" s="82">
        <f t="shared" si="142"/>
        <v>210401.12080043033</v>
      </c>
      <c r="V273" s="85">
        <f t="shared" si="143"/>
        <v>0.17</v>
      </c>
      <c r="W273" s="82">
        <f t="shared" si="144"/>
        <v>0</v>
      </c>
      <c r="X273" s="82">
        <f>IF(B273&lt;&gt;"",IF(MONTH(E273)=MONTH($F$13),SUMIF($C$22:C655,"="&amp;(C273-1),$G$22:G655),0)*S273,"")</f>
        <v>0</v>
      </c>
      <c r="Y273" s="82">
        <f>IF(B273&lt;&gt;"",SUM($X$22:X273),"")</f>
        <v>22392.468000000012</v>
      </c>
      <c r="Z273" s="82">
        <f t="shared" si="156"/>
        <v>107.1527794210686</v>
      </c>
      <c r="AA273" s="82">
        <f t="shared" si="145"/>
        <v>20.359028090003033</v>
      </c>
      <c r="AB273" s="82">
        <f t="shared" si="146"/>
        <v>9840.1595776516442</v>
      </c>
      <c r="AC273" s="82">
        <f t="shared" si="147"/>
        <v>32232.627577651645</v>
      </c>
      <c r="AD273" s="82">
        <f>IFERROR($U273*(1-$V273)+SUM($W$22:$W273)+$AB273,"")</f>
        <v>206865.55784200883</v>
      </c>
      <c r="AE273" s="73" t="b">
        <f t="shared" si="148"/>
        <v>0</v>
      </c>
      <c r="AF273" s="82">
        <f>IF(AND(AE273=TRUE,D273&gt;=65),$U273*(1-10%)+SUM($W$22:$W273)+$AB273,AD273)</f>
        <v>206865.55784200883</v>
      </c>
      <c r="AG273" s="82">
        <f t="shared" si="166"/>
        <v>699.00704584860671</v>
      </c>
      <c r="AH273" s="82">
        <f t="shared" si="167"/>
        <v>78680.72080043063</v>
      </c>
      <c r="AI273" s="82">
        <f t="shared" si="168"/>
        <v>210401.1208004306</v>
      </c>
      <c r="AJ273" s="82">
        <f t="shared" si="169"/>
        <v>195451.78384834877</v>
      </c>
      <c r="AK273" s="73" t="b">
        <f t="shared" si="149"/>
        <v>1</v>
      </c>
      <c r="AL273" s="82">
        <f t="shared" si="170"/>
        <v>210401.1208004306</v>
      </c>
      <c r="AM273" s="82">
        <f t="shared" si="157"/>
        <v>637.14543966726569</v>
      </c>
      <c r="AN273" s="82">
        <f t="shared" si="150"/>
        <v>121.05763353678049</v>
      </c>
      <c r="AO273" s="82">
        <f t="shared" si="151"/>
        <v>59939.319706310227</v>
      </c>
      <c r="AP273" s="82">
        <f t="shared" si="152"/>
        <v>191659.71970631019</v>
      </c>
    </row>
    <row r="274" spans="1:42" s="31" customFormat="1" x14ac:dyDescent="0.6">
      <c r="A274" s="70">
        <f t="shared" si="136"/>
        <v>253</v>
      </c>
      <c r="B274" s="70" t="str">
        <f>IF(E274&lt;=$F$9,VLOOKUP(KALKULATOR!A274,Robocze!$B$23:$C$102,2),"")</f>
        <v>22 rok</v>
      </c>
      <c r="C274" s="70">
        <f t="shared" si="139"/>
        <v>2041</v>
      </c>
      <c r="D274" s="71">
        <f t="shared" si="153"/>
        <v>61.083333333333933</v>
      </c>
      <c r="E274" s="72">
        <f t="shared" si="154"/>
        <v>51836</v>
      </c>
      <c r="F274" s="72">
        <f t="shared" si="140"/>
        <v>51866</v>
      </c>
      <c r="G274" s="73">
        <f>IFERROR(IF(AND(F274&lt;=$F$9,$F$5=Robocze!$B$4,$E274&lt;=$F$9,MONTH($F$8)=MONTH(E274)),$F$4,0)+IF(AND(F274&lt;=$F$9,$F$5=Robocze!$B$3,E274&lt;=$F$9),KALKULATOR!$F$4/12,0),"")</f>
        <v>6272.4</v>
      </c>
      <c r="H274" s="73">
        <f t="shared" si="141"/>
        <v>137992.79999999996</v>
      </c>
      <c r="I274" s="74">
        <f t="shared" si="137"/>
        <v>0.04</v>
      </c>
      <c r="J274" s="73">
        <f t="shared" si="158"/>
        <v>0</v>
      </c>
      <c r="K274" s="75" t="str">
        <f t="shared" si="159"/>
        <v/>
      </c>
      <c r="L274" s="73">
        <f t="shared" si="160"/>
        <v>137992.79999999996</v>
      </c>
      <c r="M274" s="73">
        <f t="shared" si="161"/>
        <v>213824.44934401632</v>
      </c>
      <c r="N274" s="73">
        <f t="shared" si="162"/>
        <v>213824.44934401632</v>
      </c>
      <c r="O274" s="73">
        <f t="shared" si="163"/>
        <v>217395.76586976537</v>
      </c>
      <c r="P274" s="73">
        <f t="shared" si="164"/>
        <v>202309.20235450994</v>
      </c>
      <c r="Q274" s="73">
        <f t="shared" si="165"/>
        <v>198466.53642951723</v>
      </c>
      <c r="R274" s="73"/>
      <c r="S274" s="76">
        <f t="shared" si="138"/>
        <v>0.17</v>
      </c>
      <c r="T274" s="73">
        <f t="shared" si="155"/>
        <v>722.24506933476778</v>
      </c>
      <c r="U274" s="73">
        <f t="shared" si="142"/>
        <v>217395.76586976511</v>
      </c>
      <c r="V274" s="76">
        <f t="shared" si="143"/>
        <v>0.17</v>
      </c>
      <c r="W274" s="73">
        <f t="shared" si="144"/>
        <v>1066.308</v>
      </c>
      <c r="X274" s="73">
        <f>IF(B274&lt;&gt;"",IF(MONTH(E274)=MONTH($F$13),SUMIF($C$22:C656,"="&amp;(C274-1),$G$22:G656),0)*S274,"")</f>
        <v>0</v>
      </c>
      <c r="Y274" s="73">
        <f>IF(B274&lt;&gt;"",SUM($X$22:X274),"")</f>
        <v>22392.468000000012</v>
      </c>
      <c r="Z274" s="73">
        <f t="shared" si="156"/>
        <v>107.44209192550549</v>
      </c>
      <c r="AA274" s="73">
        <f t="shared" si="145"/>
        <v>20.413997465846045</v>
      </c>
      <c r="AB274" s="73">
        <f t="shared" si="146"/>
        <v>9927.187672111304</v>
      </c>
      <c r="AC274" s="73">
        <f t="shared" si="147"/>
        <v>32319.655672111305</v>
      </c>
      <c r="AD274" s="73">
        <f>IFERROR($U274*(1-$V274)+SUM($W$22:$W274)+$AB274,"")</f>
        <v>213824.44934401632</v>
      </c>
      <c r="AE274" s="73" t="b">
        <f t="shared" si="148"/>
        <v>0</v>
      </c>
      <c r="AF274" s="73">
        <f>IF(AND(AE274=TRUE,D274&gt;=65),$U274*(1-10%)+SUM($W$22:$W274)+$AB274,AD274)</f>
        <v>213824.44934401632</v>
      </c>
      <c r="AG274" s="73">
        <f t="shared" si="166"/>
        <v>722.24506933476869</v>
      </c>
      <c r="AH274" s="73">
        <f t="shared" si="167"/>
        <v>79402.965869765394</v>
      </c>
      <c r="AI274" s="73">
        <f t="shared" si="168"/>
        <v>217395.76586976537</v>
      </c>
      <c r="AJ274" s="73">
        <f t="shared" si="169"/>
        <v>202309.20235450994</v>
      </c>
      <c r="AK274" s="73" t="b">
        <f t="shared" si="149"/>
        <v>1</v>
      </c>
      <c r="AL274" s="73">
        <f t="shared" si="170"/>
        <v>217395.76586976537</v>
      </c>
      <c r="AM274" s="73">
        <f t="shared" si="157"/>
        <v>659.77373235436733</v>
      </c>
      <c r="AN274" s="73">
        <f t="shared" si="150"/>
        <v>125.35700914732979</v>
      </c>
      <c r="AO274" s="73">
        <f t="shared" si="151"/>
        <v>60473.736429517274</v>
      </c>
      <c r="AP274" s="73">
        <f t="shared" si="152"/>
        <v>198466.53642951723</v>
      </c>
    </row>
    <row r="275" spans="1:42" s="31" customFormat="1" x14ac:dyDescent="0.6">
      <c r="A275" s="70">
        <f t="shared" si="136"/>
        <v>254</v>
      </c>
      <c r="B275" s="70" t="str">
        <f>IF(E275&lt;=$F$9,VLOOKUP(KALKULATOR!A275,Robocze!$B$23:$C$102,2),"")</f>
        <v>22 rok</v>
      </c>
      <c r="C275" s="70">
        <f t="shared" si="139"/>
        <v>2042</v>
      </c>
      <c r="D275" s="71">
        <f t="shared" si="153"/>
        <v>61.166666666667268</v>
      </c>
      <c r="E275" s="77">
        <f t="shared" si="154"/>
        <v>51867</v>
      </c>
      <c r="F275" s="72">
        <f t="shared" si="140"/>
        <v>51897</v>
      </c>
      <c r="G275" s="73">
        <f>IFERROR(IF(AND(F275&lt;=$F$9,$F$5=Robocze!$B$4,$E275&lt;=$F$9,MONTH($F$8)=MONTH(E275)),$F$4,0)+IF(AND(F275&lt;=$F$9,$F$5=Robocze!$B$3,E275&lt;=$F$9),KALKULATOR!$F$4/12,0),"")</f>
        <v>0</v>
      </c>
      <c r="H275" s="73">
        <f t="shared" si="141"/>
        <v>137992.79999999996</v>
      </c>
      <c r="I275" s="74">
        <f t="shared" si="137"/>
        <v>0.04</v>
      </c>
      <c r="J275" s="73">
        <f t="shared" si="158"/>
        <v>0</v>
      </c>
      <c r="K275" s="75" t="str">
        <f t="shared" si="159"/>
        <v/>
      </c>
      <c r="L275" s="73">
        <f t="shared" si="160"/>
        <v>137992.79999999996</v>
      </c>
      <c r="M275" s="73">
        <f t="shared" si="161"/>
        <v>214513.17403323739</v>
      </c>
      <c r="N275" s="73">
        <f t="shared" si="162"/>
        <v>214513.17403323739</v>
      </c>
      <c r="O275" s="73">
        <f t="shared" si="163"/>
        <v>218120.41842266457</v>
      </c>
      <c r="P275" s="73">
        <f t="shared" si="164"/>
        <v>202896.17092235829</v>
      </c>
      <c r="Q275" s="73">
        <f t="shared" si="165"/>
        <v>199002.39607787694</v>
      </c>
      <c r="R275" s="73"/>
      <c r="S275" s="76">
        <f t="shared" si="138"/>
        <v>0.17</v>
      </c>
      <c r="T275" s="73">
        <f t="shared" si="155"/>
        <v>724.65255289921708</v>
      </c>
      <c r="U275" s="73">
        <f t="shared" si="142"/>
        <v>218120.41842266431</v>
      </c>
      <c r="V275" s="76">
        <f t="shared" si="143"/>
        <v>0.17</v>
      </c>
      <c r="W275" s="73">
        <f t="shared" si="144"/>
        <v>0</v>
      </c>
      <c r="X275" s="73">
        <f>IF(B275&lt;&gt;"",IF(MONTH(E275)=MONTH($F$13),SUMIF($C$22:C657,"="&amp;(C275-1),$G$22:G657),0)*S275,"")</f>
        <v>0</v>
      </c>
      <c r="Y275" s="73">
        <f>IF(B275&lt;&gt;"",SUM($X$22:X275),"")</f>
        <v>22392.468000000012</v>
      </c>
      <c r="Z275" s="73">
        <f t="shared" si="156"/>
        <v>107.73218557370434</v>
      </c>
      <c r="AA275" s="73">
        <f t="shared" si="145"/>
        <v>20.469115259003825</v>
      </c>
      <c r="AB275" s="73">
        <f t="shared" si="146"/>
        <v>10014.450742426005</v>
      </c>
      <c r="AC275" s="73">
        <f t="shared" si="147"/>
        <v>32406.918742426005</v>
      </c>
      <c r="AD275" s="73">
        <f>IFERROR($U275*(1-$V275)+SUM($W$22:$W275)+$AB275,"")</f>
        <v>214513.17403323739</v>
      </c>
      <c r="AE275" s="73" t="b">
        <f t="shared" si="148"/>
        <v>0</v>
      </c>
      <c r="AF275" s="73">
        <f>IF(AND(AE275=TRUE,D275&gt;=65),$U275*(1-10%)+SUM($W$22:$W275)+$AB275,AD275)</f>
        <v>214513.17403323739</v>
      </c>
      <c r="AG275" s="73">
        <f t="shared" si="166"/>
        <v>724.65255289921788</v>
      </c>
      <c r="AH275" s="73">
        <f t="shared" si="167"/>
        <v>80127.618422664615</v>
      </c>
      <c r="AI275" s="73">
        <f t="shared" si="168"/>
        <v>218120.41842266457</v>
      </c>
      <c r="AJ275" s="73">
        <f t="shared" si="169"/>
        <v>202896.17092235829</v>
      </c>
      <c r="AK275" s="73" t="b">
        <f t="shared" si="149"/>
        <v>1</v>
      </c>
      <c r="AL275" s="73">
        <f t="shared" si="170"/>
        <v>218120.41842266457</v>
      </c>
      <c r="AM275" s="73">
        <f t="shared" si="157"/>
        <v>661.55512143172416</v>
      </c>
      <c r="AN275" s="73">
        <f t="shared" si="150"/>
        <v>125.6954730720276</v>
      </c>
      <c r="AO275" s="73">
        <f t="shared" si="151"/>
        <v>61009.59607787698</v>
      </c>
      <c r="AP275" s="73">
        <f t="shared" si="152"/>
        <v>199002.39607787694</v>
      </c>
    </row>
    <row r="276" spans="1:42" s="31" customFormat="1" x14ac:dyDescent="0.6">
      <c r="A276" s="70">
        <f t="shared" si="136"/>
        <v>255</v>
      </c>
      <c r="B276" s="70" t="str">
        <f>IF(E276&lt;=$F$9,VLOOKUP(KALKULATOR!A276,Robocze!$B$23:$C$102,2),"")</f>
        <v>22 rok</v>
      </c>
      <c r="C276" s="70">
        <f t="shared" si="139"/>
        <v>2042</v>
      </c>
      <c r="D276" s="71">
        <f t="shared" si="153"/>
        <v>61.250000000000604</v>
      </c>
      <c r="E276" s="77">
        <f t="shared" si="154"/>
        <v>51898</v>
      </c>
      <c r="F276" s="72">
        <f t="shared" si="140"/>
        <v>51925</v>
      </c>
      <c r="G276" s="73">
        <f>IFERROR(IF(AND(F276&lt;=$F$9,$F$5=Robocze!$B$4,$E276&lt;=$F$9,MONTH($F$8)=MONTH(E276)),$F$4,0)+IF(AND(F276&lt;=$F$9,$F$5=Robocze!$B$3,E276&lt;=$F$9),KALKULATOR!$F$4/12,0),"")</f>
        <v>0</v>
      </c>
      <c r="H276" s="73">
        <f t="shared" si="141"/>
        <v>137992.79999999996</v>
      </c>
      <c r="I276" s="74">
        <f t="shared" si="137"/>
        <v>0.04</v>
      </c>
      <c r="J276" s="73">
        <f t="shared" si="158"/>
        <v>0</v>
      </c>
      <c r="K276" s="75" t="str">
        <f t="shared" si="159"/>
        <v/>
      </c>
      <c r="L276" s="73">
        <f t="shared" si="160"/>
        <v>137992.79999999996</v>
      </c>
      <c r="M276" s="73">
        <f t="shared" si="161"/>
        <v>215204.1392048113</v>
      </c>
      <c r="N276" s="73">
        <f t="shared" si="162"/>
        <v>215204.1392048113</v>
      </c>
      <c r="O276" s="73">
        <f t="shared" si="163"/>
        <v>218847.48648407345</v>
      </c>
      <c r="P276" s="73">
        <f t="shared" si="164"/>
        <v>203485.09605209948</v>
      </c>
      <c r="Q276" s="73">
        <f t="shared" si="165"/>
        <v>199539.70254728719</v>
      </c>
      <c r="R276" s="73"/>
      <c r="S276" s="76">
        <f t="shared" si="138"/>
        <v>0.17</v>
      </c>
      <c r="T276" s="73">
        <f t="shared" si="155"/>
        <v>727.06806140888114</v>
      </c>
      <c r="U276" s="73">
        <f t="shared" si="142"/>
        <v>218847.48648407319</v>
      </c>
      <c r="V276" s="76">
        <f t="shared" si="143"/>
        <v>0.17</v>
      </c>
      <c r="W276" s="73">
        <f t="shared" si="144"/>
        <v>0</v>
      </c>
      <c r="X276" s="73">
        <f>IF(B276&lt;&gt;"",IF(MONTH(E276)=MONTH($F$13),SUMIF($C$22:C658,"="&amp;(C276-1),$G$22:G658),0)*S276,"")</f>
        <v>0</v>
      </c>
      <c r="Y276" s="73">
        <f>IF(B276&lt;&gt;"",SUM($X$22:X276),"")</f>
        <v>22392.468000000012</v>
      </c>
      <c r="Z276" s="73">
        <f t="shared" si="156"/>
        <v>108.02306247475336</v>
      </c>
      <c r="AA276" s="73">
        <f t="shared" si="145"/>
        <v>20.52438187020314</v>
      </c>
      <c r="AB276" s="73">
        <f t="shared" si="146"/>
        <v>10101.949423030554</v>
      </c>
      <c r="AC276" s="73">
        <f t="shared" si="147"/>
        <v>32494.417423030554</v>
      </c>
      <c r="AD276" s="73">
        <f>IFERROR($U276*(1-$V276)+SUM($W$22:$W276)+$AB276,"")</f>
        <v>215204.1392048113</v>
      </c>
      <c r="AE276" s="73" t="b">
        <f t="shared" si="148"/>
        <v>0</v>
      </c>
      <c r="AF276" s="73">
        <f>IF(AND(AE276=TRUE,D276&gt;=65),$U276*(1-10%)+SUM($W$22:$W276)+$AB276,AD276)</f>
        <v>215204.1392048113</v>
      </c>
      <c r="AG276" s="73">
        <f t="shared" si="166"/>
        <v>727.06806140888193</v>
      </c>
      <c r="AH276" s="73">
        <f t="shared" si="167"/>
        <v>80854.686484073492</v>
      </c>
      <c r="AI276" s="73">
        <f t="shared" si="168"/>
        <v>218847.48648407345</v>
      </c>
      <c r="AJ276" s="73">
        <f t="shared" si="169"/>
        <v>203485.09605209948</v>
      </c>
      <c r="AK276" s="73" t="b">
        <f t="shared" si="149"/>
        <v>1</v>
      </c>
      <c r="AL276" s="73">
        <f t="shared" si="170"/>
        <v>218847.48648407345</v>
      </c>
      <c r="AM276" s="73">
        <f t="shared" si="157"/>
        <v>663.34132025958979</v>
      </c>
      <c r="AN276" s="73">
        <f t="shared" si="150"/>
        <v>126.03485084932207</v>
      </c>
      <c r="AO276" s="73">
        <f t="shared" si="151"/>
        <v>61546.902547287231</v>
      </c>
      <c r="AP276" s="73">
        <f t="shared" si="152"/>
        <v>199539.70254728719</v>
      </c>
    </row>
    <row r="277" spans="1:42" s="31" customFormat="1" x14ac:dyDescent="0.6">
      <c r="A277" s="70">
        <f t="shared" si="136"/>
        <v>256</v>
      </c>
      <c r="B277" s="70" t="str">
        <f>IF(E277&lt;=$F$9,VLOOKUP(KALKULATOR!A277,Robocze!$B$23:$C$102,2),"")</f>
        <v>22 rok</v>
      </c>
      <c r="C277" s="70">
        <f t="shared" si="139"/>
        <v>2042</v>
      </c>
      <c r="D277" s="71">
        <f t="shared" si="153"/>
        <v>61.33333333333394</v>
      </c>
      <c r="E277" s="77">
        <f t="shared" si="154"/>
        <v>51926</v>
      </c>
      <c r="F277" s="72">
        <f t="shared" si="140"/>
        <v>51956</v>
      </c>
      <c r="G277" s="73">
        <f>IFERROR(IF(AND(F277&lt;=$F$9,$F$5=Robocze!$B$4,$E277&lt;=$F$9,MONTH($F$8)=MONTH(E277)),$F$4,0)+IF(AND(F277&lt;=$F$9,$F$5=Robocze!$B$3,E277&lt;=$F$9),KALKULATOR!$F$4/12,0),"")</f>
        <v>0</v>
      </c>
      <c r="H277" s="73">
        <f t="shared" si="141"/>
        <v>137992.79999999996</v>
      </c>
      <c r="I277" s="74">
        <f t="shared" si="137"/>
        <v>0.04</v>
      </c>
      <c r="J277" s="73">
        <f t="shared" si="158"/>
        <v>0</v>
      </c>
      <c r="K277" s="75" t="str">
        <f t="shared" si="159"/>
        <v/>
      </c>
      <c r="L277" s="73">
        <f t="shared" si="160"/>
        <v>137992.79999999996</v>
      </c>
      <c r="M277" s="73">
        <f t="shared" si="161"/>
        <v>215897.35217779275</v>
      </c>
      <c r="N277" s="73">
        <f t="shared" si="162"/>
        <v>215897.35217779275</v>
      </c>
      <c r="O277" s="73">
        <f t="shared" si="163"/>
        <v>219576.97810568701</v>
      </c>
      <c r="P277" s="73">
        <f t="shared" si="164"/>
        <v>204075.98426560647</v>
      </c>
      <c r="Q277" s="73">
        <f t="shared" si="165"/>
        <v>200078.45974416487</v>
      </c>
      <c r="R277" s="73"/>
      <c r="S277" s="76">
        <f t="shared" si="138"/>
        <v>0.17</v>
      </c>
      <c r="T277" s="73">
        <f t="shared" si="155"/>
        <v>729.49162161357731</v>
      </c>
      <c r="U277" s="73">
        <f t="shared" si="142"/>
        <v>219576.97810568678</v>
      </c>
      <c r="V277" s="76">
        <f t="shared" si="143"/>
        <v>0.17</v>
      </c>
      <c r="W277" s="73">
        <f t="shared" si="144"/>
        <v>0</v>
      </c>
      <c r="X277" s="73">
        <f>IF(B277&lt;&gt;"",IF(MONTH(E277)=MONTH($F$13),SUMIF($C$22:C659,"="&amp;(C277-1),$G$22:G659),0)*S277,"")</f>
        <v>0</v>
      </c>
      <c r="Y277" s="73">
        <f>IF(B277&lt;&gt;"",SUM($X$22:X277),"")</f>
        <v>22392.468000000012</v>
      </c>
      <c r="Z277" s="73">
        <f t="shared" si="156"/>
        <v>108.31472474343519</v>
      </c>
      <c r="AA277" s="73">
        <f t="shared" si="145"/>
        <v>20.579797701252687</v>
      </c>
      <c r="AB277" s="73">
        <f t="shared" si="146"/>
        <v>10189.684350072735</v>
      </c>
      <c r="AC277" s="73">
        <f t="shared" si="147"/>
        <v>32582.152350072738</v>
      </c>
      <c r="AD277" s="73">
        <f>IFERROR($U277*(1-$V277)+SUM($W$22:$W277)+$AB277,"")</f>
        <v>215897.35217779275</v>
      </c>
      <c r="AE277" s="73" t="b">
        <f t="shared" si="148"/>
        <v>0</v>
      </c>
      <c r="AF277" s="73">
        <f>IF(AND(AE277=TRUE,D277&gt;=65),$U277*(1-10%)+SUM($W$22:$W277)+$AB277,AD277)</f>
        <v>215897.35217779275</v>
      </c>
      <c r="AG277" s="73">
        <f t="shared" si="166"/>
        <v>729.4916216135781</v>
      </c>
      <c r="AH277" s="73">
        <f t="shared" si="167"/>
        <v>81584.178105687068</v>
      </c>
      <c r="AI277" s="73">
        <f t="shared" si="168"/>
        <v>219576.97810568701</v>
      </c>
      <c r="AJ277" s="73">
        <f t="shared" si="169"/>
        <v>204075.98426560647</v>
      </c>
      <c r="AK277" s="73" t="b">
        <f t="shared" si="149"/>
        <v>1</v>
      </c>
      <c r="AL277" s="73">
        <f t="shared" si="170"/>
        <v>219576.97810568701</v>
      </c>
      <c r="AM277" s="73">
        <f t="shared" si="157"/>
        <v>665.13234182429062</v>
      </c>
      <c r="AN277" s="73">
        <f t="shared" si="150"/>
        <v>126.37514494661522</v>
      </c>
      <c r="AO277" s="73">
        <f t="shared" si="151"/>
        <v>62085.659744164906</v>
      </c>
      <c r="AP277" s="73">
        <f t="shared" si="152"/>
        <v>200078.45974416487</v>
      </c>
    </row>
    <row r="278" spans="1:42" s="31" customFormat="1" x14ac:dyDescent="0.6">
      <c r="A278" s="70">
        <f t="shared" ref="A278:A341" si="171">IFERROR(IF((A277+1)&lt;=$F$7*12,A277+1,""),"")</f>
        <v>257</v>
      </c>
      <c r="B278" s="70" t="str">
        <f>IF(E278&lt;=$F$9,VLOOKUP(KALKULATOR!A278,Robocze!$B$23:$C$102,2),"")</f>
        <v>22 rok</v>
      </c>
      <c r="C278" s="70">
        <f t="shared" si="139"/>
        <v>2042</v>
      </c>
      <c r="D278" s="71">
        <f t="shared" si="153"/>
        <v>61.416666666667275</v>
      </c>
      <c r="E278" s="77">
        <f t="shared" si="154"/>
        <v>51957</v>
      </c>
      <c r="F278" s="72">
        <f t="shared" si="140"/>
        <v>51986</v>
      </c>
      <c r="G278" s="73">
        <f>IFERROR(IF(AND(F278&lt;=$F$9,$F$5=Robocze!$B$4,$E278&lt;=$F$9,MONTH($F$8)=MONTH(E278)),$F$4,0)+IF(AND(F278&lt;=$F$9,$F$5=Robocze!$B$3,E278&lt;=$F$9),KALKULATOR!$F$4/12,0),"")</f>
        <v>0</v>
      </c>
      <c r="H278" s="73">
        <f t="shared" si="141"/>
        <v>137992.79999999996</v>
      </c>
      <c r="I278" s="74">
        <f t="shared" ref="I278:I341" si="172">IF(E278&lt;=$F$9,$F$2,"")</f>
        <v>0.04</v>
      </c>
      <c r="J278" s="73">
        <f t="shared" si="158"/>
        <v>0</v>
      </c>
      <c r="K278" s="75" t="str">
        <f t="shared" si="159"/>
        <v/>
      </c>
      <c r="L278" s="73">
        <f t="shared" si="160"/>
        <v>137992.79999999996</v>
      </c>
      <c r="M278" s="73">
        <f t="shared" si="161"/>
        <v>216595.69932683036</v>
      </c>
      <c r="N278" s="73">
        <f t="shared" si="162"/>
        <v>216595.69932683036</v>
      </c>
      <c r="O278" s="73">
        <f t="shared" si="163"/>
        <v>220308.9013660393</v>
      </c>
      <c r="P278" s="73">
        <f t="shared" si="164"/>
        <v>204668.84210649182</v>
      </c>
      <c r="Q278" s="73">
        <f t="shared" si="165"/>
        <v>200618.67158547411</v>
      </c>
      <c r="R278" s="73"/>
      <c r="S278" s="76">
        <f t="shared" ref="S278:S341" si="173">IF(B278&lt;&gt;"",$F$11,"")</f>
        <v>0.17</v>
      </c>
      <c r="T278" s="73">
        <f t="shared" si="155"/>
        <v>731.92326035228928</v>
      </c>
      <c r="U278" s="73">
        <f t="shared" si="142"/>
        <v>220308.90136603906</v>
      </c>
      <c r="V278" s="76">
        <f t="shared" si="143"/>
        <v>0.17</v>
      </c>
      <c r="W278" s="73">
        <f t="shared" si="144"/>
        <v>0</v>
      </c>
      <c r="X278" s="73">
        <f>IF(B278&lt;&gt;"",IF(MONTH(E278)=MONTH($F$13),SUMIF($C$22:C660,"="&amp;(C278-1),$G$22:G660),0)*S278,"")</f>
        <v>1066.308</v>
      </c>
      <c r="Y278" s="73">
        <f>IF(B278&lt;&gt;"",SUM($X$22:X278),"")</f>
        <v>23458.776000000013</v>
      </c>
      <c r="Z278" s="73">
        <f t="shared" si="156"/>
        <v>112.16153450024247</v>
      </c>
      <c r="AA278" s="73">
        <f t="shared" si="145"/>
        <v>21.31069155504607</v>
      </c>
      <c r="AB278" s="73">
        <f t="shared" si="146"/>
        <v>10280.535193017933</v>
      </c>
      <c r="AC278" s="73">
        <f t="shared" si="147"/>
        <v>33739.311193017937</v>
      </c>
      <c r="AD278" s="73">
        <f>IFERROR($U278*(1-$V278)+SUM($W$22:$W278)+$AB278,"")</f>
        <v>216595.69932683036</v>
      </c>
      <c r="AE278" s="73" t="b">
        <f t="shared" si="148"/>
        <v>0</v>
      </c>
      <c r="AF278" s="73">
        <f>IF(AND(AE278=TRUE,D278&gt;=65),$U278*(1-10%)+SUM($W$22:$W278)+$AB278,AD278)</f>
        <v>216595.69932683036</v>
      </c>
      <c r="AG278" s="73">
        <f t="shared" si="166"/>
        <v>731.92326035229007</v>
      </c>
      <c r="AH278" s="73">
        <f t="shared" si="167"/>
        <v>82316.101366039351</v>
      </c>
      <c r="AI278" s="73">
        <f t="shared" si="168"/>
        <v>220308.9013660393</v>
      </c>
      <c r="AJ278" s="73">
        <f t="shared" si="169"/>
        <v>204668.84210649182</v>
      </c>
      <c r="AK278" s="73" t="b">
        <f t="shared" si="149"/>
        <v>1</v>
      </c>
      <c r="AL278" s="73">
        <f t="shared" si="170"/>
        <v>220308.9013660393</v>
      </c>
      <c r="AM278" s="73">
        <f t="shared" si="157"/>
        <v>666.92819914721622</v>
      </c>
      <c r="AN278" s="73">
        <f t="shared" si="150"/>
        <v>126.71635783797109</v>
      </c>
      <c r="AO278" s="73">
        <f t="shared" si="151"/>
        <v>62625.871585474146</v>
      </c>
      <c r="AP278" s="73">
        <f t="shared" si="152"/>
        <v>200618.67158547411</v>
      </c>
    </row>
    <row r="279" spans="1:42" s="31" customFormat="1" x14ac:dyDescent="0.6">
      <c r="A279" s="70">
        <f t="shared" si="171"/>
        <v>258</v>
      </c>
      <c r="B279" s="70" t="str">
        <f>IF(E279&lt;=$F$9,VLOOKUP(KALKULATOR!A279,Robocze!$B$23:$C$102,2),"")</f>
        <v>22 rok</v>
      </c>
      <c r="C279" s="70">
        <f t="shared" ref="C279:C342" si="174">IF(B279="","",YEAR(E279))</f>
        <v>2042</v>
      </c>
      <c r="D279" s="71">
        <f t="shared" si="153"/>
        <v>61.500000000000611</v>
      </c>
      <c r="E279" s="77">
        <f t="shared" si="154"/>
        <v>51987</v>
      </c>
      <c r="F279" s="72">
        <f t="shared" ref="F279:F342" si="175">IFERROR(EOMONTH(E279,0),"")</f>
        <v>52017</v>
      </c>
      <c r="G279" s="73">
        <f>IFERROR(IF(AND(F279&lt;=$F$9,$F$5=Robocze!$B$4,$E279&lt;=$F$9,MONTH($F$8)=MONTH(E279)),$F$4,0)+IF(AND(F279&lt;=$F$9,$F$5=Robocze!$B$3,E279&lt;=$F$9),KALKULATOR!$F$4/12,0),"")</f>
        <v>0</v>
      </c>
      <c r="H279" s="73">
        <f t="shared" ref="H279:H342" si="176">IFERROR(H278+G279,"")</f>
        <v>137992.79999999996</v>
      </c>
      <c r="I279" s="74">
        <f t="shared" si="172"/>
        <v>0.04</v>
      </c>
      <c r="J279" s="73">
        <f t="shared" si="158"/>
        <v>0</v>
      </c>
      <c r="K279" s="75" t="str">
        <f t="shared" si="159"/>
        <v/>
      </c>
      <c r="L279" s="73">
        <f t="shared" si="160"/>
        <v>137992.79999999996</v>
      </c>
      <c r="M279" s="73">
        <f t="shared" si="161"/>
        <v>217296.31676083087</v>
      </c>
      <c r="N279" s="73">
        <f t="shared" si="162"/>
        <v>217296.31676083087</v>
      </c>
      <c r="O279" s="73">
        <f t="shared" si="163"/>
        <v>221043.26437059278</v>
      </c>
      <c r="P279" s="73">
        <f t="shared" si="164"/>
        <v>205263.67614018015</v>
      </c>
      <c r="Q279" s="73">
        <f t="shared" si="165"/>
        <v>201160.34199875488</v>
      </c>
      <c r="R279" s="73"/>
      <c r="S279" s="76">
        <f t="shared" si="173"/>
        <v>0.17</v>
      </c>
      <c r="T279" s="73">
        <f t="shared" si="155"/>
        <v>734.36300455346361</v>
      </c>
      <c r="U279" s="73">
        <f t="shared" ref="U279:U342" si="177">IF(B279&lt;&gt;"",U278+T279-J279+G279,"")</f>
        <v>221043.26437059251</v>
      </c>
      <c r="V279" s="76">
        <f t="shared" ref="V279:V342" si="178">IF(B279&lt;&gt;"",$F$12,"")</f>
        <v>0.17</v>
      </c>
      <c r="W279" s="73">
        <f t="shared" ref="W279:W342" si="179">IF(B279&lt;&gt;"",G279*S279,"")</f>
        <v>0</v>
      </c>
      <c r="X279" s="73">
        <f>IF(B279&lt;&gt;"",IF(MONTH(E279)=MONTH($F$13),SUMIF($C$22:C661,"="&amp;(C279-1),$G$22:G661),0)*S279,"")</f>
        <v>0</v>
      </c>
      <c r="Y279" s="73">
        <f>IF(B279&lt;&gt;"",SUM($X$22:X279),"")</f>
        <v>23458.776000000013</v>
      </c>
      <c r="Z279" s="73">
        <f t="shared" si="156"/>
        <v>112.46437064339312</v>
      </c>
      <c r="AA279" s="73">
        <f t="shared" ref="AA279:AA342" si="180">IF(B279&lt;&gt;"",MAX(0,Z279*$F$14),"")</f>
        <v>21.368230422244693</v>
      </c>
      <c r="AB279" s="73">
        <f t="shared" ref="AB279:AB342" si="181">IF(B279&lt;&gt;"",AB278+Z279-AA279,"")</f>
        <v>10371.631333239082</v>
      </c>
      <c r="AC279" s="73">
        <f t="shared" ref="AC279:AC342" si="182">IF(B279&lt;&gt;"",AC278+Z279-AA279+X279,"")</f>
        <v>33830.407333239084</v>
      </c>
      <c r="AD279" s="73">
        <f>IFERROR($U279*(1-$V279)+SUM($W$22:$W279)+$AB279,"")</f>
        <v>217296.31676083087</v>
      </c>
      <c r="AE279" s="73" t="b">
        <f t="shared" ref="AE279:AE342" si="183">IFERROR(IF(AE278=TRUE,AE278,AND(YEAR(E279)-YEAR($F$8)&gt;=5,D279&gt;=65)),"")</f>
        <v>0</v>
      </c>
      <c r="AF279" s="73">
        <f>IF(AND(AE279=TRUE,D279&gt;=65),$U279*(1-10%)+SUM($W$22:$W279)+$AB279,AD279)</f>
        <v>217296.31676083087</v>
      </c>
      <c r="AG279" s="73">
        <f t="shared" si="166"/>
        <v>734.36300455346429</v>
      </c>
      <c r="AH279" s="73">
        <f t="shared" si="167"/>
        <v>83050.464370592817</v>
      </c>
      <c r="AI279" s="73">
        <f t="shared" si="168"/>
        <v>221043.26437059278</v>
      </c>
      <c r="AJ279" s="73">
        <f t="shared" si="169"/>
        <v>205263.67614018015</v>
      </c>
      <c r="AK279" s="73" t="b">
        <f t="shared" ref="AK279:AK342" si="184">IFERROR(IF(AK278=TRUE,AK278,AND(YEAR(E279)-YEAR($F$8)&gt;=5,D279&gt;=55,OR(D279&gt;=60,D279&gt;=$F$10))),"")</f>
        <v>1</v>
      </c>
      <c r="AL279" s="73">
        <f t="shared" si="170"/>
        <v>221043.26437059278</v>
      </c>
      <c r="AM279" s="73">
        <f t="shared" si="157"/>
        <v>668.72890528491371</v>
      </c>
      <c r="AN279" s="73">
        <f t="shared" ref="AN279:AN342" si="185">IF(B279&lt;&gt;"",MAX(0,AM279*$F$14),"")</f>
        <v>127.05849200413361</v>
      </c>
      <c r="AO279" s="73">
        <f t="shared" ref="AO279:AO342" si="186">IF(B279&lt;&gt;"",AP279-H279,"")</f>
        <v>63167.541998754925</v>
      </c>
      <c r="AP279" s="73">
        <f t="shared" ref="AP279:AP342" si="187">IF(B279&lt;&gt;"",AP278+G279+AM279-AN279,"")</f>
        <v>201160.34199875488</v>
      </c>
    </row>
    <row r="280" spans="1:42" s="31" customFormat="1" x14ac:dyDescent="0.6">
      <c r="A280" s="70">
        <f t="shared" si="171"/>
        <v>259</v>
      </c>
      <c r="B280" s="70" t="str">
        <f>IF(E280&lt;=$F$9,VLOOKUP(KALKULATOR!A280,Robocze!$B$23:$C$102,2),"")</f>
        <v>22 rok</v>
      </c>
      <c r="C280" s="70">
        <f t="shared" si="174"/>
        <v>2042</v>
      </c>
      <c r="D280" s="71">
        <f t="shared" ref="D280:D343" si="188">IF(B280="","",D279+1/12)</f>
        <v>61.583333333333947</v>
      </c>
      <c r="E280" s="77">
        <f t="shared" ref="E280:E343" si="189">IF(OR(B279="",E279&gt;$F$9,A280=""),"",EDATE(E279,1))</f>
        <v>52018</v>
      </c>
      <c r="F280" s="72">
        <f t="shared" si="175"/>
        <v>52047</v>
      </c>
      <c r="G280" s="73">
        <f>IFERROR(IF(AND(F280&lt;=$F$9,$F$5=Robocze!$B$4,$E280&lt;=$F$9,MONTH($F$8)=MONTH(E280)),$F$4,0)+IF(AND(F280&lt;=$F$9,$F$5=Robocze!$B$3,E280&lt;=$F$9),KALKULATOR!$F$4/12,0),"")</f>
        <v>0</v>
      </c>
      <c r="H280" s="73">
        <f t="shared" si="176"/>
        <v>137992.79999999996</v>
      </c>
      <c r="I280" s="74">
        <f t="shared" si="172"/>
        <v>0.04</v>
      </c>
      <c r="J280" s="73">
        <f t="shared" si="158"/>
        <v>0</v>
      </c>
      <c r="K280" s="75" t="str">
        <f t="shared" si="159"/>
        <v/>
      </c>
      <c r="L280" s="73">
        <f t="shared" si="160"/>
        <v>137992.79999999996</v>
      </c>
      <c r="M280" s="73">
        <f t="shared" si="161"/>
        <v>217999.21189205593</v>
      </c>
      <c r="N280" s="73">
        <f t="shared" si="162"/>
        <v>217999.21189205593</v>
      </c>
      <c r="O280" s="73">
        <f t="shared" si="163"/>
        <v>221780.07525182806</v>
      </c>
      <c r="P280" s="73">
        <f t="shared" si="164"/>
        <v>205860.49295398072</v>
      </c>
      <c r="Q280" s="73">
        <f t="shared" si="165"/>
        <v>201703.47492215151</v>
      </c>
      <c r="R280" s="73"/>
      <c r="S280" s="76">
        <f t="shared" si="173"/>
        <v>0.17</v>
      </c>
      <c r="T280" s="73">
        <f t="shared" ref="T280:T343" si="190">IF(B280&lt;&gt;"",(U279-J280+G280)*(I280/12),"")</f>
        <v>736.81088123530844</v>
      </c>
      <c r="U280" s="73">
        <f t="shared" si="177"/>
        <v>221780.07525182783</v>
      </c>
      <c r="V280" s="76">
        <f t="shared" si="178"/>
        <v>0.17</v>
      </c>
      <c r="W280" s="73">
        <f t="shared" si="179"/>
        <v>0</v>
      </c>
      <c r="X280" s="73">
        <f>IF(B280&lt;&gt;"",IF(MONTH(E280)=MONTH($F$13),SUMIF($C$22:C662,"="&amp;(C280-1),$G$22:G662),0)*S280,"")</f>
        <v>0</v>
      </c>
      <c r="Y280" s="73">
        <f>IF(B280&lt;&gt;"",SUM($X$22:X280),"")</f>
        <v>23458.776000000013</v>
      </c>
      <c r="Z280" s="73">
        <f t="shared" ref="Z280:Z343" si="191">IF(B280&lt;&gt;"",(AC279+X280)*I280/12,"")</f>
        <v>112.76802444413028</v>
      </c>
      <c r="AA280" s="73">
        <f t="shared" si="180"/>
        <v>21.425924644384754</v>
      </c>
      <c r="AB280" s="73">
        <f t="shared" si="181"/>
        <v>10462.973433038827</v>
      </c>
      <c r="AC280" s="73">
        <f t="shared" si="182"/>
        <v>33921.749433038829</v>
      </c>
      <c r="AD280" s="73">
        <f>IFERROR($U280*(1-$V280)+SUM($W$22:$W280)+$AB280,"")</f>
        <v>217999.21189205593</v>
      </c>
      <c r="AE280" s="73" t="b">
        <f t="shared" si="183"/>
        <v>0</v>
      </c>
      <c r="AF280" s="73">
        <f>IF(AND(AE280=TRUE,D280&gt;=65),$U280*(1-10%)+SUM($W$22:$W280)+$AB280,AD280)</f>
        <v>217999.21189205593</v>
      </c>
      <c r="AG280" s="73">
        <f t="shared" si="166"/>
        <v>736.81088123530924</v>
      </c>
      <c r="AH280" s="73">
        <f t="shared" si="167"/>
        <v>83787.27525182812</v>
      </c>
      <c r="AI280" s="73">
        <f t="shared" si="168"/>
        <v>221780.07525182806</v>
      </c>
      <c r="AJ280" s="73">
        <f t="shared" si="169"/>
        <v>205860.49295398072</v>
      </c>
      <c r="AK280" s="73" t="b">
        <f t="shared" si="184"/>
        <v>1</v>
      </c>
      <c r="AL280" s="73">
        <f t="shared" si="170"/>
        <v>221780.07525182806</v>
      </c>
      <c r="AM280" s="73">
        <f t="shared" ref="AM280:AM343" si="192">IF(B280&lt;&gt;"",(AP279+G280)*I280/12,"")</f>
        <v>670.53447332918302</v>
      </c>
      <c r="AN280" s="73">
        <f t="shared" si="185"/>
        <v>127.40154993254477</v>
      </c>
      <c r="AO280" s="73">
        <f t="shared" si="186"/>
        <v>63710.674922151549</v>
      </c>
      <c r="AP280" s="73">
        <f t="shared" si="187"/>
        <v>201703.47492215151</v>
      </c>
    </row>
    <row r="281" spans="1:42" s="31" customFormat="1" x14ac:dyDescent="0.6">
      <c r="A281" s="70">
        <f t="shared" si="171"/>
        <v>260</v>
      </c>
      <c r="B281" s="70" t="str">
        <f>IF(E281&lt;=$F$9,VLOOKUP(KALKULATOR!A281,Robocze!$B$23:$C$102,2),"")</f>
        <v>22 rok</v>
      </c>
      <c r="C281" s="70">
        <f t="shared" si="174"/>
        <v>2042</v>
      </c>
      <c r="D281" s="71">
        <f t="shared" si="188"/>
        <v>61.666666666667282</v>
      </c>
      <c r="E281" s="77">
        <f t="shared" si="189"/>
        <v>52048</v>
      </c>
      <c r="F281" s="72">
        <f t="shared" si="175"/>
        <v>52078</v>
      </c>
      <c r="G281" s="73">
        <f>IFERROR(IF(AND(F281&lt;=$F$9,$F$5=Robocze!$B$4,$E281&lt;=$F$9,MONTH($F$8)=MONTH(E281)),$F$4,0)+IF(AND(F281&lt;=$F$9,$F$5=Robocze!$B$3,E281&lt;=$F$9),KALKULATOR!$F$4/12,0),"")</f>
        <v>0</v>
      </c>
      <c r="H281" s="73">
        <f t="shared" si="176"/>
        <v>137992.79999999996</v>
      </c>
      <c r="I281" s="74">
        <f t="shared" si="172"/>
        <v>0.04</v>
      </c>
      <c r="J281" s="73">
        <f t="shared" si="158"/>
        <v>0</v>
      </c>
      <c r="K281" s="75" t="str">
        <f t="shared" si="159"/>
        <v/>
      </c>
      <c r="L281" s="73">
        <f t="shared" si="160"/>
        <v>137992.79999999996</v>
      </c>
      <c r="M281" s="73">
        <f t="shared" si="161"/>
        <v>218704.3921570552</v>
      </c>
      <c r="N281" s="73">
        <f t="shared" si="162"/>
        <v>218704.3921570552</v>
      </c>
      <c r="O281" s="73">
        <f t="shared" si="163"/>
        <v>222519.34216933418</v>
      </c>
      <c r="P281" s="73">
        <f t="shared" si="164"/>
        <v>206459.29915716068</v>
      </c>
      <c r="Q281" s="73">
        <f t="shared" si="165"/>
        <v>202248.07430444131</v>
      </c>
      <c r="R281" s="73"/>
      <c r="S281" s="76">
        <f t="shared" si="173"/>
        <v>0.17</v>
      </c>
      <c r="T281" s="73">
        <f t="shared" si="190"/>
        <v>739.2669175060928</v>
      </c>
      <c r="U281" s="73">
        <f t="shared" si="177"/>
        <v>222519.34216933392</v>
      </c>
      <c r="V281" s="76">
        <f t="shared" si="178"/>
        <v>0.17</v>
      </c>
      <c r="W281" s="73">
        <f t="shared" si="179"/>
        <v>0</v>
      </c>
      <c r="X281" s="73">
        <f>IF(B281&lt;&gt;"",IF(MONTH(E281)=MONTH($F$13),SUMIF($C$22:C663,"="&amp;(C281-1),$G$22:G663),0)*S281,"")</f>
        <v>0</v>
      </c>
      <c r="Y281" s="73">
        <f>IF(B281&lt;&gt;"",SUM($X$22:X281),"")</f>
        <v>23458.776000000013</v>
      </c>
      <c r="Z281" s="73">
        <f t="shared" si="191"/>
        <v>113.07249811012944</v>
      </c>
      <c r="AA281" s="73">
        <f t="shared" si="180"/>
        <v>21.483774640924594</v>
      </c>
      <c r="AB281" s="73">
        <f t="shared" si="181"/>
        <v>10554.562156508033</v>
      </c>
      <c r="AC281" s="73">
        <f t="shared" si="182"/>
        <v>34013.338156508034</v>
      </c>
      <c r="AD281" s="73">
        <f>IFERROR($U281*(1-$V281)+SUM($W$22:$W281)+$AB281,"")</f>
        <v>218704.3921570552</v>
      </c>
      <c r="AE281" s="73" t="b">
        <f t="shared" si="183"/>
        <v>0</v>
      </c>
      <c r="AF281" s="73">
        <f>IF(AND(AE281=TRUE,D281&gt;=65),$U281*(1-10%)+SUM($W$22:$W281)+$AB281,AD281)</f>
        <v>218704.3921570552</v>
      </c>
      <c r="AG281" s="73">
        <f t="shared" si="166"/>
        <v>739.26691750609359</v>
      </c>
      <c r="AH281" s="73">
        <f t="shared" si="167"/>
        <v>84526.542169334207</v>
      </c>
      <c r="AI281" s="73">
        <f t="shared" si="168"/>
        <v>222519.34216933418</v>
      </c>
      <c r="AJ281" s="73">
        <f t="shared" si="169"/>
        <v>206459.29915716068</v>
      </c>
      <c r="AK281" s="73" t="b">
        <f t="shared" si="184"/>
        <v>1</v>
      </c>
      <c r="AL281" s="73">
        <f t="shared" si="170"/>
        <v>222519.34216933418</v>
      </c>
      <c r="AM281" s="73">
        <f t="shared" si="192"/>
        <v>672.3449164071717</v>
      </c>
      <c r="AN281" s="73">
        <f t="shared" si="185"/>
        <v>127.74553411736262</v>
      </c>
      <c r="AO281" s="73">
        <f t="shared" si="186"/>
        <v>64255.274304441351</v>
      </c>
      <c r="AP281" s="73">
        <f t="shared" si="187"/>
        <v>202248.07430444131</v>
      </c>
    </row>
    <row r="282" spans="1:42" s="31" customFormat="1" x14ac:dyDescent="0.6">
      <c r="A282" s="70">
        <f t="shared" si="171"/>
        <v>261</v>
      </c>
      <c r="B282" s="70" t="str">
        <f>IF(E282&lt;=$F$9,VLOOKUP(KALKULATOR!A282,Robocze!$B$23:$C$102,2),"")</f>
        <v>22 rok</v>
      </c>
      <c r="C282" s="70">
        <f t="shared" si="174"/>
        <v>2042</v>
      </c>
      <c r="D282" s="71">
        <f t="shared" si="188"/>
        <v>61.750000000000618</v>
      </c>
      <c r="E282" s="77">
        <f t="shared" si="189"/>
        <v>52079</v>
      </c>
      <c r="F282" s="72">
        <f t="shared" si="175"/>
        <v>52109</v>
      </c>
      <c r="G282" s="73">
        <f>IFERROR(IF(AND(F282&lt;=$F$9,$F$5=Robocze!$B$4,$E282&lt;=$F$9,MONTH($F$8)=MONTH(E282)),$F$4,0)+IF(AND(F282&lt;=$F$9,$F$5=Robocze!$B$3,E282&lt;=$F$9),KALKULATOR!$F$4/12,0),"")</f>
        <v>0</v>
      </c>
      <c r="H282" s="73">
        <f t="shared" si="176"/>
        <v>137992.79999999996</v>
      </c>
      <c r="I282" s="74">
        <f t="shared" si="172"/>
        <v>0.04</v>
      </c>
      <c r="J282" s="73">
        <f t="shared" si="158"/>
        <v>0</v>
      </c>
      <c r="K282" s="75" t="str">
        <f t="shared" si="159"/>
        <v/>
      </c>
      <c r="L282" s="73">
        <f t="shared" si="160"/>
        <v>137992.79999999996</v>
      </c>
      <c r="M282" s="73">
        <f t="shared" si="161"/>
        <v>219411.86501674628</v>
      </c>
      <c r="N282" s="73">
        <f t="shared" si="162"/>
        <v>219411.86501674628</v>
      </c>
      <c r="O282" s="73">
        <f t="shared" si="163"/>
        <v>223261.07330989861</v>
      </c>
      <c r="P282" s="73">
        <f t="shared" si="164"/>
        <v>207060.10138101786</v>
      </c>
      <c r="Q282" s="73">
        <f t="shared" si="165"/>
        <v>202794.14410506329</v>
      </c>
      <c r="R282" s="73"/>
      <c r="S282" s="76">
        <f t="shared" si="173"/>
        <v>0.17</v>
      </c>
      <c r="T282" s="73">
        <f t="shared" si="190"/>
        <v>741.73114056444649</v>
      </c>
      <c r="U282" s="73">
        <f t="shared" si="177"/>
        <v>223261.07330989838</v>
      </c>
      <c r="V282" s="76">
        <f t="shared" si="178"/>
        <v>0.17</v>
      </c>
      <c r="W282" s="73">
        <f t="shared" si="179"/>
        <v>0</v>
      </c>
      <c r="X282" s="73">
        <f>IF(B282&lt;&gt;"",IF(MONTH(E282)=MONTH($F$13),SUMIF($C$22:C664,"="&amp;(C282-1),$G$22:G664),0)*S282,"")</f>
        <v>0</v>
      </c>
      <c r="Y282" s="73">
        <f>IF(B282&lt;&gt;"",SUM($X$22:X282),"")</f>
        <v>23458.776000000013</v>
      </c>
      <c r="Z282" s="73">
        <f t="shared" si="191"/>
        <v>113.37779385502678</v>
      </c>
      <c r="AA282" s="73">
        <f t="shared" si="180"/>
        <v>21.541780832455089</v>
      </c>
      <c r="AB282" s="73">
        <f t="shared" si="181"/>
        <v>10646.398169530605</v>
      </c>
      <c r="AC282" s="73">
        <f t="shared" si="182"/>
        <v>34105.174169530605</v>
      </c>
      <c r="AD282" s="73">
        <f>IFERROR($U282*(1-$V282)+SUM($W$22:$W282)+$AB282,"")</f>
        <v>219411.86501674628</v>
      </c>
      <c r="AE282" s="73" t="b">
        <f t="shared" si="183"/>
        <v>0</v>
      </c>
      <c r="AF282" s="73">
        <f>IF(AND(AE282=TRUE,D282&gt;=65),$U282*(1-10%)+SUM($W$22:$W282)+$AB282,AD282)</f>
        <v>219411.86501674628</v>
      </c>
      <c r="AG282" s="73">
        <f t="shared" si="166"/>
        <v>741.73114056444729</v>
      </c>
      <c r="AH282" s="73">
        <f t="shared" si="167"/>
        <v>85268.27330989865</v>
      </c>
      <c r="AI282" s="73">
        <f t="shared" si="168"/>
        <v>223261.07330989861</v>
      </c>
      <c r="AJ282" s="73">
        <f t="shared" si="169"/>
        <v>207060.10138101786</v>
      </c>
      <c r="AK282" s="73" t="b">
        <f t="shared" si="184"/>
        <v>1</v>
      </c>
      <c r="AL282" s="73">
        <f t="shared" si="170"/>
        <v>223261.07330989861</v>
      </c>
      <c r="AM282" s="73">
        <f t="shared" si="192"/>
        <v>674.16024768147111</v>
      </c>
      <c r="AN282" s="73">
        <f t="shared" si="185"/>
        <v>128.09044705947952</v>
      </c>
      <c r="AO282" s="73">
        <f t="shared" si="186"/>
        <v>64801.344105063326</v>
      </c>
      <c r="AP282" s="73">
        <f t="shared" si="187"/>
        <v>202794.14410506329</v>
      </c>
    </row>
    <row r="283" spans="1:42" s="31" customFormat="1" x14ac:dyDescent="0.6">
      <c r="A283" s="70">
        <f t="shared" si="171"/>
        <v>262</v>
      </c>
      <c r="B283" s="70" t="str">
        <f>IF(E283&lt;=$F$9,VLOOKUP(KALKULATOR!A283,Robocze!$B$23:$C$102,2),"")</f>
        <v>22 rok</v>
      </c>
      <c r="C283" s="70">
        <f t="shared" si="174"/>
        <v>2042</v>
      </c>
      <c r="D283" s="71">
        <f t="shared" si="188"/>
        <v>61.833333333333954</v>
      </c>
      <c r="E283" s="77">
        <f t="shared" si="189"/>
        <v>52110</v>
      </c>
      <c r="F283" s="72">
        <f t="shared" si="175"/>
        <v>52139</v>
      </c>
      <c r="G283" s="73">
        <f>IFERROR(IF(AND(F283&lt;=$F$9,$F$5=Robocze!$B$4,$E283&lt;=$F$9,MONTH($F$8)=MONTH(E283)),$F$4,0)+IF(AND(F283&lt;=$F$9,$F$5=Robocze!$B$3,E283&lt;=$F$9),KALKULATOR!$F$4/12,0),"")</f>
        <v>0</v>
      </c>
      <c r="H283" s="73">
        <f t="shared" si="176"/>
        <v>137992.79999999996</v>
      </c>
      <c r="I283" s="74">
        <f t="shared" si="172"/>
        <v>0.04</v>
      </c>
      <c r="J283" s="73">
        <f t="shared" si="158"/>
        <v>0</v>
      </c>
      <c r="K283" s="75" t="str">
        <f t="shared" si="159"/>
        <v/>
      </c>
      <c r="L283" s="73">
        <f t="shared" si="160"/>
        <v>137992.79999999996</v>
      </c>
      <c r="M283" s="73">
        <f t="shared" si="161"/>
        <v>220121.6379564947</v>
      </c>
      <c r="N283" s="73">
        <f t="shared" si="162"/>
        <v>220121.6379564947</v>
      </c>
      <c r="O283" s="73">
        <f t="shared" si="163"/>
        <v>224005.27688759827</v>
      </c>
      <c r="P283" s="73">
        <f t="shared" si="164"/>
        <v>207662.90627895459</v>
      </c>
      <c r="Q283" s="73">
        <f t="shared" si="165"/>
        <v>203341.68829414694</v>
      </c>
      <c r="R283" s="73"/>
      <c r="S283" s="76">
        <f t="shared" si="173"/>
        <v>0.17</v>
      </c>
      <c r="T283" s="73">
        <f t="shared" si="190"/>
        <v>744.20357769966131</v>
      </c>
      <c r="U283" s="73">
        <f t="shared" si="177"/>
        <v>224005.27688759804</v>
      </c>
      <c r="V283" s="76">
        <f t="shared" si="178"/>
        <v>0.17</v>
      </c>
      <c r="W283" s="73">
        <f t="shared" si="179"/>
        <v>0</v>
      </c>
      <c r="X283" s="73">
        <f>IF(B283&lt;&gt;"",IF(MONTH(E283)=MONTH($F$13),SUMIF($C$22:C665,"="&amp;(C283-1),$G$22:G665),0)*S283,"")</f>
        <v>0</v>
      </c>
      <c r="Y283" s="73">
        <f>IF(B283&lt;&gt;"",SUM($X$22:X283),"")</f>
        <v>23458.776000000013</v>
      </c>
      <c r="Z283" s="73">
        <f t="shared" si="191"/>
        <v>113.68391389843536</v>
      </c>
      <c r="AA283" s="73">
        <f t="shared" si="180"/>
        <v>21.599943640702719</v>
      </c>
      <c r="AB283" s="73">
        <f t="shared" si="181"/>
        <v>10738.482139788339</v>
      </c>
      <c r="AC283" s="73">
        <f t="shared" si="182"/>
        <v>34197.25813978834</v>
      </c>
      <c r="AD283" s="73">
        <f>IFERROR($U283*(1-$V283)+SUM($W$22:$W283)+$AB283,"")</f>
        <v>220121.6379564947</v>
      </c>
      <c r="AE283" s="73" t="b">
        <f t="shared" si="183"/>
        <v>0</v>
      </c>
      <c r="AF283" s="73">
        <f>IF(AND(AE283=TRUE,D283&gt;=65),$U283*(1-10%)+SUM($W$22:$W283)+$AB283,AD283)</f>
        <v>220121.6379564947</v>
      </c>
      <c r="AG283" s="73">
        <f t="shared" si="166"/>
        <v>744.20357769966211</v>
      </c>
      <c r="AH283" s="73">
        <f t="shared" si="167"/>
        <v>86012.476887598314</v>
      </c>
      <c r="AI283" s="73">
        <f t="shared" si="168"/>
        <v>224005.27688759827</v>
      </c>
      <c r="AJ283" s="73">
        <f t="shared" si="169"/>
        <v>207662.90627895459</v>
      </c>
      <c r="AK283" s="73" t="b">
        <f t="shared" si="184"/>
        <v>1</v>
      </c>
      <c r="AL283" s="73">
        <f t="shared" si="170"/>
        <v>224005.27688759827</v>
      </c>
      <c r="AM283" s="73">
        <f t="shared" si="192"/>
        <v>675.980480350211</v>
      </c>
      <c r="AN283" s="73">
        <f t="shared" si="185"/>
        <v>128.43629126654008</v>
      </c>
      <c r="AO283" s="73">
        <f t="shared" si="186"/>
        <v>65348.888294146978</v>
      </c>
      <c r="AP283" s="73">
        <f t="shared" si="187"/>
        <v>203341.68829414694</v>
      </c>
    </row>
    <row r="284" spans="1:42" s="31" customFormat="1" x14ac:dyDescent="0.6">
      <c r="A284" s="70">
        <f t="shared" si="171"/>
        <v>263</v>
      </c>
      <c r="B284" s="70" t="str">
        <f>IF(E284&lt;=$F$9,VLOOKUP(KALKULATOR!A284,Robocze!$B$23:$C$102,2),"")</f>
        <v>22 rok</v>
      </c>
      <c r="C284" s="70">
        <f t="shared" si="174"/>
        <v>2042</v>
      </c>
      <c r="D284" s="71">
        <f t="shared" si="188"/>
        <v>61.91666666666729</v>
      </c>
      <c r="E284" s="77">
        <f t="shared" si="189"/>
        <v>52140</v>
      </c>
      <c r="F284" s="72">
        <f t="shared" si="175"/>
        <v>52170</v>
      </c>
      <c r="G284" s="73">
        <f>IFERROR(IF(AND(F284&lt;=$F$9,$F$5=Robocze!$B$4,$E284&lt;=$F$9,MONTH($F$8)=MONTH(E284)),$F$4,0)+IF(AND(F284&lt;=$F$9,$F$5=Robocze!$B$3,E284&lt;=$F$9),KALKULATOR!$F$4/12,0),"")</f>
        <v>0</v>
      </c>
      <c r="H284" s="73">
        <f t="shared" si="176"/>
        <v>137992.79999999996</v>
      </c>
      <c r="I284" s="74">
        <f t="shared" si="172"/>
        <v>0.04</v>
      </c>
      <c r="J284" s="73">
        <f t="shared" si="158"/>
        <v>0</v>
      </c>
      <c r="K284" s="75" t="str">
        <f t="shared" si="159"/>
        <v/>
      </c>
      <c r="L284" s="73">
        <f t="shared" si="160"/>
        <v>137992.79999999996</v>
      </c>
      <c r="M284" s="73">
        <f t="shared" si="161"/>
        <v>220833.71848619453</v>
      </c>
      <c r="N284" s="73">
        <f t="shared" si="162"/>
        <v>220833.71848619453</v>
      </c>
      <c r="O284" s="73">
        <f t="shared" si="163"/>
        <v>224751.96114389028</v>
      </c>
      <c r="P284" s="73">
        <f t="shared" si="164"/>
        <v>208267.72052655113</v>
      </c>
      <c r="Q284" s="73">
        <f t="shared" si="165"/>
        <v>203890.71085254112</v>
      </c>
      <c r="R284" s="73"/>
      <c r="S284" s="76">
        <f t="shared" si="173"/>
        <v>0.17</v>
      </c>
      <c r="T284" s="73">
        <f t="shared" si="190"/>
        <v>746.68425629199351</v>
      </c>
      <c r="U284" s="73">
        <f t="shared" si="177"/>
        <v>224751.96114389005</v>
      </c>
      <c r="V284" s="76">
        <f t="shared" si="178"/>
        <v>0.17</v>
      </c>
      <c r="W284" s="73">
        <f t="shared" si="179"/>
        <v>0</v>
      </c>
      <c r="X284" s="73">
        <f>IF(B284&lt;&gt;"",IF(MONTH(E284)=MONTH($F$13),SUMIF($C$22:C666,"="&amp;(C284-1),$G$22:G666),0)*S284,"")</f>
        <v>0</v>
      </c>
      <c r="Y284" s="73">
        <f>IF(B284&lt;&gt;"",SUM($X$22:X284),"")</f>
        <v>23458.776000000013</v>
      </c>
      <c r="Z284" s="73">
        <f t="shared" si="191"/>
        <v>113.99086046596113</v>
      </c>
      <c r="AA284" s="73">
        <f t="shared" si="180"/>
        <v>21.658263488532615</v>
      </c>
      <c r="AB284" s="73">
        <f t="shared" si="181"/>
        <v>10830.814736765768</v>
      </c>
      <c r="AC284" s="73">
        <f t="shared" si="182"/>
        <v>34289.590736765764</v>
      </c>
      <c r="AD284" s="73">
        <f>IFERROR($U284*(1-$V284)+SUM($W$22:$W284)+$AB284,"")</f>
        <v>220833.71848619453</v>
      </c>
      <c r="AE284" s="73" t="b">
        <f t="shared" si="183"/>
        <v>0</v>
      </c>
      <c r="AF284" s="73">
        <f>IF(AND(AE284=TRUE,D284&gt;=65),$U284*(1-10%)+SUM($W$22:$W284)+$AB284,AD284)</f>
        <v>220833.71848619453</v>
      </c>
      <c r="AG284" s="73">
        <f t="shared" si="166"/>
        <v>746.68425629199419</v>
      </c>
      <c r="AH284" s="73">
        <f t="shared" si="167"/>
        <v>86759.161143890306</v>
      </c>
      <c r="AI284" s="73">
        <f t="shared" si="168"/>
        <v>224751.96114389028</v>
      </c>
      <c r="AJ284" s="73">
        <f t="shared" si="169"/>
        <v>208267.72052655113</v>
      </c>
      <c r="AK284" s="73" t="b">
        <f t="shared" si="184"/>
        <v>1</v>
      </c>
      <c r="AL284" s="73">
        <f t="shared" si="170"/>
        <v>224751.96114389028</v>
      </c>
      <c r="AM284" s="73">
        <f t="shared" si="192"/>
        <v>677.80562764715648</v>
      </c>
      <c r="AN284" s="73">
        <f t="shared" si="185"/>
        <v>128.78306925295973</v>
      </c>
      <c r="AO284" s="73">
        <f t="shared" si="186"/>
        <v>65897.910852541158</v>
      </c>
      <c r="AP284" s="73">
        <f t="shared" si="187"/>
        <v>203890.71085254112</v>
      </c>
    </row>
    <row r="285" spans="1:42" s="69" customFormat="1" x14ac:dyDescent="0.6">
      <c r="A285" s="78">
        <f t="shared" si="171"/>
        <v>264</v>
      </c>
      <c r="B285" s="78" t="str">
        <f>IF(E285&lt;=$F$9,VLOOKUP(KALKULATOR!A285,Robocze!$B$23:$C$102,2),"")</f>
        <v>22 rok</v>
      </c>
      <c r="C285" s="78">
        <f t="shared" si="174"/>
        <v>2042</v>
      </c>
      <c r="D285" s="79">
        <f t="shared" si="188"/>
        <v>62.000000000000625</v>
      </c>
      <c r="E285" s="80">
        <f t="shared" si="189"/>
        <v>52171</v>
      </c>
      <c r="F285" s="81">
        <f t="shared" si="175"/>
        <v>52200</v>
      </c>
      <c r="G285" s="82">
        <f>IFERROR(IF(AND(F285&lt;=$F$9,$F$5=Robocze!$B$4,$E285&lt;=$F$9,MONTH($F$8)=MONTH(E285)),$F$4,0)+IF(AND(F285&lt;=$F$9,$F$5=Robocze!$B$3,E285&lt;=$F$9),KALKULATOR!$F$4/12,0),"")</f>
        <v>0</v>
      </c>
      <c r="H285" s="82">
        <f t="shared" si="176"/>
        <v>137992.79999999996</v>
      </c>
      <c r="I285" s="83">
        <f t="shared" si="172"/>
        <v>0.04</v>
      </c>
      <c r="J285" s="82">
        <f t="shared" si="158"/>
        <v>0</v>
      </c>
      <c r="K285" s="84">
        <f t="shared" si="159"/>
        <v>22</v>
      </c>
      <c r="L285" s="82">
        <f t="shared" si="160"/>
        <v>137992.79999999996</v>
      </c>
      <c r="M285" s="82">
        <f t="shared" si="161"/>
        <v>221548.11414034854</v>
      </c>
      <c r="N285" s="82">
        <f t="shared" si="162"/>
        <v>221548.11414034854</v>
      </c>
      <c r="O285" s="82">
        <f t="shared" si="163"/>
        <v>225501.13434770325</v>
      </c>
      <c r="P285" s="82">
        <f t="shared" si="164"/>
        <v>208874.55082163963</v>
      </c>
      <c r="Q285" s="82">
        <f t="shared" si="165"/>
        <v>204441.21577184298</v>
      </c>
      <c r="R285" s="82"/>
      <c r="S285" s="85">
        <f t="shared" si="173"/>
        <v>0.17</v>
      </c>
      <c r="T285" s="82">
        <f t="shared" si="190"/>
        <v>749.1732038129669</v>
      </c>
      <c r="U285" s="82">
        <f t="shared" si="177"/>
        <v>225501.13434770302</v>
      </c>
      <c r="V285" s="85">
        <f t="shared" si="178"/>
        <v>0.17</v>
      </c>
      <c r="W285" s="82">
        <f t="shared" si="179"/>
        <v>0</v>
      </c>
      <c r="X285" s="82">
        <f>IF(B285&lt;&gt;"",IF(MONTH(E285)=MONTH($F$13),SUMIF($C$22:C667,"="&amp;(C285-1),$G$22:G667),0)*S285,"")</f>
        <v>0</v>
      </c>
      <c r="Y285" s="82">
        <f>IF(B285&lt;&gt;"",SUM($X$22:X285),"")</f>
        <v>23458.776000000013</v>
      </c>
      <c r="Z285" s="82">
        <f t="shared" si="191"/>
        <v>114.2986357892192</v>
      </c>
      <c r="AA285" s="82">
        <f t="shared" si="180"/>
        <v>21.716740799951648</v>
      </c>
      <c r="AB285" s="82">
        <f t="shared" si="181"/>
        <v>10923.396631755035</v>
      </c>
      <c r="AC285" s="82">
        <f t="shared" si="182"/>
        <v>34382.172631755035</v>
      </c>
      <c r="AD285" s="82">
        <f>IFERROR($U285*(1-$V285)+SUM($W$22:$W285)+$AB285,"")</f>
        <v>221548.11414034854</v>
      </c>
      <c r="AE285" s="73" t="b">
        <f t="shared" si="183"/>
        <v>0</v>
      </c>
      <c r="AF285" s="82">
        <f>IF(AND(AE285=TRUE,D285&gt;=65),$U285*(1-10%)+SUM($W$22:$W285)+$AB285,AD285)</f>
        <v>221548.11414034854</v>
      </c>
      <c r="AG285" s="82">
        <f t="shared" si="166"/>
        <v>749.17320381296759</v>
      </c>
      <c r="AH285" s="82">
        <f t="shared" si="167"/>
        <v>87508.334347703276</v>
      </c>
      <c r="AI285" s="82">
        <f t="shared" si="168"/>
        <v>225501.13434770325</v>
      </c>
      <c r="AJ285" s="82">
        <f t="shared" si="169"/>
        <v>208874.55082163963</v>
      </c>
      <c r="AK285" s="73" t="b">
        <f t="shared" si="184"/>
        <v>1</v>
      </c>
      <c r="AL285" s="82">
        <f t="shared" si="170"/>
        <v>225501.13434770325</v>
      </c>
      <c r="AM285" s="82">
        <f t="shared" si="192"/>
        <v>679.63570284180366</v>
      </c>
      <c r="AN285" s="82">
        <f t="shared" si="185"/>
        <v>129.13078353994268</v>
      </c>
      <c r="AO285" s="82">
        <f t="shared" si="186"/>
        <v>66448.415771843022</v>
      </c>
      <c r="AP285" s="82">
        <f t="shared" si="187"/>
        <v>204441.21577184298</v>
      </c>
    </row>
    <row r="286" spans="1:42" s="31" customFormat="1" x14ac:dyDescent="0.6">
      <c r="A286" s="70">
        <f t="shared" si="171"/>
        <v>265</v>
      </c>
      <c r="B286" s="70" t="str">
        <f>IF(E286&lt;=$F$9,VLOOKUP(KALKULATOR!A286,Robocze!$B$23:$C$102,2),"")</f>
        <v>23 rok</v>
      </c>
      <c r="C286" s="70">
        <f t="shared" si="174"/>
        <v>2042</v>
      </c>
      <c r="D286" s="71">
        <f t="shared" si="188"/>
        <v>62.083333333333961</v>
      </c>
      <c r="E286" s="72">
        <f t="shared" si="189"/>
        <v>52201</v>
      </c>
      <c r="F286" s="72">
        <f t="shared" si="175"/>
        <v>52231</v>
      </c>
      <c r="G286" s="73">
        <f>IFERROR(IF(AND(F286&lt;=$F$9,$F$5=Robocze!$B$4,$E286&lt;=$F$9,MONTH($F$8)=MONTH(E286)),$F$4,0)+IF(AND(F286&lt;=$F$9,$F$5=Robocze!$B$3,E286&lt;=$F$9),KALKULATOR!$F$4/12,0),"")</f>
        <v>6272.4</v>
      </c>
      <c r="H286" s="73">
        <f t="shared" si="176"/>
        <v>144265.19999999995</v>
      </c>
      <c r="I286" s="74">
        <f t="shared" si="172"/>
        <v>0.04</v>
      </c>
      <c r="J286" s="73">
        <f t="shared" si="158"/>
        <v>0</v>
      </c>
      <c r="K286" s="75" t="str">
        <f t="shared" si="159"/>
        <v/>
      </c>
      <c r="L286" s="73">
        <f t="shared" si="160"/>
        <v>144265.19999999995</v>
      </c>
      <c r="M286" s="73">
        <f t="shared" si="161"/>
        <v>228554.5861181496</v>
      </c>
      <c r="N286" s="73">
        <f t="shared" si="162"/>
        <v>228554.5861181496</v>
      </c>
      <c r="O286" s="73">
        <f t="shared" si="163"/>
        <v>232546.1127955289</v>
      </c>
      <c r="P286" s="73">
        <f t="shared" si="164"/>
        <v>215772.73936437839</v>
      </c>
      <c r="Q286" s="73">
        <f t="shared" si="165"/>
        <v>211282.54253442693</v>
      </c>
      <c r="R286" s="73"/>
      <c r="S286" s="76">
        <f t="shared" si="173"/>
        <v>0.17</v>
      </c>
      <c r="T286" s="73">
        <f t="shared" si="190"/>
        <v>772.57844782567679</v>
      </c>
      <c r="U286" s="73">
        <f t="shared" si="177"/>
        <v>232546.11279552869</v>
      </c>
      <c r="V286" s="76">
        <f t="shared" si="178"/>
        <v>0.17</v>
      </c>
      <c r="W286" s="73">
        <f t="shared" si="179"/>
        <v>1066.308</v>
      </c>
      <c r="X286" s="73">
        <f>IF(B286&lt;&gt;"",IF(MONTH(E286)=MONTH($F$13),SUMIF($C$22:C668,"="&amp;(C286-1),$G$22:G668),0)*S286,"")</f>
        <v>0</v>
      </c>
      <c r="Y286" s="73">
        <f>IF(B286&lt;&gt;"",SUM($X$22:X286),"")</f>
        <v>23458.776000000013</v>
      </c>
      <c r="Z286" s="73">
        <f t="shared" si="191"/>
        <v>114.60724210585012</v>
      </c>
      <c r="AA286" s="73">
        <f t="shared" si="180"/>
        <v>21.775376000111525</v>
      </c>
      <c r="AB286" s="73">
        <f t="shared" si="181"/>
        <v>11016.228497860773</v>
      </c>
      <c r="AC286" s="73">
        <f t="shared" si="182"/>
        <v>34475.004497860769</v>
      </c>
      <c r="AD286" s="73">
        <f>IFERROR($U286*(1-$V286)+SUM($W$22:$W286)+$AB286,"")</f>
        <v>228554.5861181496</v>
      </c>
      <c r="AE286" s="73" t="b">
        <f t="shared" si="183"/>
        <v>0</v>
      </c>
      <c r="AF286" s="73">
        <f>IF(AND(AE286=TRUE,D286&gt;=65),$U286*(1-10%)+SUM($W$22:$W286)+$AB286,AD286)</f>
        <v>228554.5861181496</v>
      </c>
      <c r="AG286" s="73">
        <f t="shared" si="166"/>
        <v>772.57844782567747</v>
      </c>
      <c r="AH286" s="73">
        <f t="shared" si="167"/>
        <v>88280.912795528959</v>
      </c>
      <c r="AI286" s="73">
        <f t="shared" si="168"/>
        <v>232546.1127955289</v>
      </c>
      <c r="AJ286" s="73">
        <f t="shared" si="169"/>
        <v>215772.73936437839</v>
      </c>
      <c r="AK286" s="73" t="b">
        <f t="shared" si="184"/>
        <v>1</v>
      </c>
      <c r="AL286" s="73">
        <f t="shared" si="170"/>
        <v>232546.1127955289</v>
      </c>
      <c r="AM286" s="73">
        <f t="shared" si="192"/>
        <v>702.3787192394766</v>
      </c>
      <c r="AN286" s="73">
        <f t="shared" si="185"/>
        <v>133.45195665550057</v>
      </c>
      <c r="AO286" s="73">
        <f t="shared" si="186"/>
        <v>67017.342534426978</v>
      </c>
      <c r="AP286" s="73">
        <f t="shared" si="187"/>
        <v>211282.54253442693</v>
      </c>
    </row>
    <row r="287" spans="1:42" s="31" customFormat="1" x14ac:dyDescent="0.6">
      <c r="A287" s="70">
        <f t="shared" si="171"/>
        <v>266</v>
      </c>
      <c r="B287" s="70" t="str">
        <f>IF(E287&lt;=$F$9,VLOOKUP(KALKULATOR!A287,Robocze!$B$23:$C$102,2),"")</f>
        <v>23 rok</v>
      </c>
      <c r="C287" s="70">
        <f t="shared" si="174"/>
        <v>2043</v>
      </c>
      <c r="D287" s="71">
        <f t="shared" si="188"/>
        <v>62.166666666667297</v>
      </c>
      <c r="E287" s="77">
        <f t="shared" si="189"/>
        <v>52232</v>
      </c>
      <c r="F287" s="72">
        <f t="shared" si="175"/>
        <v>52262</v>
      </c>
      <c r="G287" s="73">
        <f>IFERROR(IF(AND(F287&lt;=$F$9,$F$5=Robocze!$B$4,$E287&lt;=$F$9,MONTH($F$8)=MONTH(E287)),$F$4,0)+IF(AND(F287&lt;=$F$9,$F$5=Robocze!$B$3,E287&lt;=$F$9),KALKULATOR!$F$4/12,0),"")</f>
        <v>0</v>
      </c>
      <c r="H287" s="73">
        <f t="shared" si="176"/>
        <v>144265.19999999995</v>
      </c>
      <c r="I287" s="74">
        <f t="shared" si="172"/>
        <v>0.04</v>
      </c>
      <c r="J287" s="73">
        <f t="shared" si="158"/>
        <v>0</v>
      </c>
      <c r="K287" s="75" t="str">
        <f t="shared" si="159"/>
        <v/>
      </c>
      <c r="L287" s="73">
        <f t="shared" si="160"/>
        <v>144265.19999999995</v>
      </c>
      <c r="M287" s="73">
        <f t="shared" si="161"/>
        <v>229291.04620902811</v>
      </c>
      <c r="N287" s="73">
        <f t="shared" si="162"/>
        <v>229291.04620902811</v>
      </c>
      <c r="O287" s="73">
        <f t="shared" si="163"/>
        <v>233321.26650484733</v>
      </c>
      <c r="P287" s="73">
        <f t="shared" si="164"/>
        <v>216400.61386892633</v>
      </c>
      <c r="Q287" s="73">
        <f t="shared" si="165"/>
        <v>211853.0053992699</v>
      </c>
      <c r="R287" s="73"/>
      <c r="S287" s="76">
        <f t="shared" si="173"/>
        <v>0.17</v>
      </c>
      <c r="T287" s="73">
        <f t="shared" si="190"/>
        <v>775.15370931842904</v>
      </c>
      <c r="U287" s="73">
        <f t="shared" si="177"/>
        <v>233321.26650484712</v>
      </c>
      <c r="V287" s="76">
        <f t="shared" si="178"/>
        <v>0.17</v>
      </c>
      <c r="W287" s="73">
        <f t="shared" si="179"/>
        <v>0</v>
      </c>
      <c r="X287" s="73">
        <f>IF(B287&lt;&gt;"",IF(MONTH(E287)=MONTH($F$13),SUMIF($C$22:C669,"="&amp;(C287-1),$G$22:G669),0)*S287,"")</f>
        <v>0</v>
      </c>
      <c r="Y287" s="73">
        <f>IF(B287&lt;&gt;"",SUM($X$22:X287),"")</f>
        <v>23458.776000000013</v>
      </c>
      <c r="Z287" s="73">
        <f t="shared" si="191"/>
        <v>114.91668165953591</v>
      </c>
      <c r="AA287" s="73">
        <f t="shared" si="180"/>
        <v>21.834169515311824</v>
      </c>
      <c r="AB287" s="73">
        <f t="shared" si="181"/>
        <v>11109.311010004996</v>
      </c>
      <c r="AC287" s="73">
        <f t="shared" si="182"/>
        <v>34568.087010004994</v>
      </c>
      <c r="AD287" s="73">
        <f>IFERROR($U287*(1-$V287)+SUM($W$22:$W287)+$AB287,"")</f>
        <v>229291.04620902811</v>
      </c>
      <c r="AE287" s="73" t="b">
        <f t="shared" si="183"/>
        <v>0</v>
      </c>
      <c r="AF287" s="73">
        <f>IF(AND(AE287=TRUE,D287&gt;=65),$U287*(1-10%)+SUM($W$22:$W287)+$AB287,AD287)</f>
        <v>229291.04620902811</v>
      </c>
      <c r="AG287" s="73">
        <f t="shared" si="166"/>
        <v>775.15370931842972</v>
      </c>
      <c r="AH287" s="73">
        <f t="shared" si="167"/>
        <v>89056.066504847389</v>
      </c>
      <c r="AI287" s="73">
        <f t="shared" si="168"/>
        <v>233321.26650484733</v>
      </c>
      <c r="AJ287" s="73">
        <f t="shared" si="169"/>
        <v>216400.61386892633</v>
      </c>
      <c r="AK287" s="73" t="b">
        <f t="shared" si="184"/>
        <v>1</v>
      </c>
      <c r="AL287" s="73">
        <f t="shared" si="170"/>
        <v>233321.26650484733</v>
      </c>
      <c r="AM287" s="73">
        <f t="shared" si="192"/>
        <v>704.27514178142303</v>
      </c>
      <c r="AN287" s="73">
        <f t="shared" si="185"/>
        <v>133.81227693847038</v>
      </c>
      <c r="AO287" s="73">
        <f t="shared" si="186"/>
        <v>67587.805399269942</v>
      </c>
      <c r="AP287" s="73">
        <f t="shared" si="187"/>
        <v>211853.0053992699</v>
      </c>
    </row>
    <row r="288" spans="1:42" s="31" customFormat="1" x14ac:dyDescent="0.6">
      <c r="A288" s="70">
        <f t="shared" si="171"/>
        <v>267</v>
      </c>
      <c r="B288" s="70" t="str">
        <f>IF(E288&lt;=$F$9,VLOOKUP(KALKULATOR!A288,Robocze!$B$23:$C$102,2),"")</f>
        <v>23 rok</v>
      </c>
      <c r="C288" s="70">
        <f t="shared" si="174"/>
        <v>2043</v>
      </c>
      <c r="D288" s="71">
        <f t="shared" si="188"/>
        <v>62.250000000000632</v>
      </c>
      <c r="E288" s="77">
        <f t="shared" si="189"/>
        <v>52263</v>
      </c>
      <c r="F288" s="72">
        <f t="shared" si="175"/>
        <v>52290</v>
      </c>
      <c r="G288" s="73">
        <f>IFERROR(IF(AND(F288&lt;=$F$9,$F$5=Robocze!$B$4,$E288&lt;=$F$9,MONTH($F$8)=MONTH(E288)),$F$4,0)+IF(AND(F288&lt;=$F$9,$F$5=Robocze!$B$3,E288&lt;=$F$9),KALKULATOR!$F$4/12,0),"")</f>
        <v>0</v>
      </c>
      <c r="H288" s="73">
        <f t="shared" si="176"/>
        <v>144265.19999999995</v>
      </c>
      <c r="I288" s="74">
        <f t="shared" si="172"/>
        <v>0.04</v>
      </c>
      <c r="J288" s="73">
        <f t="shared" si="158"/>
        <v>0</v>
      </c>
      <c r="K288" s="75" t="str">
        <f t="shared" si="159"/>
        <v/>
      </c>
      <c r="L288" s="73">
        <f t="shared" si="160"/>
        <v>144265.19999999995</v>
      </c>
      <c r="M288" s="73">
        <f t="shared" si="161"/>
        <v>230029.90221461852</v>
      </c>
      <c r="N288" s="73">
        <f t="shared" si="162"/>
        <v>230029.90221461852</v>
      </c>
      <c r="O288" s="73">
        <f t="shared" si="163"/>
        <v>234099.00405986351</v>
      </c>
      <c r="P288" s="73">
        <f t="shared" si="164"/>
        <v>217030.58128848943</v>
      </c>
      <c r="Q288" s="73">
        <f t="shared" si="165"/>
        <v>212425.00851384795</v>
      </c>
      <c r="R288" s="73"/>
      <c r="S288" s="76">
        <f t="shared" si="173"/>
        <v>0.17</v>
      </c>
      <c r="T288" s="73">
        <f t="shared" si="190"/>
        <v>777.7375550161571</v>
      </c>
      <c r="U288" s="73">
        <f t="shared" si="177"/>
        <v>234099.00405986328</v>
      </c>
      <c r="V288" s="76">
        <f t="shared" si="178"/>
        <v>0.17</v>
      </c>
      <c r="W288" s="73">
        <f t="shared" si="179"/>
        <v>0</v>
      </c>
      <c r="X288" s="73">
        <f>IF(B288&lt;&gt;"",IF(MONTH(E288)=MONTH($F$13),SUMIF($C$22:C670,"="&amp;(C288-1),$G$22:G670),0)*S288,"")</f>
        <v>0</v>
      </c>
      <c r="Y288" s="73">
        <f>IF(B288&lt;&gt;"",SUM($X$22:X288),"")</f>
        <v>23458.776000000013</v>
      </c>
      <c r="Z288" s="73">
        <f t="shared" si="191"/>
        <v>115.22695670001666</v>
      </c>
      <c r="AA288" s="73">
        <f t="shared" si="180"/>
        <v>21.893121773003166</v>
      </c>
      <c r="AB288" s="73">
        <f t="shared" si="181"/>
        <v>11202.644844932011</v>
      </c>
      <c r="AC288" s="73">
        <f t="shared" si="182"/>
        <v>34661.420844932007</v>
      </c>
      <c r="AD288" s="73">
        <f>IFERROR($U288*(1-$V288)+SUM($W$22:$W288)+$AB288,"")</f>
        <v>230029.90221461852</v>
      </c>
      <c r="AE288" s="73" t="b">
        <f t="shared" si="183"/>
        <v>0</v>
      </c>
      <c r="AF288" s="73">
        <f>IF(AND(AE288=TRUE,D288&gt;=65),$U288*(1-10%)+SUM($W$22:$W288)+$AB288,AD288)</f>
        <v>230029.90221461852</v>
      </c>
      <c r="AG288" s="73">
        <f t="shared" si="166"/>
        <v>777.73755501615778</v>
      </c>
      <c r="AH288" s="73">
        <f t="shared" si="167"/>
        <v>89833.804059863542</v>
      </c>
      <c r="AI288" s="73">
        <f t="shared" si="168"/>
        <v>234099.00405986351</v>
      </c>
      <c r="AJ288" s="73">
        <f t="shared" si="169"/>
        <v>217030.58128848943</v>
      </c>
      <c r="AK288" s="73" t="b">
        <f t="shared" si="184"/>
        <v>1</v>
      </c>
      <c r="AL288" s="73">
        <f t="shared" si="170"/>
        <v>234099.00405986351</v>
      </c>
      <c r="AM288" s="73">
        <f t="shared" si="192"/>
        <v>706.17668466423299</v>
      </c>
      <c r="AN288" s="73">
        <f t="shared" si="185"/>
        <v>134.17357008620428</v>
      </c>
      <c r="AO288" s="73">
        <f t="shared" si="186"/>
        <v>68159.808513847995</v>
      </c>
      <c r="AP288" s="73">
        <f t="shared" si="187"/>
        <v>212425.00851384795</v>
      </c>
    </row>
    <row r="289" spans="1:42" s="31" customFormat="1" x14ac:dyDescent="0.6">
      <c r="A289" s="70">
        <f t="shared" si="171"/>
        <v>268</v>
      </c>
      <c r="B289" s="70" t="str">
        <f>IF(E289&lt;=$F$9,VLOOKUP(KALKULATOR!A289,Robocze!$B$23:$C$102,2),"")</f>
        <v>23 rok</v>
      </c>
      <c r="C289" s="70">
        <f t="shared" si="174"/>
        <v>2043</v>
      </c>
      <c r="D289" s="71">
        <f t="shared" si="188"/>
        <v>62.333333333333968</v>
      </c>
      <c r="E289" s="77">
        <f t="shared" si="189"/>
        <v>52291</v>
      </c>
      <c r="F289" s="72">
        <f t="shared" si="175"/>
        <v>52321</v>
      </c>
      <c r="G289" s="73">
        <f>IFERROR(IF(AND(F289&lt;=$F$9,$F$5=Robocze!$B$4,$E289&lt;=$F$9,MONTH($F$8)=MONTH(E289)),$F$4,0)+IF(AND(F289&lt;=$F$9,$F$5=Robocze!$B$3,E289&lt;=$F$9),KALKULATOR!$F$4/12,0),"")</f>
        <v>0</v>
      </c>
      <c r="H289" s="73">
        <f t="shared" si="176"/>
        <v>144265.19999999995</v>
      </c>
      <c r="I289" s="74">
        <f t="shared" si="172"/>
        <v>0.04</v>
      </c>
      <c r="J289" s="73">
        <f t="shared" si="158"/>
        <v>0</v>
      </c>
      <c r="K289" s="75" t="str">
        <f t="shared" si="159"/>
        <v/>
      </c>
      <c r="L289" s="73">
        <f t="shared" si="160"/>
        <v>144265.19999999995</v>
      </c>
      <c r="M289" s="73">
        <f t="shared" si="161"/>
        <v>230771.16196213212</v>
      </c>
      <c r="N289" s="73">
        <f t="shared" si="162"/>
        <v>230771.16196213212</v>
      </c>
      <c r="O289" s="73">
        <f t="shared" si="163"/>
        <v>234879.33407339637</v>
      </c>
      <c r="P289" s="73">
        <f t="shared" si="164"/>
        <v>217662.64859945106</v>
      </c>
      <c r="Q289" s="73">
        <f t="shared" si="165"/>
        <v>212998.55603683536</v>
      </c>
      <c r="R289" s="73"/>
      <c r="S289" s="76">
        <f t="shared" si="173"/>
        <v>0.17</v>
      </c>
      <c r="T289" s="73">
        <f t="shared" si="190"/>
        <v>780.33001353287762</v>
      </c>
      <c r="U289" s="73">
        <f t="shared" si="177"/>
        <v>234879.33407339617</v>
      </c>
      <c r="V289" s="76">
        <f t="shared" si="178"/>
        <v>0.17</v>
      </c>
      <c r="W289" s="73">
        <f t="shared" si="179"/>
        <v>0</v>
      </c>
      <c r="X289" s="73">
        <f>IF(B289&lt;&gt;"",IF(MONTH(E289)=MONTH($F$13),SUMIF($C$22:C671,"="&amp;(C289-1),$G$22:G671),0)*S289,"")</f>
        <v>0</v>
      </c>
      <c r="Y289" s="73">
        <f>IF(B289&lt;&gt;"",SUM($X$22:X289),"")</f>
        <v>23458.776000000013</v>
      </c>
      <c r="Z289" s="73">
        <f t="shared" si="191"/>
        <v>115.5380694831067</v>
      </c>
      <c r="AA289" s="73">
        <f t="shared" si="180"/>
        <v>21.952233201790271</v>
      </c>
      <c r="AB289" s="73">
        <f t="shared" si="181"/>
        <v>11296.230681213328</v>
      </c>
      <c r="AC289" s="73">
        <f t="shared" si="182"/>
        <v>34755.006681213323</v>
      </c>
      <c r="AD289" s="73">
        <f>IFERROR($U289*(1-$V289)+SUM($W$22:$W289)+$AB289,"")</f>
        <v>230771.16196213212</v>
      </c>
      <c r="AE289" s="73" t="b">
        <f t="shared" si="183"/>
        <v>0</v>
      </c>
      <c r="AF289" s="73">
        <f>IF(AND(AE289=TRUE,D289&gt;=65),$U289*(1-10%)+SUM($W$22:$W289)+$AB289,AD289)</f>
        <v>230771.16196213212</v>
      </c>
      <c r="AG289" s="73">
        <f t="shared" si="166"/>
        <v>780.3300135328783</v>
      </c>
      <c r="AH289" s="73">
        <f t="shared" si="167"/>
        <v>90614.134073396417</v>
      </c>
      <c r="AI289" s="73">
        <f t="shared" si="168"/>
        <v>234879.33407339637</v>
      </c>
      <c r="AJ289" s="73">
        <f t="shared" si="169"/>
        <v>217662.64859945106</v>
      </c>
      <c r="AK289" s="73" t="b">
        <f t="shared" si="184"/>
        <v>1</v>
      </c>
      <c r="AL289" s="73">
        <f t="shared" si="170"/>
        <v>234879.33407339637</v>
      </c>
      <c r="AM289" s="73">
        <f t="shared" si="192"/>
        <v>708.08336171282645</v>
      </c>
      <c r="AN289" s="73">
        <f t="shared" si="185"/>
        <v>134.53583872543703</v>
      </c>
      <c r="AO289" s="73">
        <f t="shared" si="186"/>
        <v>68733.356036835408</v>
      </c>
      <c r="AP289" s="73">
        <f t="shared" si="187"/>
        <v>212998.55603683536</v>
      </c>
    </row>
    <row r="290" spans="1:42" s="31" customFormat="1" x14ac:dyDescent="0.6">
      <c r="A290" s="70">
        <f t="shared" si="171"/>
        <v>269</v>
      </c>
      <c r="B290" s="70" t="str">
        <f>IF(E290&lt;=$F$9,VLOOKUP(KALKULATOR!A290,Robocze!$B$23:$C$102,2),"")</f>
        <v>23 rok</v>
      </c>
      <c r="C290" s="70">
        <f t="shared" si="174"/>
        <v>2043</v>
      </c>
      <c r="D290" s="71">
        <f t="shared" si="188"/>
        <v>62.416666666667304</v>
      </c>
      <c r="E290" s="77">
        <f t="shared" si="189"/>
        <v>52322</v>
      </c>
      <c r="F290" s="72">
        <f t="shared" si="175"/>
        <v>52351</v>
      </c>
      <c r="G290" s="73">
        <f>IFERROR(IF(AND(F290&lt;=$F$9,$F$5=Robocze!$B$4,$E290&lt;=$F$9,MONTH($F$8)=MONTH(E290)),$F$4,0)+IF(AND(F290&lt;=$F$9,$F$5=Robocze!$B$3,E290&lt;=$F$9),KALKULATOR!$F$4/12,0),"")</f>
        <v>0</v>
      </c>
      <c r="H290" s="73">
        <f t="shared" si="176"/>
        <v>144265.19999999995</v>
      </c>
      <c r="I290" s="74">
        <f t="shared" si="172"/>
        <v>0.04</v>
      </c>
      <c r="J290" s="73">
        <f t="shared" si="158"/>
        <v>0</v>
      </c>
      <c r="K290" s="75" t="str">
        <f t="shared" si="159"/>
        <v/>
      </c>
      <c r="L290" s="73">
        <f t="shared" si="160"/>
        <v>144265.19999999995</v>
      </c>
      <c r="M290" s="73">
        <f t="shared" si="161"/>
        <v>231517.71233604115</v>
      </c>
      <c r="N290" s="73">
        <f t="shared" si="162"/>
        <v>231517.71233604115</v>
      </c>
      <c r="O290" s="73">
        <f t="shared" si="163"/>
        <v>235662.26518697437</v>
      </c>
      <c r="P290" s="73">
        <f t="shared" si="164"/>
        <v>218296.82280144922</v>
      </c>
      <c r="Q290" s="73">
        <f t="shared" si="165"/>
        <v>213573.65213813481</v>
      </c>
      <c r="R290" s="73"/>
      <c r="S290" s="76">
        <f t="shared" si="173"/>
        <v>0.17</v>
      </c>
      <c r="T290" s="73">
        <f t="shared" si="190"/>
        <v>782.93111357798728</v>
      </c>
      <c r="U290" s="73">
        <f t="shared" si="177"/>
        <v>235662.26518697417</v>
      </c>
      <c r="V290" s="76">
        <f t="shared" si="178"/>
        <v>0.17</v>
      </c>
      <c r="W290" s="73">
        <f t="shared" si="179"/>
        <v>0</v>
      </c>
      <c r="X290" s="73">
        <f>IF(B290&lt;&gt;"",IF(MONTH(E290)=MONTH($F$13),SUMIF($C$22:C672,"="&amp;(C290-1),$G$22:G672),0)*S290,"")</f>
        <v>1066.308</v>
      </c>
      <c r="Y290" s="73">
        <f>IF(B290&lt;&gt;"",SUM($X$22:X290),"")</f>
        <v>24525.084000000013</v>
      </c>
      <c r="Z290" s="73">
        <f t="shared" si="191"/>
        <v>119.40438227071108</v>
      </c>
      <c r="AA290" s="73">
        <f t="shared" si="180"/>
        <v>22.686832631435106</v>
      </c>
      <c r="AB290" s="73">
        <f t="shared" si="181"/>
        <v>11392.948230852606</v>
      </c>
      <c r="AC290" s="73">
        <f t="shared" si="182"/>
        <v>35918.032230852594</v>
      </c>
      <c r="AD290" s="73">
        <f>IFERROR($U290*(1-$V290)+SUM($W$22:$W290)+$AB290,"")</f>
        <v>231517.71233604115</v>
      </c>
      <c r="AE290" s="73" t="b">
        <f t="shared" si="183"/>
        <v>0</v>
      </c>
      <c r="AF290" s="73">
        <f>IF(AND(AE290=TRUE,D290&gt;=65),$U290*(1-10%)+SUM($W$22:$W290)+$AB290,AD290)</f>
        <v>231517.71233604115</v>
      </c>
      <c r="AG290" s="73">
        <f t="shared" si="166"/>
        <v>782.93111357798796</v>
      </c>
      <c r="AH290" s="73">
        <f t="shared" si="167"/>
        <v>91397.065186974403</v>
      </c>
      <c r="AI290" s="73">
        <f t="shared" si="168"/>
        <v>235662.26518697437</v>
      </c>
      <c r="AJ290" s="73">
        <f t="shared" si="169"/>
        <v>218296.82280144922</v>
      </c>
      <c r="AK290" s="73" t="b">
        <f t="shared" si="184"/>
        <v>1</v>
      </c>
      <c r="AL290" s="73">
        <f t="shared" si="170"/>
        <v>235662.26518697437</v>
      </c>
      <c r="AM290" s="73">
        <f t="shared" si="192"/>
        <v>709.99518678945117</v>
      </c>
      <c r="AN290" s="73">
        <f t="shared" si="185"/>
        <v>134.89908548999571</v>
      </c>
      <c r="AO290" s="73">
        <f t="shared" si="186"/>
        <v>69308.45213813486</v>
      </c>
      <c r="AP290" s="73">
        <f t="shared" si="187"/>
        <v>213573.65213813481</v>
      </c>
    </row>
    <row r="291" spans="1:42" s="31" customFormat="1" x14ac:dyDescent="0.6">
      <c r="A291" s="70">
        <f t="shared" si="171"/>
        <v>270</v>
      </c>
      <c r="B291" s="70" t="str">
        <f>IF(E291&lt;=$F$9,VLOOKUP(KALKULATOR!A291,Robocze!$B$23:$C$102,2),"")</f>
        <v>23 rok</v>
      </c>
      <c r="C291" s="70">
        <f t="shared" si="174"/>
        <v>2043</v>
      </c>
      <c r="D291" s="71">
        <f t="shared" si="188"/>
        <v>62.500000000000639</v>
      </c>
      <c r="E291" s="77">
        <f t="shared" si="189"/>
        <v>52352</v>
      </c>
      <c r="F291" s="72">
        <f t="shared" si="175"/>
        <v>52382</v>
      </c>
      <c r="G291" s="73">
        <f>IFERROR(IF(AND(F291&lt;=$F$9,$F$5=Robocze!$B$4,$E291&lt;=$F$9,MONTH($F$8)=MONTH(E291)),$F$4,0)+IF(AND(F291&lt;=$F$9,$F$5=Robocze!$B$3,E291&lt;=$F$9),KALKULATOR!$F$4/12,0),"")</f>
        <v>0</v>
      </c>
      <c r="H291" s="73">
        <f t="shared" si="176"/>
        <v>144265.19999999995</v>
      </c>
      <c r="I291" s="74">
        <f t="shared" si="172"/>
        <v>0.04</v>
      </c>
      <c r="J291" s="73">
        <f t="shared" si="158"/>
        <v>0</v>
      </c>
      <c r="K291" s="75" t="str">
        <f t="shared" si="159"/>
        <v/>
      </c>
      <c r="L291" s="73">
        <f t="shared" si="160"/>
        <v>144265.19999999995</v>
      </c>
      <c r="M291" s="73">
        <f t="shared" si="161"/>
        <v>232266.68995674845</v>
      </c>
      <c r="N291" s="73">
        <f t="shared" si="162"/>
        <v>232266.68995674845</v>
      </c>
      <c r="O291" s="73">
        <f t="shared" si="163"/>
        <v>236447.80607093094</v>
      </c>
      <c r="P291" s="73">
        <f t="shared" si="164"/>
        <v>218933.11091745406</v>
      </c>
      <c r="Q291" s="73">
        <f t="shared" si="165"/>
        <v>214150.3009989078</v>
      </c>
      <c r="R291" s="73"/>
      <c r="S291" s="76">
        <f t="shared" si="173"/>
        <v>0.17</v>
      </c>
      <c r="T291" s="73">
        <f t="shared" si="190"/>
        <v>785.54088395658061</v>
      </c>
      <c r="U291" s="73">
        <f t="shared" si="177"/>
        <v>236447.80607093076</v>
      </c>
      <c r="V291" s="76">
        <f t="shared" si="178"/>
        <v>0.17</v>
      </c>
      <c r="W291" s="73">
        <f t="shared" si="179"/>
        <v>0</v>
      </c>
      <c r="X291" s="73">
        <f>IF(B291&lt;&gt;"",IF(MONTH(E291)=MONTH($F$13),SUMIF($C$22:C673,"="&amp;(C291-1),$G$22:G673),0)*S291,"")</f>
        <v>0</v>
      </c>
      <c r="Y291" s="73">
        <f>IF(B291&lt;&gt;"",SUM($X$22:X291),"")</f>
        <v>24525.084000000013</v>
      </c>
      <c r="Z291" s="73">
        <f t="shared" si="191"/>
        <v>119.72677410284199</v>
      </c>
      <c r="AA291" s="73">
        <f t="shared" si="180"/>
        <v>22.748087079539978</v>
      </c>
      <c r="AB291" s="73">
        <f t="shared" si="181"/>
        <v>11489.926917875908</v>
      </c>
      <c r="AC291" s="73">
        <f t="shared" si="182"/>
        <v>36015.010917875894</v>
      </c>
      <c r="AD291" s="73">
        <f>IFERROR($U291*(1-$V291)+SUM($W$22:$W291)+$AB291,"")</f>
        <v>232266.68995674845</v>
      </c>
      <c r="AE291" s="73" t="b">
        <f t="shared" si="183"/>
        <v>0</v>
      </c>
      <c r="AF291" s="73">
        <f>IF(AND(AE291=TRUE,D291&gt;=65),$U291*(1-10%)+SUM($W$22:$W291)+$AB291,AD291)</f>
        <v>232266.68995674845</v>
      </c>
      <c r="AG291" s="73">
        <f t="shared" si="166"/>
        <v>785.54088395658118</v>
      </c>
      <c r="AH291" s="73">
        <f t="shared" si="167"/>
        <v>92182.606070930982</v>
      </c>
      <c r="AI291" s="73">
        <f t="shared" si="168"/>
        <v>236447.80607093094</v>
      </c>
      <c r="AJ291" s="73">
        <f t="shared" si="169"/>
        <v>218933.11091745406</v>
      </c>
      <c r="AK291" s="73" t="b">
        <f t="shared" si="184"/>
        <v>1</v>
      </c>
      <c r="AL291" s="73">
        <f t="shared" si="170"/>
        <v>236447.80607093094</v>
      </c>
      <c r="AM291" s="73">
        <f t="shared" si="192"/>
        <v>711.9121737937827</v>
      </c>
      <c r="AN291" s="73">
        <f t="shared" si="185"/>
        <v>135.26331302081871</v>
      </c>
      <c r="AO291" s="73">
        <f t="shared" si="186"/>
        <v>69885.100998907845</v>
      </c>
      <c r="AP291" s="73">
        <f t="shared" si="187"/>
        <v>214150.3009989078</v>
      </c>
    </row>
    <row r="292" spans="1:42" s="31" customFormat="1" x14ac:dyDescent="0.6">
      <c r="A292" s="70">
        <f t="shared" si="171"/>
        <v>271</v>
      </c>
      <c r="B292" s="70" t="str">
        <f>IF(E292&lt;=$F$9,VLOOKUP(KALKULATOR!A292,Robocze!$B$23:$C$102,2),"")</f>
        <v>23 rok</v>
      </c>
      <c r="C292" s="70">
        <f t="shared" si="174"/>
        <v>2043</v>
      </c>
      <c r="D292" s="71">
        <f t="shared" si="188"/>
        <v>62.583333333333975</v>
      </c>
      <c r="E292" s="77">
        <f t="shared" si="189"/>
        <v>52383</v>
      </c>
      <c r="F292" s="72">
        <f t="shared" si="175"/>
        <v>52412</v>
      </c>
      <c r="G292" s="73">
        <f>IFERROR(IF(AND(F292&lt;=$F$9,$F$5=Robocze!$B$4,$E292&lt;=$F$9,MONTH($F$8)=MONTH(E292)),$F$4,0)+IF(AND(F292&lt;=$F$9,$F$5=Robocze!$B$3,E292&lt;=$F$9),KALKULATOR!$F$4/12,0),"")</f>
        <v>0</v>
      </c>
      <c r="H292" s="73">
        <f t="shared" si="176"/>
        <v>144265.19999999995</v>
      </c>
      <c r="I292" s="74">
        <f t="shared" si="172"/>
        <v>0.04</v>
      </c>
      <c r="J292" s="73">
        <f t="shared" si="158"/>
        <v>0</v>
      </c>
      <c r="K292" s="75" t="str">
        <f t="shared" si="159"/>
        <v/>
      </c>
      <c r="L292" s="73">
        <f t="shared" si="160"/>
        <v>144265.19999999995</v>
      </c>
      <c r="M292" s="73">
        <f t="shared" si="161"/>
        <v>233018.1027496896</v>
      </c>
      <c r="N292" s="73">
        <f t="shared" si="162"/>
        <v>233018.1027496896</v>
      </c>
      <c r="O292" s="73">
        <f t="shared" si="163"/>
        <v>237235.9654245007</v>
      </c>
      <c r="P292" s="73">
        <f t="shared" si="164"/>
        <v>219571.51999384555</v>
      </c>
      <c r="Q292" s="73">
        <f t="shared" si="165"/>
        <v>214728.50681160484</v>
      </c>
      <c r="R292" s="73"/>
      <c r="S292" s="76">
        <f t="shared" si="173"/>
        <v>0.17</v>
      </c>
      <c r="T292" s="73">
        <f t="shared" si="190"/>
        <v>788.15935356976922</v>
      </c>
      <c r="U292" s="73">
        <f t="shared" si="177"/>
        <v>237235.96542450052</v>
      </c>
      <c r="V292" s="76">
        <f t="shared" si="178"/>
        <v>0.17</v>
      </c>
      <c r="W292" s="73">
        <f t="shared" si="179"/>
        <v>0</v>
      </c>
      <c r="X292" s="73">
        <f>IF(B292&lt;&gt;"",IF(MONTH(E292)=MONTH($F$13),SUMIF($C$22:C674,"="&amp;(C292-1),$G$22:G674),0)*S292,"")</f>
        <v>0</v>
      </c>
      <c r="Y292" s="73">
        <f>IF(B292&lt;&gt;"",SUM($X$22:X292),"")</f>
        <v>24525.084000000013</v>
      </c>
      <c r="Z292" s="73">
        <f t="shared" si="191"/>
        <v>120.05003639291965</v>
      </c>
      <c r="AA292" s="73">
        <f t="shared" si="180"/>
        <v>22.809506914654733</v>
      </c>
      <c r="AB292" s="73">
        <f t="shared" si="181"/>
        <v>11587.167447354173</v>
      </c>
      <c r="AC292" s="73">
        <f t="shared" si="182"/>
        <v>36112.25144735416</v>
      </c>
      <c r="AD292" s="73">
        <f>IFERROR($U292*(1-$V292)+SUM($W$22:$W292)+$AB292,"")</f>
        <v>233018.1027496896</v>
      </c>
      <c r="AE292" s="73" t="b">
        <f t="shared" si="183"/>
        <v>0</v>
      </c>
      <c r="AF292" s="73">
        <f>IF(AND(AE292=TRUE,D292&gt;=65),$U292*(1-10%)+SUM($W$22:$W292)+$AB292,AD292)</f>
        <v>233018.1027496896</v>
      </c>
      <c r="AG292" s="73">
        <f t="shared" si="166"/>
        <v>788.15935356976979</v>
      </c>
      <c r="AH292" s="73">
        <f t="shared" si="167"/>
        <v>92970.765424500758</v>
      </c>
      <c r="AI292" s="73">
        <f t="shared" si="168"/>
        <v>237235.9654245007</v>
      </c>
      <c r="AJ292" s="73">
        <f t="shared" si="169"/>
        <v>219571.51999384555</v>
      </c>
      <c r="AK292" s="73" t="b">
        <f t="shared" si="184"/>
        <v>1</v>
      </c>
      <c r="AL292" s="73">
        <f t="shared" si="170"/>
        <v>237235.9654245007</v>
      </c>
      <c r="AM292" s="73">
        <f t="shared" si="192"/>
        <v>713.83433666302608</v>
      </c>
      <c r="AN292" s="73">
        <f t="shared" si="185"/>
        <v>135.62852396597495</v>
      </c>
      <c r="AO292" s="73">
        <f t="shared" si="186"/>
        <v>70463.306811604882</v>
      </c>
      <c r="AP292" s="73">
        <f t="shared" si="187"/>
        <v>214728.50681160484</v>
      </c>
    </row>
    <row r="293" spans="1:42" s="31" customFormat="1" x14ac:dyDescent="0.6">
      <c r="A293" s="70">
        <f t="shared" si="171"/>
        <v>272</v>
      </c>
      <c r="B293" s="70" t="str">
        <f>IF(E293&lt;=$F$9,VLOOKUP(KALKULATOR!A293,Robocze!$B$23:$C$102,2),"")</f>
        <v>23 rok</v>
      </c>
      <c r="C293" s="70">
        <f t="shared" si="174"/>
        <v>2043</v>
      </c>
      <c r="D293" s="71">
        <f t="shared" si="188"/>
        <v>62.666666666667311</v>
      </c>
      <c r="E293" s="77">
        <f t="shared" si="189"/>
        <v>52413</v>
      </c>
      <c r="F293" s="72">
        <f t="shared" si="175"/>
        <v>52443</v>
      </c>
      <c r="G293" s="73">
        <f>IFERROR(IF(AND(F293&lt;=$F$9,$F$5=Robocze!$B$4,$E293&lt;=$F$9,MONTH($F$8)=MONTH(E293)),$F$4,0)+IF(AND(F293&lt;=$F$9,$F$5=Robocze!$B$3,E293&lt;=$F$9),KALKULATOR!$F$4/12,0),"")</f>
        <v>0</v>
      </c>
      <c r="H293" s="73">
        <f t="shared" si="176"/>
        <v>144265.19999999995</v>
      </c>
      <c r="I293" s="74">
        <f t="shared" si="172"/>
        <v>0.04</v>
      </c>
      <c r="J293" s="73">
        <f t="shared" si="158"/>
        <v>0</v>
      </c>
      <c r="K293" s="75" t="str">
        <f t="shared" si="159"/>
        <v/>
      </c>
      <c r="L293" s="73">
        <f t="shared" si="160"/>
        <v>144265.19999999995</v>
      </c>
      <c r="M293" s="73">
        <f t="shared" si="161"/>
        <v>233771.95866627188</v>
      </c>
      <c r="N293" s="73">
        <f t="shared" si="162"/>
        <v>233771.95866627188</v>
      </c>
      <c r="O293" s="73">
        <f t="shared" si="163"/>
        <v>238026.75197591571</v>
      </c>
      <c r="P293" s="73">
        <f t="shared" si="164"/>
        <v>220212.05710049171</v>
      </c>
      <c r="Q293" s="73">
        <f t="shared" si="165"/>
        <v>215308.27377999618</v>
      </c>
      <c r="R293" s="73"/>
      <c r="S293" s="76">
        <f t="shared" si="173"/>
        <v>0.17</v>
      </c>
      <c r="T293" s="73">
        <f t="shared" si="190"/>
        <v>790.78655141500178</v>
      </c>
      <c r="U293" s="73">
        <f t="shared" si="177"/>
        <v>238026.75197591551</v>
      </c>
      <c r="V293" s="76">
        <f t="shared" si="178"/>
        <v>0.17</v>
      </c>
      <c r="W293" s="73">
        <f t="shared" si="179"/>
        <v>0</v>
      </c>
      <c r="X293" s="73">
        <f>IF(B293&lt;&gt;"",IF(MONTH(E293)=MONTH($F$13),SUMIF($C$22:C675,"="&amp;(C293-1),$G$22:G675),0)*S293,"")</f>
        <v>0</v>
      </c>
      <c r="Y293" s="73">
        <f>IF(B293&lt;&gt;"",SUM($X$22:X293),"")</f>
        <v>24525.084000000013</v>
      </c>
      <c r="Z293" s="73">
        <f t="shared" si="191"/>
        <v>120.37417149118055</v>
      </c>
      <c r="AA293" s="73">
        <f t="shared" si="180"/>
        <v>22.871092583324305</v>
      </c>
      <c r="AB293" s="73">
        <f t="shared" si="181"/>
        <v>11684.670526262031</v>
      </c>
      <c r="AC293" s="73">
        <f t="shared" si="182"/>
        <v>36209.754526262019</v>
      </c>
      <c r="AD293" s="73">
        <f>IFERROR($U293*(1-$V293)+SUM($W$22:$W293)+$AB293,"")</f>
        <v>233771.95866627188</v>
      </c>
      <c r="AE293" s="73" t="b">
        <f t="shared" si="183"/>
        <v>0</v>
      </c>
      <c r="AF293" s="73">
        <f>IF(AND(AE293=TRUE,D293&gt;=65),$U293*(1-10%)+SUM($W$22:$W293)+$AB293,AD293)</f>
        <v>233771.95866627188</v>
      </c>
      <c r="AG293" s="73">
        <f t="shared" si="166"/>
        <v>790.78655141500224</v>
      </c>
      <c r="AH293" s="73">
        <f t="shared" si="167"/>
        <v>93761.551975915761</v>
      </c>
      <c r="AI293" s="73">
        <f t="shared" si="168"/>
        <v>238026.75197591571</v>
      </c>
      <c r="AJ293" s="73">
        <f t="shared" si="169"/>
        <v>220212.05710049171</v>
      </c>
      <c r="AK293" s="73" t="b">
        <f t="shared" si="184"/>
        <v>1</v>
      </c>
      <c r="AL293" s="73">
        <f t="shared" si="170"/>
        <v>238026.75197591571</v>
      </c>
      <c r="AM293" s="73">
        <f t="shared" si="192"/>
        <v>715.76168937201612</v>
      </c>
      <c r="AN293" s="73">
        <f t="shared" si="185"/>
        <v>135.99472098068307</v>
      </c>
      <c r="AO293" s="73">
        <f t="shared" si="186"/>
        <v>71043.073779996223</v>
      </c>
      <c r="AP293" s="73">
        <f t="shared" si="187"/>
        <v>215308.27377999618</v>
      </c>
    </row>
    <row r="294" spans="1:42" s="31" customFormat="1" x14ac:dyDescent="0.6">
      <c r="A294" s="70">
        <f t="shared" si="171"/>
        <v>273</v>
      </c>
      <c r="B294" s="70" t="str">
        <f>IF(E294&lt;=$F$9,VLOOKUP(KALKULATOR!A294,Robocze!$B$23:$C$102,2),"")</f>
        <v>23 rok</v>
      </c>
      <c r="C294" s="70">
        <f t="shared" si="174"/>
        <v>2043</v>
      </c>
      <c r="D294" s="71">
        <f t="shared" si="188"/>
        <v>62.750000000000647</v>
      </c>
      <c r="E294" s="77">
        <f t="shared" si="189"/>
        <v>52444</v>
      </c>
      <c r="F294" s="72">
        <f t="shared" si="175"/>
        <v>52474</v>
      </c>
      <c r="G294" s="73">
        <f>IFERROR(IF(AND(F294&lt;=$F$9,$F$5=Robocze!$B$4,$E294&lt;=$F$9,MONTH($F$8)=MONTH(E294)),$F$4,0)+IF(AND(F294&lt;=$F$9,$F$5=Robocze!$B$3,E294&lt;=$F$9),KALKULATOR!$F$4/12,0),"")</f>
        <v>0</v>
      </c>
      <c r="H294" s="73">
        <f t="shared" si="176"/>
        <v>144265.19999999995</v>
      </c>
      <c r="I294" s="74">
        <f t="shared" si="172"/>
        <v>0.04</v>
      </c>
      <c r="J294" s="73">
        <f t="shared" si="158"/>
        <v>0</v>
      </c>
      <c r="K294" s="75" t="str">
        <f t="shared" si="159"/>
        <v/>
      </c>
      <c r="L294" s="73">
        <f t="shared" si="160"/>
        <v>144265.19999999995</v>
      </c>
      <c r="M294" s="73">
        <f t="shared" si="161"/>
        <v>234528.2656839595</v>
      </c>
      <c r="N294" s="73">
        <f t="shared" si="162"/>
        <v>234528.2656839595</v>
      </c>
      <c r="O294" s="73">
        <f t="shared" si="163"/>
        <v>238820.1744825021</v>
      </c>
      <c r="P294" s="73">
        <f t="shared" si="164"/>
        <v>220854.7293308267</v>
      </c>
      <c r="Q294" s="73">
        <f t="shared" si="165"/>
        <v>215889.60611920216</v>
      </c>
      <c r="R294" s="73"/>
      <c r="S294" s="76">
        <f t="shared" si="173"/>
        <v>0.17</v>
      </c>
      <c r="T294" s="73">
        <f t="shared" si="190"/>
        <v>793.42250658638511</v>
      </c>
      <c r="U294" s="73">
        <f t="shared" si="177"/>
        <v>238820.1744825019</v>
      </c>
      <c r="V294" s="76">
        <f t="shared" si="178"/>
        <v>0.17</v>
      </c>
      <c r="W294" s="73">
        <f t="shared" si="179"/>
        <v>0</v>
      </c>
      <c r="X294" s="73">
        <f>IF(B294&lt;&gt;"",IF(MONTH(E294)=MONTH($F$13),SUMIF($C$22:C676,"="&amp;(C294-1),$G$22:G676),0)*S294,"")</f>
        <v>0</v>
      </c>
      <c r="Y294" s="73">
        <f>IF(B294&lt;&gt;"",SUM($X$22:X294),"")</f>
        <v>24525.084000000013</v>
      </c>
      <c r="Z294" s="73">
        <f t="shared" si="191"/>
        <v>120.69918175420673</v>
      </c>
      <c r="AA294" s="73">
        <f t="shared" si="180"/>
        <v>22.932844533299281</v>
      </c>
      <c r="AB294" s="73">
        <f t="shared" si="181"/>
        <v>11782.436863482939</v>
      </c>
      <c r="AC294" s="73">
        <f t="shared" si="182"/>
        <v>36307.520863482925</v>
      </c>
      <c r="AD294" s="73">
        <f>IFERROR($U294*(1-$V294)+SUM($W$22:$W294)+$AB294,"")</f>
        <v>234528.2656839595</v>
      </c>
      <c r="AE294" s="73" t="b">
        <f t="shared" si="183"/>
        <v>0</v>
      </c>
      <c r="AF294" s="73">
        <f>IF(AND(AE294=TRUE,D294&gt;=65),$U294*(1-10%)+SUM($W$22:$W294)+$AB294,AD294)</f>
        <v>234528.2656839595</v>
      </c>
      <c r="AG294" s="73">
        <f t="shared" si="166"/>
        <v>793.42250658638568</v>
      </c>
      <c r="AH294" s="73">
        <f t="shared" si="167"/>
        <v>94554.974482502148</v>
      </c>
      <c r="AI294" s="73">
        <f t="shared" si="168"/>
        <v>238820.1744825021</v>
      </c>
      <c r="AJ294" s="73">
        <f t="shared" si="169"/>
        <v>220854.7293308267</v>
      </c>
      <c r="AK294" s="73" t="b">
        <f t="shared" si="184"/>
        <v>1</v>
      </c>
      <c r="AL294" s="73">
        <f t="shared" si="170"/>
        <v>238820.1744825021</v>
      </c>
      <c r="AM294" s="73">
        <f t="shared" si="192"/>
        <v>717.69424593332053</v>
      </c>
      <c r="AN294" s="73">
        <f t="shared" si="185"/>
        <v>136.3619067273309</v>
      </c>
      <c r="AO294" s="73">
        <f t="shared" si="186"/>
        <v>71624.406119202205</v>
      </c>
      <c r="AP294" s="73">
        <f t="shared" si="187"/>
        <v>215889.60611920216</v>
      </c>
    </row>
    <row r="295" spans="1:42" s="31" customFormat="1" x14ac:dyDescent="0.6">
      <c r="A295" s="70">
        <f t="shared" si="171"/>
        <v>274</v>
      </c>
      <c r="B295" s="70" t="str">
        <f>IF(E295&lt;=$F$9,VLOOKUP(KALKULATOR!A295,Robocze!$B$23:$C$102,2),"")</f>
        <v>23 rok</v>
      </c>
      <c r="C295" s="70">
        <f t="shared" si="174"/>
        <v>2043</v>
      </c>
      <c r="D295" s="71">
        <f t="shared" si="188"/>
        <v>62.833333333333982</v>
      </c>
      <c r="E295" s="77">
        <f t="shared" si="189"/>
        <v>52475</v>
      </c>
      <c r="F295" s="72">
        <f t="shared" si="175"/>
        <v>52504</v>
      </c>
      <c r="G295" s="73">
        <f>IFERROR(IF(AND(F295&lt;=$F$9,$F$5=Robocze!$B$4,$E295&lt;=$F$9,MONTH($F$8)=MONTH(E295)),$F$4,0)+IF(AND(F295&lt;=$F$9,$F$5=Robocze!$B$3,E295&lt;=$F$9),KALKULATOR!$F$4/12,0),"")</f>
        <v>0</v>
      </c>
      <c r="H295" s="73">
        <f t="shared" si="176"/>
        <v>144265.19999999995</v>
      </c>
      <c r="I295" s="74">
        <f t="shared" si="172"/>
        <v>0.04</v>
      </c>
      <c r="J295" s="73">
        <f t="shared" si="158"/>
        <v>0</v>
      </c>
      <c r="K295" s="75" t="str">
        <f t="shared" si="159"/>
        <v/>
      </c>
      <c r="L295" s="73">
        <f t="shared" si="160"/>
        <v>144265.19999999995</v>
      </c>
      <c r="M295" s="73">
        <f t="shared" si="161"/>
        <v>235287.03180635915</v>
      </c>
      <c r="N295" s="73">
        <f t="shared" si="162"/>
        <v>235287.03180635915</v>
      </c>
      <c r="O295" s="73">
        <f t="shared" si="163"/>
        <v>239616.24173077711</v>
      </c>
      <c r="P295" s="73">
        <f t="shared" si="164"/>
        <v>221499.54380192945</v>
      </c>
      <c r="Q295" s="73">
        <f t="shared" si="165"/>
        <v>216472.508055724</v>
      </c>
      <c r="R295" s="73"/>
      <c r="S295" s="76">
        <f t="shared" si="173"/>
        <v>0.17</v>
      </c>
      <c r="T295" s="73">
        <f t="shared" si="190"/>
        <v>796.06724827500636</v>
      </c>
      <c r="U295" s="73">
        <f t="shared" si="177"/>
        <v>239616.24173077691</v>
      </c>
      <c r="V295" s="76">
        <f t="shared" si="178"/>
        <v>0.17</v>
      </c>
      <c r="W295" s="73">
        <f t="shared" si="179"/>
        <v>0</v>
      </c>
      <c r="X295" s="73">
        <f>IF(B295&lt;&gt;"",IF(MONTH(E295)=MONTH($F$13),SUMIF($C$22:C677,"="&amp;(C295-1),$G$22:G677),0)*S295,"")</f>
        <v>0</v>
      </c>
      <c r="Y295" s="73">
        <f>IF(B295&lt;&gt;"",SUM($X$22:X295),"")</f>
        <v>24525.084000000013</v>
      </c>
      <c r="Z295" s="73">
        <f t="shared" si="191"/>
        <v>121.02506954494309</v>
      </c>
      <c r="AA295" s="73">
        <f t="shared" si="180"/>
        <v>22.994763213539187</v>
      </c>
      <c r="AB295" s="73">
        <f t="shared" si="181"/>
        <v>11880.467169814343</v>
      </c>
      <c r="AC295" s="73">
        <f t="shared" si="182"/>
        <v>36405.551169814331</v>
      </c>
      <c r="AD295" s="73">
        <f>IFERROR($U295*(1-$V295)+SUM($W$22:$W295)+$AB295,"")</f>
        <v>235287.03180635915</v>
      </c>
      <c r="AE295" s="73" t="b">
        <f t="shared" si="183"/>
        <v>0</v>
      </c>
      <c r="AF295" s="73">
        <f>IF(AND(AE295=TRUE,D295&gt;=65),$U295*(1-10%)+SUM($W$22:$W295)+$AB295,AD295)</f>
        <v>235287.03180635915</v>
      </c>
      <c r="AG295" s="73">
        <f t="shared" si="166"/>
        <v>796.06724827500705</v>
      </c>
      <c r="AH295" s="73">
        <f t="shared" si="167"/>
        <v>95351.041730777157</v>
      </c>
      <c r="AI295" s="73">
        <f t="shared" si="168"/>
        <v>239616.24173077711</v>
      </c>
      <c r="AJ295" s="73">
        <f t="shared" si="169"/>
        <v>221499.54380192945</v>
      </c>
      <c r="AK295" s="73" t="b">
        <f t="shared" si="184"/>
        <v>1</v>
      </c>
      <c r="AL295" s="73">
        <f t="shared" si="170"/>
        <v>239616.24173077711</v>
      </c>
      <c r="AM295" s="73">
        <f t="shared" si="192"/>
        <v>719.63202039734051</v>
      </c>
      <c r="AN295" s="73">
        <f t="shared" si="185"/>
        <v>136.7300838754947</v>
      </c>
      <c r="AO295" s="73">
        <f t="shared" si="186"/>
        <v>72207.308055724046</v>
      </c>
      <c r="AP295" s="73">
        <f t="shared" si="187"/>
        <v>216472.508055724</v>
      </c>
    </row>
    <row r="296" spans="1:42" s="31" customFormat="1" x14ac:dyDescent="0.6">
      <c r="A296" s="70">
        <f t="shared" si="171"/>
        <v>275</v>
      </c>
      <c r="B296" s="70" t="str">
        <f>IF(E296&lt;=$F$9,VLOOKUP(KALKULATOR!A296,Robocze!$B$23:$C$102,2),"")</f>
        <v>23 rok</v>
      </c>
      <c r="C296" s="70">
        <f t="shared" si="174"/>
        <v>2043</v>
      </c>
      <c r="D296" s="71">
        <f t="shared" si="188"/>
        <v>62.916666666667318</v>
      </c>
      <c r="E296" s="77">
        <f t="shared" si="189"/>
        <v>52505</v>
      </c>
      <c r="F296" s="72">
        <f t="shared" si="175"/>
        <v>52535</v>
      </c>
      <c r="G296" s="73">
        <f>IFERROR(IF(AND(F296&lt;=$F$9,$F$5=Robocze!$B$4,$E296&lt;=$F$9,MONTH($F$8)=MONTH(E296)),$F$4,0)+IF(AND(F296&lt;=$F$9,$F$5=Robocze!$B$3,E296&lt;=$F$9),KALKULATOR!$F$4/12,0),"")</f>
        <v>0</v>
      </c>
      <c r="H296" s="73">
        <f t="shared" si="176"/>
        <v>144265.19999999995</v>
      </c>
      <c r="I296" s="74">
        <f t="shared" si="172"/>
        <v>0.04</v>
      </c>
      <c r="J296" s="73">
        <f t="shared" si="158"/>
        <v>0</v>
      </c>
      <c r="K296" s="75" t="str">
        <f t="shared" si="159"/>
        <v/>
      </c>
      <c r="L296" s="73">
        <f t="shared" si="160"/>
        <v>144265.19999999995</v>
      </c>
      <c r="M296" s="73">
        <f t="shared" si="161"/>
        <v>236048.26506330617</v>
      </c>
      <c r="N296" s="73">
        <f t="shared" si="162"/>
        <v>236048.26506330617</v>
      </c>
      <c r="O296" s="73">
        <f t="shared" si="163"/>
        <v>240414.96253654637</v>
      </c>
      <c r="P296" s="73">
        <f t="shared" si="164"/>
        <v>222146.50765460255</v>
      </c>
      <c r="Q296" s="73">
        <f t="shared" si="165"/>
        <v>217056.98382747444</v>
      </c>
      <c r="R296" s="73"/>
      <c r="S296" s="76">
        <f t="shared" si="173"/>
        <v>0.17</v>
      </c>
      <c r="T296" s="73">
        <f t="shared" si="190"/>
        <v>798.72080576925646</v>
      </c>
      <c r="U296" s="73">
        <f t="shared" si="177"/>
        <v>240414.96253654617</v>
      </c>
      <c r="V296" s="76">
        <f t="shared" si="178"/>
        <v>0.17</v>
      </c>
      <c r="W296" s="73">
        <f t="shared" si="179"/>
        <v>0</v>
      </c>
      <c r="X296" s="73">
        <f>IF(B296&lt;&gt;"",IF(MONTH(E296)=MONTH($F$13),SUMIF($C$22:C678,"="&amp;(C296-1),$G$22:G678),0)*S296,"")</f>
        <v>0</v>
      </c>
      <c r="Y296" s="73">
        <f>IF(B296&lt;&gt;"",SUM($X$22:X296),"")</f>
        <v>24525.084000000013</v>
      </c>
      <c r="Z296" s="73">
        <f t="shared" si="191"/>
        <v>121.35183723271444</v>
      </c>
      <c r="AA296" s="73">
        <f t="shared" si="180"/>
        <v>23.056849074215744</v>
      </c>
      <c r="AB296" s="73">
        <f t="shared" si="181"/>
        <v>11978.762157972842</v>
      </c>
      <c r="AC296" s="73">
        <f t="shared" si="182"/>
        <v>36503.846157972832</v>
      </c>
      <c r="AD296" s="73">
        <f>IFERROR($U296*(1-$V296)+SUM($W$22:$W296)+$AB296,"")</f>
        <v>236048.26506330617</v>
      </c>
      <c r="AE296" s="73" t="b">
        <f t="shared" si="183"/>
        <v>0</v>
      </c>
      <c r="AF296" s="73">
        <f>IF(AND(AE296=TRUE,D296&gt;=65),$U296*(1-10%)+SUM($W$22:$W296)+$AB296,AD296)</f>
        <v>236048.26506330617</v>
      </c>
      <c r="AG296" s="73">
        <f t="shared" si="166"/>
        <v>798.72080576925703</v>
      </c>
      <c r="AH296" s="73">
        <f t="shared" si="167"/>
        <v>96149.762536546419</v>
      </c>
      <c r="AI296" s="73">
        <f t="shared" si="168"/>
        <v>240414.96253654637</v>
      </c>
      <c r="AJ296" s="73">
        <f t="shared" si="169"/>
        <v>222146.50765460255</v>
      </c>
      <c r="AK296" s="73" t="b">
        <f t="shared" si="184"/>
        <v>1</v>
      </c>
      <c r="AL296" s="73">
        <f t="shared" si="170"/>
        <v>240414.96253654637</v>
      </c>
      <c r="AM296" s="73">
        <f t="shared" si="192"/>
        <v>721.57502685241332</v>
      </c>
      <c r="AN296" s="73">
        <f t="shared" si="185"/>
        <v>137.09925510195853</v>
      </c>
      <c r="AO296" s="73">
        <f t="shared" si="186"/>
        <v>72791.783827474486</v>
      </c>
      <c r="AP296" s="73">
        <f t="shared" si="187"/>
        <v>217056.98382747444</v>
      </c>
    </row>
    <row r="297" spans="1:42" s="69" customFormat="1" x14ac:dyDescent="0.6">
      <c r="A297" s="78">
        <f t="shared" si="171"/>
        <v>276</v>
      </c>
      <c r="B297" s="78" t="str">
        <f>IF(E297&lt;=$F$9,VLOOKUP(KALKULATOR!A297,Robocze!$B$23:$C$102,2),"")</f>
        <v>23 rok</v>
      </c>
      <c r="C297" s="78">
        <f t="shared" si="174"/>
        <v>2043</v>
      </c>
      <c r="D297" s="79">
        <f t="shared" si="188"/>
        <v>63.000000000000654</v>
      </c>
      <c r="E297" s="80">
        <f t="shared" si="189"/>
        <v>52536</v>
      </c>
      <c r="F297" s="81">
        <f t="shared" si="175"/>
        <v>52565</v>
      </c>
      <c r="G297" s="82">
        <f>IFERROR(IF(AND(F297&lt;=$F$9,$F$5=Robocze!$B$4,$E297&lt;=$F$9,MONTH($F$8)=MONTH(E297)),$F$4,0)+IF(AND(F297&lt;=$F$9,$F$5=Robocze!$B$3,E297&lt;=$F$9),KALKULATOR!$F$4/12,0),"")</f>
        <v>0</v>
      </c>
      <c r="H297" s="82">
        <f t="shared" si="176"/>
        <v>144265.19999999995</v>
      </c>
      <c r="I297" s="83">
        <f t="shared" si="172"/>
        <v>0.04</v>
      </c>
      <c r="J297" s="82">
        <f t="shared" si="158"/>
        <v>0</v>
      </c>
      <c r="K297" s="84">
        <f t="shared" si="159"/>
        <v>23</v>
      </c>
      <c r="L297" s="82">
        <f t="shared" si="160"/>
        <v>144265.19999999995</v>
      </c>
      <c r="M297" s="82">
        <f t="shared" si="161"/>
        <v>236811.97351095045</v>
      </c>
      <c r="N297" s="82">
        <f t="shared" si="162"/>
        <v>236811.97351095045</v>
      </c>
      <c r="O297" s="82">
        <f t="shared" si="163"/>
        <v>241216.34574500151</v>
      </c>
      <c r="P297" s="82">
        <f t="shared" si="164"/>
        <v>222795.62805345122</v>
      </c>
      <c r="Q297" s="82">
        <f t="shared" si="165"/>
        <v>217643.03768380859</v>
      </c>
      <c r="R297" s="82"/>
      <c r="S297" s="85">
        <f t="shared" si="173"/>
        <v>0.17</v>
      </c>
      <c r="T297" s="82">
        <f t="shared" si="190"/>
        <v>801.38320845515398</v>
      </c>
      <c r="U297" s="82">
        <f t="shared" si="177"/>
        <v>241216.34574500131</v>
      </c>
      <c r="V297" s="85">
        <f t="shared" si="178"/>
        <v>0.17</v>
      </c>
      <c r="W297" s="82">
        <f t="shared" si="179"/>
        <v>0</v>
      </c>
      <c r="X297" s="82">
        <f>IF(B297&lt;&gt;"",IF(MONTH(E297)=MONTH($F$13),SUMIF($C$22:C679,"="&amp;(C297-1),$G$22:G679),0)*S297,"")</f>
        <v>0</v>
      </c>
      <c r="Y297" s="82">
        <f>IF(B297&lt;&gt;"",SUM($X$22:X297),"")</f>
        <v>24525.084000000013</v>
      </c>
      <c r="Z297" s="82">
        <f t="shared" si="191"/>
        <v>121.67948719324278</v>
      </c>
      <c r="AA297" s="82">
        <f t="shared" si="180"/>
        <v>23.11910256671613</v>
      </c>
      <c r="AB297" s="82">
        <f t="shared" si="181"/>
        <v>12077.32254259937</v>
      </c>
      <c r="AC297" s="82">
        <f t="shared" si="182"/>
        <v>36602.406542599361</v>
      </c>
      <c r="AD297" s="82">
        <f>IFERROR($U297*(1-$V297)+SUM($W$22:$W297)+$AB297,"")</f>
        <v>236811.97351095045</v>
      </c>
      <c r="AE297" s="73" t="b">
        <f t="shared" si="183"/>
        <v>0</v>
      </c>
      <c r="AF297" s="82">
        <f>IF(AND(AE297=TRUE,D297&gt;=65),$U297*(1-10%)+SUM($W$22:$W297)+$AB297,AD297)</f>
        <v>236811.97351095045</v>
      </c>
      <c r="AG297" s="82">
        <f t="shared" si="166"/>
        <v>801.38320845515454</v>
      </c>
      <c r="AH297" s="82">
        <f t="shared" si="167"/>
        <v>96951.145745001573</v>
      </c>
      <c r="AI297" s="82">
        <f t="shared" si="168"/>
        <v>241216.34574500151</v>
      </c>
      <c r="AJ297" s="82">
        <f t="shared" si="169"/>
        <v>222795.62805345122</v>
      </c>
      <c r="AK297" s="73" t="b">
        <f t="shared" si="184"/>
        <v>1</v>
      </c>
      <c r="AL297" s="82">
        <f t="shared" si="170"/>
        <v>241216.34574500151</v>
      </c>
      <c r="AM297" s="82">
        <f t="shared" si="192"/>
        <v>723.5232794249149</v>
      </c>
      <c r="AN297" s="82">
        <f t="shared" si="185"/>
        <v>137.46942309073384</v>
      </c>
      <c r="AO297" s="82">
        <f t="shared" si="186"/>
        <v>73377.837683808641</v>
      </c>
      <c r="AP297" s="82">
        <f t="shared" si="187"/>
        <v>217643.03768380859</v>
      </c>
    </row>
    <row r="298" spans="1:42" s="31" customFormat="1" x14ac:dyDescent="0.6">
      <c r="A298" s="70">
        <f t="shared" si="171"/>
        <v>277</v>
      </c>
      <c r="B298" s="70" t="str">
        <f>IF(E298&lt;=$F$9,VLOOKUP(KALKULATOR!A298,Robocze!$B$23:$C$102,2),"")</f>
        <v>24 rok</v>
      </c>
      <c r="C298" s="70">
        <f t="shared" si="174"/>
        <v>2043</v>
      </c>
      <c r="D298" s="71">
        <f t="shared" si="188"/>
        <v>63.083333333333989</v>
      </c>
      <c r="E298" s="72">
        <f t="shared" si="189"/>
        <v>52566</v>
      </c>
      <c r="F298" s="72">
        <f t="shared" si="175"/>
        <v>52596</v>
      </c>
      <c r="G298" s="73">
        <f>IFERROR(IF(AND(F298&lt;=$F$9,$F$5=Robocze!$B$4,$E298&lt;=$F$9,MONTH($F$8)=MONTH(E298)),$F$4,0)+IF(AND(F298&lt;=$F$9,$F$5=Robocze!$B$3,E298&lt;=$F$9),KALKULATOR!$F$4/12,0),"")</f>
        <v>6272.4</v>
      </c>
      <c r="H298" s="73">
        <f t="shared" si="176"/>
        <v>150537.59999999995</v>
      </c>
      <c r="I298" s="74">
        <f t="shared" si="172"/>
        <v>0.04</v>
      </c>
      <c r="J298" s="73">
        <f t="shared" si="158"/>
        <v>0</v>
      </c>
      <c r="K298" s="75" t="str">
        <f t="shared" si="159"/>
        <v/>
      </c>
      <c r="L298" s="73">
        <f t="shared" si="160"/>
        <v>150537.59999999995</v>
      </c>
      <c r="M298" s="73">
        <f t="shared" si="161"/>
        <v>243867.91887184334</v>
      </c>
      <c r="N298" s="73">
        <f t="shared" si="162"/>
        <v>243867.91887184334</v>
      </c>
      <c r="O298" s="73">
        <f t="shared" si="163"/>
        <v>248313.70823081819</v>
      </c>
      <c r="P298" s="73">
        <f t="shared" si="164"/>
        <v>229736.24766696274</v>
      </c>
      <c r="Q298" s="73">
        <f t="shared" si="165"/>
        <v>224520.00936555487</v>
      </c>
      <c r="R298" s="73"/>
      <c r="S298" s="76">
        <f t="shared" si="173"/>
        <v>0.17</v>
      </c>
      <c r="T298" s="73">
        <f t="shared" si="190"/>
        <v>824.96248581667101</v>
      </c>
      <c r="U298" s="73">
        <f t="shared" si="177"/>
        <v>248313.70823081798</v>
      </c>
      <c r="V298" s="76">
        <f t="shared" si="178"/>
        <v>0.17</v>
      </c>
      <c r="W298" s="73">
        <f t="shared" si="179"/>
        <v>1066.308</v>
      </c>
      <c r="X298" s="73">
        <f>IF(B298&lt;&gt;"",IF(MONTH(E298)=MONTH($F$13),SUMIF($C$22:C680,"="&amp;(C298-1),$G$22:G680),0)*S298,"")</f>
        <v>0</v>
      </c>
      <c r="Y298" s="73">
        <f>IF(B298&lt;&gt;"",SUM($X$22:X298),"")</f>
        <v>24525.084000000013</v>
      </c>
      <c r="Z298" s="73">
        <f t="shared" si="191"/>
        <v>122.00802180866454</v>
      </c>
      <c r="AA298" s="73">
        <f t="shared" si="180"/>
        <v>23.181524143646261</v>
      </c>
      <c r="AB298" s="73">
        <f t="shared" si="181"/>
        <v>12176.149040264387</v>
      </c>
      <c r="AC298" s="73">
        <f t="shared" si="182"/>
        <v>36701.233040264378</v>
      </c>
      <c r="AD298" s="73">
        <f>IFERROR($U298*(1-$V298)+SUM($W$22:$W298)+$AB298,"")</f>
        <v>243867.91887184334</v>
      </c>
      <c r="AE298" s="73" t="b">
        <f t="shared" si="183"/>
        <v>0</v>
      </c>
      <c r="AF298" s="73">
        <f>IF(AND(AE298=TRUE,D298&gt;=65),$U298*(1-10%)+SUM($W$22:$W298)+$AB298,AD298)</f>
        <v>243867.91887184334</v>
      </c>
      <c r="AG298" s="73">
        <f t="shared" si="166"/>
        <v>824.96248581667169</v>
      </c>
      <c r="AH298" s="73">
        <f t="shared" si="167"/>
        <v>97776.108230818238</v>
      </c>
      <c r="AI298" s="73">
        <f t="shared" si="168"/>
        <v>248313.70823081819</v>
      </c>
      <c r="AJ298" s="73">
        <f t="shared" si="169"/>
        <v>229736.24766696274</v>
      </c>
      <c r="AK298" s="73" t="b">
        <f t="shared" si="184"/>
        <v>1</v>
      </c>
      <c r="AL298" s="73">
        <f t="shared" si="170"/>
        <v>248313.70823081819</v>
      </c>
      <c r="AM298" s="73">
        <f t="shared" si="192"/>
        <v>746.38479227936205</v>
      </c>
      <c r="AN298" s="73">
        <f t="shared" si="185"/>
        <v>141.8131105330788</v>
      </c>
      <c r="AO298" s="73">
        <f t="shared" si="186"/>
        <v>73982.409365554922</v>
      </c>
      <c r="AP298" s="73">
        <f t="shared" si="187"/>
        <v>224520.00936555487</v>
      </c>
    </row>
    <row r="299" spans="1:42" s="31" customFormat="1" x14ac:dyDescent="0.6">
      <c r="A299" s="70">
        <f t="shared" si="171"/>
        <v>278</v>
      </c>
      <c r="B299" s="70" t="str">
        <f>IF(E299&lt;=$F$9,VLOOKUP(KALKULATOR!A299,Robocze!$B$23:$C$102,2),"")</f>
        <v>24 rok</v>
      </c>
      <c r="C299" s="70">
        <f t="shared" si="174"/>
        <v>2044</v>
      </c>
      <c r="D299" s="71">
        <f t="shared" si="188"/>
        <v>63.166666666667325</v>
      </c>
      <c r="E299" s="77">
        <f t="shared" si="189"/>
        <v>52597</v>
      </c>
      <c r="F299" s="72">
        <f t="shared" si="175"/>
        <v>52627</v>
      </c>
      <c r="G299" s="73">
        <f>IFERROR(IF(AND(F299&lt;=$F$9,$F$5=Robocze!$B$4,$E299&lt;=$F$9,MONTH($F$8)=MONTH(E299)),$F$4,0)+IF(AND(F299&lt;=$F$9,$F$5=Robocze!$B$3,E299&lt;=$F$9),KALKULATOR!$F$4/12,0),"")</f>
        <v>0</v>
      </c>
      <c r="H299" s="73">
        <f t="shared" si="176"/>
        <v>150537.59999999995</v>
      </c>
      <c r="I299" s="74">
        <f t="shared" si="172"/>
        <v>0.04</v>
      </c>
      <c r="J299" s="73">
        <f t="shared" si="158"/>
        <v>0</v>
      </c>
      <c r="K299" s="75" t="str">
        <f t="shared" si="159"/>
        <v/>
      </c>
      <c r="L299" s="73">
        <f t="shared" si="160"/>
        <v>150537.59999999995</v>
      </c>
      <c r="M299" s="73">
        <f t="shared" si="161"/>
        <v>244654.01346049062</v>
      </c>
      <c r="N299" s="73">
        <f t="shared" si="162"/>
        <v>244654.01346049062</v>
      </c>
      <c r="O299" s="73">
        <f t="shared" si="163"/>
        <v>249141.42059158758</v>
      </c>
      <c r="P299" s="73">
        <f t="shared" si="164"/>
        <v>230406.69467918592</v>
      </c>
      <c r="Q299" s="73">
        <f t="shared" si="165"/>
        <v>225126.21339084185</v>
      </c>
      <c r="R299" s="73"/>
      <c r="S299" s="76">
        <f t="shared" si="173"/>
        <v>0.17</v>
      </c>
      <c r="T299" s="73">
        <f t="shared" si="190"/>
        <v>827.71236076939329</v>
      </c>
      <c r="U299" s="73">
        <f t="shared" si="177"/>
        <v>249141.42059158738</v>
      </c>
      <c r="V299" s="76">
        <f t="shared" si="178"/>
        <v>0.17</v>
      </c>
      <c r="W299" s="73">
        <f t="shared" si="179"/>
        <v>0</v>
      </c>
      <c r="X299" s="73">
        <f>IF(B299&lt;&gt;"",IF(MONTH(E299)=MONTH($F$13),SUMIF($C$22:C681,"="&amp;(C299-1),$G$22:G681),0)*S299,"")</f>
        <v>0</v>
      </c>
      <c r="Y299" s="73">
        <f>IF(B299&lt;&gt;"",SUM($X$22:X299),"")</f>
        <v>24525.084000000013</v>
      </c>
      <c r="Z299" s="73">
        <f t="shared" si="191"/>
        <v>122.33744346754793</v>
      </c>
      <c r="AA299" s="73">
        <f t="shared" si="180"/>
        <v>23.244114258834106</v>
      </c>
      <c r="AB299" s="73">
        <f t="shared" si="181"/>
        <v>12275.242369473101</v>
      </c>
      <c r="AC299" s="73">
        <f t="shared" si="182"/>
        <v>36800.326369473092</v>
      </c>
      <c r="AD299" s="73">
        <f>IFERROR($U299*(1-$V299)+SUM($W$22:$W299)+$AB299,"")</f>
        <v>244654.01346049062</v>
      </c>
      <c r="AE299" s="73" t="b">
        <f t="shared" si="183"/>
        <v>0</v>
      </c>
      <c r="AF299" s="73">
        <f>IF(AND(AE299=TRUE,D299&gt;=65),$U299*(1-10%)+SUM($W$22:$W299)+$AB299,AD299)</f>
        <v>244654.01346049062</v>
      </c>
      <c r="AG299" s="73">
        <f t="shared" si="166"/>
        <v>827.71236076939397</v>
      </c>
      <c r="AH299" s="73">
        <f t="shared" si="167"/>
        <v>98603.820591587631</v>
      </c>
      <c r="AI299" s="73">
        <f t="shared" si="168"/>
        <v>249141.42059158758</v>
      </c>
      <c r="AJ299" s="73">
        <f t="shared" si="169"/>
        <v>230406.69467918592</v>
      </c>
      <c r="AK299" s="73" t="b">
        <f t="shared" si="184"/>
        <v>1</v>
      </c>
      <c r="AL299" s="73">
        <f t="shared" si="170"/>
        <v>249141.42059158758</v>
      </c>
      <c r="AM299" s="73">
        <f t="shared" si="192"/>
        <v>748.40003121851623</v>
      </c>
      <c r="AN299" s="73">
        <f t="shared" si="185"/>
        <v>142.19600593151807</v>
      </c>
      <c r="AO299" s="73">
        <f t="shared" si="186"/>
        <v>74588.6133908419</v>
      </c>
      <c r="AP299" s="73">
        <f t="shared" si="187"/>
        <v>225126.21339084185</v>
      </c>
    </row>
    <row r="300" spans="1:42" s="31" customFormat="1" x14ac:dyDescent="0.6">
      <c r="A300" s="70">
        <f t="shared" si="171"/>
        <v>279</v>
      </c>
      <c r="B300" s="70" t="str">
        <f>IF(E300&lt;=$F$9,VLOOKUP(KALKULATOR!A300,Robocze!$B$23:$C$102,2),"")</f>
        <v>24 rok</v>
      </c>
      <c r="C300" s="70">
        <f t="shared" si="174"/>
        <v>2044</v>
      </c>
      <c r="D300" s="71">
        <f t="shared" si="188"/>
        <v>63.250000000000661</v>
      </c>
      <c r="E300" s="77">
        <f t="shared" si="189"/>
        <v>52628</v>
      </c>
      <c r="F300" s="72">
        <f t="shared" si="175"/>
        <v>52656</v>
      </c>
      <c r="G300" s="73">
        <f>IFERROR(IF(AND(F300&lt;=$F$9,$F$5=Robocze!$B$4,$E300&lt;=$F$9,MONTH($F$8)=MONTH(E300)),$F$4,0)+IF(AND(F300&lt;=$F$9,$F$5=Robocze!$B$3,E300&lt;=$F$9),KALKULATOR!$F$4/12,0),"")</f>
        <v>0</v>
      </c>
      <c r="H300" s="73">
        <f t="shared" si="176"/>
        <v>150537.59999999995</v>
      </c>
      <c r="I300" s="74">
        <f t="shared" si="172"/>
        <v>0.04</v>
      </c>
      <c r="J300" s="73">
        <f t="shared" si="158"/>
        <v>0</v>
      </c>
      <c r="K300" s="75" t="str">
        <f t="shared" si="159"/>
        <v/>
      </c>
      <c r="L300" s="73">
        <f t="shared" si="160"/>
        <v>150537.59999999995</v>
      </c>
      <c r="M300" s="73">
        <f t="shared" si="161"/>
        <v>245442.66560532496</v>
      </c>
      <c r="N300" s="73">
        <f t="shared" si="162"/>
        <v>245442.66560532496</v>
      </c>
      <c r="O300" s="73">
        <f t="shared" si="163"/>
        <v>249971.89199355955</v>
      </c>
      <c r="P300" s="73">
        <f t="shared" si="164"/>
        <v>231079.37651478322</v>
      </c>
      <c r="Q300" s="73">
        <f t="shared" si="165"/>
        <v>225734.05416699711</v>
      </c>
      <c r="R300" s="73"/>
      <c r="S300" s="76">
        <f t="shared" si="173"/>
        <v>0.17</v>
      </c>
      <c r="T300" s="73">
        <f t="shared" si="190"/>
        <v>830.47140197195802</v>
      </c>
      <c r="U300" s="73">
        <f t="shared" si="177"/>
        <v>249971.89199355934</v>
      </c>
      <c r="V300" s="76">
        <f t="shared" si="178"/>
        <v>0.17</v>
      </c>
      <c r="W300" s="73">
        <f t="shared" si="179"/>
        <v>0</v>
      </c>
      <c r="X300" s="73">
        <f>IF(B300&lt;&gt;"",IF(MONTH(E300)=MONTH($F$13),SUMIF($C$22:C682,"="&amp;(C300-1),$G$22:G682),0)*S300,"")</f>
        <v>0</v>
      </c>
      <c r="Y300" s="73">
        <f>IF(B300&lt;&gt;"",SUM($X$22:X300),"")</f>
        <v>24525.084000000013</v>
      </c>
      <c r="Z300" s="73">
        <f t="shared" si="191"/>
        <v>122.66775456491031</v>
      </c>
      <c r="AA300" s="73">
        <f t="shared" si="180"/>
        <v>23.306873367332958</v>
      </c>
      <c r="AB300" s="73">
        <f t="shared" si="181"/>
        <v>12374.603250670678</v>
      </c>
      <c r="AC300" s="73">
        <f t="shared" si="182"/>
        <v>36899.687250670664</v>
      </c>
      <c r="AD300" s="73">
        <f>IFERROR($U300*(1-$V300)+SUM($W$22:$W300)+$AB300,"")</f>
        <v>245442.66560532496</v>
      </c>
      <c r="AE300" s="73" t="b">
        <f t="shared" si="183"/>
        <v>0</v>
      </c>
      <c r="AF300" s="73">
        <f>IF(AND(AE300=TRUE,D300&gt;=65),$U300*(1-10%)+SUM($W$22:$W300)+$AB300,AD300)</f>
        <v>245442.66560532496</v>
      </c>
      <c r="AG300" s="73">
        <f t="shared" si="166"/>
        <v>830.47140197195858</v>
      </c>
      <c r="AH300" s="73">
        <f t="shared" si="167"/>
        <v>99434.291993559586</v>
      </c>
      <c r="AI300" s="73">
        <f t="shared" si="168"/>
        <v>249971.89199355955</v>
      </c>
      <c r="AJ300" s="73">
        <f t="shared" si="169"/>
        <v>231079.37651478322</v>
      </c>
      <c r="AK300" s="73" t="b">
        <f t="shared" si="184"/>
        <v>1</v>
      </c>
      <c r="AL300" s="73">
        <f t="shared" si="170"/>
        <v>249971.89199355955</v>
      </c>
      <c r="AM300" s="73">
        <f t="shared" si="192"/>
        <v>750.42071130280613</v>
      </c>
      <c r="AN300" s="73">
        <f t="shared" si="185"/>
        <v>142.57993514753318</v>
      </c>
      <c r="AO300" s="73">
        <f t="shared" si="186"/>
        <v>75196.454166997166</v>
      </c>
      <c r="AP300" s="73">
        <f t="shared" si="187"/>
        <v>225734.05416699711</v>
      </c>
    </row>
    <row r="301" spans="1:42" s="31" customFormat="1" x14ac:dyDescent="0.6">
      <c r="A301" s="70">
        <f t="shared" si="171"/>
        <v>280</v>
      </c>
      <c r="B301" s="70" t="str">
        <f>IF(E301&lt;=$F$9,VLOOKUP(KALKULATOR!A301,Robocze!$B$23:$C$102,2),"")</f>
        <v>24 rok</v>
      </c>
      <c r="C301" s="70">
        <f t="shared" si="174"/>
        <v>2044</v>
      </c>
      <c r="D301" s="71">
        <f t="shared" si="188"/>
        <v>63.333333333333997</v>
      </c>
      <c r="E301" s="77">
        <f t="shared" si="189"/>
        <v>52657</v>
      </c>
      <c r="F301" s="72">
        <f t="shared" si="175"/>
        <v>52687</v>
      </c>
      <c r="G301" s="73">
        <f>IFERROR(IF(AND(F301&lt;=$F$9,$F$5=Robocze!$B$4,$E301&lt;=$F$9,MONTH($F$8)=MONTH(E301)),$F$4,0)+IF(AND(F301&lt;=$F$9,$F$5=Robocze!$B$3,E301&lt;=$F$9),KALKULATOR!$F$4/12,0),"")</f>
        <v>0</v>
      </c>
      <c r="H301" s="73">
        <f t="shared" si="176"/>
        <v>150537.59999999995</v>
      </c>
      <c r="I301" s="74">
        <f t="shared" si="172"/>
        <v>0.04</v>
      </c>
      <c r="J301" s="73">
        <f t="shared" si="158"/>
        <v>0</v>
      </c>
      <c r="K301" s="75" t="str">
        <f t="shared" si="159"/>
        <v/>
      </c>
      <c r="L301" s="73">
        <f t="shared" si="160"/>
        <v>150537.59999999995</v>
      </c>
      <c r="M301" s="73">
        <f t="shared" si="161"/>
        <v>246233.88366208394</v>
      </c>
      <c r="N301" s="73">
        <f t="shared" si="162"/>
        <v>246233.88366208394</v>
      </c>
      <c r="O301" s="73">
        <f t="shared" si="163"/>
        <v>250805.13163353805</v>
      </c>
      <c r="P301" s="73">
        <f t="shared" si="164"/>
        <v>231754.30062316582</v>
      </c>
      <c r="Q301" s="73">
        <f t="shared" si="165"/>
        <v>226343.536113248</v>
      </c>
      <c r="R301" s="73"/>
      <c r="S301" s="76">
        <f t="shared" si="173"/>
        <v>0.17</v>
      </c>
      <c r="T301" s="73">
        <f t="shared" si="190"/>
        <v>833.23963997853116</v>
      </c>
      <c r="U301" s="73">
        <f t="shared" si="177"/>
        <v>250805.13163353788</v>
      </c>
      <c r="V301" s="76">
        <f t="shared" si="178"/>
        <v>0.17</v>
      </c>
      <c r="W301" s="73">
        <f t="shared" si="179"/>
        <v>0</v>
      </c>
      <c r="X301" s="73">
        <f>IF(B301&lt;&gt;"",IF(MONTH(E301)=MONTH($F$13),SUMIF($C$22:C683,"="&amp;(C301-1),$G$22:G683),0)*S301,"")</f>
        <v>0</v>
      </c>
      <c r="Y301" s="73">
        <f>IF(B301&lt;&gt;"",SUM($X$22:X301),"")</f>
        <v>24525.084000000013</v>
      </c>
      <c r="Z301" s="73">
        <f t="shared" si="191"/>
        <v>122.99895750223556</v>
      </c>
      <c r="AA301" s="73">
        <f t="shared" si="180"/>
        <v>23.369801925424756</v>
      </c>
      <c r="AB301" s="73">
        <f t="shared" si="181"/>
        <v>12474.232406247489</v>
      </c>
      <c r="AC301" s="73">
        <f t="shared" si="182"/>
        <v>36999.316406247475</v>
      </c>
      <c r="AD301" s="73">
        <f>IFERROR($U301*(1-$V301)+SUM($W$22:$W301)+$AB301,"")</f>
        <v>246233.88366208394</v>
      </c>
      <c r="AE301" s="73" t="b">
        <f t="shared" si="183"/>
        <v>0</v>
      </c>
      <c r="AF301" s="73">
        <f>IF(AND(AE301=TRUE,D301&gt;=65),$U301*(1-10%)+SUM($W$22:$W301)+$AB301,AD301)</f>
        <v>246233.88366208394</v>
      </c>
      <c r="AG301" s="73">
        <f t="shared" si="166"/>
        <v>833.23963997853195</v>
      </c>
      <c r="AH301" s="73">
        <f t="shared" si="167"/>
        <v>100267.53163353812</v>
      </c>
      <c r="AI301" s="73">
        <f t="shared" si="168"/>
        <v>250805.13163353805</v>
      </c>
      <c r="AJ301" s="73">
        <f t="shared" si="169"/>
        <v>231754.30062316582</v>
      </c>
      <c r="AK301" s="73" t="b">
        <f t="shared" si="184"/>
        <v>1</v>
      </c>
      <c r="AL301" s="73">
        <f t="shared" si="170"/>
        <v>250805.13163353805</v>
      </c>
      <c r="AM301" s="73">
        <f t="shared" si="192"/>
        <v>752.44684722332374</v>
      </c>
      <c r="AN301" s="73">
        <f t="shared" si="185"/>
        <v>142.96490097243151</v>
      </c>
      <c r="AO301" s="73">
        <f t="shared" si="186"/>
        <v>75805.936113248055</v>
      </c>
      <c r="AP301" s="73">
        <f t="shared" si="187"/>
        <v>226343.536113248</v>
      </c>
    </row>
    <row r="302" spans="1:42" s="31" customFormat="1" x14ac:dyDescent="0.6">
      <c r="A302" s="70">
        <f t="shared" si="171"/>
        <v>281</v>
      </c>
      <c r="B302" s="70" t="str">
        <f>IF(E302&lt;=$F$9,VLOOKUP(KALKULATOR!A302,Robocze!$B$23:$C$102,2),"")</f>
        <v>24 rok</v>
      </c>
      <c r="C302" s="70">
        <f t="shared" si="174"/>
        <v>2044</v>
      </c>
      <c r="D302" s="71">
        <f t="shared" si="188"/>
        <v>63.416666666667332</v>
      </c>
      <c r="E302" s="77">
        <f t="shared" si="189"/>
        <v>52688</v>
      </c>
      <c r="F302" s="72">
        <f t="shared" si="175"/>
        <v>52717</v>
      </c>
      <c r="G302" s="73">
        <f>IFERROR(IF(AND(F302&lt;=$F$9,$F$5=Robocze!$B$4,$E302&lt;=$F$9,MONTH($F$8)=MONTH(E302)),$F$4,0)+IF(AND(F302&lt;=$F$9,$F$5=Robocze!$B$3,E302&lt;=$F$9),KALKULATOR!$F$4/12,0),"")</f>
        <v>0</v>
      </c>
      <c r="H302" s="73">
        <f t="shared" si="176"/>
        <v>150537.59999999995</v>
      </c>
      <c r="I302" s="74">
        <f t="shared" si="172"/>
        <v>0.04</v>
      </c>
      <c r="J302" s="73">
        <f t="shared" si="158"/>
        <v>0</v>
      </c>
      <c r="K302" s="75" t="str">
        <f t="shared" si="159"/>
        <v/>
      </c>
      <c r="L302" s="73">
        <f t="shared" si="160"/>
        <v>150537.59999999995</v>
      </c>
      <c r="M302" s="73">
        <f t="shared" si="161"/>
        <v>247030.55504550028</v>
      </c>
      <c r="N302" s="73">
        <f t="shared" si="162"/>
        <v>247030.55504550028</v>
      </c>
      <c r="O302" s="73">
        <f t="shared" si="163"/>
        <v>251641.1487389832</v>
      </c>
      <c r="P302" s="73">
        <f t="shared" si="164"/>
        <v>232431.47447857639</v>
      </c>
      <c r="Q302" s="73">
        <f t="shared" si="165"/>
        <v>226954.66366075378</v>
      </c>
      <c r="R302" s="73"/>
      <c r="S302" s="76">
        <f t="shared" si="173"/>
        <v>0.17</v>
      </c>
      <c r="T302" s="73">
        <f t="shared" si="190"/>
        <v>836.01710544512628</v>
      </c>
      <c r="U302" s="73">
        <f t="shared" si="177"/>
        <v>251641.148738983</v>
      </c>
      <c r="V302" s="76">
        <f t="shared" si="178"/>
        <v>0.17</v>
      </c>
      <c r="W302" s="73">
        <f t="shared" si="179"/>
        <v>0</v>
      </c>
      <c r="X302" s="73">
        <f>IF(B302&lt;&gt;"",IF(MONTH(E302)=MONTH($F$13),SUMIF($C$22:C684,"="&amp;(C302-1),$G$22:G684),0)*S302,"")</f>
        <v>1066.308</v>
      </c>
      <c r="Y302" s="73">
        <f>IF(B302&lt;&gt;"",SUM($X$22:X302),"")</f>
        <v>25591.392000000014</v>
      </c>
      <c r="Z302" s="73">
        <f t="shared" si="191"/>
        <v>126.88541468749158</v>
      </c>
      <c r="AA302" s="73">
        <f t="shared" si="180"/>
        <v>24.1082287906234</v>
      </c>
      <c r="AB302" s="73">
        <f t="shared" si="181"/>
        <v>12577.009592144357</v>
      </c>
      <c r="AC302" s="73">
        <f t="shared" si="182"/>
        <v>38168.401592144342</v>
      </c>
      <c r="AD302" s="73">
        <f>IFERROR($U302*(1-$V302)+SUM($W$22:$W302)+$AB302,"")</f>
        <v>247030.55504550028</v>
      </c>
      <c r="AE302" s="73" t="b">
        <f t="shared" si="183"/>
        <v>0</v>
      </c>
      <c r="AF302" s="73">
        <f>IF(AND(AE302=TRUE,D302&gt;=65),$U302*(1-10%)+SUM($W$22:$W302)+$AB302,AD302)</f>
        <v>247030.55504550028</v>
      </c>
      <c r="AG302" s="73">
        <f t="shared" si="166"/>
        <v>836.01710544512696</v>
      </c>
      <c r="AH302" s="73">
        <f t="shared" si="167"/>
        <v>101103.54873898324</v>
      </c>
      <c r="AI302" s="73">
        <f t="shared" si="168"/>
        <v>251641.1487389832</v>
      </c>
      <c r="AJ302" s="73">
        <f t="shared" si="169"/>
        <v>232431.47447857639</v>
      </c>
      <c r="AK302" s="73" t="b">
        <f t="shared" si="184"/>
        <v>1</v>
      </c>
      <c r="AL302" s="73">
        <f t="shared" si="170"/>
        <v>251641.1487389832</v>
      </c>
      <c r="AM302" s="73">
        <f t="shared" si="192"/>
        <v>754.47845371082667</v>
      </c>
      <c r="AN302" s="73">
        <f t="shared" si="185"/>
        <v>143.35090620505707</v>
      </c>
      <c r="AO302" s="73">
        <f t="shared" si="186"/>
        <v>76417.063660753833</v>
      </c>
      <c r="AP302" s="73">
        <f t="shared" si="187"/>
        <v>226954.66366075378</v>
      </c>
    </row>
    <row r="303" spans="1:42" s="31" customFormat="1" x14ac:dyDescent="0.6">
      <c r="A303" s="70">
        <f t="shared" si="171"/>
        <v>282</v>
      </c>
      <c r="B303" s="70" t="str">
        <f>IF(E303&lt;=$F$9,VLOOKUP(KALKULATOR!A303,Robocze!$B$23:$C$102,2),"")</f>
        <v>24 rok</v>
      </c>
      <c r="C303" s="70">
        <f t="shared" si="174"/>
        <v>2044</v>
      </c>
      <c r="D303" s="71">
        <f t="shared" si="188"/>
        <v>63.500000000000668</v>
      </c>
      <c r="E303" s="77">
        <f t="shared" si="189"/>
        <v>52718</v>
      </c>
      <c r="F303" s="72">
        <f t="shared" si="175"/>
        <v>52748</v>
      </c>
      <c r="G303" s="73">
        <f>IFERROR(IF(AND(F303&lt;=$F$9,$F$5=Robocze!$B$4,$E303&lt;=$F$9,MONTH($F$8)=MONTH(E303)),$F$4,0)+IF(AND(F303&lt;=$F$9,$F$5=Robocze!$B$3,E303&lt;=$F$9),KALKULATOR!$F$4/12,0),"")</f>
        <v>0</v>
      </c>
      <c r="H303" s="73">
        <f t="shared" si="176"/>
        <v>150537.59999999995</v>
      </c>
      <c r="I303" s="74">
        <f t="shared" si="172"/>
        <v>0.04</v>
      </c>
      <c r="J303" s="73">
        <f t="shared" si="158"/>
        <v>0</v>
      </c>
      <c r="K303" s="75" t="str">
        <f t="shared" si="159"/>
        <v/>
      </c>
      <c r="L303" s="73">
        <f t="shared" si="160"/>
        <v>150537.59999999995</v>
      </c>
      <c r="M303" s="73">
        <f t="shared" si="161"/>
        <v>247829.8169079769</v>
      </c>
      <c r="N303" s="73">
        <f t="shared" si="162"/>
        <v>247829.8169079769</v>
      </c>
      <c r="O303" s="73">
        <f t="shared" si="163"/>
        <v>252479.95256811313</v>
      </c>
      <c r="P303" s="73">
        <f t="shared" si="164"/>
        <v>233110.90558017162</v>
      </c>
      <c r="Q303" s="73">
        <f t="shared" si="165"/>
        <v>227567.4412526378</v>
      </c>
      <c r="R303" s="73"/>
      <c r="S303" s="76">
        <f t="shared" si="173"/>
        <v>0.17</v>
      </c>
      <c r="T303" s="73">
        <f t="shared" si="190"/>
        <v>838.80382912994344</v>
      </c>
      <c r="U303" s="73">
        <f t="shared" si="177"/>
        <v>252479.95256811293</v>
      </c>
      <c r="V303" s="76">
        <f t="shared" si="178"/>
        <v>0.17</v>
      </c>
      <c r="W303" s="73">
        <f t="shared" si="179"/>
        <v>0</v>
      </c>
      <c r="X303" s="73">
        <f>IF(B303&lt;&gt;"",IF(MONTH(E303)=MONTH($F$13),SUMIF($C$22:C685,"="&amp;(C303-1),$G$22:G685),0)*S303,"")</f>
        <v>0</v>
      </c>
      <c r="Y303" s="73">
        <f>IF(B303&lt;&gt;"",SUM($X$22:X303),"")</f>
        <v>25591.392000000014</v>
      </c>
      <c r="Z303" s="73">
        <f t="shared" si="191"/>
        <v>127.22800530714782</v>
      </c>
      <c r="AA303" s="73">
        <f t="shared" si="180"/>
        <v>24.173321008358087</v>
      </c>
      <c r="AB303" s="73">
        <f t="shared" si="181"/>
        <v>12680.064276443147</v>
      </c>
      <c r="AC303" s="73">
        <f t="shared" si="182"/>
        <v>38271.456276443132</v>
      </c>
      <c r="AD303" s="73">
        <f>IFERROR($U303*(1-$V303)+SUM($W$22:$W303)+$AB303,"")</f>
        <v>247829.8169079769</v>
      </c>
      <c r="AE303" s="73" t="b">
        <f t="shared" si="183"/>
        <v>0</v>
      </c>
      <c r="AF303" s="73">
        <f>IF(AND(AE303=TRUE,D303&gt;=65),$U303*(1-10%)+SUM($W$22:$W303)+$AB303,AD303)</f>
        <v>247829.8169079769</v>
      </c>
      <c r="AG303" s="73">
        <f t="shared" si="166"/>
        <v>838.80382912994401</v>
      </c>
      <c r="AH303" s="73">
        <f t="shared" si="167"/>
        <v>101942.35256811319</v>
      </c>
      <c r="AI303" s="73">
        <f t="shared" si="168"/>
        <v>252479.95256811313</v>
      </c>
      <c r="AJ303" s="73">
        <f t="shared" si="169"/>
        <v>233110.90558017162</v>
      </c>
      <c r="AK303" s="73" t="b">
        <f t="shared" si="184"/>
        <v>1</v>
      </c>
      <c r="AL303" s="73">
        <f t="shared" si="170"/>
        <v>252479.95256811313</v>
      </c>
      <c r="AM303" s="73">
        <f t="shared" si="192"/>
        <v>756.51554553584594</v>
      </c>
      <c r="AN303" s="73">
        <f t="shared" si="185"/>
        <v>143.73795365181073</v>
      </c>
      <c r="AO303" s="73">
        <f t="shared" si="186"/>
        <v>77029.841252637852</v>
      </c>
      <c r="AP303" s="73">
        <f t="shared" si="187"/>
        <v>227567.4412526378</v>
      </c>
    </row>
    <row r="304" spans="1:42" s="31" customFormat="1" x14ac:dyDescent="0.6">
      <c r="A304" s="70">
        <f t="shared" si="171"/>
        <v>283</v>
      </c>
      <c r="B304" s="70" t="str">
        <f>IF(E304&lt;=$F$9,VLOOKUP(KALKULATOR!A304,Robocze!$B$23:$C$102,2),"")</f>
        <v>24 rok</v>
      </c>
      <c r="C304" s="70">
        <f t="shared" si="174"/>
        <v>2044</v>
      </c>
      <c r="D304" s="71">
        <f t="shared" si="188"/>
        <v>63.583333333334004</v>
      </c>
      <c r="E304" s="77">
        <f t="shared" si="189"/>
        <v>52749</v>
      </c>
      <c r="F304" s="72">
        <f t="shared" si="175"/>
        <v>52778</v>
      </c>
      <c r="G304" s="73">
        <f>IFERROR(IF(AND(F304&lt;=$F$9,$F$5=Robocze!$B$4,$E304&lt;=$F$9,MONTH($F$8)=MONTH(E304)),$F$4,0)+IF(AND(F304&lt;=$F$9,$F$5=Robocze!$B$3,E304&lt;=$F$9),KALKULATOR!$F$4/12,0),"")</f>
        <v>0</v>
      </c>
      <c r="H304" s="73">
        <f t="shared" si="176"/>
        <v>150537.59999999995</v>
      </c>
      <c r="I304" s="74">
        <f t="shared" si="172"/>
        <v>0.04</v>
      </c>
      <c r="J304" s="73">
        <f t="shared" si="158"/>
        <v>0</v>
      </c>
      <c r="K304" s="75" t="str">
        <f t="shared" si="159"/>
        <v/>
      </c>
      <c r="L304" s="73">
        <f t="shared" si="160"/>
        <v>150537.59999999995</v>
      </c>
      <c r="M304" s="73">
        <f t="shared" si="161"/>
        <v>248631.67770869506</v>
      </c>
      <c r="N304" s="73">
        <f t="shared" si="162"/>
        <v>248631.67770869506</v>
      </c>
      <c r="O304" s="73">
        <f t="shared" si="163"/>
        <v>253321.55241000684</v>
      </c>
      <c r="P304" s="73">
        <f t="shared" si="164"/>
        <v>233792.60145210553</v>
      </c>
      <c r="Q304" s="73">
        <f t="shared" si="165"/>
        <v>228181.8733440199</v>
      </c>
      <c r="R304" s="73"/>
      <c r="S304" s="76">
        <f t="shared" si="173"/>
        <v>0.17</v>
      </c>
      <c r="T304" s="73">
        <f t="shared" si="190"/>
        <v>841.59984189370982</v>
      </c>
      <c r="U304" s="73">
        <f t="shared" si="177"/>
        <v>253321.55241000664</v>
      </c>
      <c r="V304" s="76">
        <f t="shared" si="178"/>
        <v>0.17</v>
      </c>
      <c r="W304" s="73">
        <f t="shared" si="179"/>
        <v>0</v>
      </c>
      <c r="X304" s="73">
        <f>IF(B304&lt;&gt;"",IF(MONTH(E304)=MONTH($F$13),SUMIF($C$22:C686,"="&amp;(C304-1),$G$22:G686),0)*S304,"")</f>
        <v>0</v>
      </c>
      <c r="Y304" s="73">
        <f>IF(B304&lt;&gt;"",SUM($X$22:X304),"")</f>
        <v>25591.392000000014</v>
      </c>
      <c r="Z304" s="73">
        <f t="shared" si="191"/>
        <v>127.5715209214771</v>
      </c>
      <c r="AA304" s="73">
        <f t="shared" si="180"/>
        <v>24.238588975080649</v>
      </c>
      <c r="AB304" s="73">
        <f t="shared" si="181"/>
        <v>12783.397208389544</v>
      </c>
      <c r="AC304" s="73">
        <f t="shared" si="182"/>
        <v>38374.789208389528</v>
      </c>
      <c r="AD304" s="73">
        <f>IFERROR($U304*(1-$V304)+SUM($W$22:$W304)+$AB304,"")</f>
        <v>248631.67770869506</v>
      </c>
      <c r="AE304" s="73" t="b">
        <f t="shared" si="183"/>
        <v>0</v>
      </c>
      <c r="AF304" s="73">
        <f>IF(AND(AE304=TRUE,D304&gt;=65),$U304*(1-10%)+SUM($W$22:$W304)+$AB304,AD304)</f>
        <v>248631.67770869506</v>
      </c>
      <c r="AG304" s="73">
        <f t="shared" si="166"/>
        <v>841.5998418937105</v>
      </c>
      <c r="AH304" s="73">
        <f t="shared" si="167"/>
        <v>102783.9524100069</v>
      </c>
      <c r="AI304" s="73">
        <f t="shared" si="168"/>
        <v>253321.55241000684</v>
      </c>
      <c r="AJ304" s="73">
        <f t="shared" si="169"/>
        <v>233792.60145210553</v>
      </c>
      <c r="AK304" s="73" t="b">
        <f t="shared" si="184"/>
        <v>1</v>
      </c>
      <c r="AL304" s="73">
        <f t="shared" si="170"/>
        <v>253321.55241000684</v>
      </c>
      <c r="AM304" s="73">
        <f t="shared" si="192"/>
        <v>758.5581375087927</v>
      </c>
      <c r="AN304" s="73">
        <f t="shared" si="185"/>
        <v>144.12604612667062</v>
      </c>
      <c r="AO304" s="73">
        <f t="shared" si="186"/>
        <v>77644.273344019952</v>
      </c>
      <c r="AP304" s="73">
        <f t="shared" si="187"/>
        <v>228181.8733440199</v>
      </c>
    </row>
    <row r="305" spans="1:42" s="31" customFormat="1" x14ac:dyDescent="0.6">
      <c r="A305" s="70">
        <f t="shared" si="171"/>
        <v>284</v>
      </c>
      <c r="B305" s="70" t="str">
        <f>IF(E305&lt;=$F$9,VLOOKUP(KALKULATOR!A305,Robocze!$B$23:$C$102,2),"")</f>
        <v>24 rok</v>
      </c>
      <c r="C305" s="70">
        <f t="shared" si="174"/>
        <v>2044</v>
      </c>
      <c r="D305" s="71">
        <f t="shared" si="188"/>
        <v>63.666666666667339</v>
      </c>
      <c r="E305" s="77">
        <f t="shared" si="189"/>
        <v>52779</v>
      </c>
      <c r="F305" s="72">
        <f t="shared" si="175"/>
        <v>52809</v>
      </c>
      <c r="G305" s="73">
        <f>IFERROR(IF(AND(F305&lt;=$F$9,$F$5=Robocze!$B$4,$E305&lt;=$F$9,MONTH($F$8)=MONTH(E305)),$F$4,0)+IF(AND(F305&lt;=$F$9,$F$5=Robocze!$B$3,E305&lt;=$F$9),KALKULATOR!$F$4/12,0),"")</f>
        <v>0</v>
      </c>
      <c r="H305" s="73">
        <f t="shared" si="176"/>
        <v>150537.59999999995</v>
      </c>
      <c r="I305" s="74">
        <f t="shared" si="172"/>
        <v>0.04</v>
      </c>
      <c r="J305" s="73">
        <f t="shared" si="158"/>
        <v>0</v>
      </c>
      <c r="K305" s="75" t="str">
        <f t="shared" si="159"/>
        <v/>
      </c>
      <c r="L305" s="73">
        <f t="shared" si="160"/>
        <v>150537.59999999995</v>
      </c>
      <c r="M305" s="73">
        <f t="shared" si="161"/>
        <v>249436.14593455874</v>
      </c>
      <c r="N305" s="73">
        <f t="shared" si="162"/>
        <v>249436.14593455874</v>
      </c>
      <c r="O305" s="73">
        <f t="shared" si="163"/>
        <v>254165.95758470686</v>
      </c>
      <c r="P305" s="73">
        <f t="shared" si="164"/>
        <v>234476.56964361254</v>
      </c>
      <c r="Q305" s="73">
        <f t="shared" si="165"/>
        <v>228797.96440204876</v>
      </c>
      <c r="R305" s="73"/>
      <c r="S305" s="76">
        <f t="shared" si="173"/>
        <v>0.17</v>
      </c>
      <c r="T305" s="73">
        <f t="shared" si="190"/>
        <v>844.40517470002214</v>
      </c>
      <c r="U305" s="73">
        <f t="shared" si="177"/>
        <v>254165.95758470666</v>
      </c>
      <c r="V305" s="76">
        <f t="shared" si="178"/>
        <v>0.17</v>
      </c>
      <c r="W305" s="73">
        <f t="shared" si="179"/>
        <v>0</v>
      </c>
      <c r="X305" s="73">
        <f>IF(B305&lt;&gt;"",IF(MONTH(E305)=MONTH($F$13),SUMIF($C$22:C687,"="&amp;(C305-1),$G$22:G687),0)*S305,"")</f>
        <v>0</v>
      </c>
      <c r="Y305" s="73">
        <f>IF(B305&lt;&gt;"",SUM($X$22:X305),"")</f>
        <v>25591.392000000014</v>
      </c>
      <c r="Z305" s="73">
        <f t="shared" si="191"/>
        <v>127.9159640279651</v>
      </c>
      <c r="AA305" s="73">
        <f t="shared" si="180"/>
        <v>24.304033165313371</v>
      </c>
      <c r="AB305" s="73">
        <f t="shared" si="181"/>
        <v>12887.009139252195</v>
      </c>
      <c r="AC305" s="73">
        <f t="shared" si="182"/>
        <v>38478.401139252186</v>
      </c>
      <c r="AD305" s="73">
        <f>IFERROR($U305*(1-$V305)+SUM($W$22:$W305)+$AB305,"")</f>
        <v>249436.14593455874</v>
      </c>
      <c r="AE305" s="73" t="b">
        <f t="shared" si="183"/>
        <v>0</v>
      </c>
      <c r="AF305" s="73">
        <f>IF(AND(AE305=TRUE,D305&gt;=65),$U305*(1-10%)+SUM($W$22:$W305)+$AB305,AD305)</f>
        <v>249436.14593455874</v>
      </c>
      <c r="AG305" s="73">
        <f t="shared" si="166"/>
        <v>844.40517470002294</v>
      </c>
      <c r="AH305" s="73">
        <f t="shared" si="167"/>
        <v>103628.35758470692</v>
      </c>
      <c r="AI305" s="73">
        <f t="shared" si="168"/>
        <v>254165.95758470686</v>
      </c>
      <c r="AJ305" s="73">
        <f t="shared" si="169"/>
        <v>234476.56964361254</v>
      </c>
      <c r="AK305" s="73" t="b">
        <f t="shared" si="184"/>
        <v>1</v>
      </c>
      <c r="AL305" s="73">
        <f t="shared" si="170"/>
        <v>254165.95758470686</v>
      </c>
      <c r="AM305" s="73">
        <f t="shared" si="192"/>
        <v>760.60624448006638</v>
      </c>
      <c r="AN305" s="73">
        <f t="shared" si="185"/>
        <v>144.5151864512126</v>
      </c>
      <c r="AO305" s="73">
        <f t="shared" si="186"/>
        <v>78260.364402048814</v>
      </c>
      <c r="AP305" s="73">
        <f t="shared" si="187"/>
        <v>228797.96440204876</v>
      </c>
    </row>
    <row r="306" spans="1:42" s="31" customFormat="1" x14ac:dyDescent="0.6">
      <c r="A306" s="70">
        <f t="shared" si="171"/>
        <v>285</v>
      </c>
      <c r="B306" s="70" t="str">
        <f>IF(E306&lt;=$F$9,VLOOKUP(KALKULATOR!A306,Robocze!$B$23:$C$102,2),"")</f>
        <v>24 rok</v>
      </c>
      <c r="C306" s="70">
        <f t="shared" si="174"/>
        <v>2044</v>
      </c>
      <c r="D306" s="71">
        <f t="shared" si="188"/>
        <v>63.750000000000675</v>
      </c>
      <c r="E306" s="77">
        <f t="shared" si="189"/>
        <v>52810</v>
      </c>
      <c r="F306" s="72">
        <f t="shared" si="175"/>
        <v>52840</v>
      </c>
      <c r="G306" s="73">
        <f>IFERROR(IF(AND(F306&lt;=$F$9,$F$5=Robocze!$B$4,$E306&lt;=$F$9,MONTH($F$8)=MONTH(E306)),$F$4,0)+IF(AND(F306&lt;=$F$9,$F$5=Robocze!$B$3,E306&lt;=$F$9),KALKULATOR!$F$4/12,0),"")</f>
        <v>0</v>
      </c>
      <c r="H306" s="73">
        <f t="shared" si="176"/>
        <v>150537.59999999995</v>
      </c>
      <c r="I306" s="74">
        <f t="shared" si="172"/>
        <v>0.04</v>
      </c>
      <c r="J306" s="73">
        <f t="shared" si="158"/>
        <v>0</v>
      </c>
      <c r="K306" s="75" t="str">
        <f t="shared" si="159"/>
        <v/>
      </c>
      <c r="L306" s="73">
        <f t="shared" si="160"/>
        <v>150537.59999999995</v>
      </c>
      <c r="M306" s="73">
        <f t="shared" si="161"/>
        <v>250243.23010028573</v>
      </c>
      <c r="N306" s="73">
        <f t="shared" si="162"/>
        <v>250243.23010028573</v>
      </c>
      <c r="O306" s="73">
        <f t="shared" si="163"/>
        <v>255013.17744332255</v>
      </c>
      <c r="P306" s="73">
        <f t="shared" si="164"/>
        <v>235162.81772909127</v>
      </c>
      <c r="Q306" s="73">
        <f t="shared" si="165"/>
        <v>229415.71890593431</v>
      </c>
      <c r="R306" s="73"/>
      <c r="S306" s="76">
        <f t="shared" si="173"/>
        <v>0.17</v>
      </c>
      <c r="T306" s="73">
        <f t="shared" si="190"/>
        <v>847.21985861568896</v>
      </c>
      <c r="U306" s="73">
        <f t="shared" si="177"/>
        <v>255013.17744332235</v>
      </c>
      <c r="V306" s="76">
        <f t="shared" si="178"/>
        <v>0.17</v>
      </c>
      <c r="W306" s="73">
        <f t="shared" si="179"/>
        <v>0</v>
      </c>
      <c r="X306" s="73">
        <f>IF(B306&lt;&gt;"",IF(MONTH(E306)=MONTH($F$13),SUMIF($C$22:C688,"="&amp;(C306-1),$G$22:G688),0)*S306,"")</f>
        <v>0</v>
      </c>
      <c r="Y306" s="73">
        <f>IF(B306&lt;&gt;"",SUM($X$22:X306),"")</f>
        <v>25591.392000000014</v>
      </c>
      <c r="Z306" s="73">
        <f t="shared" si="191"/>
        <v>128.26133713084062</v>
      </c>
      <c r="AA306" s="73">
        <f t="shared" si="180"/>
        <v>24.369654054859716</v>
      </c>
      <c r="AB306" s="73">
        <f t="shared" si="181"/>
        <v>12990.900822328176</v>
      </c>
      <c r="AC306" s="73">
        <f t="shared" si="182"/>
        <v>38582.292822328163</v>
      </c>
      <c r="AD306" s="73">
        <f>IFERROR($U306*(1-$V306)+SUM($W$22:$W306)+$AB306,"")</f>
        <v>250243.23010028573</v>
      </c>
      <c r="AE306" s="73" t="b">
        <f t="shared" si="183"/>
        <v>0</v>
      </c>
      <c r="AF306" s="73">
        <f>IF(AND(AE306=TRUE,D306&gt;=65),$U306*(1-10%)+SUM($W$22:$W306)+$AB306,AD306)</f>
        <v>250243.23010028573</v>
      </c>
      <c r="AG306" s="73">
        <f t="shared" si="166"/>
        <v>847.21985861568953</v>
      </c>
      <c r="AH306" s="73">
        <f t="shared" si="167"/>
        <v>104475.5774433226</v>
      </c>
      <c r="AI306" s="73">
        <f t="shared" si="168"/>
        <v>255013.17744332255</v>
      </c>
      <c r="AJ306" s="73">
        <f t="shared" si="169"/>
        <v>235162.81772909127</v>
      </c>
      <c r="AK306" s="73" t="b">
        <f t="shared" si="184"/>
        <v>1</v>
      </c>
      <c r="AL306" s="73">
        <f t="shared" si="170"/>
        <v>255013.17744332255</v>
      </c>
      <c r="AM306" s="73">
        <f t="shared" si="192"/>
        <v>762.65988134016254</v>
      </c>
      <c r="AN306" s="73">
        <f t="shared" si="185"/>
        <v>144.90537745463089</v>
      </c>
      <c r="AO306" s="73">
        <f t="shared" si="186"/>
        <v>78878.11890593436</v>
      </c>
      <c r="AP306" s="73">
        <f t="shared" si="187"/>
        <v>229415.71890593431</v>
      </c>
    </row>
    <row r="307" spans="1:42" s="31" customFormat="1" x14ac:dyDescent="0.6">
      <c r="A307" s="70">
        <f t="shared" si="171"/>
        <v>286</v>
      </c>
      <c r="B307" s="70" t="str">
        <f>IF(E307&lt;=$F$9,VLOOKUP(KALKULATOR!A307,Robocze!$B$23:$C$102,2),"")</f>
        <v>24 rok</v>
      </c>
      <c r="C307" s="70">
        <f t="shared" si="174"/>
        <v>2044</v>
      </c>
      <c r="D307" s="71">
        <f t="shared" si="188"/>
        <v>63.833333333334011</v>
      </c>
      <c r="E307" s="77">
        <f t="shared" si="189"/>
        <v>52841</v>
      </c>
      <c r="F307" s="72">
        <f t="shared" si="175"/>
        <v>52870</v>
      </c>
      <c r="G307" s="73">
        <f>IFERROR(IF(AND(F307&lt;=$F$9,$F$5=Robocze!$B$4,$E307&lt;=$F$9,MONTH($F$8)=MONTH(E307)),$F$4,0)+IF(AND(F307&lt;=$F$9,$F$5=Robocze!$B$3,E307&lt;=$F$9),KALKULATOR!$F$4/12,0),"")</f>
        <v>0</v>
      </c>
      <c r="H307" s="73">
        <f t="shared" si="176"/>
        <v>150537.59999999995</v>
      </c>
      <c r="I307" s="74">
        <f t="shared" si="172"/>
        <v>0.04</v>
      </c>
      <c r="J307" s="73">
        <f t="shared" si="158"/>
        <v>0</v>
      </c>
      <c r="K307" s="75" t="str">
        <f t="shared" si="159"/>
        <v/>
      </c>
      <c r="L307" s="73">
        <f t="shared" si="160"/>
        <v>150537.59999999995</v>
      </c>
      <c r="M307" s="73">
        <f t="shared" si="161"/>
        <v>251052.9387484992</v>
      </c>
      <c r="N307" s="73">
        <f t="shared" si="162"/>
        <v>251052.9387484992</v>
      </c>
      <c r="O307" s="73">
        <f t="shared" si="163"/>
        <v>255863.22136813361</v>
      </c>
      <c r="P307" s="73">
        <f t="shared" si="164"/>
        <v>235851.35330818821</v>
      </c>
      <c r="Q307" s="73">
        <f t="shared" si="165"/>
        <v>230035.14134698032</v>
      </c>
      <c r="R307" s="73"/>
      <c r="S307" s="76">
        <f t="shared" si="173"/>
        <v>0.17</v>
      </c>
      <c r="T307" s="73">
        <f t="shared" si="190"/>
        <v>850.04392481107459</v>
      </c>
      <c r="U307" s="73">
        <f t="shared" si="177"/>
        <v>255863.22136813341</v>
      </c>
      <c r="V307" s="76">
        <f t="shared" si="178"/>
        <v>0.17</v>
      </c>
      <c r="W307" s="73">
        <f t="shared" si="179"/>
        <v>0</v>
      </c>
      <c r="X307" s="73">
        <f>IF(B307&lt;&gt;"",IF(MONTH(E307)=MONTH($F$13),SUMIF($C$22:C689,"="&amp;(C307-1),$G$22:G689),0)*S307,"")</f>
        <v>0</v>
      </c>
      <c r="Y307" s="73">
        <f>IF(B307&lt;&gt;"",SUM($X$22:X307),"")</f>
        <v>25591.392000000014</v>
      </c>
      <c r="Z307" s="73">
        <f t="shared" si="191"/>
        <v>128.60764274109388</v>
      </c>
      <c r="AA307" s="73">
        <f t="shared" si="180"/>
        <v>24.435452120807838</v>
      </c>
      <c r="AB307" s="73">
        <f t="shared" si="181"/>
        <v>13095.073012948462</v>
      </c>
      <c r="AC307" s="73">
        <f t="shared" si="182"/>
        <v>38686.465012948451</v>
      </c>
      <c r="AD307" s="73">
        <f>IFERROR($U307*(1-$V307)+SUM($W$22:$W307)+$AB307,"")</f>
        <v>251052.9387484992</v>
      </c>
      <c r="AE307" s="73" t="b">
        <f t="shared" si="183"/>
        <v>0</v>
      </c>
      <c r="AF307" s="73">
        <f>IF(AND(AE307=TRUE,D307&gt;=65),$U307*(1-10%)+SUM($W$22:$W307)+$AB307,AD307)</f>
        <v>251052.9387484992</v>
      </c>
      <c r="AG307" s="73">
        <f t="shared" si="166"/>
        <v>850.04392481107516</v>
      </c>
      <c r="AH307" s="73">
        <f t="shared" si="167"/>
        <v>105325.62136813368</v>
      </c>
      <c r="AI307" s="73">
        <f t="shared" si="168"/>
        <v>255863.22136813361</v>
      </c>
      <c r="AJ307" s="73">
        <f t="shared" si="169"/>
        <v>235851.35330818821</v>
      </c>
      <c r="AK307" s="73" t="b">
        <f t="shared" si="184"/>
        <v>1</v>
      </c>
      <c r="AL307" s="73">
        <f t="shared" si="170"/>
        <v>255863.22136813361</v>
      </c>
      <c r="AM307" s="73">
        <f t="shared" si="192"/>
        <v>764.71906301978106</v>
      </c>
      <c r="AN307" s="73">
        <f t="shared" si="185"/>
        <v>145.29662197375839</v>
      </c>
      <c r="AO307" s="73">
        <f t="shared" si="186"/>
        <v>79497.541346980375</v>
      </c>
      <c r="AP307" s="73">
        <f t="shared" si="187"/>
        <v>230035.14134698032</v>
      </c>
    </row>
    <row r="308" spans="1:42" s="31" customFormat="1" x14ac:dyDescent="0.6">
      <c r="A308" s="70">
        <f t="shared" si="171"/>
        <v>287</v>
      </c>
      <c r="B308" s="70" t="str">
        <f>IF(E308&lt;=$F$9,VLOOKUP(KALKULATOR!A308,Robocze!$B$23:$C$102,2),"")</f>
        <v>24 rok</v>
      </c>
      <c r="C308" s="70">
        <f t="shared" si="174"/>
        <v>2044</v>
      </c>
      <c r="D308" s="71">
        <f t="shared" si="188"/>
        <v>63.916666666667346</v>
      </c>
      <c r="E308" s="77">
        <f t="shared" si="189"/>
        <v>52871</v>
      </c>
      <c r="F308" s="72">
        <f t="shared" si="175"/>
        <v>52901</v>
      </c>
      <c r="G308" s="73">
        <f>IFERROR(IF(AND(F308&lt;=$F$9,$F$5=Robocze!$B$4,$E308&lt;=$F$9,MONTH($F$8)=MONTH(E308)),$F$4,0)+IF(AND(F308&lt;=$F$9,$F$5=Robocze!$B$3,E308&lt;=$F$9),KALKULATOR!$F$4/12,0),"")</f>
        <v>0</v>
      </c>
      <c r="H308" s="73">
        <f t="shared" si="176"/>
        <v>150537.59999999995</v>
      </c>
      <c r="I308" s="74">
        <f t="shared" si="172"/>
        <v>0.04</v>
      </c>
      <c r="J308" s="73">
        <f t="shared" si="158"/>
        <v>0</v>
      </c>
      <c r="K308" s="75" t="str">
        <f t="shared" si="159"/>
        <v/>
      </c>
      <c r="L308" s="73">
        <f t="shared" si="160"/>
        <v>150537.59999999995</v>
      </c>
      <c r="M308" s="73">
        <f t="shared" si="161"/>
        <v>251865.28044981931</v>
      </c>
      <c r="N308" s="73">
        <f t="shared" si="162"/>
        <v>251865.28044981931</v>
      </c>
      <c r="O308" s="73">
        <f t="shared" si="163"/>
        <v>256716.09877269407</v>
      </c>
      <c r="P308" s="73">
        <f t="shared" si="164"/>
        <v>236542.18400588218</v>
      </c>
      <c r="Q308" s="73">
        <f t="shared" si="165"/>
        <v>230656.23622861717</v>
      </c>
      <c r="R308" s="73"/>
      <c r="S308" s="76">
        <f t="shared" si="173"/>
        <v>0.17</v>
      </c>
      <c r="T308" s="73">
        <f t="shared" si="190"/>
        <v>852.8774045604448</v>
      </c>
      <c r="U308" s="73">
        <f t="shared" si="177"/>
        <v>256716.09877269386</v>
      </c>
      <c r="V308" s="76">
        <f t="shared" si="178"/>
        <v>0.17</v>
      </c>
      <c r="W308" s="73">
        <f t="shared" si="179"/>
        <v>0</v>
      </c>
      <c r="X308" s="73">
        <f>IF(B308&lt;&gt;"",IF(MONTH(E308)=MONTH($F$13),SUMIF($C$22:C690,"="&amp;(C308-1),$G$22:G690),0)*S308,"")</f>
        <v>0</v>
      </c>
      <c r="Y308" s="73">
        <f>IF(B308&lt;&gt;"",SUM($X$22:X308),"")</f>
        <v>25591.392000000014</v>
      </c>
      <c r="Z308" s="73">
        <f t="shared" si="191"/>
        <v>128.95488337649485</v>
      </c>
      <c r="AA308" s="73">
        <f t="shared" si="180"/>
        <v>24.501427841534021</v>
      </c>
      <c r="AB308" s="73">
        <f t="shared" si="181"/>
        <v>13199.526468483422</v>
      </c>
      <c r="AC308" s="73">
        <f t="shared" si="182"/>
        <v>38790.918468483411</v>
      </c>
      <c r="AD308" s="73">
        <f>IFERROR($U308*(1-$V308)+SUM($W$22:$W308)+$AB308,"")</f>
        <v>251865.28044981931</v>
      </c>
      <c r="AE308" s="73" t="b">
        <f t="shared" si="183"/>
        <v>0</v>
      </c>
      <c r="AF308" s="73">
        <f>IF(AND(AE308=TRUE,D308&gt;=65),$U308*(1-10%)+SUM($W$22:$W308)+$AB308,AD308)</f>
        <v>251865.28044981931</v>
      </c>
      <c r="AG308" s="73">
        <f t="shared" si="166"/>
        <v>852.87740456044537</v>
      </c>
      <c r="AH308" s="73">
        <f t="shared" si="167"/>
        <v>106178.49877269413</v>
      </c>
      <c r="AI308" s="73">
        <f t="shared" si="168"/>
        <v>256716.09877269407</v>
      </c>
      <c r="AJ308" s="73">
        <f t="shared" si="169"/>
        <v>236542.18400588218</v>
      </c>
      <c r="AK308" s="73" t="b">
        <f t="shared" si="184"/>
        <v>1</v>
      </c>
      <c r="AL308" s="73">
        <f t="shared" si="170"/>
        <v>256716.09877269407</v>
      </c>
      <c r="AM308" s="73">
        <f t="shared" si="192"/>
        <v>766.78380448993448</v>
      </c>
      <c r="AN308" s="73">
        <f t="shared" si="185"/>
        <v>145.68892285308755</v>
      </c>
      <c r="AO308" s="73">
        <f t="shared" si="186"/>
        <v>80118.636228617223</v>
      </c>
      <c r="AP308" s="73">
        <f t="shared" si="187"/>
        <v>230656.23622861717</v>
      </c>
    </row>
    <row r="309" spans="1:42" s="69" customFormat="1" x14ac:dyDescent="0.6">
      <c r="A309" s="78">
        <f t="shared" si="171"/>
        <v>288</v>
      </c>
      <c r="B309" s="78" t="str">
        <f>IF(E309&lt;=$F$9,VLOOKUP(KALKULATOR!A309,Robocze!$B$23:$C$102,2),"")</f>
        <v>24 rok</v>
      </c>
      <c r="C309" s="78">
        <f t="shared" si="174"/>
        <v>2044</v>
      </c>
      <c r="D309" s="79">
        <f t="shared" si="188"/>
        <v>64.000000000000682</v>
      </c>
      <c r="E309" s="80">
        <f t="shared" si="189"/>
        <v>52902</v>
      </c>
      <c r="F309" s="81">
        <f t="shared" si="175"/>
        <v>52931</v>
      </c>
      <c r="G309" s="82">
        <f>IFERROR(IF(AND(F309&lt;=$F$9,$F$5=Robocze!$B$4,$E309&lt;=$F$9,MONTH($F$8)=MONTH(E309)),$F$4,0)+IF(AND(F309&lt;=$F$9,$F$5=Robocze!$B$3,E309&lt;=$F$9),KALKULATOR!$F$4/12,0),"")</f>
        <v>0</v>
      </c>
      <c r="H309" s="82">
        <f t="shared" si="176"/>
        <v>150537.59999999995</v>
      </c>
      <c r="I309" s="83">
        <f t="shared" si="172"/>
        <v>0.04</v>
      </c>
      <c r="J309" s="82">
        <f t="shared" si="158"/>
        <v>0</v>
      </c>
      <c r="K309" s="84">
        <f t="shared" si="159"/>
        <v>24</v>
      </c>
      <c r="L309" s="82">
        <f t="shared" si="160"/>
        <v>150537.59999999995</v>
      </c>
      <c r="M309" s="82">
        <f t="shared" si="161"/>
        <v>252680.26380295536</v>
      </c>
      <c r="N309" s="82">
        <f t="shared" si="162"/>
        <v>252680.26380295536</v>
      </c>
      <c r="O309" s="82">
        <f t="shared" si="163"/>
        <v>257571.81910193639</v>
      </c>
      <c r="P309" s="82">
        <f t="shared" si="164"/>
        <v>237235.31747256845</v>
      </c>
      <c r="Q309" s="82">
        <f t="shared" si="165"/>
        <v>231279.00806643444</v>
      </c>
      <c r="R309" s="82"/>
      <c r="S309" s="85">
        <f t="shared" si="173"/>
        <v>0.17</v>
      </c>
      <c r="T309" s="82">
        <f t="shared" si="190"/>
        <v>855.72032924231291</v>
      </c>
      <c r="U309" s="82">
        <f t="shared" si="177"/>
        <v>257571.81910193618</v>
      </c>
      <c r="V309" s="85">
        <f t="shared" si="178"/>
        <v>0.17</v>
      </c>
      <c r="W309" s="82">
        <f t="shared" si="179"/>
        <v>0</v>
      </c>
      <c r="X309" s="82">
        <f>IF(B309&lt;&gt;"",IF(MONTH(E309)=MONTH($F$13),SUMIF($C$22:C691,"="&amp;(C309-1),$G$22:G691),0)*S309,"")</f>
        <v>0</v>
      </c>
      <c r="Y309" s="82">
        <f>IF(B309&lt;&gt;"",SUM($X$22:X309),"")</f>
        <v>25591.392000000014</v>
      </c>
      <c r="Z309" s="82">
        <f t="shared" si="191"/>
        <v>129.30306156161137</v>
      </c>
      <c r="AA309" s="82">
        <f t="shared" si="180"/>
        <v>24.56758169670616</v>
      </c>
      <c r="AB309" s="82">
        <f t="shared" si="181"/>
        <v>13304.261948348327</v>
      </c>
      <c r="AC309" s="82">
        <f t="shared" si="182"/>
        <v>38895.653948348314</v>
      </c>
      <c r="AD309" s="82">
        <f>IFERROR($U309*(1-$V309)+SUM($W$22:$W309)+$AB309,"")</f>
        <v>252680.26380295536</v>
      </c>
      <c r="AE309" s="73" t="b">
        <f t="shared" si="183"/>
        <v>0</v>
      </c>
      <c r="AF309" s="82">
        <f>IF(AND(AE309=TRUE,D309&gt;=65),$U309*(1-10%)+SUM($W$22:$W309)+$AB309,AD309)</f>
        <v>252680.26380295536</v>
      </c>
      <c r="AG309" s="82">
        <f t="shared" si="166"/>
        <v>855.7203292423136</v>
      </c>
      <c r="AH309" s="82">
        <f t="shared" si="167"/>
        <v>107034.21910193644</v>
      </c>
      <c r="AI309" s="82">
        <f t="shared" si="168"/>
        <v>257571.81910193639</v>
      </c>
      <c r="AJ309" s="82">
        <f t="shared" si="169"/>
        <v>237235.31747256845</v>
      </c>
      <c r="AK309" s="73" t="b">
        <f t="shared" si="184"/>
        <v>1</v>
      </c>
      <c r="AL309" s="82">
        <f t="shared" si="170"/>
        <v>257571.81910193639</v>
      </c>
      <c r="AM309" s="82">
        <f t="shared" si="192"/>
        <v>768.85412076205728</v>
      </c>
      <c r="AN309" s="82">
        <f t="shared" si="185"/>
        <v>146.08228294479088</v>
      </c>
      <c r="AO309" s="82">
        <f t="shared" si="186"/>
        <v>80741.408066434495</v>
      </c>
      <c r="AP309" s="82">
        <f t="shared" si="187"/>
        <v>231279.00806643444</v>
      </c>
    </row>
    <row r="310" spans="1:42" s="31" customFormat="1" x14ac:dyDescent="0.6">
      <c r="A310" s="70">
        <f t="shared" si="171"/>
        <v>289</v>
      </c>
      <c r="B310" s="70" t="str">
        <f>IF(E310&lt;=$F$9,VLOOKUP(KALKULATOR!A310,Robocze!$B$23:$C$102,2),"")</f>
        <v>25 rok</v>
      </c>
      <c r="C310" s="70">
        <f t="shared" si="174"/>
        <v>2044</v>
      </c>
      <c r="D310" s="71">
        <f t="shared" si="188"/>
        <v>64.083333333334011</v>
      </c>
      <c r="E310" s="72">
        <f t="shared" si="189"/>
        <v>52932</v>
      </c>
      <c r="F310" s="72">
        <f t="shared" si="175"/>
        <v>52962</v>
      </c>
      <c r="G310" s="73">
        <f>IFERROR(IF(AND(F310&lt;=$F$9,$F$5=Robocze!$B$4,$E310&lt;=$F$9,MONTH($F$8)=MONTH(E310)),$F$4,0)+IF(AND(F310&lt;=$F$9,$F$5=Robocze!$B$3,E310&lt;=$F$9),KALKULATOR!$F$4/12,0),"")</f>
        <v>6272.4</v>
      </c>
      <c r="H310" s="73">
        <f t="shared" si="176"/>
        <v>156809.99999999994</v>
      </c>
      <c r="I310" s="74">
        <f t="shared" si="172"/>
        <v>0.04</v>
      </c>
      <c r="J310" s="73">
        <f t="shared" si="158"/>
        <v>0</v>
      </c>
      <c r="K310" s="75" t="str">
        <f t="shared" si="159"/>
        <v/>
      </c>
      <c r="L310" s="73">
        <f t="shared" si="160"/>
        <v>156809.99999999994</v>
      </c>
      <c r="M310" s="73">
        <f t="shared" si="161"/>
        <v>259787.65107479793</v>
      </c>
      <c r="N310" s="73">
        <f t="shared" si="162"/>
        <v>259787.65107479793</v>
      </c>
      <c r="O310" s="73">
        <f t="shared" si="163"/>
        <v>264723.69983227615</v>
      </c>
      <c r="P310" s="73">
        <f t="shared" si="164"/>
        <v>244220.09686414368</v>
      </c>
      <c r="Q310" s="73">
        <f t="shared" si="165"/>
        <v>238192.7968682138</v>
      </c>
      <c r="R310" s="73"/>
      <c r="S310" s="76">
        <f t="shared" si="173"/>
        <v>0.17</v>
      </c>
      <c r="T310" s="73">
        <f t="shared" si="190"/>
        <v>879.48073033978744</v>
      </c>
      <c r="U310" s="73">
        <f t="shared" si="177"/>
        <v>264723.69983227598</v>
      </c>
      <c r="V310" s="76">
        <f t="shared" si="178"/>
        <v>0.17</v>
      </c>
      <c r="W310" s="73">
        <f t="shared" si="179"/>
        <v>1066.308</v>
      </c>
      <c r="X310" s="73">
        <f>IF(B310&lt;&gt;"",IF(MONTH(E310)=MONTH($F$13),SUMIF($C$22:C692,"="&amp;(C310-1),$G$22:G692),0)*S310,"")</f>
        <v>0</v>
      </c>
      <c r="Y310" s="73">
        <f>IF(B310&lt;&gt;"",SUM($X$22:X310),"")</f>
        <v>25591.392000000014</v>
      </c>
      <c r="Z310" s="73">
        <f t="shared" si="191"/>
        <v>129.65217982782772</v>
      </c>
      <c r="AA310" s="73">
        <f t="shared" si="180"/>
        <v>24.633914167287269</v>
      </c>
      <c r="AB310" s="73">
        <f t="shared" si="181"/>
        <v>13409.280214008868</v>
      </c>
      <c r="AC310" s="73">
        <f t="shared" si="182"/>
        <v>39000.672214008853</v>
      </c>
      <c r="AD310" s="73">
        <f>IFERROR($U310*(1-$V310)+SUM($W$22:$W310)+$AB310,"")</f>
        <v>259787.65107479793</v>
      </c>
      <c r="AE310" s="73" t="b">
        <f t="shared" si="183"/>
        <v>0</v>
      </c>
      <c r="AF310" s="73">
        <f>IF(AND(AE310=TRUE,D310&gt;=65),$U310*(1-10%)+SUM($W$22:$W310)+$AB310,AD310)</f>
        <v>259787.65107479793</v>
      </c>
      <c r="AG310" s="73">
        <f t="shared" si="166"/>
        <v>879.4807303397879</v>
      </c>
      <c r="AH310" s="73">
        <f t="shared" si="167"/>
        <v>107913.69983227622</v>
      </c>
      <c r="AI310" s="73">
        <f t="shared" si="168"/>
        <v>264723.69983227615</v>
      </c>
      <c r="AJ310" s="73">
        <f t="shared" si="169"/>
        <v>244220.09686414368</v>
      </c>
      <c r="AK310" s="73" t="b">
        <f t="shared" si="184"/>
        <v>1</v>
      </c>
      <c r="AL310" s="73">
        <f t="shared" si="170"/>
        <v>264723.69983227615</v>
      </c>
      <c r="AM310" s="73">
        <f t="shared" si="192"/>
        <v>791.83802688811477</v>
      </c>
      <c r="AN310" s="73">
        <f t="shared" si="185"/>
        <v>150.44922510874181</v>
      </c>
      <c r="AO310" s="73">
        <f t="shared" si="186"/>
        <v>81382.79686821386</v>
      </c>
      <c r="AP310" s="73">
        <f t="shared" si="187"/>
        <v>238192.7968682138</v>
      </c>
    </row>
    <row r="311" spans="1:42" s="31" customFormat="1" x14ac:dyDescent="0.6">
      <c r="A311" s="70">
        <f t="shared" si="171"/>
        <v>290</v>
      </c>
      <c r="B311" s="70" t="str">
        <f>IF(E311&lt;=$F$9,VLOOKUP(KALKULATOR!A311,Robocze!$B$23:$C$102,2),"")</f>
        <v>25 rok</v>
      </c>
      <c r="C311" s="70">
        <f t="shared" si="174"/>
        <v>2045</v>
      </c>
      <c r="D311" s="71">
        <f t="shared" si="188"/>
        <v>64.166666666667339</v>
      </c>
      <c r="E311" s="77">
        <f t="shared" si="189"/>
        <v>52963</v>
      </c>
      <c r="F311" s="72">
        <f t="shared" si="175"/>
        <v>52993</v>
      </c>
      <c r="G311" s="73">
        <f>IFERROR(IF(AND(F311&lt;=$F$9,$F$5=Robocze!$B$4,$E311&lt;=$F$9,MONTH($F$8)=MONTH(E311)),$F$4,0)+IF(AND(F311&lt;=$F$9,$F$5=Robocze!$B$3,E311&lt;=$F$9),KALKULATOR!$F$4/12,0),"")</f>
        <v>0</v>
      </c>
      <c r="H311" s="73">
        <f t="shared" si="176"/>
        <v>156809.99999999994</v>
      </c>
      <c r="I311" s="74">
        <f t="shared" si="172"/>
        <v>0.04</v>
      </c>
      <c r="J311" s="73">
        <f t="shared" si="158"/>
        <v>0</v>
      </c>
      <c r="K311" s="75" t="str">
        <f t="shared" si="159"/>
        <v/>
      </c>
      <c r="L311" s="73">
        <f t="shared" si="160"/>
        <v>156809.99999999994</v>
      </c>
      <c r="M311" s="73">
        <f t="shared" si="161"/>
        <v>260625.35512597839</v>
      </c>
      <c r="N311" s="73">
        <f t="shared" si="162"/>
        <v>260625.35512597839</v>
      </c>
      <c r="O311" s="73">
        <f t="shared" si="163"/>
        <v>265606.11216505041</v>
      </c>
      <c r="P311" s="73">
        <f t="shared" si="164"/>
        <v>244934.85085369082</v>
      </c>
      <c r="Q311" s="73">
        <f t="shared" si="165"/>
        <v>238835.91741975799</v>
      </c>
      <c r="R311" s="73"/>
      <c r="S311" s="76">
        <f t="shared" si="173"/>
        <v>0.17</v>
      </c>
      <c r="T311" s="73">
        <f t="shared" si="190"/>
        <v>882.41233277425329</v>
      </c>
      <c r="U311" s="73">
        <f t="shared" si="177"/>
        <v>265606.11216505023</v>
      </c>
      <c r="V311" s="76">
        <f t="shared" si="178"/>
        <v>0.17</v>
      </c>
      <c r="W311" s="73">
        <f t="shared" si="179"/>
        <v>0</v>
      </c>
      <c r="X311" s="73">
        <f>IF(B311&lt;&gt;"",IF(MONTH(E311)=MONTH($F$13),SUMIF($C$22:C693,"="&amp;(C311-1),$G$22:G693),0)*S311,"")</f>
        <v>0</v>
      </c>
      <c r="Y311" s="73">
        <f>IF(B311&lt;&gt;"",SUM($X$22:X311),"")</f>
        <v>25591.392000000014</v>
      </c>
      <c r="Z311" s="73">
        <f t="shared" si="191"/>
        <v>130.00224071336285</v>
      </c>
      <c r="AA311" s="73">
        <f t="shared" si="180"/>
        <v>24.700425735538943</v>
      </c>
      <c r="AB311" s="73">
        <f t="shared" si="181"/>
        <v>13514.582028986692</v>
      </c>
      <c r="AC311" s="73">
        <f t="shared" si="182"/>
        <v>39105.974028986682</v>
      </c>
      <c r="AD311" s="73">
        <f>IFERROR($U311*(1-$V311)+SUM($W$22:$W311)+$AB311,"")</f>
        <v>260625.35512597839</v>
      </c>
      <c r="AE311" s="73" t="b">
        <f t="shared" si="183"/>
        <v>0</v>
      </c>
      <c r="AF311" s="73">
        <f>IF(AND(AE311=TRUE,D311&gt;=65),$U311*(1-10%)+SUM($W$22:$W311)+$AB311,AD311)</f>
        <v>260625.35512597839</v>
      </c>
      <c r="AG311" s="73">
        <f t="shared" si="166"/>
        <v>882.41233277425374</v>
      </c>
      <c r="AH311" s="73">
        <f t="shared" si="167"/>
        <v>108796.11216505048</v>
      </c>
      <c r="AI311" s="73">
        <f t="shared" si="168"/>
        <v>265606.11216505041</v>
      </c>
      <c r="AJ311" s="73">
        <f t="shared" si="169"/>
        <v>244934.85085369082</v>
      </c>
      <c r="AK311" s="73" t="b">
        <f t="shared" si="184"/>
        <v>1</v>
      </c>
      <c r="AL311" s="73">
        <f t="shared" si="170"/>
        <v>265606.11216505041</v>
      </c>
      <c r="AM311" s="73">
        <f t="shared" si="192"/>
        <v>793.97598956071272</v>
      </c>
      <c r="AN311" s="73">
        <f t="shared" si="185"/>
        <v>150.85543801653543</v>
      </c>
      <c r="AO311" s="73">
        <f t="shared" si="186"/>
        <v>82025.917419758043</v>
      </c>
      <c r="AP311" s="73">
        <f t="shared" si="187"/>
        <v>238835.91741975799</v>
      </c>
    </row>
    <row r="312" spans="1:42" s="31" customFormat="1" x14ac:dyDescent="0.6">
      <c r="A312" s="70">
        <f t="shared" si="171"/>
        <v>291</v>
      </c>
      <c r="B312" s="70" t="str">
        <f>IF(E312&lt;=$F$9,VLOOKUP(KALKULATOR!A312,Robocze!$B$23:$C$102,2),"")</f>
        <v>25 rok</v>
      </c>
      <c r="C312" s="70">
        <f t="shared" si="174"/>
        <v>2045</v>
      </c>
      <c r="D312" s="71">
        <f t="shared" si="188"/>
        <v>64.250000000000668</v>
      </c>
      <c r="E312" s="77">
        <f t="shared" si="189"/>
        <v>52994</v>
      </c>
      <c r="F312" s="72">
        <f t="shared" si="175"/>
        <v>53021</v>
      </c>
      <c r="G312" s="73">
        <f>IFERROR(IF(AND(F312&lt;=$F$9,$F$5=Robocze!$B$4,$E312&lt;=$F$9,MONTH($F$8)=MONTH(E312)),$F$4,0)+IF(AND(F312&lt;=$F$9,$F$5=Robocze!$B$3,E312&lt;=$F$9),KALKULATOR!$F$4/12,0),"")</f>
        <v>0</v>
      </c>
      <c r="H312" s="73">
        <f t="shared" si="176"/>
        <v>156809.99999999994</v>
      </c>
      <c r="I312" s="74">
        <f t="shared" si="172"/>
        <v>0.04</v>
      </c>
      <c r="J312" s="73">
        <f t="shared" si="158"/>
        <v>0</v>
      </c>
      <c r="K312" s="75" t="str">
        <f t="shared" si="159"/>
        <v/>
      </c>
      <c r="L312" s="73">
        <f t="shared" si="160"/>
        <v>156809.99999999994</v>
      </c>
      <c r="M312" s="73">
        <f t="shared" si="161"/>
        <v>261465.78483284664</v>
      </c>
      <c r="N312" s="73">
        <f t="shared" si="162"/>
        <v>261465.78483284664</v>
      </c>
      <c r="O312" s="73">
        <f t="shared" si="163"/>
        <v>266491.46587226726</v>
      </c>
      <c r="P312" s="73">
        <f t="shared" si="164"/>
        <v>245651.98735653647</v>
      </c>
      <c r="Q312" s="73">
        <f t="shared" si="165"/>
        <v>239480.77439679133</v>
      </c>
      <c r="R312" s="73"/>
      <c r="S312" s="76">
        <f t="shared" si="173"/>
        <v>0.17</v>
      </c>
      <c r="T312" s="73">
        <f t="shared" si="190"/>
        <v>885.35370721683421</v>
      </c>
      <c r="U312" s="73">
        <f t="shared" si="177"/>
        <v>266491.46587226709</v>
      </c>
      <c r="V312" s="76">
        <f t="shared" si="178"/>
        <v>0.17</v>
      </c>
      <c r="W312" s="73">
        <f t="shared" si="179"/>
        <v>0</v>
      </c>
      <c r="X312" s="73">
        <f>IF(B312&lt;&gt;"",IF(MONTH(E312)=MONTH($F$13),SUMIF($C$22:C694,"="&amp;(C312-1),$G$22:G694),0)*S312,"")</f>
        <v>0</v>
      </c>
      <c r="Y312" s="73">
        <f>IF(B312&lt;&gt;"",SUM($X$22:X312),"")</f>
        <v>25591.392000000014</v>
      </c>
      <c r="Z312" s="73">
        <f t="shared" si="191"/>
        <v>130.35324676328895</v>
      </c>
      <c r="AA312" s="73">
        <f t="shared" si="180"/>
        <v>24.767116885024901</v>
      </c>
      <c r="AB312" s="73">
        <f t="shared" si="181"/>
        <v>13620.168158864955</v>
      </c>
      <c r="AC312" s="73">
        <f t="shared" si="182"/>
        <v>39211.560158864944</v>
      </c>
      <c r="AD312" s="73">
        <f>IFERROR($U312*(1-$V312)+SUM($W$22:$W312)+$AB312,"")</f>
        <v>261465.78483284664</v>
      </c>
      <c r="AE312" s="73" t="b">
        <f t="shared" si="183"/>
        <v>0</v>
      </c>
      <c r="AF312" s="73">
        <f>IF(AND(AE312=TRUE,D312&gt;=65),$U312*(1-10%)+SUM($W$22:$W312)+$AB312,AD312)</f>
        <v>261465.78483284664</v>
      </c>
      <c r="AG312" s="73">
        <f t="shared" si="166"/>
        <v>885.35370721683466</v>
      </c>
      <c r="AH312" s="73">
        <f t="shared" si="167"/>
        <v>109681.46587226732</v>
      </c>
      <c r="AI312" s="73">
        <f t="shared" si="168"/>
        <v>266491.46587226726</v>
      </c>
      <c r="AJ312" s="73">
        <f t="shared" si="169"/>
        <v>245651.98735653647</v>
      </c>
      <c r="AK312" s="73" t="b">
        <f t="shared" si="184"/>
        <v>1</v>
      </c>
      <c r="AL312" s="73">
        <f t="shared" si="170"/>
        <v>266491.46587226726</v>
      </c>
      <c r="AM312" s="73">
        <f t="shared" si="192"/>
        <v>796.11972473252661</v>
      </c>
      <c r="AN312" s="73">
        <f t="shared" si="185"/>
        <v>151.26274769918007</v>
      </c>
      <c r="AO312" s="73">
        <f t="shared" si="186"/>
        <v>82670.774396791385</v>
      </c>
      <c r="AP312" s="73">
        <f t="shared" si="187"/>
        <v>239480.77439679133</v>
      </c>
    </row>
    <row r="313" spans="1:42" s="31" customFormat="1" x14ac:dyDescent="0.6">
      <c r="A313" s="70">
        <f t="shared" si="171"/>
        <v>292</v>
      </c>
      <c r="B313" s="70" t="str">
        <f>IF(E313&lt;=$F$9,VLOOKUP(KALKULATOR!A313,Robocze!$B$23:$C$102,2),"")</f>
        <v>25 rok</v>
      </c>
      <c r="C313" s="70">
        <f t="shared" si="174"/>
        <v>2045</v>
      </c>
      <c r="D313" s="71">
        <f t="shared" si="188"/>
        <v>64.333333333333997</v>
      </c>
      <c r="E313" s="77">
        <f t="shared" si="189"/>
        <v>53022</v>
      </c>
      <c r="F313" s="72">
        <f t="shared" si="175"/>
        <v>53052</v>
      </c>
      <c r="G313" s="73">
        <f>IFERROR(IF(AND(F313&lt;=$F$9,$F$5=Robocze!$B$4,$E313&lt;=$F$9,MONTH($F$8)=MONTH(E313)),$F$4,0)+IF(AND(F313&lt;=$F$9,$F$5=Robocze!$B$3,E313&lt;=$F$9),KALKULATOR!$F$4/12,0),"")</f>
        <v>0</v>
      </c>
      <c r="H313" s="73">
        <f t="shared" si="176"/>
        <v>156809.99999999994</v>
      </c>
      <c r="I313" s="74">
        <f t="shared" si="172"/>
        <v>0.04</v>
      </c>
      <c r="J313" s="73">
        <f t="shared" si="158"/>
        <v>0</v>
      </c>
      <c r="K313" s="75" t="str">
        <f t="shared" si="159"/>
        <v/>
      </c>
      <c r="L313" s="73">
        <f t="shared" si="160"/>
        <v>156809.99999999994</v>
      </c>
      <c r="M313" s="73">
        <f t="shared" si="161"/>
        <v>262308.94910085551</v>
      </c>
      <c r="N313" s="73">
        <f t="shared" si="162"/>
        <v>262308.94910085551</v>
      </c>
      <c r="O313" s="73">
        <f t="shared" si="163"/>
        <v>267379.77075850812</v>
      </c>
      <c r="P313" s="73">
        <f t="shared" si="164"/>
        <v>246371.51431439156</v>
      </c>
      <c r="Q313" s="73">
        <f t="shared" si="165"/>
        <v>240127.37248766268</v>
      </c>
      <c r="R313" s="73"/>
      <c r="S313" s="76">
        <f t="shared" si="173"/>
        <v>0.17</v>
      </c>
      <c r="T313" s="73">
        <f t="shared" si="190"/>
        <v>888.30488624089037</v>
      </c>
      <c r="U313" s="73">
        <f t="shared" si="177"/>
        <v>267379.77075850795</v>
      </c>
      <c r="V313" s="76">
        <f t="shared" si="178"/>
        <v>0.17</v>
      </c>
      <c r="W313" s="73">
        <f t="shared" si="179"/>
        <v>0</v>
      </c>
      <c r="X313" s="73">
        <f>IF(B313&lt;&gt;"",IF(MONTH(E313)=MONTH($F$13),SUMIF($C$22:C695,"="&amp;(C313-1),$G$22:G695),0)*S313,"")</f>
        <v>0</v>
      </c>
      <c r="Y313" s="73">
        <f>IF(B313&lt;&gt;"",SUM($X$22:X313),"")</f>
        <v>25591.392000000014</v>
      </c>
      <c r="Z313" s="73">
        <f t="shared" si="191"/>
        <v>130.70520052954981</v>
      </c>
      <c r="AA313" s="73">
        <f t="shared" si="180"/>
        <v>24.833988100614466</v>
      </c>
      <c r="AB313" s="73">
        <f t="shared" si="181"/>
        <v>13726.039371293891</v>
      </c>
      <c r="AC313" s="73">
        <f t="shared" si="182"/>
        <v>39317.431371293875</v>
      </c>
      <c r="AD313" s="73">
        <f>IFERROR($U313*(1-$V313)+SUM($W$22:$W313)+$AB313,"")</f>
        <v>262308.94910085551</v>
      </c>
      <c r="AE313" s="73" t="b">
        <f t="shared" si="183"/>
        <v>0</v>
      </c>
      <c r="AF313" s="73">
        <f>IF(AND(AE313=TRUE,D313&gt;=65),$U313*(1-10%)+SUM($W$22:$W313)+$AB313,AD313)</f>
        <v>262308.94910085551</v>
      </c>
      <c r="AG313" s="73">
        <f t="shared" si="166"/>
        <v>888.30488624089094</v>
      </c>
      <c r="AH313" s="73">
        <f t="shared" si="167"/>
        <v>110569.77075850821</v>
      </c>
      <c r="AI313" s="73">
        <f t="shared" si="168"/>
        <v>267379.77075850812</v>
      </c>
      <c r="AJ313" s="73">
        <f t="shared" si="169"/>
        <v>246371.51431439156</v>
      </c>
      <c r="AK313" s="73" t="b">
        <f t="shared" si="184"/>
        <v>1</v>
      </c>
      <c r="AL313" s="73">
        <f t="shared" si="170"/>
        <v>267379.77075850812</v>
      </c>
      <c r="AM313" s="73">
        <f t="shared" si="192"/>
        <v>798.2692479893044</v>
      </c>
      <c r="AN313" s="73">
        <f t="shared" si="185"/>
        <v>151.67115711796785</v>
      </c>
      <c r="AO313" s="73">
        <f t="shared" si="186"/>
        <v>83317.372487662738</v>
      </c>
      <c r="AP313" s="73">
        <f t="shared" si="187"/>
        <v>240127.37248766268</v>
      </c>
    </row>
    <row r="314" spans="1:42" s="31" customFormat="1" x14ac:dyDescent="0.6">
      <c r="A314" s="70">
        <f t="shared" si="171"/>
        <v>293</v>
      </c>
      <c r="B314" s="70" t="str">
        <f>IF(E314&lt;=$F$9,VLOOKUP(KALKULATOR!A314,Robocze!$B$23:$C$102,2),"")</f>
        <v>25 rok</v>
      </c>
      <c r="C314" s="70">
        <f t="shared" si="174"/>
        <v>2045</v>
      </c>
      <c r="D314" s="71">
        <f t="shared" si="188"/>
        <v>64.416666666667325</v>
      </c>
      <c r="E314" s="77">
        <f t="shared" si="189"/>
        <v>53053</v>
      </c>
      <c r="F314" s="72">
        <f t="shared" si="175"/>
        <v>53082</v>
      </c>
      <c r="G314" s="73">
        <f>IFERROR(IF(AND(F314&lt;=$F$9,$F$5=Robocze!$B$4,$E314&lt;=$F$9,MONTH($F$8)=MONTH(E314)),$F$4,0)+IF(AND(F314&lt;=$F$9,$F$5=Robocze!$B$3,E314&lt;=$F$9),KALKULATOR!$F$4/12,0),"")</f>
        <v>0</v>
      </c>
      <c r="H314" s="73">
        <f t="shared" si="176"/>
        <v>156809.99999999994</v>
      </c>
      <c r="I314" s="74">
        <f t="shared" si="172"/>
        <v>0.04</v>
      </c>
      <c r="J314" s="73">
        <f t="shared" si="158"/>
        <v>0</v>
      </c>
      <c r="K314" s="75" t="str">
        <f t="shared" si="159"/>
        <v/>
      </c>
      <c r="L314" s="73">
        <f t="shared" si="160"/>
        <v>156809.99999999994</v>
      </c>
      <c r="M314" s="73">
        <f t="shared" si="161"/>
        <v>263157.73589625652</v>
      </c>
      <c r="N314" s="73">
        <f t="shared" si="162"/>
        <v>263157.73589625652</v>
      </c>
      <c r="O314" s="73">
        <f t="shared" si="163"/>
        <v>268271.03666103655</v>
      </c>
      <c r="P314" s="73">
        <f t="shared" si="164"/>
        <v>247093.43969543959</v>
      </c>
      <c r="Q314" s="73">
        <f t="shared" si="165"/>
        <v>240775.71639337938</v>
      </c>
      <c r="R314" s="73"/>
      <c r="S314" s="76">
        <f t="shared" si="173"/>
        <v>0.17</v>
      </c>
      <c r="T314" s="73">
        <f t="shared" si="190"/>
        <v>891.2659025283599</v>
      </c>
      <c r="U314" s="73">
        <f t="shared" si="177"/>
        <v>268271.03666103631</v>
      </c>
      <c r="V314" s="76">
        <f t="shared" si="178"/>
        <v>0.17</v>
      </c>
      <c r="W314" s="73">
        <f t="shared" si="179"/>
        <v>0</v>
      </c>
      <c r="X314" s="73">
        <f>IF(B314&lt;&gt;"",IF(MONTH(E314)=MONTH($F$13),SUMIF($C$22:C696,"="&amp;(C314-1),$G$22:G696),0)*S314,"")</f>
        <v>1066.308</v>
      </c>
      <c r="Y314" s="73">
        <f>IF(B314&lt;&gt;"",SUM($X$22:X314),"")</f>
        <v>26657.700000000015</v>
      </c>
      <c r="Z314" s="73">
        <f t="shared" si="191"/>
        <v>134.61246457097957</v>
      </c>
      <c r="AA314" s="73">
        <f t="shared" si="180"/>
        <v>25.576368268486117</v>
      </c>
      <c r="AB314" s="73">
        <f t="shared" si="181"/>
        <v>13835.075467596384</v>
      </c>
      <c r="AC314" s="73">
        <f t="shared" si="182"/>
        <v>40492.775467596366</v>
      </c>
      <c r="AD314" s="73">
        <f>IFERROR($U314*(1-$V314)+SUM($W$22:$W314)+$AB314,"")</f>
        <v>263157.73589625652</v>
      </c>
      <c r="AE314" s="73" t="b">
        <f t="shared" si="183"/>
        <v>0</v>
      </c>
      <c r="AF314" s="73">
        <f>IF(AND(AE314=TRUE,D314&gt;=65),$U314*(1-10%)+SUM($W$22:$W314)+$AB314,AD314)</f>
        <v>263157.73589625652</v>
      </c>
      <c r="AG314" s="73">
        <f t="shared" si="166"/>
        <v>891.26590252836047</v>
      </c>
      <c r="AH314" s="73">
        <f t="shared" si="167"/>
        <v>111461.03666103657</v>
      </c>
      <c r="AI314" s="73">
        <f t="shared" si="168"/>
        <v>268271.03666103655</v>
      </c>
      <c r="AJ314" s="73">
        <f t="shared" si="169"/>
        <v>247093.43969543959</v>
      </c>
      <c r="AK314" s="73" t="b">
        <f t="shared" si="184"/>
        <v>1</v>
      </c>
      <c r="AL314" s="73">
        <f t="shared" si="170"/>
        <v>268271.03666103655</v>
      </c>
      <c r="AM314" s="73">
        <f t="shared" si="192"/>
        <v>800.42457495887572</v>
      </c>
      <c r="AN314" s="73">
        <f t="shared" si="185"/>
        <v>152.08066924218639</v>
      </c>
      <c r="AO314" s="73">
        <f t="shared" si="186"/>
        <v>83965.716393379436</v>
      </c>
      <c r="AP314" s="73">
        <f t="shared" si="187"/>
        <v>240775.71639337938</v>
      </c>
    </row>
    <row r="315" spans="1:42" s="31" customFormat="1" x14ac:dyDescent="0.6">
      <c r="A315" s="70">
        <f t="shared" si="171"/>
        <v>294</v>
      </c>
      <c r="B315" s="70" t="str">
        <f>IF(E315&lt;=$F$9,VLOOKUP(KALKULATOR!A315,Robocze!$B$23:$C$102,2),"")</f>
        <v>25 rok</v>
      </c>
      <c r="C315" s="70">
        <f t="shared" si="174"/>
        <v>2045</v>
      </c>
      <c r="D315" s="71">
        <f t="shared" si="188"/>
        <v>64.500000000000654</v>
      </c>
      <c r="E315" s="77">
        <f t="shared" si="189"/>
        <v>53083</v>
      </c>
      <c r="F315" s="72">
        <f t="shared" si="175"/>
        <v>53113</v>
      </c>
      <c r="G315" s="73">
        <f>IFERROR(IF(AND(F315&lt;=$F$9,$F$5=Robocze!$B$4,$E315&lt;=$F$9,MONTH($F$8)=MONTH(E315)),$F$4,0)+IF(AND(F315&lt;=$F$9,$F$5=Robocze!$B$3,E315&lt;=$F$9),KALKULATOR!$F$4/12,0),"")</f>
        <v>0</v>
      </c>
      <c r="H315" s="73">
        <f t="shared" si="176"/>
        <v>156809.99999999994</v>
      </c>
      <c r="I315" s="74">
        <f t="shared" si="172"/>
        <v>0.04</v>
      </c>
      <c r="J315" s="73">
        <f t="shared" ref="J315:J378" si="193">IFERROR(IF(MONTH($F$8)=MONTH(E315),$F$15,0),"")</f>
        <v>0</v>
      </c>
      <c r="K315" s="75" t="str">
        <f t="shared" ref="K315:K378" si="194">IFERROR(IF(AND(MOD(A315,12)=0,A315&lt;&gt;""),A315/12,""),"")</f>
        <v/>
      </c>
      <c r="L315" s="73">
        <f t="shared" ref="L315:L378" si="195">H315</f>
        <v>156809.99999999994</v>
      </c>
      <c r="M315" s="73">
        <f t="shared" ref="M315:M378" si="196">IFERROR(AF315,"")</f>
        <v>264009.28292478126</v>
      </c>
      <c r="N315" s="73">
        <f t="shared" ref="N315:N378" si="197">IFERROR(AD315,"")</f>
        <v>264009.28292478126</v>
      </c>
      <c r="O315" s="73">
        <f t="shared" ref="O315:O378" si="198">IFERROR(AL315,"")</f>
        <v>269165.27344990661</v>
      </c>
      <c r="P315" s="73">
        <f t="shared" ref="P315:P378" si="199">AJ315</f>
        <v>247817.77149442435</v>
      </c>
      <c r="Q315" s="73">
        <f t="shared" ref="Q315:Q378" si="200">AP315</f>
        <v>241425.81082764152</v>
      </c>
      <c r="R315" s="73"/>
      <c r="S315" s="76">
        <f t="shared" si="173"/>
        <v>0.17</v>
      </c>
      <c r="T315" s="73">
        <f t="shared" si="190"/>
        <v>894.23678887012113</v>
      </c>
      <c r="U315" s="73">
        <f t="shared" si="177"/>
        <v>269165.27344990644</v>
      </c>
      <c r="V315" s="76">
        <f t="shared" si="178"/>
        <v>0.17</v>
      </c>
      <c r="W315" s="73">
        <f t="shared" si="179"/>
        <v>0</v>
      </c>
      <c r="X315" s="73">
        <f>IF(B315&lt;&gt;"",IF(MONTH(E315)=MONTH($F$13),SUMIF($C$22:C697,"="&amp;(C315-1),$G$22:G697),0)*S315,"")</f>
        <v>0</v>
      </c>
      <c r="Y315" s="73">
        <f>IF(B315&lt;&gt;"",SUM($X$22:X315),"")</f>
        <v>26657.700000000015</v>
      </c>
      <c r="Z315" s="73">
        <f t="shared" si="191"/>
        <v>134.97591822532124</v>
      </c>
      <c r="AA315" s="73">
        <f t="shared" si="180"/>
        <v>25.645424462811036</v>
      </c>
      <c r="AB315" s="73">
        <f t="shared" si="181"/>
        <v>13944.405961358894</v>
      </c>
      <c r="AC315" s="73">
        <f t="shared" si="182"/>
        <v>40602.105961358873</v>
      </c>
      <c r="AD315" s="73">
        <f>IFERROR($U315*(1-$V315)+SUM($W$22:$W315)+$AB315,"")</f>
        <v>264009.28292478126</v>
      </c>
      <c r="AE315" s="73" t="b">
        <f t="shared" si="183"/>
        <v>0</v>
      </c>
      <c r="AF315" s="73">
        <f>IF(AND(AE315=TRUE,D315&gt;=65),$U315*(1-10%)+SUM($W$22:$W315)+$AB315,AD315)</f>
        <v>264009.28292478126</v>
      </c>
      <c r="AG315" s="73">
        <f t="shared" ref="AG315:AG378" si="201">IF(B315&lt;&gt;"",(AI314+G315)*I315/12-J315,"")</f>
        <v>894.23678887012181</v>
      </c>
      <c r="AH315" s="73">
        <f t="shared" ref="AH315:AH378" si="202">IF(B315&lt;&gt;"",AH314+AG315,"")</f>
        <v>112355.2734499067</v>
      </c>
      <c r="AI315" s="73">
        <f t="shared" ref="AI315:AI378" si="203">IF(B315&lt;&gt;"",H315+AH315,"")</f>
        <v>269165.27344990661</v>
      </c>
      <c r="AJ315" s="73">
        <f t="shared" ref="AJ315:AJ378" si="204">IF(B315&lt;&gt;"",IF(AI315&gt;H315,AI315-AH315*$F$14,AI315),"")</f>
        <v>247817.77149442435</v>
      </c>
      <c r="AK315" s="73" t="b">
        <f t="shared" si="184"/>
        <v>1</v>
      </c>
      <c r="AL315" s="73">
        <f t="shared" ref="AL315:AL378" si="205">IF(AK315=TRUE,AI315,AJ315)</f>
        <v>269165.27344990661</v>
      </c>
      <c r="AM315" s="73">
        <f t="shared" si="192"/>
        <v>802.58572131126459</v>
      </c>
      <c r="AN315" s="73">
        <f t="shared" si="185"/>
        <v>152.49128704914028</v>
      </c>
      <c r="AO315" s="73">
        <f t="shared" si="186"/>
        <v>84615.810827641573</v>
      </c>
      <c r="AP315" s="73">
        <f t="shared" si="187"/>
        <v>241425.81082764152</v>
      </c>
    </row>
    <row r="316" spans="1:42" s="31" customFormat="1" x14ac:dyDescent="0.6">
      <c r="A316" s="70">
        <f t="shared" si="171"/>
        <v>295</v>
      </c>
      <c r="B316" s="70" t="str">
        <f>IF(E316&lt;=$F$9,VLOOKUP(KALKULATOR!A316,Robocze!$B$23:$C$102,2),"")</f>
        <v>25 rok</v>
      </c>
      <c r="C316" s="70">
        <f t="shared" si="174"/>
        <v>2045</v>
      </c>
      <c r="D316" s="71">
        <f t="shared" si="188"/>
        <v>64.583333333333982</v>
      </c>
      <c r="E316" s="77">
        <f t="shared" si="189"/>
        <v>53114</v>
      </c>
      <c r="F316" s="72">
        <f t="shared" si="175"/>
        <v>53143</v>
      </c>
      <c r="G316" s="73">
        <f>IFERROR(IF(AND(F316&lt;=$F$9,$F$5=Robocze!$B$4,$E316&lt;=$F$9,MONTH($F$8)=MONTH(E316)),$F$4,0)+IF(AND(F316&lt;=$F$9,$F$5=Robocze!$B$3,E316&lt;=$F$9),KALKULATOR!$F$4/12,0),"")</f>
        <v>0</v>
      </c>
      <c r="H316" s="73">
        <f t="shared" si="176"/>
        <v>156809.99999999994</v>
      </c>
      <c r="I316" s="74">
        <f t="shared" si="172"/>
        <v>0.04</v>
      </c>
      <c r="J316" s="73">
        <f t="shared" si="193"/>
        <v>0</v>
      </c>
      <c r="K316" s="75" t="str">
        <f t="shared" si="194"/>
        <v/>
      </c>
      <c r="L316" s="73">
        <f t="shared" si="195"/>
        <v>156809.99999999994</v>
      </c>
      <c r="M316" s="73">
        <f t="shared" si="196"/>
        <v>264863.59920075495</v>
      </c>
      <c r="N316" s="73">
        <f t="shared" si="197"/>
        <v>264863.59920075495</v>
      </c>
      <c r="O316" s="73">
        <f t="shared" si="198"/>
        <v>270062.49102807301</v>
      </c>
      <c r="P316" s="73">
        <f t="shared" si="199"/>
        <v>248544.51773273913</v>
      </c>
      <c r="Q316" s="73">
        <f t="shared" si="200"/>
        <v>242077.66051687615</v>
      </c>
      <c r="R316" s="73"/>
      <c r="S316" s="76">
        <f t="shared" si="173"/>
        <v>0.17</v>
      </c>
      <c r="T316" s="73">
        <f t="shared" si="190"/>
        <v>897.21757816635488</v>
      </c>
      <c r="U316" s="73">
        <f t="shared" si="177"/>
        <v>270062.49102807278</v>
      </c>
      <c r="V316" s="76">
        <f t="shared" si="178"/>
        <v>0.17</v>
      </c>
      <c r="W316" s="73">
        <f t="shared" si="179"/>
        <v>0</v>
      </c>
      <c r="X316" s="73">
        <f>IF(B316&lt;&gt;"",IF(MONTH(E316)=MONTH($F$13),SUMIF($C$22:C698,"="&amp;(C316-1),$G$22:G698),0)*S316,"")</f>
        <v>0</v>
      </c>
      <c r="Y316" s="73">
        <f>IF(B316&lt;&gt;"",SUM($X$22:X316),"")</f>
        <v>26657.700000000015</v>
      </c>
      <c r="Z316" s="73">
        <f t="shared" si="191"/>
        <v>135.34035320452958</v>
      </c>
      <c r="AA316" s="73">
        <f t="shared" si="180"/>
        <v>25.71466710886062</v>
      </c>
      <c r="AB316" s="73">
        <f t="shared" si="181"/>
        <v>14054.031647454563</v>
      </c>
      <c r="AC316" s="73">
        <f t="shared" si="182"/>
        <v>40711.731647454537</v>
      </c>
      <c r="AD316" s="73">
        <f>IFERROR($U316*(1-$V316)+SUM($W$22:$W316)+$AB316,"")</f>
        <v>264863.59920075495</v>
      </c>
      <c r="AE316" s="73" t="b">
        <f t="shared" si="183"/>
        <v>0</v>
      </c>
      <c r="AF316" s="73">
        <f>IF(AND(AE316=TRUE,D316&gt;=65),$U316*(1-10%)+SUM($W$22:$W316)+$AB316,AD316)</f>
        <v>264863.59920075495</v>
      </c>
      <c r="AG316" s="73">
        <f t="shared" si="201"/>
        <v>897.21757816635545</v>
      </c>
      <c r="AH316" s="73">
        <f t="shared" si="202"/>
        <v>113252.49102807305</v>
      </c>
      <c r="AI316" s="73">
        <f t="shared" si="203"/>
        <v>270062.49102807301</v>
      </c>
      <c r="AJ316" s="73">
        <f t="shared" si="204"/>
        <v>248544.51773273913</v>
      </c>
      <c r="AK316" s="73" t="b">
        <f t="shared" si="184"/>
        <v>1</v>
      </c>
      <c r="AL316" s="73">
        <f t="shared" si="205"/>
        <v>270062.49102807301</v>
      </c>
      <c r="AM316" s="73">
        <f t="shared" si="192"/>
        <v>804.75270275880496</v>
      </c>
      <c r="AN316" s="73">
        <f t="shared" si="185"/>
        <v>152.90301352417293</v>
      </c>
      <c r="AO316" s="73">
        <f t="shared" si="186"/>
        <v>85267.660516876203</v>
      </c>
      <c r="AP316" s="73">
        <f t="shared" si="187"/>
        <v>242077.66051687615</v>
      </c>
    </row>
    <row r="317" spans="1:42" s="31" customFormat="1" x14ac:dyDescent="0.6">
      <c r="A317" s="70">
        <f t="shared" si="171"/>
        <v>296</v>
      </c>
      <c r="B317" s="70" t="str">
        <f>IF(E317&lt;=$F$9,VLOOKUP(KALKULATOR!A317,Robocze!$B$23:$C$102,2),"")</f>
        <v>25 rok</v>
      </c>
      <c r="C317" s="70">
        <f t="shared" si="174"/>
        <v>2045</v>
      </c>
      <c r="D317" s="71">
        <f t="shared" si="188"/>
        <v>64.666666666667311</v>
      </c>
      <c r="E317" s="77">
        <f t="shared" si="189"/>
        <v>53144</v>
      </c>
      <c r="F317" s="72">
        <f t="shared" si="175"/>
        <v>53174</v>
      </c>
      <c r="G317" s="73">
        <f>IFERROR(IF(AND(F317&lt;=$F$9,$F$5=Robocze!$B$4,$E317&lt;=$F$9,MONTH($F$8)=MONTH(E317)),$F$4,0)+IF(AND(F317&lt;=$F$9,$F$5=Robocze!$B$3,E317&lt;=$F$9),KALKULATOR!$F$4/12,0),"")</f>
        <v>0</v>
      </c>
      <c r="H317" s="73">
        <f t="shared" si="176"/>
        <v>156809.99999999994</v>
      </c>
      <c r="I317" s="74">
        <f t="shared" si="172"/>
        <v>0.04</v>
      </c>
      <c r="J317" s="73">
        <f t="shared" si="193"/>
        <v>0</v>
      </c>
      <c r="K317" s="75" t="str">
        <f t="shared" si="194"/>
        <v/>
      </c>
      <c r="L317" s="73">
        <f t="shared" si="195"/>
        <v>156809.99999999994</v>
      </c>
      <c r="M317" s="73">
        <f t="shared" si="196"/>
        <v>265720.69376804744</v>
      </c>
      <c r="N317" s="73">
        <f t="shared" si="197"/>
        <v>265720.69376804744</v>
      </c>
      <c r="O317" s="73">
        <f t="shared" si="198"/>
        <v>270962.69933149993</v>
      </c>
      <c r="P317" s="73">
        <f t="shared" si="199"/>
        <v>249273.68645851495</v>
      </c>
      <c r="Q317" s="73">
        <f t="shared" si="200"/>
        <v>242731.27020027171</v>
      </c>
      <c r="R317" s="73"/>
      <c r="S317" s="76">
        <f t="shared" si="173"/>
        <v>0.17</v>
      </c>
      <c r="T317" s="73">
        <f t="shared" si="190"/>
        <v>900.20830342690931</v>
      </c>
      <c r="U317" s="73">
        <f t="shared" si="177"/>
        <v>270962.69933149969</v>
      </c>
      <c r="V317" s="76">
        <f t="shared" si="178"/>
        <v>0.17</v>
      </c>
      <c r="W317" s="73">
        <f t="shared" si="179"/>
        <v>0</v>
      </c>
      <c r="X317" s="73">
        <f>IF(B317&lt;&gt;"",IF(MONTH(E317)=MONTH($F$13),SUMIF($C$22:C699,"="&amp;(C317-1),$G$22:G699),0)*S317,"")</f>
        <v>0</v>
      </c>
      <c r="Y317" s="73">
        <f>IF(B317&lt;&gt;"",SUM($X$22:X317),"")</f>
        <v>26657.700000000015</v>
      </c>
      <c r="Z317" s="73">
        <f t="shared" si="191"/>
        <v>135.70577215818179</v>
      </c>
      <c r="AA317" s="73">
        <f t="shared" si="180"/>
        <v>25.784096710054541</v>
      </c>
      <c r="AB317" s="73">
        <f t="shared" si="181"/>
        <v>14163.953322902691</v>
      </c>
      <c r="AC317" s="73">
        <f t="shared" si="182"/>
        <v>40821.653322902661</v>
      </c>
      <c r="AD317" s="73">
        <f>IFERROR($U317*(1-$V317)+SUM($W$22:$W317)+$AB317,"")</f>
        <v>265720.69376804744</v>
      </c>
      <c r="AE317" s="73" t="b">
        <f t="shared" si="183"/>
        <v>0</v>
      </c>
      <c r="AF317" s="73">
        <f>IF(AND(AE317=TRUE,D317&gt;=65),$U317*(1-10%)+SUM($W$22:$W317)+$AB317,AD317)</f>
        <v>265720.69376804744</v>
      </c>
      <c r="AG317" s="73">
        <f t="shared" si="201"/>
        <v>900.20830342690999</v>
      </c>
      <c r="AH317" s="73">
        <f t="shared" si="202"/>
        <v>114152.69933149997</v>
      </c>
      <c r="AI317" s="73">
        <f t="shared" si="203"/>
        <v>270962.69933149993</v>
      </c>
      <c r="AJ317" s="73">
        <f t="shared" si="204"/>
        <v>249273.68645851495</v>
      </c>
      <c r="AK317" s="73" t="b">
        <f t="shared" si="184"/>
        <v>1</v>
      </c>
      <c r="AL317" s="73">
        <f t="shared" si="205"/>
        <v>270962.69933149993</v>
      </c>
      <c r="AM317" s="73">
        <f t="shared" si="192"/>
        <v>806.92553505625381</v>
      </c>
      <c r="AN317" s="73">
        <f t="shared" si="185"/>
        <v>153.31585166068822</v>
      </c>
      <c r="AO317" s="73">
        <f t="shared" si="186"/>
        <v>85921.270200271771</v>
      </c>
      <c r="AP317" s="73">
        <f t="shared" si="187"/>
        <v>242731.27020027171</v>
      </c>
    </row>
    <row r="318" spans="1:42" s="31" customFormat="1" x14ac:dyDescent="0.6">
      <c r="A318" s="70">
        <f t="shared" si="171"/>
        <v>297</v>
      </c>
      <c r="B318" s="70" t="str">
        <f>IF(E318&lt;=$F$9,VLOOKUP(KALKULATOR!A318,Robocze!$B$23:$C$102,2),"")</f>
        <v>25 rok</v>
      </c>
      <c r="C318" s="70">
        <f t="shared" si="174"/>
        <v>2045</v>
      </c>
      <c r="D318" s="71">
        <f t="shared" si="188"/>
        <v>64.750000000000639</v>
      </c>
      <c r="E318" s="77">
        <f t="shared" si="189"/>
        <v>53175</v>
      </c>
      <c r="F318" s="72">
        <f t="shared" si="175"/>
        <v>53205</v>
      </c>
      <c r="G318" s="73">
        <f>IFERROR(IF(AND(F318&lt;=$F$9,$F$5=Robocze!$B$4,$E318&lt;=$F$9,MONTH($F$8)=MONTH(E318)),$F$4,0)+IF(AND(F318&lt;=$F$9,$F$5=Robocze!$B$3,E318&lt;=$F$9),KALKULATOR!$F$4/12,0),"")</f>
        <v>0</v>
      </c>
      <c r="H318" s="73">
        <f t="shared" si="176"/>
        <v>156809.99999999994</v>
      </c>
      <c r="I318" s="74">
        <f t="shared" si="172"/>
        <v>0.04</v>
      </c>
      <c r="J318" s="73">
        <f t="shared" si="193"/>
        <v>0</v>
      </c>
      <c r="K318" s="75" t="str">
        <f t="shared" si="194"/>
        <v/>
      </c>
      <c r="L318" s="73">
        <f t="shared" si="195"/>
        <v>156809.99999999994</v>
      </c>
      <c r="M318" s="73">
        <f t="shared" si="196"/>
        <v>266580.57570016978</v>
      </c>
      <c r="N318" s="73">
        <f t="shared" si="197"/>
        <v>266580.57570016978</v>
      </c>
      <c r="O318" s="73">
        <f t="shared" si="198"/>
        <v>271865.90832927159</v>
      </c>
      <c r="P318" s="73">
        <f t="shared" si="199"/>
        <v>250005.28574670997</v>
      </c>
      <c r="Q318" s="73">
        <f t="shared" si="200"/>
        <v>243386.64462981245</v>
      </c>
      <c r="R318" s="73"/>
      <c r="S318" s="76">
        <f t="shared" si="173"/>
        <v>0.17</v>
      </c>
      <c r="T318" s="73">
        <f t="shared" si="190"/>
        <v>903.20899777166574</v>
      </c>
      <c r="U318" s="73">
        <f t="shared" si="177"/>
        <v>271865.90832927136</v>
      </c>
      <c r="V318" s="76">
        <f t="shared" si="178"/>
        <v>0.17</v>
      </c>
      <c r="W318" s="73">
        <f t="shared" si="179"/>
        <v>0</v>
      </c>
      <c r="X318" s="73">
        <f>IF(B318&lt;&gt;"",IF(MONTH(E318)=MONTH($F$13),SUMIF($C$22:C700,"="&amp;(C318-1),$G$22:G700),0)*S318,"")</f>
        <v>0</v>
      </c>
      <c r="Y318" s="73">
        <f>IF(B318&lt;&gt;"",SUM($X$22:X318),"")</f>
        <v>26657.700000000015</v>
      </c>
      <c r="Z318" s="73">
        <f t="shared" si="191"/>
        <v>136.07217774300887</v>
      </c>
      <c r="AA318" s="73">
        <f t="shared" si="180"/>
        <v>25.853713771171684</v>
      </c>
      <c r="AB318" s="73">
        <f t="shared" si="181"/>
        <v>14274.171786874527</v>
      </c>
      <c r="AC318" s="73">
        <f t="shared" si="182"/>
        <v>40931.871786874501</v>
      </c>
      <c r="AD318" s="73">
        <f>IFERROR($U318*(1-$V318)+SUM($W$22:$W318)+$AB318,"")</f>
        <v>266580.57570016978</v>
      </c>
      <c r="AE318" s="73" t="b">
        <f t="shared" si="183"/>
        <v>0</v>
      </c>
      <c r="AF318" s="73">
        <f>IF(AND(AE318=TRUE,D318&gt;=65),$U318*(1-10%)+SUM($W$22:$W318)+$AB318,AD318)</f>
        <v>266580.57570016978</v>
      </c>
      <c r="AG318" s="73">
        <f t="shared" si="201"/>
        <v>903.20899777166642</v>
      </c>
      <c r="AH318" s="73">
        <f t="shared" si="202"/>
        <v>115055.90832927164</v>
      </c>
      <c r="AI318" s="73">
        <f t="shared" si="203"/>
        <v>271865.90832927159</v>
      </c>
      <c r="AJ318" s="73">
        <f t="shared" si="204"/>
        <v>250005.28574670997</v>
      </c>
      <c r="AK318" s="73" t="b">
        <f t="shared" si="184"/>
        <v>1</v>
      </c>
      <c r="AL318" s="73">
        <f t="shared" si="205"/>
        <v>271865.90832927159</v>
      </c>
      <c r="AM318" s="73">
        <f t="shared" si="192"/>
        <v>809.10423400090576</v>
      </c>
      <c r="AN318" s="73">
        <f t="shared" si="185"/>
        <v>153.72980446017209</v>
      </c>
      <c r="AO318" s="73">
        <f t="shared" si="186"/>
        <v>86576.644629812508</v>
      </c>
      <c r="AP318" s="73">
        <f t="shared" si="187"/>
        <v>243386.64462981245</v>
      </c>
    </row>
    <row r="319" spans="1:42" s="31" customFormat="1" x14ac:dyDescent="0.6">
      <c r="A319" s="70">
        <f t="shared" si="171"/>
        <v>298</v>
      </c>
      <c r="B319" s="70" t="str">
        <f>IF(E319&lt;=$F$9,VLOOKUP(KALKULATOR!A319,Robocze!$B$23:$C$102,2),"")</f>
        <v>25 rok</v>
      </c>
      <c r="C319" s="70">
        <f t="shared" si="174"/>
        <v>2045</v>
      </c>
      <c r="D319" s="71">
        <f t="shared" si="188"/>
        <v>64.833333333333968</v>
      </c>
      <c r="E319" s="77">
        <f t="shared" si="189"/>
        <v>53206</v>
      </c>
      <c r="F319" s="72">
        <f t="shared" si="175"/>
        <v>53235</v>
      </c>
      <c r="G319" s="73">
        <f>IFERROR(IF(AND(F319&lt;=$F$9,$F$5=Robocze!$B$4,$E319&lt;=$F$9,MONTH($F$8)=MONTH(E319)),$F$4,0)+IF(AND(F319&lt;=$F$9,$F$5=Robocze!$B$3,E319&lt;=$F$9),KALKULATOR!$F$4/12,0),"")</f>
        <v>0</v>
      </c>
      <c r="H319" s="73">
        <f t="shared" si="176"/>
        <v>156809.99999999994</v>
      </c>
      <c r="I319" s="74">
        <f t="shared" si="172"/>
        <v>0.04</v>
      </c>
      <c r="J319" s="73">
        <f t="shared" si="193"/>
        <v>0</v>
      </c>
      <c r="K319" s="75" t="str">
        <f t="shared" si="194"/>
        <v/>
      </c>
      <c r="L319" s="73">
        <f t="shared" si="195"/>
        <v>156809.99999999994</v>
      </c>
      <c r="M319" s="73">
        <f t="shared" si="196"/>
        <v>267443.25410037197</v>
      </c>
      <c r="N319" s="73">
        <f t="shared" si="197"/>
        <v>267443.25410037197</v>
      </c>
      <c r="O319" s="73">
        <f t="shared" si="198"/>
        <v>272772.12802370248</v>
      </c>
      <c r="P319" s="73">
        <f t="shared" si="199"/>
        <v>250739.32369919898</v>
      </c>
      <c r="Q319" s="73">
        <f t="shared" si="200"/>
        <v>244043.78857031293</v>
      </c>
      <c r="R319" s="73"/>
      <c r="S319" s="76">
        <f t="shared" si="173"/>
        <v>0.17</v>
      </c>
      <c r="T319" s="73">
        <f t="shared" si="190"/>
        <v>906.21969443090461</v>
      </c>
      <c r="U319" s="73">
        <f t="shared" si="177"/>
        <v>272772.12802370224</v>
      </c>
      <c r="V319" s="76">
        <f t="shared" si="178"/>
        <v>0.17</v>
      </c>
      <c r="W319" s="73">
        <f t="shared" si="179"/>
        <v>0</v>
      </c>
      <c r="X319" s="73">
        <f>IF(B319&lt;&gt;"",IF(MONTH(E319)=MONTH($F$13),SUMIF($C$22:C701,"="&amp;(C319-1),$G$22:G701),0)*S319,"")</f>
        <v>0</v>
      </c>
      <c r="Y319" s="73">
        <f>IF(B319&lt;&gt;"",SUM($X$22:X319),"")</f>
        <v>26657.700000000015</v>
      </c>
      <c r="Z319" s="73">
        <f t="shared" si="191"/>
        <v>136.43957262291499</v>
      </c>
      <c r="AA319" s="73">
        <f t="shared" si="180"/>
        <v>25.92351879835385</v>
      </c>
      <c r="AB319" s="73">
        <f t="shared" si="181"/>
        <v>14384.687840699089</v>
      </c>
      <c r="AC319" s="73">
        <f t="shared" si="182"/>
        <v>41042.387840699063</v>
      </c>
      <c r="AD319" s="73">
        <f>IFERROR($U319*(1-$V319)+SUM($W$22:$W319)+$AB319,"")</f>
        <v>267443.25410037197</v>
      </c>
      <c r="AE319" s="73" t="b">
        <f t="shared" si="183"/>
        <v>0</v>
      </c>
      <c r="AF319" s="73">
        <f>IF(AND(AE319=TRUE,D319&gt;=65),$U319*(1-10%)+SUM($W$22:$W319)+$AB319,AD319)</f>
        <v>267443.25410037197</v>
      </c>
      <c r="AG319" s="73">
        <f t="shared" si="201"/>
        <v>906.21969443090529</v>
      </c>
      <c r="AH319" s="73">
        <f t="shared" si="202"/>
        <v>115962.12802370255</v>
      </c>
      <c r="AI319" s="73">
        <f t="shared" si="203"/>
        <v>272772.12802370248</v>
      </c>
      <c r="AJ319" s="73">
        <f t="shared" si="204"/>
        <v>250739.32369919898</v>
      </c>
      <c r="AK319" s="73" t="b">
        <f t="shared" si="184"/>
        <v>1</v>
      </c>
      <c r="AL319" s="73">
        <f t="shared" si="205"/>
        <v>272772.12802370248</v>
      </c>
      <c r="AM319" s="73">
        <f t="shared" si="192"/>
        <v>811.28881543270825</v>
      </c>
      <c r="AN319" s="73">
        <f t="shared" si="185"/>
        <v>154.14487493221458</v>
      </c>
      <c r="AO319" s="73">
        <f t="shared" si="186"/>
        <v>87233.788570312987</v>
      </c>
      <c r="AP319" s="73">
        <f t="shared" si="187"/>
        <v>244043.78857031293</v>
      </c>
    </row>
    <row r="320" spans="1:42" s="31" customFormat="1" x14ac:dyDescent="0.6">
      <c r="A320" s="70">
        <f t="shared" si="171"/>
        <v>299</v>
      </c>
      <c r="B320" s="70" t="str">
        <f>IF(E320&lt;=$F$9,VLOOKUP(KALKULATOR!A320,Robocze!$B$23:$C$102,2),"")</f>
        <v>25 rok</v>
      </c>
      <c r="C320" s="70">
        <f t="shared" si="174"/>
        <v>2045</v>
      </c>
      <c r="D320" s="71">
        <f t="shared" si="188"/>
        <v>64.916666666667297</v>
      </c>
      <c r="E320" s="77">
        <f t="shared" si="189"/>
        <v>53236</v>
      </c>
      <c r="F320" s="72">
        <f t="shared" si="175"/>
        <v>53266</v>
      </c>
      <c r="G320" s="73">
        <f>IFERROR(IF(AND(F320&lt;=$F$9,$F$5=Robocze!$B$4,$E320&lt;=$F$9,MONTH($F$8)=MONTH(E320)),$F$4,0)+IF(AND(F320&lt;=$F$9,$F$5=Robocze!$B$3,E320&lt;=$F$9),KALKULATOR!$F$4/12,0),"")</f>
        <v>0</v>
      </c>
      <c r="H320" s="73">
        <f t="shared" si="176"/>
        <v>156809.99999999994</v>
      </c>
      <c r="I320" s="74">
        <f t="shared" si="172"/>
        <v>0.04</v>
      </c>
      <c r="J320" s="73">
        <f t="shared" si="193"/>
        <v>0</v>
      </c>
      <c r="K320" s="75" t="str">
        <f t="shared" si="194"/>
        <v/>
      </c>
      <c r="L320" s="73">
        <f t="shared" si="195"/>
        <v>156809.99999999994</v>
      </c>
      <c r="M320" s="73">
        <f t="shared" si="196"/>
        <v>268308.73810174078</v>
      </c>
      <c r="N320" s="73">
        <f t="shared" si="197"/>
        <v>268308.73810174078</v>
      </c>
      <c r="O320" s="73">
        <f t="shared" si="198"/>
        <v>273681.36845044815</v>
      </c>
      <c r="P320" s="73">
        <f t="shared" si="199"/>
        <v>251475.80844486298</v>
      </c>
      <c r="Q320" s="73">
        <f t="shared" si="200"/>
        <v>244702.70679945278</v>
      </c>
      <c r="R320" s="73"/>
      <c r="S320" s="76">
        <f t="shared" si="173"/>
        <v>0.17</v>
      </c>
      <c r="T320" s="73">
        <f t="shared" si="190"/>
        <v>909.2404267456742</v>
      </c>
      <c r="U320" s="73">
        <f t="shared" si="177"/>
        <v>273681.36845044792</v>
      </c>
      <c r="V320" s="76">
        <f t="shared" si="178"/>
        <v>0.17</v>
      </c>
      <c r="W320" s="73">
        <f t="shared" si="179"/>
        <v>0</v>
      </c>
      <c r="X320" s="73">
        <f>IF(B320&lt;&gt;"",IF(MONTH(E320)=MONTH($F$13),SUMIF($C$22:C702,"="&amp;(C320-1),$G$22:G702),0)*S320,"")</f>
        <v>0</v>
      </c>
      <c r="Y320" s="73">
        <f>IF(B320&lt;&gt;"",SUM($X$22:X320),"")</f>
        <v>26657.700000000015</v>
      </c>
      <c r="Z320" s="73">
        <f t="shared" si="191"/>
        <v>136.80795946899687</v>
      </c>
      <c r="AA320" s="73">
        <f t="shared" si="180"/>
        <v>25.993512299109405</v>
      </c>
      <c r="AB320" s="73">
        <f t="shared" si="181"/>
        <v>14495.502287868976</v>
      </c>
      <c r="AC320" s="73">
        <f t="shared" si="182"/>
        <v>41153.202287868953</v>
      </c>
      <c r="AD320" s="73">
        <f>IFERROR($U320*(1-$V320)+SUM($W$22:$W320)+$AB320,"")</f>
        <v>268308.73810174078</v>
      </c>
      <c r="AE320" s="73" t="b">
        <f t="shared" si="183"/>
        <v>0</v>
      </c>
      <c r="AF320" s="73">
        <f>IF(AND(AE320=TRUE,D320&gt;=65),$U320*(1-10%)+SUM($W$22:$W320)+$AB320,AD320)</f>
        <v>268308.73810174078</v>
      </c>
      <c r="AG320" s="73">
        <f t="shared" si="201"/>
        <v>909.24042674567499</v>
      </c>
      <c r="AH320" s="73">
        <f t="shared" si="202"/>
        <v>116871.36845044822</v>
      </c>
      <c r="AI320" s="73">
        <f t="shared" si="203"/>
        <v>273681.36845044815</v>
      </c>
      <c r="AJ320" s="73">
        <f t="shared" si="204"/>
        <v>251475.80844486298</v>
      </c>
      <c r="AK320" s="73" t="b">
        <f t="shared" si="184"/>
        <v>1</v>
      </c>
      <c r="AL320" s="73">
        <f t="shared" si="205"/>
        <v>273681.36845044815</v>
      </c>
      <c r="AM320" s="73">
        <f t="shared" si="192"/>
        <v>813.47929523437642</v>
      </c>
      <c r="AN320" s="73">
        <f t="shared" si="185"/>
        <v>154.56106609453153</v>
      </c>
      <c r="AO320" s="73">
        <f t="shared" si="186"/>
        <v>87892.706799452833</v>
      </c>
      <c r="AP320" s="73">
        <f t="shared" si="187"/>
        <v>244702.70679945278</v>
      </c>
    </row>
    <row r="321" spans="1:42" s="69" customFormat="1" x14ac:dyDescent="0.6">
      <c r="A321" s="78">
        <f t="shared" si="171"/>
        <v>300</v>
      </c>
      <c r="B321" s="78" t="str">
        <f>IF(E321&lt;=$F$9,VLOOKUP(KALKULATOR!A321,Robocze!$B$23:$C$102,2),"")</f>
        <v>25 rok</v>
      </c>
      <c r="C321" s="78">
        <f t="shared" si="174"/>
        <v>2045</v>
      </c>
      <c r="D321" s="79">
        <f t="shared" si="188"/>
        <v>65.000000000000625</v>
      </c>
      <c r="E321" s="80">
        <f t="shared" si="189"/>
        <v>53267</v>
      </c>
      <c r="F321" s="81">
        <f t="shared" si="175"/>
        <v>53296</v>
      </c>
      <c r="G321" s="82">
        <f>IFERROR(IF(AND(F321&lt;=$F$9,$F$5=Robocze!$B$4,$E321&lt;=$F$9,MONTH($F$8)=MONTH(E321)),$F$4,0)+IF(AND(F321&lt;=$F$9,$F$5=Robocze!$B$3,E321&lt;=$F$9),KALKULATOR!$F$4/12,0),"")</f>
        <v>0</v>
      </c>
      <c r="H321" s="82">
        <f t="shared" si="176"/>
        <v>156809.99999999994</v>
      </c>
      <c r="I321" s="83">
        <f t="shared" si="172"/>
        <v>0.04</v>
      </c>
      <c r="J321" s="82">
        <f t="shared" si="193"/>
        <v>0</v>
      </c>
      <c r="K321" s="84">
        <f t="shared" si="194"/>
        <v>25</v>
      </c>
      <c r="L321" s="82">
        <f t="shared" si="195"/>
        <v>156809.99999999994</v>
      </c>
      <c r="M321" s="82">
        <f t="shared" si="196"/>
        <v>288398.59164480073</v>
      </c>
      <c r="N321" s="82">
        <f t="shared" si="197"/>
        <v>269177.0368672976</v>
      </c>
      <c r="O321" s="82">
        <f t="shared" si="198"/>
        <v>274593.63967861631</v>
      </c>
      <c r="P321" s="82">
        <f t="shared" si="199"/>
        <v>252214.7481396792</v>
      </c>
      <c r="Q321" s="82">
        <f t="shared" si="200"/>
        <v>245363.40410781131</v>
      </c>
      <c r="R321" s="82"/>
      <c r="S321" s="85">
        <f t="shared" si="173"/>
        <v>0.17</v>
      </c>
      <c r="T321" s="82">
        <f t="shared" si="190"/>
        <v>912.27122816815984</v>
      </c>
      <c r="U321" s="82">
        <f t="shared" si="177"/>
        <v>274593.63967861608</v>
      </c>
      <c r="V321" s="85">
        <f t="shared" si="178"/>
        <v>0.17</v>
      </c>
      <c r="W321" s="82">
        <f t="shared" si="179"/>
        <v>0</v>
      </c>
      <c r="X321" s="82">
        <f>IF(B321&lt;&gt;"",IF(MONTH(E321)=MONTH($F$13),SUMIF($C$22:C703,"="&amp;(C321-1),$G$22:G703),0)*S321,"")</f>
        <v>0</v>
      </c>
      <c r="Y321" s="82">
        <f>IF(B321&lt;&gt;"",SUM($X$22:X321),"")</f>
        <v>26657.700000000015</v>
      </c>
      <c r="Z321" s="82">
        <f t="shared" si="191"/>
        <v>137.17734095956317</v>
      </c>
      <c r="AA321" s="82">
        <f t="shared" si="180"/>
        <v>26.063694782317</v>
      </c>
      <c r="AB321" s="82">
        <f t="shared" si="181"/>
        <v>14606.615934046222</v>
      </c>
      <c r="AC321" s="82">
        <f t="shared" si="182"/>
        <v>41264.315934046201</v>
      </c>
      <c r="AD321" s="82">
        <f>IFERROR($U321*(1-$V321)+SUM($W$22:$W321)+$AB321,"")</f>
        <v>269177.0368672976</v>
      </c>
      <c r="AE321" s="73" t="b">
        <f t="shared" si="183"/>
        <v>1</v>
      </c>
      <c r="AF321" s="82">
        <f>IF(AND(AE321=TRUE,D321&gt;=65),$U321*(1-10%)+SUM($W$22:$W321)+$AB321,AD321)</f>
        <v>288398.59164480073</v>
      </c>
      <c r="AG321" s="82">
        <f t="shared" si="201"/>
        <v>912.27122816816052</v>
      </c>
      <c r="AH321" s="82">
        <f t="shared" si="202"/>
        <v>117783.63967861638</v>
      </c>
      <c r="AI321" s="82">
        <f t="shared" si="203"/>
        <v>274593.63967861631</v>
      </c>
      <c r="AJ321" s="82">
        <f t="shared" si="204"/>
        <v>252214.7481396792</v>
      </c>
      <c r="AK321" s="73" t="b">
        <f t="shared" si="184"/>
        <v>1</v>
      </c>
      <c r="AL321" s="82">
        <f t="shared" si="205"/>
        <v>274593.63967861631</v>
      </c>
      <c r="AM321" s="82">
        <f t="shared" si="192"/>
        <v>815.67568933150926</v>
      </c>
      <c r="AN321" s="82">
        <f t="shared" si="185"/>
        <v>154.97838097298677</v>
      </c>
      <c r="AO321" s="82">
        <f t="shared" si="186"/>
        <v>88553.404107811366</v>
      </c>
      <c r="AP321" s="82">
        <f t="shared" si="187"/>
        <v>245363.40410781131</v>
      </c>
    </row>
    <row r="322" spans="1:42" s="31" customFormat="1" x14ac:dyDescent="0.6">
      <c r="A322" s="70" t="str">
        <f t="shared" si="171"/>
        <v/>
      </c>
      <c r="B322" s="70" t="str">
        <f>IF(E322&lt;=$F$9,VLOOKUP(KALKULATOR!A322,Robocze!$B$23:$C$102,2),"")</f>
        <v/>
      </c>
      <c r="C322" s="70" t="str">
        <f t="shared" si="174"/>
        <v/>
      </c>
      <c r="D322" s="71" t="str">
        <f t="shared" si="188"/>
        <v/>
      </c>
      <c r="E322" s="72" t="str">
        <f t="shared" si="189"/>
        <v/>
      </c>
      <c r="F322" s="72" t="str">
        <f t="shared" si="175"/>
        <v/>
      </c>
      <c r="G322" s="73" t="str">
        <f>IFERROR(IF(AND(F322&lt;=$F$9,$F$5=Robocze!$B$4,$E322&lt;=$F$9,MONTH($F$8)=MONTH(E322)),$F$4,0)+IF(AND(F322&lt;=$F$9,$F$5=Robocze!$B$3,E322&lt;=$F$9),KALKULATOR!$F$4/12,0),"")</f>
        <v/>
      </c>
      <c r="H322" s="73" t="str">
        <f t="shared" si="176"/>
        <v/>
      </c>
      <c r="I322" s="74" t="str">
        <f t="shared" si="172"/>
        <v/>
      </c>
      <c r="J322" s="73" t="str">
        <f t="shared" si="193"/>
        <v/>
      </c>
      <c r="K322" s="75" t="str">
        <f t="shared" si="194"/>
        <v/>
      </c>
      <c r="L322" s="73" t="str">
        <f t="shared" si="195"/>
        <v/>
      </c>
      <c r="M322" s="73" t="str">
        <f t="shared" si="196"/>
        <v/>
      </c>
      <c r="N322" s="73" t="str">
        <f t="shared" si="197"/>
        <v/>
      </c>
      <c r="O322" s="73" t="str">
        <f t="shared" si="198"/>
        <v/>
      </c>
      <c r="P322" s="73" t="str">
        <f t="shared" si="199"/>
        <v/>
      </c>
      <c r="Q322" s="73" t="str">
        <f t="shared" si="200"/>
        <v/>
      </c>
      <c r="R322" s="73"/>
      <c r="S322" s="76" t="str">
        <f t="shared" si="173"/>
        <v/>
      </c>
      <c r="T322" s="73" t="str">
        <f t="shared" si="190"/>
        <v/>
      </c>
      <c r="U322" s="73" t="str">
        <f t="shared" si="177"/>
        <v/>
      </c>
      <c r="V322" s="76" t="str">
        <f t="shared" si="178"/>
        <v/>
      </c>
      <c r="W322" s="73" t="str">
        <f t="shared" si="179"/>
        <v/>
      </c>
      <c r="X322" s="73" t="str">
        <f>IF(B322&lt;&gt;"",IF(MONTH(E322)=MONTH($F$13),SUMIF($C$22:C704,"="&amp;(C322-1),$G$22:G704),0)*S322,"")</f>
        <v/>
      </c>
      <c r="Y322" s="73" t="str">
        <f>IF(B322&lt;&gt;"",SUM($X$22:X322),"")</f>
        <v/>
      </c>
      <c r="Z322" s="73" t="str">
        <f t="shared" si="191"/>
        <v/>
      </c>
      <c r="AA322" s="73" t="str">
        <f t="shared" si="180"/>
        <v/>
      </c>
      <c r="AB322" s="73" t="str">
        <f t="shared" si="181"/>
        <v/>
      </c>
      <c r="AC322" s="73" t="str">
        <f t="shared" si="182"/>
        <v/>
      </c>
      <c r="AD322" s="73" t="str">
        <f>IFERROR($U322*(1-$V322)+SUM($W$22:$W322)+$AB322,"")</f>
        <v/>
      </c>
      <c r="AE322" s="73" t="b">
        <f t="shared" si="183"/>
        <v>1</v>
      </c>
      <c r="AF322" s="73" t="e">
        <f>IF(AND(AE322=TRUE,D322&gt;=65),$U322*(1-10%)+SUM($W$22:$W322)+$AB322,AD322)</f>
        <v>#VALUE!</v>
      </c>
      <c r="AG322" s="73" t="str">
        <f t="shared" si="201"/>
        <v/>
      </c>
      <c r="AH322" s="73" t="str">
        <f t="shared" si="202"/>
        <v/>
      </c>
      <c r="AI322" s="73" t="str">
        <f t="shared" si="203"/>
        <v/>
      </c>
      <c r="AJ322" s="73" t="str">
        <f t="shared" si="204"/>
        <v/>
      </c>
      <c r="AK322" s="73" t="b">
        <f t="shared" si="184"/>
        <v>1</v>
      </c>
      <c r="AL322" s="73" t="str">
        <f t="shared" si="205"/>
        <v/>
      </c>
      <c r="AM322" s="73" t="str">
        <f t="shared" si="192"/>
        <v/>
      </c>
      <c r="AN322" s="73" t="str">
        <f t="shared" si="185"/>
        <v/>
      </c>
      <c r="AO322" s="73" t="str">
        <f t="shared" si="186"/>
        <v/>
      </c>
      <c r="AP322" s="73" t="str">
        <f t="shared" si="187"/>
        <v/>
      </c>
    </row>
    <row r="323" spans="1:42" s="31" customFormat="1" x14ac:dyDescent="0.6">
      <c r="A323" s="70" t="str">
        <f t="shared" si="171"/>
        <v/>
      </c>
      <c r="B323" s="70" t="str">
        <f>IF(E323&lt;=$F$9,VLOOKUP(KALKULATOR!A323,Robocze!$B$23:$C$102,2),"")</f>
        <v/>
      </c>
      <c r="C323" s="70" t="str">
        <f t="shared" si="174"/>
        <v/>
      </c>
      <c r="D323" s="71" t="str">
        <f t="shared" si="188"/>
        <v/>
      </c>
      <c r="E323" s="77" t="str">
        <f t="shared" si="189"/>
        <v/>
      </c>
      <c r="F323" s="72" t="str">
        <f t="shared" si="175"/>
        <v/>
      </c>
      <c r="G323" s="73" t="str">
        <f>IFERROR(IF(AND(F323&lt;=$F$9,$F$5=Robocze!$B$4,$E323&lt;=$F$9,MONTH($F$8)=MONTH(E323)),$F$4,0)+IF(AND(F323&lt;=$F$9,$F$5=Robocze!$B$3,E323&lt;=$F$9),KALKULATOR!$F$4/12,0),"")</f>
        <v/>
      </c>
      <c r="H323" s="73" t="str">
        <f t="shared" si="176"/>
        <v/>
      </c>
      <c r="I323" s="74" t="str">
        <f t="shared" si="172"/>
        <v/>
      </c>
      <c r="J323" s="73" t="str">
        <f t="shared" si="193"/>
        <v/>
      </c>
      <c r="K323" s="75" t="str">
        <f t="shared" si="194"/>
        <v/>
      </c>
      <c r="L323" s="73" t="str">
        <f t="shared" si="195"/>
        <v/>
      </c>
      <c r="M323" s="73" t="str">
        <f t="shared" si="196"/>
        <v/>
      </c>
      <c r="N323" s="73" t="str">
        <f t="shared" si="197"/>
        <v/>
      </c>
      <c r="O323" s="73" t="str">
        <f t="shared" si="198"/>
        <v/>
      </c>
      <c r="P323" s="73" t="str">
        <f t="shared" si="199"/>
        <v/>
      </c>
      <c r="Q323" s="73" t="str">
        <f t="shared" si="200"/>
        <v/>
      </c>
      <c r="R323" s="73"/>
      <c r="S323" s="76" t="str">
        <f t="shared" si="173"/>
        <v/>
      </c>
      <c r="T323" s="73" t="str">
        <f t="shared" si="190"/>
        <v/>
      </c>
      <c r="U323" s="73" t="str">
        <f t="shared" si="177"/>
        <v/>
      </c>
      <c r="V323" s="76" t="str">
        <f t="shared" si="178"/>
        <v/>
      </c>
      <c r="W323" s="73" t="str">
        <f t="shared" si="179"/>
        <v/>
      </c>
      <c r="X323" s="73" t="str">
        <f>IF(B323&lt;&gt;"",IF(MONTH(E323)=MONTH($F$13),SUMIF($C$22:C705,"="&amp;(C323-1),$G$22:G705),0)*S323,"")</f>
        <v/>
      </c>
      <c r="Y323" s="73" t="str">
        <f>IF(B323&lt;&gt;"",SUM($X$22:X323),"")</f>
        <v/>
      </c>
      <c r="Z323" s="73" t="str">
        <f t="shared" si="191"/>
        <v/>
      </c>
      <c r="AA323" s="73" t="str">
        <f t="shared" si="180"/>
        <v/>
      </c>
      <c r="AB323" s="73" t="str">
        <f t="shared" si="181"/>
        <v/>
      </c>
      <c r="AC323" s="73" t="str">
        <f t="shared" si="182"/>
        <v/>
      </c>
      <c r="AD323" s="73" t="str">
        <f>IFERROR($U323*(1-$V323)+SUM($W$22:$W323)+$AB323,"")</f>
        <v/>
      </c>
      <c r="AE323" s="73" t="b">
        <f t="shared" si="183"/>
        <v>1</v>
      </c>
      <c r="AF323" s="73" t="e">
        <f>IF(AND(AE323=TRUE,D323&gt;=65),$U323*(1-10%)+SUM($W$22:$W323)+$AB323,AD323)</f>
        <v>#VALUE!</v>
      </c>
      <c r="AG323" s="73" t="str">
        <f t="shared" si="201"/>
        <v/>
      </c>
      <c r="AH323" s="73" t="str">
        <f t="shared" si="202"/>
        <v/>
      </c>
      <c r="AI323" s="73" t="str">
        <f t="shared" si="203"/>
        <v/>
      </c>
      <c r="AJ323" s="73" t="str">
        <f t="shared" si="204"/>
        <v/>
      </c>
      <c r="AK323" s="73" t="b">
        <f t="shared" si="184"/>
        <v>1</v>
      </c>
      <c r="AL323" s="73" t="str">
        <f t="shared" si="205"/>
        <v/>
      </c>
      <c r="AM323" s="73" t="str">
        <f t="shared" si="192"/>
        <v/>
      </c>
      <c r="AN323" s="73" t="str">
        <f t="shared" si="185"/>
        <v/>
      </c>
      <c r="AO323" s="73" t="str">
        <f t="shared" si="186"/>
        <v/>
      </c>
      <c r="AP323" s="73" t="str">
        <f t="shared" si="187"/>
        <v/>
      </c>
    </row>
    <row r="324" spans="1:42" s="31" customFormat="1" x14ac:dyDescent="0.6">
      <c r="A324" s="70" t="str">
        <f t="shared" si="171"/>
        <v/>
      </c>
      <c r="B324" s="70" t="str">
        <f>IF(E324&lt;=$F$9,VLOOKUP(KALKULATOR!A324,Robocze!$B$23:$C$102,2),"")</f>
        <v/>
      </c>
      <c r="C324" s="70" t="str">
        <f t="shared" si="174"/>
        <v/>
      </c>
      <c r="D324" s="71" t="str">
        <f t="shared" si="188"/>
        <v/>
      </c>
      <c r="E324" s="77" t="str">
        <f t="shared" si="189"/>
        <v/>
      </c>
      <c r="F324" s="72" t="str">
        <f t="shared" si="175"/>
        <v/>
      </c>
      <c r="G324" s="73" t="str">
        <f>IFERROR(IF(AND(F324&lt;=$F$9,$F$5=Robocze!$B$4,$E324&lt;=$F$9,MONTH($F$8)=MONTH(E324)),$F$4,0)+IF(AND(F324&lt;=$F$9,$F$5=Robocze!$B$3,E324&lt;=$F$9),KALKULATOR!$F$4/12,0),"")</f>
        <v/>
      </c>
      <c r="H324" s="73" t="str">
        <f t="shared" si="176"/>
        <v/>
      </c>
      <c r="I324" s="74" t="str">
        <f t="shared" si="172"/>
        <v/>
      </c>
      <c r="J324" s="73" t="str">
        <f t="shared" si="193"/>
        <v/>
      </c>
      <c r="K324" s="75" t="str">
        <f t="shared" si="194"/>
        <v/>
      </c>
      <c r="L324" s="73" t="str">
        <f t="shared" si="195"/>
        <v/>
      </c>
      <c r="M324" s="73" t="str">
        <f t="shared" si="196"/>
        <v/>
      </c>
      <c r="N324" s="73" t="str">
        <f t="shared" si="197"/>
        <v/>
      </c>
      <c r="O324" s="73" t="str">
        <f t="shared" si="198"/>
        <v/>
      </c>
      <c r="P324" s="73" t="str">
        <f t="shared" si="199"/>
        <v/>
      </c>
      <c r="Q324" s="73" t="str">
        <f t="shared" si="200"/>
        <v/>
      </c>
      <c r="R324" s="73"/>
      <c r="S324" s="76" t="str">
        <f t="shared" si="173"/>
        <v/>
      </c>
      <c r="T324" s="73" t="str">
        <f t="shared" si="190"/>
        <v/>
      </c>
      <c r="U324" s="73" t="str">
        <f t="shared" si="177"/>
        <v/>
      </c>
      <c r="V324" s="76" t="str">
        <f t="shared" si="178"/>
        <v/>
      </c>
      <c r="W324" s="73" t="str">
        <f t="shared" si="179"/>
        <v/>
      </c>
      <c r="X324" s="73" t="str">
        <f>IF(B324&lt;&gt;"",IF(MONTH(E324)=MONTH($F$13),SUMIF($C$22:C706,"="&amp;(C324-1),$G$22:G706),0)*S324,"")</f>
        <v/>
      </c>
      <c r="Y324" s="73" t="str">
        <f>IF(B324&lt;&gt;"",SUM($X$22:X324),"")</f>
        <v/>
      </c>
      <c r="Z324" s="73" t="str">
        <f t="shared" si="191"/>
        <v/>
      </c>
      <c r="AA324" s="73" t="str">
        <f t="shared" si="180"/>
        <v/>
      </c>
      <c r="AB324" s="73" t="str">
        <f t="shared" si="181"/>
        <v/>
      </c>
      <c r="AC324" s="73" t="str">
        <f t="shared" si="182"/>
        <v/>
      </c>
      <c r="AD324" s="73" t="str">
        <f>IFERROR($U324*(1-$V324)+SUM($W$22:$W324)+$AB324,"")</f>
        <v/>
      </c>
      <c r="AE324" s="73" t="b">
        <f t="shared" si="183"/>
        <v>1</v>
      </c>
      <c r="AF324" s="73" t="e">
        <f>IF(AND(AE324=TRUE,D324&gt;=65),$U324*(1-10%)+SUM($W$22:$W324)+$AB324,AD324)</f>
        <v>#VALUE!</v>
      </c>
      <c r="AG324" s="73" t="str">
        <f t="shared" si="201"/>
        <v/>
      </c>
      <c r="AH324" s="73" t="str">
        <f t="shared" si="202"/>
        <v/>
      </c>
      <c r="AI324" s="73" t="str">
        <f t="shared" si="203"/>
        <v/>
      </c>
      <c r="AJ324" s="73" t="str">
        <f t="shared" si="204"/>
        <v/>
      </c>
      <c r="AK324" s="73" t="b">
        <f t="shared" si="184"/>
        <v>1</v>
      </c>
      <c r="AL324" s="73" t="str">
        <f t="shared" si="205"/>
        <v/>
      </c>
      <c r="AM324" s="73" t="str">
        <f t="shared" si="192"/>
        <v/>
      </c>
      <c r="AN324" s="73" t="str">
        <f t="shared" si="185"/>
        <v/>
      </c>
      <c r="AO324" s="73" t="str">
        <f t="shared" si="186"/>
        <v/>
      </c>
      <c r="AP324" s="73" t="str">
        <f t="shared" si="187"/>
        <v/>
      </c>
    </row>
    <row r="325" spans="1:42" s="31" customFormat="1" x14ac:dyDescent="0.6">
      <c r="A325" s="70" t="str">
        <f t="shared" si="171"/>
        <v/>
      </c>
      <c r="B325" s="70" t="str">
        <f>IF(E325&lt;=$F$9,VLOOKUP(KALKULATOR!A325,Robocze!$B$23:$C$102,2),"")</f>
        <v/>
      </c>
      <c r="C325" s="70" t="str">
        <f t="shared" si="174"/>
        <v/>
      </c>
      <c r="D325" s="71" t="str">
        <f t="shared" si="188"/>
        <v/>
      </c>
      <c r="E325" s="77" t="str">
        <f t="shared" si="189"/>
        <v/>
      </c>
      <c r="F325" s="72" t="str">
        <f t="shared" si="175"/>
        <v/>
      </c>
      <c r="G325" s="73" t="str">
        <f>IFERROR(IF(AND(F325&lt;=$F$9,$F$5=Robocze!$B$4,$E325&lt;=$F$9,MONTH($F$8)=MONTH(E325)),$F$4,0)+IF(AND(F325&lt;=$F$9,$F$5=Robocze!$B$3,E325&lt;=$F$9),KALKULATOR!$F$4/12,0),"")</f>
        <v/>
      </c>
      <c r="H325" s="73" t="str">
        <f t="shared" si="176"/>
        <v/>
      </c>
      <c r="I325" s="74" t="str">
        <f t="shared" si="172"/>
        <v/>
      </c>
      <c r="J325" s="73" t="str">
        <f t="shared" si="193"/>
        <v/>
      </c>
      <c r="K325" s="75" t="str">
        <f t="shared" si="194"/>
        <v/>
      </c>
      <c r="L325" s="73" t="str">
        <f t="shared" si="195"/>
        <v/>
      </c>
      <c r="M325" s="73" t="str">
        <f t="shared" si="196"/>
        <v/>
      </c>
      <c r="N325" s="73" t="str">
        <f t="shared" si="197"/>
        <v/>
      </c>
      <c r="O325" s="73" t="str">
        <f t="shared" si="198"/>
        <v/>
      </c>
      <c r="P325" s="73" t="str">
        <f t="shared" si="199"/>
        <v/>
      </c>
      <c r="Q325" s="73" t="str">
        <f t="shared" si="200"/>
        <v/>
      </c>
      <c r="R325" s="73"/>
      <c r="S325" s="76" t="str">
        <f t="shared" si="173"/>
        <v/>
      </c>
      <c r="T325" s="73" t="str">
        <f t="shared" si="190"/>
        <v/>
      </c>
      <c r="U325" s="73" t="str">
        <f t="shared" si="177"/>
        <v/>
      </c>
      <c r="V325" s="76" t="str">
        <f t="shared" si="178"/>
        <v/>
      </c>
      <c r="W325" s="73" t="str">
        <f t="shared" si="179"/>
        <v/>
      </c>
      <c r="X325" s="73" t="str">
        <f>IF(B325&lt;&gt;"",IF(MONTH(E325)=MONTH($F$13),SUMIF($C$22:C707,"="&amp;(C325-1),$G$22:G707),0)*S325,"")</f>
        <v/>
      </c>
      <c r="Y325" s="73" t="str">
        <f>IF(B325&lt;&gt;"",SUM($X$22:X325),"")</f>
        <v/>
      </c>
      <c r="Z325" s="73" t="str">
        <f t="shared" si="191"/>
        <v/>
      </c>
      <c r="AA325" s="73" t="str">
        <f t="shared" si="180"/>
        <v/>
      </c>
      <c r="AB325" s="73" t="str">
        <f t="shared" si="181"/>
        <v/>
      </c>
      <c r="AC325" s="73" t="str">
        <f t="shared" si="182"/>
        <v/>
      </c>
      <c r="AD325" s="73" t="str">
        <f>IFERROR($U325*(1-$V325)+SUM($W$22:$W325)+$AB325,"")</f>
        <v/>
      </c>
      <c r="AE325" s="73" t="b">
        <f t="shared" si="183"/>
        <v>1</v>
      </c>
      <c r="AF325" s="73" t="e">
        <f>IF(AND(AE325=TRUE,D325&gt;=65),$U325*(1-10%)+SUM($W$22:$W325)+$AB325,AD325)</f>
        <v>#VALUE!</v>
      </c>
      <c r="AG325" s="73" t="str">
        <f t="shared" si="201"/>
        <v/>
      </c>
      <c r="AH325" s="73" t="str">
        <f t="shared" si="202"/>
        <v/>
      </c>
      <c r="AI325" s="73" t="str">
        <f t="shared" si="203"/>
        <v/>
      </c>
      <c r="AJ325" s="73" t="str">
        <f t="shared" si="204"/>
        <v/>
      </c>
      <c r="AK325" s="73" t="b">
        <f t="shared" si="184"/>
        <v>1</v>
      </c>
      <c r="AL325" s="73" t="str">
        <f t="shared" si="205"/>
        <v/>
      </c>
      <c r="AM325" s="73" t="str">
        <f t="shared" si="192"/>
        <v/>
      </c>
      <c r="AN325" s="73" t="str">
        <f t="shared" si="185"/>
        <v/>
      </c>
      <c r="AO325" s="73" t="str">
        <f t="shared" si="186"/>
        <v/>
      </c>
      <c r="AP325" s="73" t="str">
        <f t="shared" si="187"/>
        <v/>
      </c>
    </row>
    <row r="326" spans="1:42" s="31" customFormat="1" x14ac:dyDescent="0.6">
      <c r="A326" s="70" t="str">
        <f t="shared" si="171"/>
        <v/>
      </c>
      <c r="B326" s="70" t="str">
        <f>IF(E326&lt;=$F$9,VLOOKUP(KALKULATOR!A326,Robocze!$B$23:$C$102,2),"")</f>
        <v/>
      </c>
      <c r="C326" s="70" t="str">
        <f t="shared" si="174"/>
        <v/>
      </c>
      <c r="D326" s="71" t="str">
        <f t="shared" si="188"/>
        <v/>
      </c>
      <c r="E326" s="77" t="str">
        <f t="shared" si="189"/>
        <v/>
      </c>
      <c r="F326" s="72" t="str">
        <f t="shared" si="175"/>
        <v/>
      </c>
      <c r="G326" s="73" t="str">
        <f>IFERROR(IF(AND(F326&lt;=$F$9,$F$5=Robocze!$B$4,$E326&lt;=$F$9,MONTH($F$8)=MONTH(E326)),$F$4,0)+IF(AND(F326&lt;=$F$9,$F$5=Robocze!$B$3,E326&lt;=$F$9),KALKULATOR!$F$4/12,0),"")</f>
        <v/>
      </c>
      <c r="H326" s="73" t="str">
        <f t="shared" si="176"/>
        <v/>
      </c>
      <c r="I326" s="74" t="str">
        <f t="shared" si="172"/>
        <v/>
      </c>
      <c r="J326" s="73" t="str">
        <f t="shared" si="193"/>
        <v/>
      </c>
      <c r="K326" s="75" t="str">
        <f t="shared" si="194"/>
        <v/>
      </c>
      <c r="L326" s="73" t="str">
        <f t="shared" si="195"/>
        <v/>
      </c>
      <c r="M326" s="73" t="str">
        <f t="shared" si="196"/>
        <v/>
      </c>
      <c r="N326" s="73" t="str">
        <f t="shared" si="197"/>
        <v/>
      </c>
      <c r="O326" s="73" t="str">
        <f t="shared" si="198"/>
        <v/>
      </c>
      <c r="P326" s="73" t="str">
        <f t="shared" si="199"/>
        <v/>
      </c>
      <c r="Q326" s="73" t="str">
        <f t="shared" si="200"/>
        <v/>
      </c>
      <c r="R326" s="73"/>
      <c r="S326" s="76" t="str">
        <f t="shared" si="173"/>
        <v/>
      </c>
      <c r="T326" s="73" t="str">
        <f t="shared" si="190"/>
        <v/>
      </c>
      <c r="U326" s="73" t="str">
        <f t="shared" si="177"/>
        <v/>
      </c>
      <c r="V326" s="76" t="str">
        <f t="shared" si="178"/>
        <v/>
      </c>
      <c r="W326" s="73" t="str">
        <f t="shared" si="179"/>
        <v/>
      </c>
      <c r="X326" s="73" t="str">
        <f>IF(B326&lt;&gt;"",IF(MONTH(E326)=MONTH($F$13),SUMIF($C$22:C708,"="&amp;(C326-1),$G$22:G708),0)*S326,"")</f>
        <v/>
      </c>
      <c r="Y326" s="73" t="str">
        <f>IF(B326&lt;&gt;"",SUM($X$22:X326),"")</f>
        <v/>
      </c>
      <c r="Z326" s="73" t="str">
        <f t="shared" si="191"/>
        <v/>
      </c>
      <c r="AA326" s="73" t="str">
        <f t="shared" si="180"/>
        <v/>
      </c>
      <c r="AB326" s="73" t="str">
        <f t="shared" si="181"/>
        <v/>
      </c>
      <c r="AC326" s="73" t="str">
        <f t="shared" si="182"/>
        <v/>
      </c>
      <c r="AD326" s="73" t="str">
        <f>IFERROR($U326*(1-$V326)+SUM($W$22:$W326)+$AB326,"")</f>
        <v/>
      </c>
      <c r="AE326" s="73" t="b">
        <f t="shared" si="183"/>
        <v>1</v>
      </c>
      <c r="AF326" s="73" t="e">
        <f>IF(AND(AE326=TRUE,D326&gt;=65),$U326*(1-10%)+SUM($W$22:$W326)+$AB326,AD326)</f>
        <v>#VALUE!</v>
      </c>
      <c r="AG326" s="73" t="str">
        <f t="shared" si="201"/>
        <v/>
      </c>
      <c r="AH326" s="73" t="str">
        <f t="shared" si="202"/>
        <v/>
      </c>
      <c r="AI326" s="73" t="str">
        <f t="shared" si="203"/>
        <v/>
      </c>
      <c r="AJ326" s="73" t="str">
        <f t="shared" si="204"/>
        <v/>
      </c>
      <c r="AK326" s="73" t="b">
        <f t="shared" si="184"/>
        <v>1</v>
      </c>
      <c r="AL326" s="73" t="str">
        <f t="shared" si="205"/>
        <v/>
      </c>
      <c r="AM326" s="73" t="str">
        <f t="shared" si="192"/>
        <v/>
      </c>
      <c r="AN326" s="73" t="str">
        <f t="shared" si="185"/>
        <v/>
      </c>
      <c r="AO326" s="73" t="str">
        <f t="shared" si="186"/>
        <v/>
      </c>
      <c r="AP326" s="73" t="str">
        <f t="shared" si="187"/>
        <v/>
      </c>
    </row>
    <row r="327" spans="1:42" s="31" customFormat="1" x14ac:dyDescent="0.6">
      <c r="A327" s="70" t="str">
        <f t="shared" si="171"/>
        <v/>
      </c>
      <c r="B327" s="70" t="str">
        <f>IF(E327&lt;=$F$9,VLOOKUP(KALKULATOR!A327,Robocze!$B$23:$C$102,2),"")</f>
        <v/>
      </c>
      <c r="C327" s="70" t="str">
        <f t="shared" si="174"/>
        <v/>
      </c>
      <c r="D327" s="71" t="str">
        <f t="shared" si="188"/>
        <v/>
      </c>
      <c r="E327" s="77" t="str">
        <f t="shared" si="189"/>
        <v/>
      </c>
      <c r="F327" s="72" t="str">
        <f t="shared" si="175"/>
        <v/>
      </c>
      <c r="G327" s="73" t="str">
        <f>IFERROR(IF(AND(F327&lt;=$F$9,$F$5=Robocze!$B$4,$E327&lt;=$F$9,MONTH($F$8)=MONTH(E327)),$F$4,0)+IF(AND(F327&lt;=$F$9,$F$5=Robocze!$B$3,E327&lt;=$F$9),KALKULATOR!$F$4/12,0),"")</f>
        <v/>
      </c>
      <c r="H327" s="73" t="str">
        <f t="shared" si="176"/>
        <v/>
      </c>
      <c r="I327" s="74" t="str">
        <f t="shared" si="172"/>
        <v/>
      </c>
      <c r="J327" s="73" t="str">
        <f t="shared" si="193"/>
        <v/>
      </c>
      <c r="K327" s="75" t="str">
        <f t="shared" si="194"/>
        <v/>
      </c>
      <c r="L327" s="73" t="str">
        <f t="shared" si="195"/>
        <v/>
      </c>
      <c r="M327" s="73" t="str">
        <f t="shared" si="196"/>
        <v/>
      </c>
      <c r="N327" s="73" t="str">
        <f t="shared" si="197"/>
        <v/>
      </c>
      <c r="O327" s="73" t="str">
        <f t="shared" si="198"/>
        <v/>
      </c>
      <c r="P327" s="73" t="str">
        <f t="shared" si="199"/>
        <v/>
      </c>
      <c r="Q327" s="73" t="str">
        <f t="shared" si="200"/>
        <v/>
      </c>
      <c r="R327" s="73"/>
      <c r="S327" s="76" t="str">
        <f t="shared" si="173"/>
        <v/>
      </c>
      <c r="T327" s="73" t="str">
        <f t="shared" si="190"/>
        <v/>
      </c>
      <c r="U327" s="73" t="str">
        <f t="shared" si="177"/>
        <v/>
      </c>
      <c r="V327" s="76" t="str">
        <f t="shared" si="178"/>
        <v/>
      </c>
      <c r="W327" s="73" t="str">
        <f t="shared" si="179"/>
        <v/>
      </c>
      <c r="X327" s="73" t="str">
        <f>IF(B327&lt;&gt;"",IF(MONTH(E327)=MONTH($F$13),SUMIF($C$22:C709,"="&amp;(C327-1),$G$22:G709),0)*S327,"")</f>
        <v/>
      </c>
      <c r="Y327" s="73" t="str">
        <f>IF(B327&lt;&gt;"",SUM($X$22:X327),"")</f>
        <v/>
      </c>
      <c r="Z327" s="73" t="str">
        <f t="shared" si="191"/>
        <v/>
      </c>
      <c r="AA327" s="73" t="str">
        <f t="shared" si="180"/>
        <v/>
      </c>
      <c r="AB327" s="73" t="str">
        <f t="shared" si="181"/>
        <v/>
      </c>
      <c r="AC327" s="73" t="str">
        <f t="shared" si="182"/>
        <v/>
      </c>
      <c r="AD327" s="73" t="str">
        <f>IFERROR($U327*(1-$V327)+SUM($W$22:$W327)+$AB327,"")</f>
        <v/>
      </c>
      <c r="AE327" s="73" t="b">
        <f t="shared" si="183"/>
        <v>1</v>
      </c>
      <c r="AF327" s="73" t="e">
        <f>IF(AND(AE327=TRUE,D327&gt;=65),$U327*(1-10%)+SUM($W$22:$W327)+$AB327,AD327)</f>
        <v>#VALUE!</v>
      </c>
      <c r="AG327" s="73" t="str">
        <f t="shared" si="201"/>
        <v/>
      </c>
      <c r="AH327" s="73" t="str">
        <f t="shared" si="202"/>
        <v/>
      </c>
      <c r="AI327" s="73" t="str">
        <f t="shared" si="203"/>
        <v/>
      </c>
      <c r="AJ327" s="73" t="str">
        <f t="shared" si="204"/>
        <v/>
      </c>
      <c r="AK327" s="73" t="b">
        <f t="shared" si="184"/>
        <v>1</v>
      </c>
      <c r="AL327" s="73" t="str">
        <f t="shared" si="205"/>
        <v/>
      </c>
      <c r="AM327" s="73" t="str">
        <f t="shared" si="192"/>
        <v/>
      </c>
      <c r="AN327" s="73" t="str">
        <f t="shared" si="185"/>
        <v/>
      </c>
      <c r="AO327" s="73" t="str">
        <f t="shared" si="186"/>
        <v/>
      </c>
      <c r="AP327" s="73" t="str">
        <f t="shared" si="187"/>
        <v/>
      </c>
    </row>
    <row r="328" spans="1:42" s="31" customFormat="1" x14ac:dyDescent="0.6">
      <c r="A328" s="70" t="str">
        <f t="shared" si="171"/>
        <v/>
      </c>
      <c r="B328" s="70" t="str">
        <f>IF(E328&lt;=$F$9,VLOOKUP(KALKULATOR!A328,Robocze!$B$23:$C$102,2),"")</f>
        <v/>
      </c>
      <c r="C328" s="70" t="str">
        <f t="shared" si="174"/>
        <v/>
      </c>
      <c r="D328" s="71" t="str">
        <f t="shared" si="188"/>
        <v/>
      </c>
      <c r="E328" s="77" t="str">
        <f t="shared" si="189"/>
        <v/>
      </c>
      <c r="F328" s="72" t="str">
        <f t="shared" si="175"/>
        <v/>
      </c>
      <c r="G328" s="73" t="str">
        <f>IFERROR(IF(AND(F328&lt;=$F$9,$F$5=Robocze!$B$4,$E328&lt;=$F$9,MONTH($F$8)=MONTH(E328)),$F$4,0)+IF(AND(F328&lt;=$F$9,$F$5=Robocze!$B$3,E328&lt;=$F$9),KALKULATOR!$F$4/12,0),"")</f>
        <v/>
      </c>
      <c r="H328" s="73" t="str">
        <f t="shared" si="176"/>
        <v/>
      </c>
      <c r="I328" s="74" t="str">
        <f t="shared" si="172"/>
        <v/>
      </c>
      <c r="J328" s="73" t="str">
        <f t="shared" si="193"/>
        <v/>
      </c>
      <c r="K328" s="75" t="str">
        <f t="shared" si="194"/>
        <v/>
      </c>
      <c r="L328" s="73" t="str">
        <f t="shared" si="195"/>
        <v/>
      </c>
      <c r="M328" s="73" t="str">
        <f t="shared" si="196"/>
        <v/>
      </c>
      <c r="N328" s="73" t="str">
        <f t="shared" si="197"/>
        <v/>
      </c>
      <c r="O328" s="73" t="str">
        <f t="shared" si="198"/>
        <v/>
      </c>
      <c r="P328" s="73" t="str">
        <f t="shared" si="199"/>
        <v/>
      </c>
      <c r="Q328" s="73" t="str">
        <f t="shared" si="200"/>
        <v/>
      </c>
      <c r="R328" s="73"/>
      <c r="S328" s="76" t="str">
        <f t="shared" si="173"/>
        <v/>
      </c>
      <c r="T328" s="73" t="str">
        <f t="shared" si="190"/>
        <v/>
      </c>
      <c r="U328" s="73" t="str">
        <f t="shared" si="177"/>
        <v/>
      </c>
      <c r="V328" s="76" t="str">
        <f t="shared" si="178"/>
        <v/>
      </c>
      <c r="W328" s="73" t="str">
        <f t="shared" si="179"/>
        <v/>
      </c>
      <c r="X328" s="73" t="str">
        <f>IF(B328&lt;&gt;"",IF(MONTH(E328)=MONTH($F$13),SUMIF($C$22:C710,"="&amp;(C328-1),$G$22:G710),0)*S328,"")</f>
        <v/>
      </c>
      <c r="Y328" s="73" t="str">
        <f>IF(B328&lt;&gt;"",SUM($X$22:X328),"")</f>
        <v/>
      </c>
      <c r="Z328" s="73" t="str">
        <f t="shared" si="191"/>
        <v/>
      </c>
      <c r="AA328" s="73" t="str">
        <f t="shared" si="180"/>
        <v/>
      </c>
      <c r="AB328" s="73" t="str">
        <f t="shared" si="181"/>
        <v/>
      </c>
      <c r="AC328" s="73" t="str">
        <f t="shared" si="182"/>
        <v/>
      </c>
      <c r="AD328" s="73" t="str">
        <f>IFERROR($U328*(1-$V328)+SUM($W$22:$W328)+$AB328,"")</f>
        <v/>
      </c>
      <c r="AE328" s="73" t="b">
        <f t="shared" si="183"/>
        <v>1</v>
      </c>
      <c r="AF328" s="73" t="e">
        <f>IF(AND(AE328=TRUE,D328&gt;=65),$U328*(1-10%)+SUM($W$22:$W328)+$AB328,AD328)</f>
        <v>#VALUE!</v>
      </c>
      <c r="AG328" s="73" t="str">
        <f t="shared" si="201"/>
        <v/>
      </c>
      <c r="AH328" s="73" t="str">
        <f t="shared" si="202"/>
        <v/>
      </c>
      <c r="AI328" s="73" t="str">
        <f t="shared" si="203"/>
        <v/>
      </c>
      <c r="AJ328" s="73" t="str">
        <f t="shared" si="204"/>
        <v/>
      </c>
      <c r="AK328" s="73" t="b">
        <f t="shared" si="184"/>
        <v>1</v>
      </c>
      <c r="AL328" s="73" t="str">
        <f t="shared" si="205"/>
        <v/>
      </c>
      <c r="AM328" s="73" t="str">
        <f t="shared" si="192"/>
        <v/>
      </c>
      <c r="AN328" s="73" t="str">
        <f t="shared" si="185"/>
        <v/>
      </c>
      <c r="AO328" s="73" t="str">
        <f t="shared" si="186"/>
        <v/>
      </c>
      <c r="AP328" s="73" t="str">
        <f t="shared" si="187"/>
        <v/>
      </c>
    </row>
    <row r="329" spans="1:42" s="31" customFormat="1" x14ac:dyDescent="0.6">
      <c r="A329" s="70" t="str">
        <f t="shared" si="171"/>
        <v/>
      </c>
      <c r="B329" s="70" t="str">
        <f>IF(E329&lt;=$F$9,VLOOKUP(KALKULATOR!A329,Robocze!$B$23:$C$102,2),"")</f>
        <v/>
      </c>
      <c r="C329" s="70" t="str">
        <f t="shared" si="174"/>
        <v/>
      </c>
      <c r="D329" s="71" t="str">
        <f t="shared" si="188"/>
        <v/>
      </c>
      <c r="E329" s="77" t="str">
        <f t="shared" si="189"/>
        <v/>
      </c>
      <c r="F329" s="72" t="str">
        <f t="shared" si="175"/>
        <v/>
      </c>
      <c r="G329" s="73" t="str">
        <f>IFERROR(IF(AND(F329&lt;=$F$9,$F$5=Robocze!$B$4,$E329&lt;=$F$9,MONTH($F$8)=MONTH(E329)),$F$4,0)+IF(AND(F329&lt;=$F$9,$F$5=Robocze!$B$3,E329&lt;=$F$9),KALKULATOR!$F$4/12,0),"")</f>
        <v/>
      </c>
      <c r="H329" s="73" t="str">
        <f t="shared" si="176"/>
        <v/>
      </c>
      <c r="I329" s="74" t="str">
        <f t="shared" si="172"/>
        <v/>
      </c>
      <c r="J329" s="73" t="str">
        <f t="shared" si="193"/>
        <v/>
      </c>
      <c r="K329" s="75" t="str">
        <f t="shared" si="194"/>
        <v/>
      </c>
      <c r="L329" s="73" t="str">
        <f t="shared" si="195"/>
        <v/>
      </c>
      <c r="M329" s="73" t="str">
        <f t="shared" si="196"/>
        <v/>
      </c>
      <c r="N329" s="73" t="str">
        <f t="shared" si="197"/>
        <v/>
      </c>
      <c r="O329" s="73" t="str">
        <f t="shared" si="198"/>
        <v/>
      </c>
      <c r="P329" s="73" t="str">
        <f t="shared" si="199"/>
        <v/>
      </c>
      <c r="Q329" s="73" t="str">
        <f t="shared" si="200"/>
        <v/>
      </c>
      <c r="R329" s="73"/>
      <c r="S329" s="76" t="str">
        <f t="shared" si="173"/>
        <v/>
      </c>
      <c r="T329" s="73" t="str">
        <f t="shared" si="190"/>
        <v/>
      </c>
      <c r="U329" s="73" t="str">
        <f t="shared" si="177"/>
        <v/>
      </c>
      <c r="V329" s="76" t="str">
        <f t="shared" si="178"/>
        <v/>
      </c>
      <c r="W329" s="73" t="str">
        <f t="shared" si="179"/>
        <v/>
      </c>
      <c r="X329" s="73" t="str">
        <f>IF(B329&lt;&gt;"",IF(MONTH(E329)=MONTH($F$13),SUMIF($C$22:C711,"="&amp;(C329-1),$G$22:G711),0)*S329,"")</f>
        <v/>
      </c>
      <c r="Y329" s="73" t="str">
        <f>IF(B329&lt;&gt;"",SUM($X$22:X329),"")</f>
        <v/>
      </c>
      <c r="Z329" s="73" t="str">
        <f t="shared" si="191"/>
        <v/>
      </c>
      <c r="AA329" s="73" t="str">
        <f t="shared" si="180"/>
        <v/>
      </c>
      <c r="AB329" s="73" t="str">
        <f t="shared" si="181"/>
        <v/>
      </c>
      <c r="AC329" s="73" t="str">
        <f t="shared" si="182"/>
        <v/>
      </c>
      <c r="AD329" s="73" t="str">
        <f>IFERROR($U329*(1-$V329)+SUM($W$22:$W329)+$AB329,"")</f>
        <v/>
      </c>
      <c r="AE329" s="73" t="b">
        <f t="shared" si="183"/>
        <v>1</v>
      </c>
      <c r="AF329" s="73" t="e">
        <f>IF(AND(AE329=TRUE,D329&gt;=65),$U329*(1-10%)+SUM($W$22:$W329)+$AB329,AD329)</f>
        <v>#VALUE!</v>
      </c>
      <c r="AG329" s="73" t="str">
        <f t="shared" si="201"/>
        <v/>
      </c>
      <c r="AH329" s="73" t="str">
        <f t="shared" si="202"/>
        <v/>
      </c>
      <c r="AI329" s="73" t="str">
        <f t="shared" si="203"/>
        <v/>
      </c>
      <c r="AJ329" s="73" t="str">
        <f t="shared" si="204"/>
        <v/>
      </c>
      <c r="AK329" s="73" t="b">
        <f t="shared" si="184"/>
        <v>1</v>
      </c>
      <c r="AL329" s="73" t="str">
        <f t="shared" si="205"/>
        <v/>
      </c>
      <c r="AM329" s="73" t="str">
        <f t="shared" si="192"/>
        <v/>
      </c>
      <c r="AN329" s="73" t="str">
        <f t="shared" si="185"/>
        <v/>
      </c>
      <c r="AO329" s="73" t="str">
        <f t="shared" si="186"/>
        <v/>
      </c>
      <c r="AP329" s="73" t="str">
        <f t="shared" si="187"/>
        <v/>
      </c>
    </row>
    <row r="330" spans="1:42" s="31" customFormat="1" x14ac:dyDescent="0.6">
      <c r="A330" s="70" t="str">
        <f t="shared" si="171"/>
        <v/>
      </c>
      <c r="B330" s="70" t="str">
        <f>IF(E330&lt;=$F$9,VLOOKUP(KALKULATOR!A330,Robocze!$B$23:$C$102,2),"")</f>
        <v/>
      </c>
      <c r="C330" s="70" t="str">
        <f t="shared" si="174"/>
        <v/>
      </c>
      <c r="D330" s="71" t="str">
        <f t="shared" si="188"/>
        <v/>
      </c>
      <c r="E330" s="77" t="str">
        <f t="shared" si="189"/>
        <v/>
      </c>
      <c r="F330" s="72" t="str">
        <f t="shared" si="175"/>
        <v/>
      </c>
      <c r="G330" s="73" t="str">
        <f>IFERROR(IF(AND(F330&lt;=$F$9,$F$5=Robocze!$B$4,$E330&lt;=$F$9,MONTH($F$8)=MONTH(E330)),$F$4,0)+IF(AND(F330&lt;=$F$9,$F$5=Robocze!$B$3,E330&lt;=$F$9),KALKULATOR!$F$4/12,0),"")</f>
        <v/>
      </c>
      <c r="H330" s="73" t="str">
        <f t="shared" si="176"/>
        <v/>
      </c>
      <c r="I330" s="74" t="str">
        <f t="shared" si="172"/>
        <v/>
      </c>
      <c r="J330" s="73" t="str">
        <f t="shared" si="193"/>
        <v/>
      </c>
      <c r="K330" s="75" t="str">
        <f t="shared" si="194"/>
        <v/>
      </c>
      <c r="L330" s="73" t="str">
        <f t="shared" si="195"/>
        <v/>
      </c>
      <c r="M330" s="73" t="str">
        <f t="shared" si="196"/>
        <v/>
      </c>
      <c r="N330" s="73" t="str">
        <f t="shared" si="197"/>
        <v/>
      </c>
      <c r="O330" s="73" t="str">
        <f t="shared" si="198"/>
        <v/>
      </c>
      <c r="P330" s="73" t="str">
        <f t="shared" si="199"/>
        <v/>
      </c>
      <c r="Q330" s="73" t="str">
        <f t="shared" si="200"/>
        <v/>
      </c>
      <c r="R330" s="73"/>
      <c r="S330" s="76" t="str">
        <f t="shared" si="173"/>
        <v/>
      </c>
      <c r="T330" s="73" t="str">
        <f t="shared" si="190"/>
        <v/>
      </c>
      <c r="U330" s="73" t="str">
        <f t="shared" si="177"/>
        <v/>
      </c>
      <c r="V330" s="76" t="str">
        <f t="shared" si="178"/>
        <v/>
      </c>
      <c r="W330" s="73" t="str">
        <f t="shared" si="179"/>
        <v/>
      </c>
      <c r="X330" s="73" t="str">
        <f>IF(B330&lt;&gt;"",IF(MONTH(E330)=MONTH($F$13),SUMIF($C$22:C712,"="&amp;(C330-1),$G$22:G712),0)*S330,"")</f>
        <v/>
      </c>
      <c r="Y330" s="73" t="str">
        <f>IF(B330&lt;&gt;"",SUM($X$22:X330),"")</f>
        <v/>
      </c>
      <c r="Z330" s="73" t="str">
        <f t="shared" si="191"/>
        <v/>
      </c>
      <c r="AA330" s="73" t="str">
        <f t="shared" si="180"/>
        <v/>
      </c>
      <c r="AB330" s="73" t="str">
        <f t="shared" si="181"/>
        <v/>
      </c>
      <c r="AC330" s="73" t="str">
        <f t="shared" si="182"/>
        <v/>
      </c>
      <c r="AD330" s="73" t="str">
        <f>IFERROR($U330*(1-$V330)+SUM($W$22:$W330)+$AB330,"")</f>
        <v/>
      </c>
      <c r="AE330" s="73" t="b">
        <f t="shared" si="183"/>
        <v>1</v>
      </c>
      <c r="AF330" s="73" t="e">
        <f>IF(AND(AE330=TRUE,D330&gt;=65),$U330*(1-10%)+SUM($W$22:$W330)+$AB330,AD330)</f>
        <v>#VALUE!</v>
      </c>
      <c r="AG330" s="73" t="str">
        <f t="shared" si="201"/>
        <v/>
      </c>
      <c r="AH330" s="73" t="str">
        <f t="shared" si="202"/>
        <v/>
      </c>
      <c r="AI330" s="73" t="str">
        <f t="shared" si="203"/>
        <v/>
      </c>
      <c r="AJ330" s="73" t="str">
        <f t="shared" si="204"/>
        <v/>
      </c>
      <c r="AK330" s="73" t="b">
        <f t="shared" si="184"/>
        <v>1</v>
      </c>
      <c r="AL330" s="73" t="str">
        <f t="shared" si="205"/>
        <v/>
      </c>
      <c r="AM330" s="73" t="str">
        <f t="shared" si="192"/>
        <v/>
      </c>
      <c r="AN330" s="73" t="str">
        <f t="shared" si="185"/>
        <v/>
      </c>
      <c r="AO330" s="73" t="str">
        <f t="shared" si="186"/>
        <v/>
      </c>
      <c r="AP330" s="73" t="str">
        <f t="shared" si="187"/>
        <v/>
      </c>
    </row>
    <row r="331" spans="1:42" s="31" customFormat="1" x14ac:dyDescent="0.6">
      <c r="A331" s="70" t="str">
        <f t="shared" si="171"/>
        <v/>
      </c>
      <c r="B331" s="70" t="str">
        <f>IF(E331&lt;=$F$9,VLOOKUP(KALKULATOR!A331,Robocze!$B$23:$C$102,2),"")</f>
        <v/>
      </c>
      <c r="C331" s="70" t="str">
        <f t="shared" si="174"/>
        <v/>
      </c>
      <c r="D331" s="71" t="str">
        <f t="shared" si="188"/>
        <v/>
      </c>
      <c r="E331" s="77" t="str">
        <f t="shared" si="189"/>
        <v/>
      </c>
      <c r="F331" s="72" t="str">
        <f t="shared" si="175"/>
        <v/>
      </c>
      <c r="G331" s="73" t="str">
        <f>IFERROR(IF(AND(F331&lt;=$F$9,$F$5=Robocze!$B$4,$E331&lt;=$F$9,MONTH($F$8)=MONTH(E331)),$F$4,0)+IF(AND(F331&lt;=$F$9,$F$5=Robocze!$B$3,E331&lt;=$F$9),KALKULATOR!$F$4/12,0),"")</f>
        <v/>
      </c>
      <c r="H331" s="73" t="str">
        <f t="shared" si="176"/>
        <v/>
      </c>
      <c r="I331" s="74" t="str">
        <f t="shared" si="172"/>
        <v/>
      </c>
      <c r="J331" s="73" t="str">
        <f t="shared" si="193"/>
        <v/>
      </c>
      <c r="K331" s="75" t="str">
        <f t="shared" si="194"/>
        <v/>
      </c>
      <c r="L331" s="73" t="str">
        <f t="shared" si="195"/>
        <v/>
      </c>
      <c r="M331" s="73" t="str">
        <f t="shared" si="196"/>
        <v/>
      </c>
      <c r="N331" s="73" t="str">
        <f t="shared" si="197"/>
        <v/>
      </c>
      <c r="O331" s="73" t="str">
        <f t="shared" si="198"/>
        <v/>
      </c>
      <c r="P331" s="73" t="str">
        <f t="shared" si="199"/>
        <v/>
      </c>
      <c r="Q331" s="73" t="str">
        <f t="shared" si="200"/>
        <v/>
      </c>
      <c r="R331" s="73"/>
      <c r="S331" s="76" t="str">
        <f t="shared" si="173"/>
        <v/>
      </c>
      <c r="T331" s="73" t="str">
        <f t="shared" si="190"/>
        <v/>
      </c>
      <c r="U331" s="73" t="str">
        <f t="shared" si="177"/>
        <v/>
      </c>
      <c r="V331" s="76" t="str">
        <f t="shared" si="178"/>
        <v/>
      </c>
      <c r="W331" s="73" t="str">
        <f t="shared" si="179"/>
        <v/>
      </c>
      <c r="X331" s="73" t="str">
        <f>IF(B331&lt;&gt;"",IF(MONTH(E331)=MONTH($F$13),SUMIF($C$22:C713,"="&amp;(C331-1),$G$22:G713),0)*S331,"")</f>
        <v/>
      </c>
      <c r="Y331" s="73" t="str">
        <f>IF(B331&lt;&gt;"",SUM($X$22:X331),"")</f>
        <v/>
      </c>
      <c r="Z331" s="73" t="str">
        <f t="shared" si="191"/>
        <v/>
      </c>
      <c r="AA331" s="73" t="str">
        <f t="shared" si="180"/>
        <v/>
      </c>
      <c r="AB331" s="73" t="str">
        <f t="shared" si="181"/>
        <v/>
      </c>
      <c r="AC331" s="73" t="str">
        <f t="shared" si="182"/>
        <v/>
      </c>
      <c r="AD331" s="73" t="str">
        <f>IFERROR($U331*(1-$V331)+SUM($W$22:$W331)+$AB331,"")</f>
        <v/>
      </c>
      <c r="AE331" s="73" t="b">
        <f t="shared" si="183"/>
        <v>1</v>
      </c>
      <c r="AF331" s="73" t="e">
        <f>IF(AND(AE331=TRUE,D331&gt;=65),$U331*(1-10%)+SUM($W$22:$W331)+$AB331,AD331)</f>
        <v>#VALUE!</v>
      </c>
      <c r="AG331" s="73" t="str">
        <f t="shared" si="201"/>
        <v/>
      </c>
      <c r="AH331" s="73" t="str">
        <f t="shared" si="202"/>
        <v/>
      </c>
      <c r="AI331" s="73" t="str">
        <f t="shared" si="203"/>
        <v/>
      </c>
      <c r="AJ331" s="73" t="str">
        <f t="shared" si="204"/>
        <v/>
      </c>
      <c r="AK331" s="73" t="b">
        <f t="shared" si="184"/>
        <v>1</v>
      </c>
      <c r="AL331" s="73" t="str">
        <f t="shared" si="205"/>
        <v/>
      </c>
      <c r="AM331" s="73" t="str">
        <f t="shared" si="192"/>
        <v/>
      </c>
      <c r="AN331" s="73" t="str">
        <f t="shared" si="185"/>
        <v/>
      </c>
      <c r="AO331" s="73" t="str">
        <f t="shared" si="186"/>
        <v/>
      </c>
      <c r="AP331" s="73" t="str">
        <f t="shared" si="187"/>
        <v/>
      </c>
    </row>
    <row r="332" spans="1:42" s="31" customFormat="1" x14ac:dyDescent="0.6">
      <c r="A332" s="70" t="str">
        <f t="shared" si="171"/>
        <v/>
      </c>
      <c r="B332" s="70" t="str">
        <f>IF(E332&lt;=$F$9,VLOOKUP(KALKULATOR!A332,Robocze!$B$23:$C$102,2),"")</f>
        <v/>
      </c>
      <c r="C332" s="70" t="str">
        <f t="shared" si="174"/>
        <v/>
      </c>
      <c r="D332" s="71" t="str">
        <f t="shared" si="188"/>
        <v/>
      </c>
      <c r="E332" s="77" t="str">
        <f t="shared" si="189"/>
        <v/>
      </c>
      <c r="F332" s="72" t="str">
        <f t="shared" si="175"/>
        <v/>
      </c>
      <c r="G332" s="73" t="str">
        <f>IFERROR(IF(AND(F332&lt;=$F$9,$F$5=Robocze!$B$4,$E332&lt;=$F$9,MONTH($F$8)=MONTH(E332)),$F$4,0)+IF(AND(F332&lt;=$F$9,$F$5=Robocze!$B$3,E332&lt;=$F$9),KALKULATOR!$F$4/12,0),"")</f>
        <v/>
      </c>
      <c r="H332" s="73" t="str">
        <f t="shared" si="176"/>
        <v/>
      </c>
      <c r="I332" s="74" t="str">
        <f t="shared" si="172"/>
        <v/>
      </c>
      <c r="J332" s="73" t="str">
        <f t="shared" si="193"/>
        <v/>
      </c>
      <c r="K332" s="75" t="str">
        <f t="shared" si="194"/>
        <v/>
      </c>
      <c r="L332" s="73" t="str">
        <f t="shared" si="195"/>
        <v/>
      </c>
      <c r="M332" s="73" t="str">
        <f t="shared" si="196"/>
        <v/>
      </c>
      <c r="N332" s="73" t="str">
        <f t="shared" si="197"/>
        <v/>
      </c>
      <c r="O332" s="73" t="str">
        <f t="shared" si="198"/>
        <v/>
      </c>
      <c r="P332" s="73" t="str">
        <f t="shared" si="199"/>
        <v/>
      </c>
      <c r="Q332" s="73" t="str">
        <f t="shared" si="200"/>
        <v/>
      </c>
      <c r="R332" s="73"/>
      <c r="S332" s="76" t="str">
        <f t="shared" si="173"/>
        <v/>
      </c>
      <c r="T332" s="73" t="str">
        <f t="shared" si="190"/>
        <v/>
      </c>
      <c r="U332" s="73" t="str">
        <f t="shared" si="177"/>
        <v/>
      </c>
      <c r="V332" s="76" t="str">
        <f t="shared" si="178"/>
        <v/>
      </c>
      <c r="W332" s="73" t="str">
        <f t="shared" si="179"/>
        <v/>
      </c>
      <c r="X332" s="73" t="str">
        <f>IF(B332&lt;&gt;"",IF(MONTH(E332)=MONTH($F$13),SUMIF($C$22:C714,"="&amp;(C332-1),$G$22:G714),0)*S332,"")</f>
        <v/>
      </c>
      <c r="Y332" s="73" t="str">
        <f>IF(B332&lt;&gt;"",SUM($X$22:X332),"")</f>
        <v/>
      </c>
      <c r="Z332" s="73" t="str">
        <f t="shared" si="191"/>
        <v/>
      </c>
      <c r="AA332" s="73" t="str">
        <f t="shared" si="180"/>
        <v/>
      </c>
      <c r="AB332" s="73" t="str">
        <f t="shared" si="181"/>
        <v/>
      </c>
      <c r="AC332" s="73" t="str">
        <f t="shared" si="182"/>
        <v/>
      </c>
      <c r="AD332" s="73" t="str">
        <f>IFERROR($U332*(1-$V332)+SUM($W$22:$W332)+$AB332,"")</f>
        <v/>
      </c>
      <c r="AE332" s="73" t="b">
        <f t="shared" si="183"/>
        <v>1</v>
      </c>
      <c r="AF332" s="73" t="e">
        <f>IF(AND(AE332=TRUE,D332&gt;=65),$U332*(1-10%)+SUM($W$22:$W332)+$AB332,AD332)</f>
        <v>#VALUE!</v>
      </c>
      <c r="AG332" s="73" t="str">
        <f t="shared" si="201"/>
        <v/>
      </c>
      <c r="AH332" s="73" t="str">
        <f t="shared" si="202"/>
        <v/>
      </c>
      <c r="AI332" s="73" t="str">
        <f t="shared" si="203"/>
        <v/>
      </c>
      <c r="AJ332" s="73" t="str">
        <f t="shared" si="204"/>
        <v/>
      </c>
      <c r="AK332" s="73" t="b">
        <f t="shared" si="184"/>
        <v>1</v>
      </c>
      <c r="AL332" s="73" t="str">
        <f t="shared" si="205"/>
        <v/>
      </c>
      <c r="AM332" s="73" t="str">
        <f t="shared" si="192"/>
        <v/>
      </c>
      <c r="AN332" s="73" t="str">
        <f t="shared" si="185"/>
        <v/>
      </c>
      <c r="AO332" s="73" t="str">
        <f t="shared" si="186"/>
        <v/>
      </c>
      <c r="AP332" s="73" t="str">
        <f t="shared" si="187"/>
        <v/>
      </c>
    </row>
    <row r="333" spans="1:42" s="69" customFormat="1" x14ac:dyDescent="0.6">
      <c r="A333" s="78" t="str">
        <f t="shared" si="171"/>
        <v/>
      </c>
      <c r="B333" s="78" t="str">
        <f>IF(E333&lt;=$F$9,VLOOKUP(KALKULATOR!A333,Robocze!$B$23:$C$102,2),"")</f>
        <v/>
      </c>
      <c r="C333" s="78" t="str">
        <f t="shared" si="174"/>
        <v/>
      </c>
      <c r="D333" s="79" t="str">
        <f t="shared" si="188"/>
        <v/>
      </c>
      <c r="E333" s="80" t="str">
        <f t="shared" si="189"/>
        <v/>
      </c>
      <c r="F333" s="81" t="str">
        <f t="shared" si="175"/>
        <v/>
      </c>
      <c r="G333" s="82" t="str">
        <f>IFERROR(IF(AND(F333&lt;=$F$9,$F$5=Robocze!$B$4,$E333&lt;=$F$9,MONTH($F$8)=MONTH(E333)),$F$4,0)+IF(AND(F333&lt;=$F$9,$F$5=Robocze!$B$3,E333&lt;=$F$9),KALKULATOR!$F$4/12,0),"")</f>
        <v/>
      </c>
      <c r="H333" s="82" t="str">
        <f t="shared" si="176"/>
        <v/>
      </c>
      <c r="I333" s="83" t="str">
        <f t="shared" si="172"/>
        <v/>
      </c>
      <c r="J333" s="82" t="str">
        <f t="shared" si="193"/>
        <v/>
      </c>
      <c r="K333" s="84" t="str">
        <f t="shared" si="194"/>
        <v/>
      </c>
      <c r="L333" s="82" t="str">
        <f t="shared" si="195"/>
        <v/>
      </c>
      <c r="M333" s="82" t="str">
        <f t="shared" si="196"/>
        <v/>
      </c>
      <c r="N333" s="82" t="str">
        <f t="shared" si="197"/>
        <v/>
      </c>
      <c r="O333" s="82" t="str">
        <f t="shared" si="198"/>
        <v/>
      </c>
      <c r="P333" s="82" t="str">
        <f t="shared" si="199"/>
        <v/>
      </c>
      <c r="Q333" s="82" t="str">
        <f t="shared" si="200"/>
        <v/>
      </c>
      <c r="R333" s="82"/>
      <c r="S333" s="85" t="str">
        <f t="shared" si="173"/>
        <v/>
      </c>
      <c r="T333" s="82" t="str">
        <f t="shared" si="190"/>
        <v/>
      </c>
      <c r="U333" s="82" t="str">
        <f t="shared" si="177"/>
        <v/>
      </c>
      <c r="V333" s="85" t="str">
        <f t="shared" si="178"/>
        <v/>
      </c>
      <c r="W333" s="82" t="str">
        <f t="shared" si="179"/>
        <v/>
      </c>
      <c r="X333" s="82" t="str">
        <f>IF(B333&lt;&gt;"",IF(MONTH(E333)=MONTH($F$13),SUMIF($C$22:C715,"="&amp;(C333-1),$G$22:G715),0)*S333,"")</f>
        <v/>
      </c>
      <c r="Y333" s="82" t="str">
        <f>IF(B333&lt;&gt;"",SUM($X$22:X333),"")</f>
        <v/>
      </c>
      <c r="Z333" s="82" t="str">
        <f t="shared" si="191"/>
        <v/>
      </c>
      <c r="AA333" s="82" t="str">
        <f t="shared" si="180"/>
        <v/>
      </c>
      <c r="AB333" s="82" t="str">
        <f t="shared" si="181"/>
        <v/>
      </c>
      <c r="AC333" s="82" t="str">
        <f t="shared" si="182"/>
        <v/>
      </c>
      <c r="AD333" s="82" t="str">
        <f>IFERROR($U333*(1-$V333)+SUM($W$22:$W333)+$AB333,"")</f>
        <v/>
      </c>
      <c r="AE333" s="73" t="b">
        <f t="shared" si="183"/>
        <v>1</v>
      </c>
      <c r="AF333" s="82" t="e">
        <f>IF(AND(AE333=TRUE,D333&gt;=65),$U333*(1-10%)+SUM($W$22:$W333)+$AB333,AD333)</f>
        <v>#VALUE!</v>
      </c>
      <c r="AG333" s="82" t="str">
        <f t="shared" si="201"/>
        <v/>
      </c>
      <c r="AH333" s="82" t="str">
        <f t="shared" si="202"/>
        <v/>
      </c>
      <c r="AI333" s="82" t="str">
        <f t="shared" si="203"/>
        <v/>
      </c>
      <c r="AJ333" s="82" t="str">
        <f t="shared" si="204"/>
        <v/>
      </c>
      <c r="AK333" s="73" t="b">
        <f t="shared" si="184"/>
        <v>1</v>
      </c>
      <c r="AL333" s="82" t="str">
        <f t="shared" si="205"/>
        <v/>
      </c>
      <c r="AM333" s="82" t="str">
        <f t="shared" si="192"/>
        <v/>
      </c>
      <c r="AN333" s="82" t="str">
        <f t="shared" si="185"/>
        <v/>
      </c>
      <c r="AO333" s="82" t="str">
        <f t="shared" si="186"/>
        <v/>
      </c>
      <c r="AP333" s="82" t="str">
        <f t="shared" si="187"/>
        <v/>
      </c>
    </row>
    <row r="334" spans="1:42" s="31" customFormat="1" x14ac:dyDescent="0.6">
      <c r="A334" s="70" t="str">
        <f t="shared" si="171"/>
        <v/>
      </c>
      <c r="B334" s="70" t="str">
        <f>IF(E334&lt;=$F$9,VLOOKUP(KALKULATOR!A334,Robocze!$B$23:$C$102,2),"")</f>
        <v/>
      </c>
      <c r="C334" s="70" t="str">
        <f t="shared" si="174"/>
        <v/>
      </c>
      <c r="D334" s="71" t="str">
        <f t="shared" si="188"/>
        <v/>
      </c>
      <c r="E334" s="72" t="str">
        <f t="shared" si="189"/>
        <v/>
      </c>
      <c r="F334" s="72" t="str">
        <f t="shared" si="175"/>
        <v/>
      </c>
      <c r="G334" s="73" t="str">
        <f>IFERROR(IF(AND(F334&lt;=$F$9,$F$5=Robocze!$B$4,$E334&lt;=$F$9,MONTH($F$8)=MONTH(E334)),$F$4,0)+IF(AND(F334&lt;=$F$9,$F$5=Robocze!$B$3,E334&lt;=$F$9),KALKULATOR!$F$4/12,0),"")</f>
        <v/>
      </c>
      <c r="H334" s="73" t="str">
        <f t="shared" si="176"/>
        <v/>
      </c>
      <c r="I334" s="74" t="str">
        <f t="shared" si="172"/>
        <v/>
      </c>
      <c r="J334" s="73" t="str">
        <f t="shared" si="193"/>
        <v/>
      </c>
      <c r="K334" s="75" t="str">
        <f t="shared" si="194"/>
        <v/>
      </c>
      <c r="L334" s="73" t="str">
        <f t="shared" si="195"/>
        <v/>
      </c>
      <c r="M334" s="73" t="str">
        <f t="shared" si="196"/>
        <v/>
      </c>
      <c r="N334" s="73" t="str">
        <f t="shared" si="197"/>
        <v/>
      </c>
      <c r="O334" s="73" t="str">
        <f t="shared" si="198"/>
        <v/>
      </c>
      <c r="P334" s="73" t="str">
        <f t="shared" si="199"/>
        <v/>
      </c>
      <c r="Q334" s="73" t="str">
        <f t="shared" si="200"/>
        <v/>
      </c>
      <c r="R334" s="73"/>
      <c r="S334" s="76" t="str">
        <f t="shared" si="173"/>
        <v/>
      </c>
      <c r="T334" s="73" t="str">
        <f t="shared" si="190"/>
        <v/>
      </c>
      <c r="U334" s="73" t="str">
        <f t="shared" si="177"/>
        <v/>
      </c>
      <c r="V334" s="76" t="str">
        <f t="shared" si="178"/>
        <v/>
      </c>
      <c r="W334" s="73" t="str">
        <f t="shared" si="179"/>
        <v/>
      </c>
      <c r="X334" s="73" t="str">
        <f>IF(B334&lt;&gt;"",IF(MONTH(E334)=MONTH($F$13),SUMIF($C$22:C716,"="&amp;(C334-1),$G$22:G716),0)*S334,"")</f>
        <v/>
      </c>
      <c r="Y334" s="73" t="str">
        <f>IF(B334&lt;&gt;"",SUM($X$22:X334),"")</f>
        <v/>
      </c>
      <c r="Z334" s="73" t="str">
        <f t="shared" si="191"/>
        <v/>
      </c>
      <c r="AA334" s="73" t="str">
        <f t="shared" si="180"/>
        <v/>
      </c>
      <c r="AB334" s="73" t="str">
        <f t="shared" si="181"/>
        <v/>
      </c>
      <c r="AC334" s="73" t="str">
        <f t="shared" si="182"/>
        <v/>
      </c>
      <c r="AD334" s="73" t="str">
        <f>IFERROR($U334*(1-$V334)+SUM($W$22:$W334)+$AB334,"")</f>
        <v/>
      </c>
      <c r="AE334" s="73" t="b">
        <f t="shared" si="183"/>
        <v>1</v>
      </c>
      <c r="AF334" s="73" t="e">
        <f>IF(AND(AE334=TRUE,D334&gt;=65),$U334*(1-10%)+SUM($W$22:$W334)+$AB334,AD334)</f>
        <v>#VALUE!</v>
      </c>
      <c r="AG334" s="73" t="str">
        <f t="shared" si="201"/>
        <v/>
      </c>
      <c r="AH334" s="73" t="str">
        <f t="shared" si="202"/>
        <v/>
      </c>
      <c r="AI334" s="73" t="str">
        <f t="shared" si="203"/>
        <v/>
      </c>
      <c r="AJ334" s="73" t="str">
        <f t="shared" si="204"/>
        <v/>
      </c>
      <c r="AK334" s="73" t="b">
        <f t="shared" si="184"/>
        <v>1</v>
      </c>
      <c r="AL334" s="73" t="str">
        <f t="shared" si="205"/>
        <v/>
      </c>
      <c r="AM334" s="73" t="str">
        <f t="shared" si="192"/>
        <v/>
      </c>
      <c r="AN334" s="73" t="str">
        <f t="shared" si="185"/>
        <v/>
      </c>
      <c r="AO334" s="73" t="str">
        <f t="shared" si="186"/>
        <v/>
      </c>
      <c r="AP334" s="73" t="str">
        <f t="shared" si="187"/>
        <v/>
      </c>
    </row>
    <row r="335" spans="1:42" s="31" customFormat="1" x14ac:dyDescent="0.6">
      <c r="A335" s="70" t="str">
        <f t="shared" si="171"/>
        <v/>
      </c>
      <c r="B335" s="70" t="str">
        <f>IF(E335&lt;=$F$9,VLOOKUP(KALKULATOR!A335,Robocze!$B$23:$C$102,2),"")</f>
        <v/>
      </c>
      <c r="C335" s="70" t="str">
        <f t="shared" si="174"/>
        <v/>
      </c>
      <c r="D335" s="71" t="str">
        <f t="shared" si="188"/>
        <v/>
      </c>
      <c r="E335" s="77" t="str">
        <f t="shared" si="189"/>
        <v/>
      </c>
      <c r="F335" s="72" t="str">
        <f t="shared" si="175"/>
        <v/>
      </c>
      <c r="G335" s="73" t="str">
        <f>IFERROR(IF(AND(F335&lt;=$F$9,$F$5=Robocze!$B$4,$E335&lt;=$F$9,MONTH($F$8)=MONTH(E335)),$F$4,0)+IF(AND(F335&lt;=$F$9,$F$5=Robocze!$B$3,E335&lt;=$F$9),KALKULATOR!$F$4/12,0),"")</f>
        <v/>
      </c>
      <c r="H335" s="73" t="str">
        <f t="shared" si="176"/>
        <v/>
      </c>
      <c r="I335" s="74" t="str">
        <f t="shared" si="172"/>
        <v/>
      </c>
      <c r="J335" s="73" t="str">
        <f t="shared" si="193"/>
        <v/>
      </c>
      <c r="K335" s="75" t="str">
        <f t="shared" si="194"/>
        <v/>
      </c>
      <c r="L335" s="73" t="str">
        <f t="shared" si="195"/>
        <v/>
      </c>
      <c r="M335" s="73" t="str">
        <f t="shared" si="196"/>
        <v/>
      </c>
      <c r="N335" s="73" t="str">
        <f t="shared" si="197"/>
        <v/>
      </c>
      <c r="O335" s="73" t="str">
        <f t="shared" si="198"/>
        <v/>
      </c>
      <c r="P335" s="73" t="str">
        <f t="shared" si="199"/>
        <v/>
      </c>
      <c r="Q335" s="73" t="str">
        <f t="shared" si="200"/>
        <v/>
      </c>
      <c r="R335" s="73"/>
      <c r="S335" s="76" t="str">
        <f t="shared" si="173"/>
        <v/>
      </c>
      <c r="T335" s="73" t="str">
        <f t="shared" si="190"/>
        <v/>
      </c>
      <c r="U335" s="73" t="str">
        <f t="shared" si="177"/>
        <v/>
      </c>
      <c r="V335" s="76" t="str">
        <f t="shared" si="178"/>
        <v/>
      </c>
      <c r="W335" s="73" t="str">
        <f t="shared" si="179"/>
        <v/>
      </c>
      <c r="X335" s="73" t="str">
        <f>IF(B335&lt;&gt;"",IF(MONTH(E335)=MONTH($F$13),SUMIF($C$22:C717,"="&amp;(C335-1),$G$22:G717),0)*S335,"")</f>
        <v/>
      </c>
      <c r="Y335" s="73" t="str">
        <f>IF(B335&lt;&gt;"",SUM($X$22:X335),"")</f>
        <v/>
      </c>
      <c r="Z335" s="73" t="str">
        <f t="shared" si="191"/>
        <v/>
      </c>
      <c r="AA335" s="73" t="str">
        <f t="shared" si="180"/>
        <v/>
      </c>
      <c r="AB335" s="73" t="str">
        <f t="shared" si="181"/>
        <v/>
      </c>
      <c r="AC335" s="73" t="str">
        <f t="shared" si="182"/>
        <v/>
      </c>
      <c r="AD335" s="73" t="str">
        <f>IFERROR($U335*(1-$V335)+SUM($W$22:$W335)+$AB335,"")</f>
        <v/>
      </c>
      <c r="AE335" s="73" t="b">
        <f t="shared" si="183"/>
        <v>1</v>
      </c>
      <c r="AF335" s="73" t="e">
        <f>IF(AND(AE335=TRUE,D335&gt;=65),$U335*(1-10%)+SUM($W$22:$W335)+$AB335,AD335)</f>
        <v>#VALUE!</v>
      </c>
      <c r="AG335" s="73" t="str">
        <f t="shared" si="201"/>
        <v/>
      </c>
      <c r="AH335" s="73" t="str">
        <f t="shared" si="202"/>
        <v/>
      </c>
      <c r="AI335" s="73" t="str">
        <f t="shared" si="203"/>
        <v/>
      </c>
      <c r="AJ335" s="73" t="str">
        <f t="shared" si="204"/>
        <v/>
      </c>
      <c r="AK335" s="73" t="b">
        <f t="shared" si="184"/>
        <v>1</v>
      </c>
      <c r="AL335" s="73" t="str">
        <f t="shared" si="205"/>
        <v/>
      </c>
      <c r="AM335" s="73" t="str">
        <f t="shared" si="192"/>
        <v/>
      </c>
      <c r="AN335" s="73" t="str">
        <f t="shared" si="185"/>
        <v/>
      </c>
      <c r="AO335" s="73" t="str">
        <f t="shared" si="186"/>
        <v/>
      </c>
      <c r="AP335" s="73" t="str">
        <f t="shared" si="187"/>
        <v/>
      </c>
    </row>
    <row r="336" spans="1:42" s="31" customFormat="1" x14ac:dyDescent="0.6">
      <c r="A336" s="70" t="str">
        <f t="shared" si="171"/>
        <v/>
      </c>
      <c r="B336" s="70" t="str">
        <f>IF(E336&lt;=$F$9,VLOOKUP(KALKULATOR!A336,Robocze!$B$23:$C$102,2),"")</f>
        <v/>
      </c>
      <c r="C336" s="70" t="str">
        <f t="shared" si="174"/>
        <v/>
      </c>
      <c r="D336" s="71" t="str">
        <f t="shared" si="188"/>
        <v/>
      </c>
      <c r="E336" s="77" t="str">
        <f t="shared" si="189"/>
        <v/>
      </c>
      <c r="F336" s="72" t="str">
        <f t="shared" si="175"/>
        <v/>
      </c>
      <c r="G336" s="73" t="str">
        <f>IFERROR(IF(AND(F336&lt;=$F$9,$F$5=Robocze!$B$4,$E336&lt;=$F$9,MONTH($F$8)=MONTH(E336)),$F$4,0)+IF(AND(F336&lt;=$F$9,$F$5=Robocze!$B$3,E336&lt;=$F$9),KALKULATOR!$F$4/12,0),"")</f>
        <v/>
      </c>
      <c r="H336" s="73" t="str">
        <f t="shared" si="176"/>
        <v/>
      </c>
      <c r="I336" s="74" t="str">
        <f t="shared" si="172"/>
        <v/>
      </c>
      <c r="J336" s="73" t="str">
        <f t="shared" si="193"/>
        <v/>
      </c>
      <c r="K336" s="75" t="str">
        <f t="shared" si="194"/>
        <v/>
      </c>
      <c r="L336" s="73" t="str">
        <f t="shared" si="195"/>
        <v/>
      </c>
      <c r="M336" s="73" t="str">
        <f t="shared" si="196"/>
        <v/>
      </c>
      <c r="N336" s="73" t="str">
        <f t="shared" si="197"/>
        <v/>
      </c>
      <c r="O336" s="73" t="str">
        <f t="shared" si="198"/>
        <v/>
      </c>
      <c r="P336" s="73" t="str">
        <f t="shared" si="199"/>
        <v/>
      </c>
      <c r="Q336" s="73" t="str">
        <f t="shared" si="200"/>
        <v/>
      </c>
      <c r="R336" s="73"/>
      <c r="S336" s="76" t="str">
        <f t="shared" si="173"/>
        <v/>
      </c>
      <c r="T336" s="73" t="str">
        <f t="shared" si="190"/>
        <v/>
      </c>
      <c r="U336" s="73" t="str">
        <f t="shared" si="177"/>
        <v/>
      </c>
      <c r="V336" s="76" t="str">
        <f t="shared" si="178"/>
        <v/>
      </c>
      <c r="W336" s="73" t="str">
        <f t="shared" si="179"/>
        <v/>
      </c>
      <c r="X336" s="73" t="str">
        <f>IF(B336&lt;&gt;"",IF(MONTH(E336)=MONTH($F$13),SUMIF($C$22:C718,"="&amp;(C336-1),$G$22:G718),0)*S336,"")</f>
        <v/>
      </c>
      <c r="Y336" s="73" t="str">
        <f>IF(B336&lt;&gt;"",SUM($X$22:X336),"")</f>
        <v/>
      </c>
      <c r="Z336" s="73" t="str">
        <f t="shared" si="191"/>
        <v/>
      </c>
      <c r="AA336" s="73" t="str">
        <f t="shared" si="180"/>
        <v/>
      </c>
      <c r="AB336" s="73" t="str">
        <f t="shared" si="181"/>
        <v/>
      </c>
      <c r="AC336" s="73" t="str">
        <f t="shared" si="182"/>
        <v/>
      </c>
      <c r="AD336" s="73" t="str">
        <f>IFERROR($U336*(1-$V336)+SUM($W$22:$W336)+$AB336,"")</f>
        <v/>
      </c>
      <c r="AE336" s="73" t="b">
        <f t="shared" si="183"/>
        <v>1</v>
      </c>
      <c r="AF336" s="73" t="e">
        <f>IF(AND(AE336=TRUE,D336&gt;=65),$U336*(1-10%)+SUM($W$22:$W336)+$AB336,AD336)</f>
        <v>#VALUE!</v>
      </c>
      <c r="AG336" s="73" t="str">
        <f t="shared" si="201"/>
        <v/>
      </c>
      <c r="AH336" s="73" t="str">
        <f t="shared" si="202"/>
        <v/>
      </c>
      <c r="AI336" s="73" t="str">
        <f t="shared" si="203"/>
        <v/>
      </c>
      <c r="AJ336" s="73" t="str">
        <f t="shared" si="204"/>
        <v/>
      </c>
      <c r="AK336" s="73" t="b">
        <f t="shared" si="184"/>
        <v>1</v>
      </c>
      <c r="AL336" s="73" t="str">
        <f t="shared" si="205"/>
        <v/>
      </c>
      <c r="AM336" s="73" t="str">
        <f t="shared" si="192"/>
        <v/>
      </c>
      <c r="AN336" s="73" t="str">
        <f t="shared" si="185"/>
        <v/>
      </c>
      <c r="AO336" s="73" t="str">
        <f t="shared" si="186"/>
        <v/>
      </c>
      <c r="AP336" s="73" t="str">
        <f t="shared" si="187"/>
        <v/>
      </c>
    </row>
    <row r="337" spans="1:42" s="31" customFormat="1" x14ac:dyDescent="0.6">
      <c r="A337" s="70" t="str">
        <f t="shared" si="171"/>
        <v/>
      </c>
      <c r="B337" s="70" t="str">
        <f>IF(E337&lt;=$F$9,VLOOKUP(KALKULATOR!A337,Robocze!$B$23:$C$102,2),"")</f>
        <v/>
      </c>
      <c r="C337" s="70" t="str">
        <f t="shared" si="174"/>
        <v/>
      </c>
      <c r="D337" s="71" t="str">
        <f t="shared" si="188"/>
        <v/>
      </c>
      <c r="E337" s="77" t="str">
        <f t="shared" si="189"/>
        <v/>
      </c>
      <c r="F337" s="72" t="str">
        <f t="shared" si="175"/>
        <v/>
      </c>
      <c r="G337" s="73" t="str">
        <f>IFERROR(IF(AND(F337&lt;=$F$9,$F$5=Robocze!$B$4,$E337&lt;=$F$9,MONTH($F$8)=MONTH(E337)),$F$4,0)+IF(AND(F337&lt;=$F$9,$F$5=Robocze!$B$3,E337&lt;=$F$9),KALKULATOR!$F$4/12,0),"")</f>
        <v/>
      </c>
      <c r="H337" s="73" t="str">
        <f t="shared" si="176"/>
        <v/>
      </c>
      <c r="I337" s="74" t="str">
        <f t="shared" si="172"/>
        <v/>
      </c>
      <c r="J337" s="73" t="str">
        <f t="shared" si="193"/>
        <v/>
      </c>
      <c r="K337" s="75" t="str">
        <f t="shared" si="194"/>
        <v/>
      </c>
      <c r="L337" s="73" t="str">
        <f t="shared" si="195"/>
        <v/>
      </c>
      <c r="M337" s="73" t="str">
        <f t="shared" si="196"/>
        <v/>
      </c>
      <c r="N337" s="73" t="str">
        <f t="shared" si="197"/>
        <v/>
      </c>
      <c r="O337" s="73" t="str">
        <f t="shared" si="198"/>
        <v/>
      </c>
      <c r="P337" s="73" t="str">
        <f t="shared" si="199"/>
        <v/>
      </c>
      <c r="Q337" s="73" t="str">
        <f t="shared" si="200"/>
        <v/>
      </c>
      <c r="R337" s="73"/>
      <c r="S337" s="76" t="str">
        <f t="shared" si="173"/>
        <v/>
      </c>
      <c r="T337" s="73" t="str">
        <f t="shared" si="190"/>
        <v/>
      </c>
      <c r="U337" s="73" t="str">
        <f t="shared" si="177"/>
        <v/>
      </c>
      <c r="V337" s="76" t="str">
        <f t="shared" si="178"/>
        <v/>
      </c>
      <c r="W337" s="73" t="str">
        <f t="shared" si="179"/>
        <v/>
      </c>
      <c r="X337" s="73" t="str">
        <f>IF(B337&lt;&gt;"",IF(MONTH(E337)=MONTH($F$13),SUMIF($C$22:C719,"="&amp;(C337-1),$G$22:G719),0)*S337,"")</f>
        <v/>
      </c>
      <c r="Y337" s="73" t="str">
        <f>IF(B337&lt;&gt;"",SUM($X$22:X337),"")</f>
        <v/>
      </c>
      <c r="Z337" s="73" t="str">
        <f t="shared" si="191"/>
        <v/>
      </c>
      <c r="AA337" s="73" t="str">
        <f t="shared" si="180"/>
        <v/>
      </c>
      <c r="AB337" s="73" t="str">
        <f t="shared" si="181"/>
        <v/>
      </c>
      <c r="AC337" s="73" t="str">
        <f t="shared" si="182"/>
        <v/>
      </c>
      <c r="AD337" s="73" t="str">
        <f>IFERROR($U337*(1-$V337)+SUM($W$22:$W337)+$AB337,"")</f>
        <v/>
      </c>
      <c r="AE337" s="73" t="b">
        <f t="shared" si="183"/>
        <v>1</v>
      </c>
      <c r="AF337" s="73" t="e">
        <f>IF(AND(AE337=TRUE,D337&gt;=65),$U337*(1-10%)+SUM($W$22:$W337)+$AB337,AD337)</f>
        <v>#VALUE!</v>
      </c>
      <c r="AG337" s="73" t="str">
        <f t="shared" si="201"/>
        <v/>
      </c>
      <c r="AH337" s="73" t="str">
        <f t="shared" si="202"/>
        <v/>
      </c>
      <c r="AI337" s="73" t="str">
        <f t="shared" si="203"/>
        <v/>
      </c>
      <c r="AJ337" s="73" t="str">
        <f t="shared" si="204"/>
        <v/>
      </c>
      <c r="AK337" s="73" t="b">
        <f t="shared" si="184"/>
        <v>1</v>
      </c>
      <c r="AL337" s="73" t="str">
        <f t="shared" si="205"/>
        <v/>
      </c>
      <c r="AM337" s="73" t="str">
        <f t="shared" si="192"/>
        <v/>
      </c>
      <c r="AN337" s="73" t="str">
        <f t="shared" si="185"/>
        <v/>
      </c>
      <c r="AO337" s="73" t="str">
        <f t="shared" si="186"/>
        <v/>
      </c>
      <c r="AP337" s="73" t="str">
        <f t="shared" si="187"/>
        <v/>
      </c>
    </row>
    <row r="338" spans="1:42" s="31" customFormat="1" x14ac:dyDescent="0.6">
      <c r="A338" s="70" t="str">
        <f t="shared" si="171"/>
        <v/>
      </c>
      <c r="B338" s="70" t="str">
        <f>IF(E338&lt;=$F$9,VLOOKUP(KALKULATOR!A338,Robocze!$B$23:$C$102,2),"")</f>
        <v/>
      </c>
      <c r="C338" s="70" t="str">
        <f t="shared" si="174"/>
        <v/>
      </c>
      <c r="D338" s="71" t="str">
        <f t="shared" si="188"/>
        <v/>
      </c>
      <c r="E338" s="77" t="str">
        <f t="shared" si="189"/>
        <v/>
      </c>
      <c r="F338" s="72" t="str">
        <f t="shared" si="175"/>
        <v/>
      </c>
      <c r="G338" s="73" t="str">
        <f>IFERROR(IF(AND(F338&lt;=$F$9,$F$5=Robocze!$B$4,$E338&lt;=$F$9,MONTH($F$8)=MONTH(E338)),$F$4,0)+IF(AND(F338&lt;=$F$9,$F$5=Robocze!$B$3,E338&lt;=$F$9),KALKULATOR!$F$4/12,0),"")</f>
        <v/>
      </c>
      <c r="H338" s="73" t="str">
        <f t="shared" si="176"/>
        <v/>
      </c>
      <c r="I338" s="74" t="str">
        <f t="shared" si="172"/>
        <v/>
      </c>
      <c r="J338" s="73" t="str">
        <f t="shared" si="193"/>
        <v/>
      </c>
      <c r="K338" s="75" t="str">
        <f t="shared" si="194"/>
        <v/>
      </c>
      <c r="L338" s="73" t="str">
        <f t="shared" si="195"/>
        <v/>
      </c>
      <c r="M338" s="73" t="str">
        <f t="shared" si="196"/>
        <v/>
      </c>
      <c r="N338" s="73" t="str">
        <f t="shared" si="197"/>
        <v/>
      </c>
      <c r="O338" s="73" t="str">
        <f t="shared" si="198"/>
        <v/>
      </c>
      <c r="P338" s="73" t="str">
        <f t="shared" si="199"/>
        <v/>
      </c>
      <c r="Q338" s="73" t="str">
        <f t="shared" si="200"/>
        <v/>
      </c>
      <c r="R338" s="73"/>
      <c r="S338" s="76" t="str">
        <f t="shared" si="173"/>
        <v/>
      </c>
      <c r="T338" s="73" t="str">
        <f t="shared" si="190"/>
        <v/>
      </c>
      <c r="U338" s="73" t="str">
        <f t="shared" si="177"/>
        <v/>
      </c>
      <c r="V338" s="76" t="str">
        <f t="shared" si="178"/>
        <v/>
      </c>
      <c r="W338" s="73" t="str">
        <f t="shared" si="179"/>
        <v/>
      </c>
      <c r="X338" s="73" t="str">
        <f>IF(B338&lt;&gt;"",IF(MONTH(E338)=MONTH($F$13),SUMIF($C$22:C720,"="&amp;(C338-1),$G$22:G720),0)*S338,"")</f>
        <v/>
      </c>
      <c r="Y338" s="73" t="str">
        <f>IF(B338&lt;&gt;"",SUM($X$22:X338),"")</f>
        <v/>
      </c>
      <c r="Z338" s="73" t="str">
        <f t="shared" si="191"/>
        <v/>
      </c>
      <c r="AA338" s="73" t="str">
        <f t="shared" si="180"/>
        <v/>
      </c>
      <c r="AB338" s="73" t="str">
        <f t="shared" si="181"/>
        <v/>
      </c>
      <c r="AC338" s="73" t="str">
        <f t="shared" si="182"/>
        <v/>
      </c>
      <c r="AD338" s="73" t="str">
        <f>IFERROR($U338*(1-$V338)+SUM($W$22:$W338)+$AB338,"")</f>
        <v/>
      </c>
      <c r="AE338" s="73" t="b">
        <f t="shared" si="183"/>
        <v>1</v>
      </c>
      <c r="AF338" s="73" t="e">
        <f>IF(AND(AE338=TRUE,D338&gt;=65),$U338*(1-10%)+SUM($W$22:$W338)+$AB338,AD338)</f>
        <v>#VALUE!</v>
      </c>
      <c r="AG338" s="73" t="str">
        <f t="shared" si="201"/>
        <v/>
      </c>
      <c r="AH338" s="73" t="str">
        <f t="shared" si="202"/>
        <v/>
      </c>
      <c r="AI338" s="73" t="str">
        <f t="shared" si="203"/>
        <v/>
      </c>
      <c r="AJ338" s="73" t="str">
        <f t="shared" si="204"/>
        <v/>
      </c>
      <c r="AK338" s="73" t="b">
        <f t="shared" si="184"/>
        <v>1</v>
      </c>
      <c r="AL338" s="73" t="str">
        <f t="shared" si="205"/>
        <v/>
      </c>
      <c r="AM338" s="73" t="str">
        <f t="shared" si="192"/>
        <v/>
      </c>
      <c r="AN338" s="73" t="str">
        <f t="shared" si="185"/>
        <v/>
      </c>
      <c r="AO338" s="73" t="str">
        <f t="shared" si="186"/>
        <v/>
      </c>
      <c r="AP338" s="73" t="str">
        <f t="shared" si="187"/>
        <v/>
      </c>
    </row>
    <row r="339" spans="1:42" s="31" customFormat="1" x14ac:dyDescent="0.6">
      <c r="A339" s="70" t="str">
        <f t="shared" si="171"/>
        <v/>
      </c>
      <c r="B339" s="70" t="str">
        <f>IF(E339&lt;=$F$9,VLOOKUP(KALKULATOR!A339,Robocze!$B$23:$C$102,2),"")</f>
        <v/>
      </c>
      <c r="C339" s="70" t="str">
        <f t="shared" si="174"/>
        <v/>
      </c>
      <c r="D339" s="71" t="str">
        <f t="shared" si="188"/>
        <v/>
      </c>
      <c r="E339" s="77" t="str">
        <f t="shared" si="189"/>
        <v/>
      </c>
      <c r="F339" s="72" t="str">
        <f t="shared" si="175"/>
        <v/>
      </c>
      <c r="G339" s="73" t="str">
        <f>IFERROR(IF(AND(F339&lt;=$F$9,$F$5=Robocze!$B$4,$E339&lt;=$F$9,MONTH($F$8)=MONTH(E339)),$F$4,0)+IF(AND(F339&lt;=$F$9,$F$5=Robocze!$B$3,E339&lt;=$F$9),KALKULATOR!$F$4/12,0),"")</f>
        <v/>
      </c>
      <c r="H339" s="73" t="str">
        <f t="shared" si="176"/>
        <v/>
      </c>
      <c r="I339" s="74" t="str">
        <f t="shared" si="172"/>
        <v/>
      </c>
      <c r="J339" s="73" t="str">
        <f t="shared" si="193"/>
        <v/>
      </c>
      <c r="K339" s="75" t="str">
        <f t="shared" si="194"/>
        <v/>
      </c>
      <c r="L339" s="73" t="str">
        <f t="shared" si="195"/>
        <v/>
      </c>
      <c r="M339" s="73" t="str">
        <f t="shared" si="196"/>
        <v/>
      </c>
      <c r="N339" s="73" t="str">
        <f t="shared" si="197"/>
        <v/>
      </c>
      <c r="O339" s="73" t="str">
        <f t="shared" si="198"/>
        <v/>
      </c>
      <c r="P339" s="73" t="str">
        <f t="shared" si="199"/>
        <v/>
      </c>
      <c r="Q339" s="73" t="str">
        <f t="shared" si="200"/>
        <v/>
      </c>
      <c r="R339" s="73"/>
      <c r="S339" s="76" t="str">
        <f t="shared" si="173"/>
        <v/>
      </c>
      <c r="T339" s="73" t="str">
        <f t="shared" si="190"/>
        <v/>
      </c>
      <c r="U339" s="73" t="str">
        <f t="shared" si="177"/>
        <v/>
      </c>
      <c r="V339" s="76" t="str">
        <f t="shared" si="178"/>
        <v/>
      </c>
      <c r="W339" s="73" t="str">
        <f t="shared" si="179"/>
        <v/>
      </c>
      <c r="X339" s="73" t="str">
        <f>IF(B339&lt;&gt;"",IF(MONTH(E339)=MONTH($F$13),SUMIF($C$22:C721,"="&amp;(C339-1),$G$22:G721),0)*S339,"")</f>
        <v/>
      </c>
      <c r="Y339" s="73" t="str">
        <f>IF(B339&lt;&gt;"",SUM($X$22:X339),"")</f>
        <v/>
      </c>
      <c r="Z339" s="73" t="str">
        <f t="shared" si="191"/>
        <v/>
      </c>
      <c r="AA339" s="73" t="str">
        <f t="shared" si="180"/>
        <v/>
      </c>
      <c r="AB339" s="73" t="str">
        <f t="shared" si="181"/>
        <v/>
      </c>
      <c r="AC339" s="73" t="str">
        <f t="shared" si="182"/>
        <v/>
      </c>
      <c r="AD339" s="73" t="str">
        <f>IFERROR($U339*(1-$V339)+SUM($W$22:$W339)+$AB339,"")</f>
        <v/>
      </c>
      <c r="AE339" s="73" t="b">
        <f t="shared" si="183"/>
        <v>1</v>
      </c>
      <c r="AF339" s="73" t="e">
        <f>IF(AND(AE339=TRUE,D339&gt;=65),$U339*(1-10%)+SUM($W$22:$W339)+$AB339,AD339)</f>
        <v>#VALUE!</v>
      </c>
      <c r="AG339" s="73" t="str">
        <f t="shared" si="201"/>
        <v/>
      </c>
      <c r="AH339" s="73" t="str">
        <f t="shared" si="202"/>
        <v/>
      </c>
      <c r="AI339" s="73" t="str">
        <f t="shared" si="203"/>
        <v/>
      </c>
      <c r="AJ339" s="73" t="str">
        <f t="shared" si="204"/>
        <v/>
      </c>
      <c r="AK339" s="73" t="b">
        <f t="shared" si="184"/>
        <v>1</v>
      </c>
      <c r="AL339" s="73" t="str">
        <f t="shared" si="205"/>
        <v/>
      </c>
      <c r="AM339" s="73" t="str">
        <f t="shared" si="192"/>
        <v/>
      </c>
      <c r="AN339" s="73" t="str">
        <f t="shared" si="185"/>
        <v/>
      </c>
      <c r="AO339" s="73" t="str">
        <f t="shared" si="186"/>
        <v/>
      </c>
      <c r="AP339" s="73" t="str">
        <f t="shared" si="187"/>
        <v/>
      </c>
    </row>
    <row r="340" spans="1:42" s="31" customFormat="1" x14ac:dyDescent="0.6">
      <c r="A340" s="70" t="str">
        <f t="shared" si="171"/>
        <v/>
      </c>
      <c r="B340" s="70" t="str">
        <f>IF(E340&lt;=$F$9,VLOOKUP(KALKULATOR!A340,Robocze!$B$23:$C$102,2),"")</f>
        <v/>
      </c>
      <c r="C340" s="70" t="str">
        <f t="shared" si="174"/>
        <v/>
      </c>
      <c r="D340" s="71" t="str">
        <f t="shared" si="188"/>
        <v/>
      </c>
      <c r="E340" s="77" t="str">
        <f t="shared" si="189"/>
        <v/>
      </c>
      <c r="F340" s="72" t="str">
        <f t="shared" si="175"/>
        <v/>
      </c>
      <c r="G340" s="73" t="str">
        <f>IFERROR(IF(AND(F340&lt;=$F$9,$F$5=Robocze!$B$4,$E340&lt;=$F$9,MONTH($F$8)=MONTH(E340)),$F$4,0)+IF(AND(F340&lt;=$F$9,$F$5=Robocze!$B$3,E340&lt;=$F$9),KALKULATOR!$F$4/12,0),"")</f>
        <v/>
      </c>
      <c r="H340" s="73" t="str">
        <f t="shared" si="176"/>
        <v/>
      </c>
      <c r="I340" s="74" t="str">
        <f t="shared" si="172"/>
        <v/>
      </c>
      <c r="J340" s="73" t="str">
        <f t="shared" si="193"/>
        <v/>
      </c>
      <c r="K340" s="75" t="str">
        <f t="shared" si="194"/>
        <v/>
      </c>
      <c r="L340" s="73" t="str">
        <f t="shared" si="195"/>
        <v/>
      </c>
      <c r="M340" s="73" t="str">
        <f t="shared" si="196"/>
        <v/>
      </c>
      <c r="N340" s="73" t="str">
        <f t="shared" si="197"/>
        <v/>
      </c>
      <c r="O340" s="73" t="str">
        <f t="shared" si="198"/>
        <v/>
      </c>
      <c r="P340" s="73" t="str">
        <f t="shared" si="199"/>
        <v/>
      </c>
      <c r="Q340" s="73" t="str">
        <f t="shared" si="200"/>
        <v/>
      </c>
      <c r="R340" s="73"/>
      <c r="S340" s="76" t="str">
        <f t="shared" si="173"/>
        <v/>
      </c>
      <c r="T340" s="73" t="str">
        <f t="shared" si="190"/>
        <v/>
      </c>
      <c r="U340" s="73" t="str">
        <f t="shared" si="177"/>
        <v/>
      </c>
      <c r="V340" s="76" t="str">
        <f t="shared" si="178"/>
        <v/>
      </c>
      <c r="W340" s="73" t="str">
        <f t="shared" si="179"/>
        <v/>
      </c>
      <c r="X340" s="73" t="str">
        <f>IF(B340&lt;&gt;"",IF(MONTH(E340)=MONTH($F$13),SUMIF($C$22:C722,"="&amp;(C340-1),$G$22:G722),0)*S340,"")</f>
        <v/>
      </c>
      <c r="Y340" s="73" t="str">
        <f>IF(B340&lt;&gt;"",SUM($X$22:X340),"")</f>
        <v/>
      </c>
      <c r="Z340" s="73" t="str">
        <f t="shared" si="191"/>
        <v/>
      </c>
      <c r="AA340" s="73" t="str">
        <f t="shared" si="180"/>
        <v/>
      </c>
      <c r="AB340" s="73" t="str">
        <f t="shared" si="181"/>
        <v/>
      </c>
      <c r="AC340" s="73" t="str">
        <f t="shared" si="182"/>
        <v/>
      </c>
      <c r="AD340" s="73" t="str">
        <f>IFERROR($U340*(1-$V340)+SUM($W$22:$W340)+$AB340,"")</f>
        <v/>
      </c>
      <c r="AE340" s="73" t="b">
        <f t="shared" si="183"/>
        <v>1</v>
      </c>
      <c r="AF340" s="73" t="e">
        <f>IF(AND(AE340=TRUE,D340&gt;=65),$U340*(1-10%)+SUM($W$22:$W340)+$AB340,AD340)</f>
        <v>#VALUE!</v>
      </c>
      <c r="AG340" s="73" t="str">
        <f t="shared" si="201"/>
        <v/>
      </c>
      <c r="AH340" s="73" t="str">
        <f t="shared" si="202"/>
        <v/>
      </c>
      <c r="AI340" s="73" t="str">
        <f t="shared" si="203"/>
        <v/>
      </c>
      <c r="AJ340" s="73" t="str">
        <f t="shared" si="204"/>
        <v/>
      </c>
      <c r="AK340" s="73" t="b">
        <f t="shared" si="184"/>
        <v>1</v>
      </c>
      <c r="AL340" s="73" t="str">
        <f t="shared" si="205"/>
        <v/>
      </c>
      <c r="AM340" s="73" t="str">
        <f t="shared" si="192"/>
        <v/>
      </c>
      <c r="AN340" s="73" t="str">
        <f t="shared" si="185"/>
        <v/>
      </c>
      <c r="AO340" s="73" t="str">
        <f t="shared" si="186"/>
        <v/>
      </c>
      <c r="AP340" s="73" t="str">
        <f t="shared" si="187"/>
        <v/>
      </c>
    </row>
    <row r="341" spans="1:42" s="31" customFormat="1" x14ac:dyDescent="0.6">
      <c r="A341" s="70" t="str">
        <f t="shared" si="171"/>
        <v/>
      </c>
      <c r="B341" s="70" t="str">
        <f>IF(E341&lt;=$F$9,VLOOKUP(KALKULATOR!A341,Robocze!$B$23:$C$102,2),"")</f>
        <v/>
      </c>
      <c r="C341" s="70" t="str">
        <f t="shared" si="174"/>
        <v/>
      </c>
      <c r="D341" s="71" t="str">
        <f t="shared" si="188"/>
        <v/>
      </c>
      <c r="E341" s="77" t="str">
        <f t="shared" si="189"/>
        <v/>
      </c>
      <c r="F341" s="72" t="str">
        <f t="shared" si="175"/>
        <v/>
      </c>
      <c r="G341" s="73" t="str">
        <f>IFERROR(IF(AND(F341&lt;=$F$9,$F$5=Robocze!$B$4,$E341&lt;=$F$9,MONTH($F$8)=MONTH(E341)),$F$4,0)+IF(AND(F341&lt;=$F$9,$F$5=Robocze!$B$3,E341&lt;=$F$9),KALKULATOR!$F$4/12,0),"")</f>
        <v/>
      </c>
      <c r="H341" s="73" t="str">
        <f t="shared" si="176"/>
        <v/>
      </c>
      <c r="I341" s="74" t="str">
        <f t="shared" si="172"/>
        <v/>
      </c>
      <c r="J341" s="73" t="str">
        <f t="shared" si="193"/>
        <v/>
      </c>
      <c r="K341" s="75" t="str">
        <f t="shared" si="194"/>
        <v/>
      </c>
      <c r="L341" s="73" t="str">
        <f t="shared" si="195"/>
        <v/>
      </c>
      <c r="M341" s="73" t="str">
        <f t="shared" si="196"/>
        <v/>
      </c>
      <c r="N341" s="73" t="str">
        <f t="shared" si="197"/>
        <v/>
      </c>
      <c r="O341" s="73" t="str">
        <f t="shared" si="198"/>
        <v/>
      </c>
      <c r="P341" s="73" t="str">
        <f t="shared" si="199"/>
        <v/>
      </c>
      <c r="Q341" s="73" t="str">
        <f t="shared" si="200"/>
        <v/>
      </c>
      <c r="R341" s="73"/>
      <c r="S341" s="76" t="str">
        <f t="shared" si="173"/>
        <v/>
      </c>
      <c r="T341" s="73" t="str">
        <f t="shared" si="190"/>
        <v/>
      </c>
      <c r="U341" s="73" t="str">
        <f t="shared" si="177"/>
        <v/>
      </c>
      <c r="V341" s="76" t="str">
        <f t="shared" si="178"/>
        <v/>
      </c>
      <c r="W341" s="73" t="str">
        <f t="shared" si="179"/>
        <v/>
      </c>
      <c r="X341" s="73" t="str">
        <f>IF(B341&lt;&gt;"",IF(MONTH(E341)=MONTH($F$13),SUMIF($C$22:C723,"="&amp;(C341-1),$G$22:G723),0)*S341,"")</f>
        <v/>
      </c>
      <c r="Y341" s="73" t="str">
        <f>IF(B341&lt;&gt;"",SUM($X$22:X341),"")</f>
        <v/>
      </c>
      <c r="Z341" s="73" t="str">
        <f t="shared" si="191"/>
        <v/>
      </c>
      <c r="AA341" s="73" t="str">
        <f t="shared" si="180"/>
        <v/>
      </c>
      <c r="AB341" s="73" t="str">
        <f t="shared" si="181"/>
        <v/>
      </c>
      <c r="AC341" s="73" t="str">
        <f t="shared" si="182"/>
        <v/>
      </c>
      <c r="AD341" s="73" t="str">
        <f>IFERROR($U341*(1-$V341)+SUM($W$22:$W341)+$AB341,"")</f>
        <v/>
      </c>
      <c r="AE341" s="73" t="b">
        <f t="shared" si="183"/>
        <v>1</v>
      </c>
      <c r="AF341" s="73" t="e">
        <f>IF(AND(AE341=TRUE,D341&gt;=65),$U341*(1-10%)+SUM($W$22:$W341)+$AB341,AD341)</f>
        <v>#VALUE!</v>
      </c>
      <c r="AG341" s="73" t="str">
        <f t="shared" si="201"/>
        <v/>
      </c>
      <c r="AH341" s="73" t="str">
        <f t="shared" si="202"/>
        <v/>
      </c>
      <c r="AI341" s="73" t="str">
        <f t="shared" si="203"/>
        <v/>
      </c>
      <c r="AJ341" s="73" t="str">
        <f t="shared" si="204"/>
        <v/>
      </c>
      <c r="AK341" s="73" t="b">
        <f t="shared" si="184"/>
        <v>1</v>
      </c>
      <c r="AL341" s="73" t="str">
        <f t="shared" si="205"/>
        <v/>
      </c>
      <c r="AM341" s="73" t="str">
        <f t="shared" si="192"/>
        <v/>
      </c>
      <c r="AN341" s="73" t="str">
        <f t="shared" si="185"/>
        <v/>
      </c>
      <c r="AO341" s="73" t="str">
        <f t="shared" si="186"/>
        <v/>
      </c>
      <c r="AP341" s="73" t="str">
        <f t="shared" si="187"/>
        <v/>
      </c>
    </row>
    <row r="342" spans="1:42" s="31" customFormat="1" x14ac:dyDescent="0.6">
      <c r="A342" s="70" t="str">
        <f t="shared" ref="A342:A405" si="206">IFERROR(IF((A341+1)&lt;=$F$7*12,A341+1,""),"")</f>
        <v/>
      </c>
      <c r="B342" s="70" t="str">
        <f>IF(E342&lt;=$F$9,VLOOKUP(KALKULATOR!A342,Robocze!$B$23:$C$102,2),"")</f>
        <v/>
      </c>
      <c r="C342" s="70" t="str">
        <f t="shared" si="174"/>
        <v/>
      </c>
      <c r="D342" s="71" t="str">
        <f t="shared" si="188"/>
        <v/>
      </c>
      <c r="E342" s="77" t="str">
        <f t="shared" si="189"/>
        <v/>
      </c>
      <c r="F342" s="72" t="str">
        <f t="shared" si="175"/>
        <v/>
      </c>
      <c r="G342" s="73" t="str">
        <f>IFERROR(IF(AND(F342&lt;=$F$9,$F$5=Robocze!$B$4,$E342&lt;=$F$9,MONTH($F$8)=MONTH(E342)),$F$4,0)+IF(AND(F342&lt;=$F$9,$F$5=Robocze!$B$3,E342&lt;=$F$9),KALKULATOR!$F$4/12,0),"")</f>
        <v/>
      </c>
      <c r="H342" s="73" t="str">
        <f t="shared" si="176"/>
        <v/>
      </c>
      <c r="I342" s="74" t="str">
        <f t="shared" ref="I342:I405" si="207">IF(E342&lt;=$F$9,$F$2,"")</f>
        <v/>
      </c>
      <c r="J342" s="73" t="str">
        <f t="shared" si="193"/>
        <v/>
      </c>
      <c r="K342" s="75" t="str">
        <f t="shared" si="194"/>
        <v/>
      </c>
      <c r="L342" s="73" t="str">
        <f t="shared" si="195"/>
        <v/>
      </c>
      <c r="M342" s="73" t="str">
        <f t="shared" si="196"/>
        <v/>
      </c>
      <c r="N342" s="73" t="str">
        <f t="shared" si="197"/>
        <v/>
      </c>
      <c r="O342" s="73" t="str">
        <f t="shared" si="198"/>
        <v/>
      </c>
      <c r="P342" s="73" t="str">
        <f t="shared" si="199"/>
        <v/>
      </c>
      <c r="Q342" s="73" t="str">
        <f t="shared" si="200"/>
        <v/>
      </c>
      <c r="R342" s="73"/>
      <c r="S342" s="76" t="str">
        <f t="shared" ref="S342:S405" si="208">IF(B342&lt;&gt;"",$F$11,"")</f>
        <v/>
      </c>
      <c r="T342" s="73" t="str">
        <f t="shared" si="190"/>
        <v/>
      </c>
      <c r="U342" s="73" t="str">
        <f t="shared" si="177"/>
        <v/>
      </c>
      <c r="V342" s="76" t="str">
        <f t="shared" si="178"/>
        <v/>
      </c>
      <c r="W342" s="73" t="str">
        <f t="shared" si="179"/>
        <v/>
      </c>
      <c r="X342" s="73" t="str">
        <f>IF(B342&lt;&gt;"",IF(MONTH(E342)=MONTH($F$13),SUMIF($C$22:C724,"="&amp;(C342-1),$G$22:G724),0)*S342,"")</f>
        <v/>
      </c>
      <c r="Y342" s="73" t="str">
        <f>IF(B342&lt;&gt;"",SUM($X$22:X342),"")</f>
        <v/>
      </c>
      <c r="Z342" s="73" t="str">
        <f t="shared" si="191"/>
        <v/>
      </c>
      <c r="AA342" s="73" t="str">
        <f t="shared" si="180"/>
        <v/>
      </c>
      <c r="AB342" s="73" t="str">
        <f t="shared" si="181"/>
        <v/>
      </c>
      <c r="AC342" s="73" t="str">
        <f t="shared" si="182"/>
        <v/>
      </c>
      <c r="AD342" s="73" t="str">
        <f>IFERROR($U342*(1-$V342)+SUM($W$22:$W342)+$AB342,"")</f>
        <v/>
      </c>
      <c r="AE342" s="73" t="b">
        <f t="shared" si="183"/>
        <v>1</v>
      </c>
      <c r="AF342" s="73" t="e">
        <f>IF(AND(AE342=TRUE,D342&gt;=65),$U342*(1-10%)+SUM($W$22:$W342)+$AB342,AD342)</f>
        <v>#VALUE!</v>
      </c>
      <c r="AG342" s="73" t="str">
        <f t="shared" si="201"/>
        <v/>
      </c>
      <c r="AH342" s="73" t="str">
        <f t="shared" si="202"/>
        <v/>
      </c>
      <c r="AI342" s="73" t="str">
        <f t="shared" si="203"/>
        <v/>
      </c>
      <c r="AJ342" s="73" t="str">
        <f t="shared" si="204"/>
        <v/>
      </c>
      <c r="AK342" s="73" t="b">
        <f t="shared" si="184"/>
        <v>1</v>
      </c>
      <c r="AL342" s="73" t="str">
        <f t="shared" si="205"/>
        <v/>
      </c>
      <c r="AM342" s="73" t="str">
        <f t="shared" si="192"/>
        <v/>
      </c>
      <c r="AN342" s="73" t="str">
        <f t="shared" si="185"/>
        <v/>
      </c>
      <c r="AO342" s="73" t="str">
        <f t="shared" si="186"/>
        <v/>
      </c>
      <c r="AP342" s="73" t="str">
        <f t="shared" si="187"/>
        <v/>
      </c>
    </row>
    <row r="343" spans="1:42" s="31" customFormat="1" x14ac:dyDescent="0.6">
      <c r="A343" s="70" t="str">
        <f t="shared" si="206"/>
        <v/>
      </c>
      <c r="B343" s="70" t="str">
        <f>IF(E343&lt;=$F$9,VLOOKUP(KALKULATOR!A343,Robocze!$B$23:$C$102,2),"")</f>
        <v/>
      </c>
      <c r="C343" s="70" t="str">
        <f t="shared" ref="C343:C406" si="209">IF(B343="","",YEAR(E343))</f>
        <v/>
      </c>
      <c r="D343" s="71" t="str">
        <f t="shared" si="188"/>
        <v/>
      </c>
      <c r="E343" s="77" t="str">
        <f t="shared" si="189"/>
        <v/>
      </c>
      <c r="F343" s="72" t="str">
        <f t="shared" ref="F343:F406" si="210">IFERROR(EOMONTH(E343,0),"")</f>
        <v/>
      </c>
      <c r="G343" s="73" t="str">
        <f>IFERROR(IF(AND(F343&lt;=$F$9,$F$5=Robocze!$B$4,$E343&lt;=$F$9,MONTH($F$8)=MONTH(E343)),$F$4,0)+IF(AND(F343&lt;=$F$9,$F$5=Robocze!$B$3,E343&lt;=$F$9),KALKULATOR!$F$4/12,0),"")</f>
        <v/>
      </c>
      <c r="H343" s="73" t="str">
        <f t="shared" ref="H343:H406" si="211">IFERROR(H342+G343,"")</f>
        <v/>
      </c>
      <c r="I343" s="74" t="str">
        <f t="shared" si="207"/>
        <v/>
      </c>
      <c r="J343" s="73" t="str">
        <f t="shared" si="193"/>
        <v/>
      </c>
      <c r="K343" s="75" t="str">
        <f t="shared" si="194"/>
        <v/>
      </c>
      <c r="L343" s="73" t="str">
        <f t="shared" si="195"/>
        <v/>
      </c>
      <c r="M343" s="73" t="str">
        <f t="shared" si="196"/>
        <v/>
      </c>
      <c r="N343" s="73" t="str">
        <f t="shared" si="197"/>
        <v/>
      </c>
      <c r="O343" s="73" t="str">
        <f t="shared" si="198"/>
        <v/>
      </c>
      <c r="P343" s="73" t="str">
        <f t="shared" si="199"/>
        <v/>
      </c>
      <c r="Q343" s="73" t="str">
        <f t="shared" si="200"/>
        <v/>
      </c>
      <c r="R343" s="73"/>
      <c r="S343" s="76" t="str">
        <f t="shared" si="208"/>
        <v/>
      </c>
      <c r="T343" s="73" t="str">
        <f t="shared" si="190"/>
        <v/>
      </c>
      <c r="U343" s="73" t="str">
        <f t="shared" ref="U343:U406" si="212">IF(B343&lt;&gt;"",U342+T343-J343+G343,"")</f>
        <v/>
      </c>
      <c r="V343" s="76" t="str">
        <f t="shared" ref="V343:V406" si="213">IF(B343&lt;&gt;"",$F$12,"")</f>
        <v/>
      </c>
      <c r="W343" s="73" t="str">
        <f t="shared" ref="W343:W406" si="214">IF(B343&lt;&gt;"",G343*S343,"")</f>
        <v/>
      </c>
      <c r="X343" s="73" t="str">
        <f>IF(B343&lt;&gt;"",IF(MONTH(E343)=MONTH($F$13),SUMIF($C$22:C725,"="&amp;(C343-1),$G$22:G725),0)*S343,"")</f>
        <v/>
      </c>
      <c r="Y343" s="73" t="str">
        <f>IF(B343&lt;&gt;"",SUM($X$22:X343),"")</f>
        <v/>
      </c>
      <c r="Z343" s="73" t="str">
        <f t="shared" si="191"/>
        <v/>
      </c>
      <c r="AA343" s="73" t="str">
        <f t="shared" ref="AA343:AA406" si="215">IF(B343&lt;&gt;"",MAX(0,Z343*$F$14),"")</f>
        <v/>
      </c>
      <c r="AB343" s="73" t="str">
        <f t="shared" ref="AB343:AB406" si="216">IF(B343&lt;&gt;"",AB342+Z343-AA343,"")</f>
        <v/>
      </c>
      <c r="AC343" s="73" t="str">
        <f t="shared" ref="AC343:AC406" si="217">IF(B343&lt;&gt;"",AC342+Z343-AA343+X343,"")</f>
        <v/>
      </c>
      <c r="AD343" s="73" t="str">
        <f>IFERROR($U343*(1-$V343)+SUM($W$22:$W343)+$AB343,"")</f>
        <v/>
      </c>
      <c r="AE343" s="73" t="b">
        <f t="shared" ref="AE343:AE406" si="218">IFERROR(IF(AE342=TRUE,AE342,AND(YEAR(E343)-YEAR($F$8)&gt;=5,D343&gt;=65)),"")</f>
        <v>1</v>
      </c>
      <c r="AF343" s="73" t="e">
        <f>IF(AND(AE343=TRUE,D343&gt;=65),$U343*(1-10%)+SUM($W$22:$W343)+$AB343,AD343)</f>
        <v>#VALUE!</v>
      </c>
      <c r="AG343" s="73" t="str">
        <f t="shared" si="201"/>
        <v/>
      </c>
      <c r="AH343" s="73" t="str">
        <f t="shared" si="202"/>
        <v/>
      </c>
      <c r="AI343" s="73" t="str">
        <f t="shared" si="203"/>
        <v/>
      </c>
      <c r="AJ343" s="73" t="str">
        <f t="shared" si="204"/>
        <v/>
      </c>
      <c r="AK343" s="73" t="b">
        <f t="shared" ref="AK343:AK406" si="219">IFERROR(IF(AK342=TRUE,AK342,AND(YEAR(E343)-YEAR($F$8)&gt;=5,D343&gt;=55,OR(D343&gt;=60,D343&gt;=$F$10))),"")</f>
        <v>1</v>
      </c>
      <c r="AL343" s="73" t="str">
        <f t="shared" si="205"/>
        <v/>
      </c>
      <c r="AM343" s="73" t="str">
        <f t="shared" si="192"/>
        <v/>
      </c>
      <c r="AN343" s="73" t="str">
        <f t="shared" ref="AN343:AN406" si="220">IF(B343&lt;&gt;"",MAX(0,AM343*$F$14),"")</f>
        <v/>
      </c>
      <c r="AO343" s="73" t="str">
        <f t="shared" ref="AO343:AO406" si="221">IF(B343&lt;&gt;"",AP343-H343,"")</f>
        <v/>
      </c>
      <c r="AP343" s="73" t="str">
        <f t="shared" ref="AP343:AP406" si="222">IF(B343&lt;&gt;"",AP342+G343+AM343-AN343,"")</f>
        <v/>
      </c>
    </row>
    <row r="344" spans="1:42" s="31" customFormat="1" x14ac:dyDescent="0.6">
      <c r="A344" s="70" t="str">
        <f t="shared" si="206"/>
        <v/>
      </c>
      <c r="B344" s="70" t="str">
        <f>IF(E344&lt;=$F$9,VLOOKUP(KALKULATOR!A344,Robocze!$B$23:$C$102,2),"")</f>
        <v/>
      </c>
      <c r="C344" s="70" t="str">
        <f t="shared" si="209"/>
        <v/>
      </c>
      <c r="D344" s="71" t="str">
        <f t="shared" ref="D344:D407" si="223">IF(B344="","",D343+1/12)</f>
        <v/>
      </c>
      <c r="E344" s="77" t="str">
        <f t="shared" ref="E344:E407" si="224">IF(OR(B343="",E343&gt;$F$9,A344=""),"",EDATE(E343,1))</f>
        <v/>
      </c>
      <c r="F344" s="72" t="str">
        <f t="shared" si="210"/>
        <v/>
      </c>
      <c r="G344" s="73" t="str">
        <f>IFERROR(IF(AND(F344&lt;=$F$9,$F$5=Robocze!$B$4,$E344&lt;=$F$9,MONTH($F$8)=MONTH(E344)),$F$4,0)+IF(AND(F344&lt;=$F$9,$F$5=Robocze!$B$3,E344&lt;=$F$9),KALKULATOR!$F$4/12,0),"")</f>
        <v/>
      </c>
      <c r="H344" s="73" t="str">
        <f t="shared" si="211"/>
        <v/>
      </c>
      <c r="I344" s="74" t="str">
        <f t="shared" si="207"/>
        <v/>
      </c>
      <c r="J344" s="73" t="str">
        <f t="shared" si="193"/>
        <v/>
      </c>
      <c r="K344" s="75" t="str">
        <f t="shared" si="194"/>
        <v/>
      </c>
      <c r="L344" s="73" t="str">
        <f t="shared" si="195"/>
        <v/>
      </c>
      <c r="M344" s="73" t="str">
        <f t="shared" si="196"/>
        <v/>
      </c>
      <c r="N344" s="73" t="str">
        <f t="shared" si="197"/>
        <v/>
      </c>
      <c r="O344" s="73" t="str">
        <f t="shared" si="198"/>
        <v/>
      </c>
      <c r="P344" s="73" t="str">
        <f t="shared" si="199"/>
        <v/>
      </c>
      <c r="Q344" s="73" t="str">
        <f t="shared" si="200"/>
        <v/>
      </c>
      <c r="R344" s="73"/>
      <c r="S344" s="76" t="str">
        <f t="shared" si="208"/>
        <v/>
      </c>
      <c r="T344" s="73" t="str">
        <f t="shared" ref="T344:T407" si="225">IF(B344&lt;&gt;"",(U343-J344+G344)*(I344/12),"")</f>
        <v/>
      </c>
      <c r="U344" s="73" t="str">
        <f t="shared" si="212"/>
        <v/>
      </c>
      <c r="V344" s="76" t="str">
        <f t="shared" si="213"/>
        <v/>
      </c>
      <c r="W344" s="73" t="str">
        <f t="shared" si="214"/>
        <v/>
      </c>
      <c r="X344" s="73" t="str">
        <f>IF(B344&lt;&gt;"",IF(MONTH(E344)=MONTH($F$13),SUMIF($C$22:C726,"="&amp;(C344-1),$G$22:G726),0)*S344,"")</f>
        <v/>
      </c>
      <c r="Y344" s="73" t="str">
        <f>IF(B344&lt;&gt;"",SUM($X$22:X344),"")</f>
        <v/>
      </c>
      <c r="Z344" s="73" t="str">
        <f t="shared" ref="Z344:Z407" si="226">IF(B344&lt;&gt;"",(AC343+X344)*I344/12,"")</f>
        <v/>
      </c>
      <c r="AA344" s="73" t="str">
        <f t="shared" si="215"/>
        <v/>
      </c>
      <c r="AB344" s="73" t="str">
        <f t="shared" si="216"/>
        <v/>
      </c>
      <c r="AC344" s="73" t="str">
        <f t="shared" si="217"/>
        <v/>
      </c>
      <c r="AD344" s="73" t="str">
        <f>IFERROR($U344*(1-$V344)+SUM($W$22:$W344)+$AB344,"")</f>
        <v/>
      </c>
      <c r="AE344" s="73" t="b">
        <f t="shared" si="218"/>
        <v>1</v>
      </c>
      <c r="AF344" s="73" t="e">
        <f>IF(AND(AE344=TRUE,D344&gt;=65),$U344*(1-10%)+SUM($W$22:$W344)+$AB344,AD344)</f>
        <v>#VALUE!</v>
      </c>
      <c r="AG344" s="73" t="str">
        <f t="shared" si="201"/>
        <v/>
      </c>
      <c r="AH344" s="73" t="str">
        <f t="shared" si="202"/>
        <v/>
      </c>
      <c r="AI344" s="73" t="str">
        <f t="shared" si="203"/>
        <v/>
      </c>
      <c r="AJ344" s="73" t="str">
        <f t="shared" si="204"/>
        <v/>
      </c>
      <c r="AK344" s="73" t="b">
        <f t="shared" si="219"/>
        <v>1</v>
      </c>
      <c r="AL344" s="73" t="str">
        <f t="shared" si="205"/>
        <v/>
      </c>
      <c r="AM344" s="73" t="str">
        <f t="shared" ref="AM344:AM407" si="227">IF(B344&lt;&gt;"",(AP343+G344)*I344/12,"")</f>
        <v/>
      </c>
      <c r="AN344" s="73" t="str">
        <f t="shared" si="220"/>
        <v/>
      </c>
      <c r="AO344" s="73" t="str">
        <f t="shared" si="221"/>
        <v/>
      </c>
      <c r="AP344" s="73" t="str">
        <f t="shared" si="222"/>
        <v/>
      </c>
    </row>
    <row r="345" spans="1:42" s="69" customFormat="1" x14ac:dyDescent="0.6">
      <c r="A345" s="78" t="str">
        <f t="shared" si="206"/>
        <v/>
      </c>
      <c r="B345" s="78" t="str">
        <f>IF(E345&lt;=$F$9,VLOOKUP(KALKULATOR!A345,Robocze!$B$23:$C$102,2),"")</f>
        <v/>
      </c>
      <c r="C345" s="78" t="str">
        <f t="shared" si="209"/>
        <v/>
      </c>
      <c r="D345" s="79" t="str">
        <f t="shared" si="223"/>
        <v/>
      </c>
      <c r="E345" s="80" t="str">
        <f t="shared" si="224"/>
        <v/>
      </c>
      <c r="F345" s="81" t="str">
        <f t="shared" si="210"/>
        <v/>
      </c>
      <c r="G345" s="82" t="str">
        <f>IFERROR(IF(AND(F345&lt;=$F$9,$F$5=Robocze!$B$4,$E345&lt;=$F$9,MONTH($F$8)=MONTH(E345)),$F$4,0)+IF(AND(F345&lt;=$F$9,$F$5=Robocze!$B$3,E345&lt;=$F$9),KALKULATOR!$F$4/12,0),"")</f>
        <v/>
      </c>
      <c r="H345" s="82" t="str">
        <f t="shared" si="211"/>
        <v/>
      </c>
      <c r="I345" s="83" t="str">
        <f t="shared" si="207"/>
        <v/>
      </c>
      <c r="J345" s="82" t="str">
        <f t="shared" si="193"/>
        <v/>
      </c>
      <c r="K345" s="84" t="str">
        <f t="shared" si="194"/>
        <v/>
      </c>
      <c r="L345" s="82" t="str">
        <f t="shared" si="195"/>
        <v/>
      </c>
      <c r="M345" s="82" t="str">
        <f t="shared" si="196"/>
        <v/>
      </c>
      <c r="N345" s="82" t="str">
        <f t="shared" si="197"/>
        <v/>
      </c>
      <c r="O345" s="82" t="str">
        <f t="shared" si="198"/>
        <v/>
      </c>
      <c r="P345" s="82" t="str">
        <f t="shared" si="199"/>
        <v/>
      </c>
      <c r="Q345" s="82" t="str">
        <f t="shared" si="200"/>
        <v/>
      </c>
      <c r="R345" s="82"/>
      <c r="S345" s="85" t="str">
        <f t="shared" si="208"/>
        <v/>
      </c>
      <c r="T345" s="82" t="str">
        <f t="shared" si="225"/>
        <v/>
      </c>
      <c r="U345" s="82" t="str">
        <f t="shared" si="212"/>
        <v/>
      </c>
      <c r="V345" s="85" t="str">
        <f t="shared" si="213"/>
        <v/>
      </c>
      <c r="W345" s="82" t="str">
        <f t="shared" si="214"/>
        <v/>
      </c>
      <c r="X345" s="82" t="str">
        <f>IF(B345&lt;&gt;"",IF(MONTH(E345)=MONTH($F$13),SUMIF($C$22:C727,"="&amp;(C345-1),$G$22:G727),0)*S345,"")</f>
        <v/>
      </c>
      <c r="Y345" s="82" t="str">
        <f>IF(B345&lt;&gt;"",SUM($X$22:X345),"")</f>
        <v/>
      </c>
      <c r="Z345" s="82" t="str">
        <f t="shared" si="226"/>
        <v/>
      </c>
      <c r="AA345" s="82" t="str">
        <f t="shared" si="215"/>
        <v/>
      </c>
      <c r="AB345" s="82" t="str">
        <f t="shared" si="216"/>
        <v/>
      </c>
      <c r="AC345" s="82" t="str">
        <f t="shared" si="217"/>
        <v/>
      </c>
      <c r="AD345" s="82" t="str">
        <f>IFERROR($U345*(1-$V345)+SUM($W$22:$W345)+$AB345,"")</f>
        <v/>
      </c>
      <c r="AE345" s="73" t="b">
        <f t="shared" si="218"/>
        <v>1</v>
      </c>
      <c r="AF345" s="82" t="e">
        <f>IF(AND(AE345=TRUE,D345&gt;=65),$U345*(1-10%)+SUM($W$22:$W345)+$AB345,AD345)</f>
        <v>#VALUE!</v>
      </c>
      <c r="AG345" s="82" t="str">
        <f t="shared" si="201"/>
        <v/>
      </c>
      <c r="AH345" s="82" t="str">
        <f t="shared" si="202"/>
        <v/>
      </c>
      <c r="AI345" s="82" t="str">
        <f t="shared" si="203"/>
        <v/>
      </c>
      <c r="AJ345" s="82" t="str">
        <f t="shared" si="204"/>
        <v/>
      </c>
      <c r="AK345" s="73" t="b">
        <f t="shared" si="219"/>
        <v>1</v>
      </c>
      <c r="AL345" s="82" t="str">
        <f t="shared" si="205"/>
        <v/>
      </c>
      <c r="AM345" s="82" t="str">
        <f t="shared" si="227"/>
        <v/>
      </c>
      <c r="AN345" s="82" t="str">
        <f t="shared" si="220"/>
        <v/>
      </c>
      <c r="AO345" s="82" t="str">
        <f t="shared" si="221"/>
        <v/>
      </c>
      <c r="AP345" s="82" t="str">
        <f t="shared" si="222"/>
        <v/>
      </c>
    </row>
    <row r="346" spans="1:42" s="31" customFormat="1" x14ac:dyDescent="0.6">
      <c r="A346" s="70" t="str">
        <f t="shared" si="206"/>
        <v/>
      </c>
      <c r="B346" s="70" t="str">
        <f>IF(E346&lt;=$F$9,VLOOKUP(KALKULATOR!A346,Robocze!$B$23:$C$102,2),"")</f>
        <v/>
      </c>
      <c r="C346" s="70" t="str">
        <f t="shared" si="209"/>
        <v/>
      </c>
      <c r="D346" s="71" t="str">
        <f t="shared" si="223"/>
        <v/>
      </c>
      <c r="E346" s="72" t="str">
        <f t="shared" si="224"/>
        <v/>
      </c>
      <c r="F346" s="72" t="str">
        <f t="shared" si="210"/>
        <v/>
      </c>
      <c r="G346" s="73" t="str">
        <f>IFERROR(IF(AND(F346&lt;=$F$9,$F$5=Robocze!$B$4,$E346&lt;=$F$9,MONTH($F$8)=MONTH(E346)),$F$4,0)+IF(AND(F346&lt;=$F$9,$F$5=Robocze!$B$3,E346&lt;=$F$9),KALKULATOR!$F$4/12,0),"")</f>
        <v/>
      </c>
      <c r="H346" s="73" t="str">
        <f t="shared" si="211"/>
        <v/>
      </c>
      <c r="I346" s="74" t="str">
        <f t="shared" si="207"/>
        <v/>
      </c>
      <c r="J346" s="73" t="str">
        <f t="shared" si="193"/>
        <v/>
      </c>
      <c r="K346" s="75" t="str">
        <f t="shared" si="194"/>
        <v/>
      </c>
      <c r="L346" s="73" t="str">
        <f t="shared" si="195"/>
        <v/>
      </c>
      <c r="M346" s="73" t="str">
        <f t="shared" si="196"/>
        <v/>
      </c>
      <c r="N346" s="73" t="str">
        <f t="shared" si="197"/>
        <v/>
      </c>
      <c r="O346" s="73" t="str">
        <f t="shared" si="198"/>
        <v/>
      </c>
      <c r="P346" s="73" t="str">
        <f t="shared" si="199"/>
        <v/>
      </c>
      <c r="Q346" s="73" t="str">
        <f t="shared" si="200"/>
        <v/>
      </c>
      <c r="R346" s="73"/>
      <c r="S346" s="76" t="str">
        <f t="shared" si="208"/>
        <v/>
      </c>
      <c r="T346" s="73" t="str">
        <f t="shared" si="225"/>
        <v/>
      </c>
      <c r="U346" s="73" t="str">
        <f t="shared" si="212"/>
        <v/>
      </c>
      <c r="V346" s="76" t="str">
        <f t="shared" si="213"/>
        <v/>
      </c>
      <c r="W346" s="73" t="str">
        <f t="shared" si="214"/>
        <v/>
      </c>
      <c r="X346" s="73" t="str">
        <f>IF(B346&lt;&gt;"",IF(MONTH(E346)=MONTH($F$13),SUMIF($C$22:C728,"="&amp;(C346-1),$G$22:G728),0)*S346,"")</f>
        <v/>
      </c>
      <c r="Y346" s="73" t="str">
        <f>IF(B346&lt;&gt;"",SUM($X$22:X346),"")</f>
        <v/>
      </c>
      <c r="Z346" s="73" t="str">
        <f t="shared" si="226"/>
        <v/>
      </c>
      <c r="AA346" s="73" t="str">
        <f t="shared" si="215"/>
        <v/>
      </c>
      <c r="AB346" s="73" t="str">
        <f t="shared" si="216"/>
        <v/>
      </c>
      <c r="AC346" s="73" t="str">
        <f t="shared" si="217"/>
        <v/>
      </c>
      <c r="AD346" s="73" t="str">
        <f>IFERROR($U346*(1-$V346)+SUM($W$22:$W346)+$AB346,"")</f>
        <v/>
      </c>
      <c r="AE346" s="73" t="b">
        <f t="shared" si="218"/>
        <v>1</v>
      </c>
      <c r="AF346" s="73" t="e">
        <f>IF(AND(AE346=TRUE,D346&gt;=65),$U346*(1-10%)+SUM($W$22:$W346)+$AB346,AD346)</f>
        <v>#VALUE!</v>
      </c>
      <c r="AG346" s="73" t="str">
        <f t="shared" si="201"/>
        <v/>
      </c>
      <c r="AH346" s="73" t="str">
        <f t="shared" si="202"/>
        <v/>
      </c>
      <c r="AI346" s="73" t="str">
        <f t="shared" si="203"/>
        <v/>
      </c>
      <c r="AJ346" s="73" t="str">
        <f t="shared" si="204"/>
        <v/>
      </c>
      <c r="AK346" s="73" t="b">
        <f t="shared" si="219"/>
        <v>1</v>
      </c>
      <c r="AL346" s="73" t="str">
        <f t="shared" si="205"/>
        <v/>
      </c>
      <c r="AM346" s="73" t="str">
        <f t="shared" si="227"/>
        <v/>
      </c>
      <c r="AN346" s="73" t="str">
        <f t="shared" si="220"/>
        <v/>
      </c>
      <c r="AO346" s="73" t="str">
        <f t="shared" si="221"/>
        <v/>
      </c>
      <c r="AP346" s="73" t="str">
        <f t="shared" si="222"/>
        <v/>
      </c>
    </row>
    <row r="347" spans="1:42" s="31" customFormat="1" x14ac:dyDescent="0.6">
      <c r="A347" s="70" t="str">
        <f t="shared" si="206"/>
        <v/>
      </c>
      <c r="B347" s="70" t="str">
        <f>IF(E347&lt;=$F$9,VLOOKUP(KALKULATOR!A347,Robocze!$B$23:$C$102,2),"")</f>
        <v/>
      </c>
      <c r="C347" s="70" t="str">
        <f t="shared" si="209"/>
        <v/>
      </c>
      <c r="D347" s="71" t="str">
        <f t="shared" si="223"/>
        <v/>
      </c>
      <c r="E347" s="77" t="str">
        <f t="shared" si="224"/>
        <v/>
      </c>
      <c r="F347" s="72" t="str">
        <f t="shared" si="210"/>
        <v/>
      </c>
      <c r="G347" s="73" t="str">
        <f>IFERROR(IF(AND(F347&lt;=$F$9,$F$5=Robocze!$B$4,$E347&lt;=$F$9,MONTH($F$8)=MONTH(E347)),$F$4,0)+IF(AND(F347&lt;=$F$9,$F$5=Robocze!$B$3,E347&lt;=$F$9),KALKULATOR!$F$4/12,0),"")</f>
        <v/>
      </c>
      <c r="H347" s="73" t="str">
        <f t="shared" si="211"/>
        <v/>
      </c>
      <c r="I347" s="74" t="str">
        <f t="shared" si="207"/>
        <v/>
      </c>
      <c r="J347" s="73" t="str">
        <f t="shared" si="193"/>
        <v/>
      </c>
      <c r="K347" s="75" t="str">
        <f t="shared" si="194"/>
        <v/>
      </c>
      <c r="L347" s="73" t="str">
        <f t="shared" si="195"/>
        <v/>
      </c>
      <c r="M347" s="73" t="str">
        <f t="shared" si="196"/>
        <v/>
      </c>
      <c r="N347" s="73" t="str">
        <f t="shared" si="197"/>
        <v/>
      </c>
      <c r="O347" s="73" t="str">
        <f t="shared" si="198"/>
        <v/>
      </c>
      <c r="P347" s="73" t="str">
        <f t="shared" si="199"/>
        <v/>
      </c>
      <c r="Q347" s="73" t="str">
        <f t="shared" si="200"/>
        <v/>
      </c>
      <c r="R347" s="73"/>
      <c r="S347" s="76" t="str">
        <f t="shared" si="208"/>
        <v/>
      </c>
      <c r="T347" s="73" t="str">
        <f t="shared" si="225"/>
        <v/>
      </c>
      <c r="U347" s="73" t="str">
        <f t="shared" si="212"/>
        <v/>
      </c>
      <c r="V347" s="76" t="str">
        <f t="shared" si="213"/>
        <v/>
      </c>
      <c r="W347" s="73" t="str">
        <f t="shared" si="214"/>
        <v/>
      </c>
      <c r="X347" s="73" t="str">
        <f>IF(B347&lt;&gt;"",IF(MONTH(E347)=MONTH($F$13),SUMIF($C$22:C729,"="&amp;(C347-1),$G$22:G729),0)*S347,"")</f>
        <v/>
      </c>
      <c r="Y347" s="73" t="str">
        <f>IF(B347&lt;&gt;"",SUM($X$22:X347),"")</f>
        <v/>
      </c>
      <c r="Z347" s="73" t="str">
        <f t="shared" si="226"/>
        <v/>
      </c>
      <c r="AA347" s="73" t="str">
        <f t="shared" si="215"/>
        <v/>
      </c>
      <c r="AB347" s="73" t="str">
        <f t="shared" si="216"/>
        <v/>
      </c>
      <c r="AC347" s="73" t="str">
        <f t="shared" si="217"/>
        <v/>
      </c>
      <c r="AD347" s="73" t="str">
        <f>IFERROR($U347*(1-$V347)+SUM($W$22:$W347)+$AB347,"")</f>
        <v/>
      </c>
      <c r="AE347" s="73" t="b">
        <f t="shared" si="218"/>
        <v>1</v>
      </c>
      <c r="AF347" s="73" t="e">
        <f>IF(AND(AE347=TRUE,D347&gt;=65),$U347*(1-10%)+SUM($W$22:$W347)+$AB347,AD347)</f>
        <v>#VALUE!</v>
      </c>
      <c r="AG347" s="73" t="str">
        <f t="shared" si="201"/>
        <v/>
      </c>
      <c r="AH347" s="73" t="str">
        <f t="shared" si="202"/>
        <v/>
      </c>
      <c r="AI347" s="73" t="str">
        <f t="shared" si="203"/>
        <v/>
      </c>
      <c r="AJ347" s="73" t="str">
        <f t="shared" si="204"/>
        <v/>
      </c>
      <c r="AK347" s="73" t="b">
        <f t="shared" si="219"/>
        <v>1</v>
      </c>
      <c r="AL347" s="73" t="str">
        <f t="shared" si="205"/>
        <v/>
      </c>
      <c r="AM347" s="73" t="str">
        <f t="shared" si="227"/>
        <v/>
      </c>
      <c r="AN347" s="73" t="str">
        <f t="shared" si="220"/>
        <v/>
      </c>
      <c r="AO347" s="73" t="str">
        <f t="shared" si="221"/>
        <v/>
      </c>
      <c r="AP347" s="73" t="str">
        <f t="shared" si="222"/>
        <v/>
      </c>
    </row>
    <row r="348" spans="1:42" s="31" customFormat="1" x14ac:dyDescent="0.6">
      <c r="A348" s="70" t="str">
        <f t="shared" si="206"/>
        <v/>
      </c>
      <c r="B348" s="70" t="str">
        <f>IF(E348&lt;=$F$9,VLOOKUP(KALKULATOR!A348,Robocze!$B$23:$C$102,2),"")</f>
        <v/>
      </c>
      <c r="C348" s="70" t="str">
        <f t="shared" si="209"/>
        <v/>
      </c>
      <c r="D348" s="71" t="str">
        <f t="shared" si="223"/>
        <v/>
      </c>
      <c r="E348" s="77" t="str">
        <f t="shared" si="224"/>
        <v/>
      </c>
      <c r="F348" s="72" t="str">
        <f t="shared" si="210"/>
        <v/>
      </c>
      <c r="G348" s="73" t="str">
        <f>IFERROR(IF(AND(F348&lt;=$F$9,$F$5=Robocze!$B$4,$E348&lt;=$F$9,MONTH($F$8)=MONTH(E348)),$F$4,0)+IF(AND(F348&lt;=$F$9,$F$5=Robocze!$B$3,E348&lt;=$F$9),KALKULATOR!$F$4/12,0),"")</f>
        <v/>
      </c>
      <c r="H348" s="73" t="str">
        <f t="shared" si="211"/>
        <v/>
      </c>
      <c r="I348" s="74" t="str">
        <f t="shared" si="207"/>
        <v/>
      </c>
      <c r="J348" s="73" t="str">
        <f t="shared" si="193"/>
        <v/>
      </c>
      <c r="K348" s="75" t="str">
        <f t="shared" si="194"/>
        <v/>
      </c>
      <c r="L348" s="73" t="str">
        <f t="shared" si="195"/>
        <v/>
      </c>
      <c r="M348" s="73" t="str">
        <f t="shared" si="196"/>
        <v/>
      </c>
      <c r="N348" s="73" t="str">
        <f t="shared" si="197"/>
        <v/>
      </c>
      <c r="O348" s="73" t="str">
        <f t="shared" si="198"/>
        <v/>
      </c>
      <c r="P348" s="73" t="str">
        <f t="shared" si="199"/>
        <v/>
      </c>
      <c r="Q348" s="73" t="str">
        <f t="shared" si="200"/>
        <v/>
      </c>
      <c r="R348" s="73"/>
      <c r="S348" s="76" t="str">
        <f t="shared" si="208"/>
        <v/>
      </c>
      <c r="T348" s="73" t="str">
        <f t="shared" si="225"/>
        <v/>
      </c>
      <c r="U348" s="73" t="str">
        <f t="shared" si="212"/>
        <v/>
      </c>
      <c r="V348" s="76" t="str">
        <f t="shared" si="213"/>
        <v/>
      </c>
      <c r="W348" s="73" t="str">
        <f t="shared" si="214"/>
        <v/>
      </c>
      <c r="X348" s="73" t="str">
        <f>IF(B348&lt;&gt;"",IF(MONTH(E348)=MONTH($F$13),SUMIF($C$22:C730,"="&amp;(C348-1),$G$22:G730),0)*S348,"")</f>
        <v/>
      </c>
      <c r="Y348" s="73" t="str">
        <f>IF(B348&lt;&gt;"",SUM($X$22:X348),"")</f>
        <v/>
      </c>
      <c r="Z348" s="73" t="str">
        <f t="shared" si="226"/>
        <v/>
      </c>
      <c r="AA348" s="73" t="str">
        <f t="shared" si="215"/>
        <v/>
      </c>
      <c r="AB348" s="73" t="str">
        <f t="shared" si="216"/>
        <v/>
      </c>
      <c r="AC348" s="73" t="str">
        <f t="shared" si="217"/>
        <v/>
      </c>
      <c r="AD348" s="73" t="str">
        <f>IFERROR($U348*(1-$V348)+SUM($W$22:$W348)+$AB348,"")</f>
        <v/>
      </c>
      <c r="AE348" s="73" t="b">
        <f t="shared" si="218"/>
        <v>1</v>
      </c>
      <c r="AF348" s="73" t="e">
        <f>IF(AND(AE348=TRUE,D348&gt;=65),$U348*(1-10%)+SUM($W$22:$W348)+$AB348,AD348)</f>
        <v>#VALUE!</v>
      </c>
      <c r="AG348" s="73" t="str">
        <f t="shared" si="201"/>
        <v/>
      </c>
      <c r="AH348" s="73" t="str">
        <f t="shared" si="202"/>
        <v/>
      </c>
      <c r="AI348" s="73" t="str">
        <f t="shared" si="203"/>
        <v/>
      </c>
      <c r="AJ348" s="73" t="str">
        <f t="shared" si="204"/>
        <v/>
      </c>
      <c r="AK348" s="73" t="b">
        <f t="shared" si="219"/>
        <v>1</v>
      </c>
      <c r="AL348" s="73" t="str">
        <f t="shared" si="205"/>
        <v/>
      </c>
      <c r="AM348" s="73" t="str">
        <f t="shared" si="227"/>
        <v/>
      </c>
      <c r="AN348" s="73" t="str">
        <f t="shared" si="220"/>
        <v/>
      </c>
      <c r="AO348" s="73" t="str">
        <f t="shared" si="221"/>
        <v/>
      </c>
      <c r="AP348" s="73" t="str">
        <f t="shared" si="222"/>
        <v/>
      </c>
    </row>
    <row r="349" spans="1:42" s="31" customFormat="1" x14ac:dyDescent="0.6">
      <c r="A349" s="70" t="str">
        <f t="shared" si="206"/>
        <v/>
      </c>
      <c r="B349" s="70" t="str">
        <f>IF(E349&lt;=$F$9,VLOOKUP(KALKULATOR!A349,Robocze!$B$23:$C$102,2),"")</f>
        <v/>
      </c>
      <c r="C349" s="70" t="str">
        <f t="shared" si="209"/>
        <v/>
      </c>
      <c r="D349" s="71" t="str">
        <f t="shared" si="223"/>
        <v/>
      </c>
      <c r="E349" s="77" t="str">
        <f t="shared" si="224"/>
        <v/>
      </c>
      <c r="F349" s="72" t="str">
        <f t="shared" si="210"/>
        <v/>
      </c>
      <c r="G349" s="73" t="str">
        <f>IFERROR(IF(AND(F349&lt;=$F$9,$F$5=Robocze!$B$4,$E349&lt;=$F$9,MONTH($F$8)=MONTH(E349)),$F$4,0)+IF(AND(F349&lt;=$F$9,$F$5=Robocze!$B$3,E349&lt;=$F$9),KALKULATOR!$F$4/12,0),"")</f>
        <v/>
      </c>
      <c r="H349" s="73" t="str">
        <f t="shared" si="211"/>
        <v/>
      </c>
      <c r="I349" s="74" t="str">
        <f t="shared" si="207"/>
        <v/>
      </c>
      <c r="J349" s="73" t="str">
        <f t="shared" si="193"/>
        <v/>
      </c>
      <c r="K349" s="75" t="str">
        <f t="shared" si="194"/>
        <v/>
      </c>
      <c r="L349" s="73" t="str">
        <f t="shared" si="195"/>
        <v/>
      </c>
      <c r="M349" s="73" t="str">
        <f t="shared" si="196"/>
        <v/>
      </c>
      <c r="N349" s="73" t="str">
        <f t="shared" si="197"/>
        <v/>
      </c>
      <c r="O349" s="73" t="str">
        <f t="shared" si="198"/>
        <v/>
      </c>
      <c r="P349" s="73" t="str">
        <f t="shared" si="199"/>
        <v/>
      </c>
      <c r="Q349" s="73" t="str">
        <f t="shared" si="200"/>
        <v/>
      </c>
      <c r="R349" s="73"/>
      <c r="S349" s="76" t="str">
        <f t="shared" si="208"/>
        <v/>
      </c>
      <c r="T349" s="73" t="str">
        <f t="shared" si="225"/>
        <v/>
      </c>
      <c r="U349" s="73" t="str">
        <f t="shared" si="212"/>
        <v/>
      </c>
      <c r="V349" s="76" t="str">
        <f t="shared" si="213"/>
        <v/>
      </c>
      <c r="W349" s="73" t="str">
        <f t="shared" si="214"/>
        <v/>
      </c>
      <c r="X349" s="73" t="str">
        <f>IF(B349&lt;&gt;"",IF(MONTH(E349)=MONTH($F$13),SUMIF($C$22:C731,"="&amp;(C349-1),$G$22:G731),0)*S349,"")</f>
        <v/>
      </c>
      <c r="Y349" s="73" t="str">
        <f>IF(B349&lt;&gt;"",SUM($X$22:X349),"")</f>
        <v/>
      </c>
      <c r="Z349" s="73" t="str">
        <f t="shared" si="226"/>
        <v/>
      </c>
      <c r="AA349" s="73" t="str">
        <f t="shared" si="215"/>
        <v/>
      </c>
      <c r="AB349" s="73" t="str">
        <f t="shared" si="216"/>
        <v/>
      </c>
      <c r="AC349" s="73" t="str">
        <f t="shared" si="217"/>
        <v/>
      </c>
      <c r="AD349" s="73" t="str">
        <f>IFERROR($U349*(1-$V349)+SUM($W$22:$W349)+$AB349,"")</f>
        <v/>
      </c>
      <c r="AE349" s="73" t="b">
        <f t="shared" si="218"/>
        <v>1</v>
      </c>
      <c r="AF349" s="73" t="e">
        <f>IF(AND(AE349=TRUE,D349&gt;=65),$U349*(1-10%)+SUM($W$22:$W349)+$AB349,AD349)</f>
        <v>#VALUE!</v>
      </c>
      <c r="AG349" s="73" t="str">
        <f t="shared" si="201"/>
        <v/>
      </c>
      <c r="AH349" s="73" t="str">
        <f t="shared" si="202"/>
        <v/>
      </c>
      <c r="AI349" s="73" t="str">
        <f t="shared" si="203"/>
        <v/>
      </c>
      <c r="AJ349" s="73" t="str">
        <f t="shared" si="204"/>
        <v/>
      </c>
      <c r="AK349" s="73" t="b">
        <f t="shared" si="219"/>
        <v>1</v>
      </c>
      <c r="AL349" s="73" t="str">
        <f t="shared" si="205"/>
        <v/>
      </c>
      <c r="AM349" s="73" t="str">
        <f t="shared" si="227"/>
        <v/>
      </c>
      <c r="AN349" s="73" t="str">
        <f t="shared" si="220"/>
        <v/>
      </c>
      <c r="AO349" s="73" t="str">
        <f t="shared" si="221"/>
        <v/>
      </c>
      <c r="AP349" s="73" t="str">
        <f t="shared" si="222"/>
        <v/>
      </c>
    </row>
    <row r="350" spans="1:42" s="31" customFormat="1" x14ac:dyDescent="0.6">
      <c r="A350" s="70" t="str">
        <f t="shared" si="206"/>
        <v/>
      </c>
      <c r="B350" s="70" t="str">
        <f>IF(E350&lt;=$F$9,VLOOKUP(KALKULATOR!A350,Robocze!$B$23:$C$102,2),"")</f>
        <v/>
      </c>
      <c r="C350" s="70" t="str">
        <f t="shared" si="209"/>
        <v/>
      </c>
      <c r="D350" s="71" t="str">
        <f t="shared" si="223"/>
        <v/>
      </c>
      <c r="E350" s="77" t="str">
        <f t="shared" si="224"/>
        <v/>
      </c>
      <c r="F350" s="72" t="str">
        <f t="shared" si="210"/>
        <v/>
      </c>
      <c r="G350" s="73" t="str">
        <f>IFERROR(IF(AND(F350&lt;=$F$9,$F$5=Robocze!$B$4,$E350&lt;=$F$9,MONTH($F$8)=MONTH(E350)),$F$4,0)+IF(AND(F350&lt;=$F$9,$F$5=Robocze!$B$3,E350&lt;=$F$9),KALKULATOR!$F$4/12,0),"")</f>
        <v/>
      </c>
      <c r="H350" s="73" t="str">
        <f t="shared" si="211"/>
        <v/>
      </c>
      <c r="I350" s="74" t="str">
        <f t="shared" si="207"/>
        <v/>
      </c>
      <c r="J350" s="73" t="str">
        <f t="shared" si="193"/>
        <v/>
      </c>
      <c r="K350" s="75" t="str">
        <f t="shared" si="194"/>
        <v/>
      </c>
      <c r="L350" s="73" t="str">
        <f t="shared" si="195"/>
        <v/>
      </c>
      <c r="M350" s="73" t="str">
        <f t="shared" si="196"/>
        <v/>
      </c>
      <c r="N350" s="73" t="str">
        <f t="shared" si="197"/>
        <v/>
      </c>
      <c r="O350" s="73" t="str">
        <f t="shared" si="198"/>
        <v/>
      </c>
      <c r="P350" s="73" t="str">
        <f t="shared" si="199"/>
        <v/>
      </c>
      <c r="Q350" s="73" t="str">
        <f t="shared" si="200"/>
        <v/>
      </c>
      <c r="R350" s="73"/>
      <c r="S350" s="76" t="str">
        <f t="shared" si="208"/>
        <v/>
      </c>
      <c r="T350" s="73" t="str">
        <f t="shared" si="225"/>
        <v/>
      </c>
      <c r="U350" s="73" t="str">
        <f t="shared" si="212"/>
        <v/>
      </c>
      <c r="V350" s="76" t="str">
        <f t="shared" si="213"/>
        <v/>
      </c>
      <c r="W350" s="73" t="str">
        <f t="shared" si="214"/>
        <v/>
      </c>
      <c r="X350" s="73" t="str">
        <f>IF(B350&lt;&gt;"",IF(MONTH(E350)=MONTH($F$13),SUMIF($C$22:C732,"="&amp;(C350-1),$G$22:G732),0)*S350,"")</f>
        <v/>
      </c>
      <c r="Y350" s="73" t="str">
        <f>IF(B350&lt;&gt;"",SUM($X$22:X350),"")</f>
        <v/>
      </c>
      <c r="Z350" s="73" t="str">
        <f t="shared" si="226"/>
        <v/>
      </c>
      <c r="AA350" s="73" t="str">
        <f t="shared" si="215"/>
        <v/>
      </c>
      <c r="AB350" s="73" t="str">
        <f t="shared" si="216"/>
        <v/>
      </c>
      <c r="AC350" s="73" t="str">
        <f t="shared" si="217"/>
        <v/>
      </c>
      <c r="AD350" s="73" t="str">
        <f>IFERROR($U350*(1-$V350)+SUM($W$22:$W350)+$AB350,"")</f>
        <v/>
      </c>
      <c r="AE350" s="73" t="b">
        <f t="shared" si="218"/>
        <v>1</v>
      </c>
      <c r="AF350" s="73" t="e">
        <f>IF(AND(AE350=TRUE,D350&gt;=65),$U350*(1-10%)+SUM($W$22:$W350)+$AB350,AD350)</f>
        <v>#VALUE!</v>
      </c>
      <c r="AG350" s="73" t="str">
        <f t="shared" si="201"/>
        <v/>
      </c>
      <c r="AH350" s="73" t="str">
        <f t="shared" si="202"/>
        <v/>
      </c>
      <c r="AI350" s="73" t="str">
        <f t="shared" si="203"/>
        <v/>
      </c>
      <c r="AJ350" s="73" t="str">
        <f t="shared" si="204"/>
        <v/>
      </c>
      <c r="AK350" s="73" t="b">
        <f t="shared" si="219"/>
        <v>1</v>
      </c>
      <c r="AL350" s="73" t="str">
        <f t="shared" si="205"/>
        <v/>
      </c>
      <c r="AM350" s="73" t="str">
        <f t="shared" si="227"/>
        <v/>
      </c>
      <c r="AN350" s="73" t="str">
        <f t="shared" si="220"/>
        <v/>
      </c>
      <c r="AO350" s="73" t="str">
        <f t="shared" si="221"/>
        <v/>
      </c>
      <c r="AP350" s="73" t="str">
        <f t="shared" si="222"/>
        <v/>
      </c>
    </row>
    <row r="351" spans="1:42" s="31" customFormat="1" x14ac:dyDescent="0.6">
      <c r="A351" s="70" t="str">
        <f t="shared" si="206"/>
        <v/>
      </c>
      <c r="B351" s="70" t="str">
        <f>IF(E351&lt;=$F$9,VLOOKUP(KALKULATOR!A351,Robocze!$B$23:$C$102,2),"")</f>
        <v/>
      </c>
      <c r="C351" s="70" t="str">
        <f t="shared" si="209"/>
        <v/>
      </c>
      <c r="D351" s="71" t="str">
        <f t="shared" si="223"/>
        <v/>
      </c>
      <c r="E351" s="77" t="str">
        <f t="shared" si="224"/>
        <v/>
      </c>
      <c r="F351" s="72" t="str">
        <f t="shared" si="210"/>
        <v/>
      </c>
      <c r="G351" s="73" t="str">
        <f>IFERROR(IF(AND(F351&lt;=$F$9,$F$5=Robocze!$B$4,$E351&lt;=$F$9,MONTH($F$8)=MONTH(E351)),$F$4,0)+IF(AND(F351&lt;=$F$9,$F$5=Robocze!$B$3,E351&lt;=$F$9),KALKULATOR!$F$4/12,0),"")</f>
        <v/>
      </c>
      <c r="H351" s="73" t="str">
        <f t="shared" si="211"/>
        <v/>
      </c>
      <c r="I351" s="74" t="str">
        <f t="shared" si="207"/>
        <v/>
      </c>
      <c r="J351" s="73" t="str">
        <f t="shared" si="193"/>
        <v/>
      </c>
      <c r="K351" s="75" t="str">
        <f t="shared" si="194"/>
        <v/>
      </c>
      <c r="L351" s="73" t="str">
        <f t="shared" si="195"/>
        <v/>
      </c>
      <c r="M351" s="73" t="str">
        <f t="shared" si="196"/>
        <v/>
      </c>
      <c r="N351" s="73" t="str">
        <f t="shared" si="197"/>
        <v/>
      </c>
      <c r="O351" s="73" t="str">
        <f t="shared" si="198"/>
        <v/>
      </c>
      <c r="P351" s="73" t="str">
        <f t="shared" si="199"/>
        <v/>
      </c>
      <c r="Q351" s="73" t="str">
        <f t="shared" si="200"/>
        <v/>
      </c>
      <c r="R351" s="73"/>
      <c r="S351" s="76" t="str">
        <f t="shared" si="208"/>
        <v/>
      </c>
      <c r="T351" s="73" t="str">
        <f t="shared" si="225"/>
        <v/>
      </c>
      <c r="U351" s="73" t="str">
        <f t="shared" si="212"/>
        <v/>
      </c>
      <c r="V351" s="76" t="str">
        <f t="shared" si="213"/>
        <v/>
      </c>
      <c r="W351" s="73" t="str">
        <f t="shared" si="214"/>
        <v/>
      </c>
      <c r="X351" s="73" t="str">
        <f>IF(B351&lt;&gt;"",IF(MONTH(E351)=MONTH($F$13),SUMIF($C$22:C733,"="&amp;(C351-1),$G$22:G733),0)*S351,"")</f>
        <v/>
      </c>
      <c r="Y351" s="73" t="str">
        <f>IF(B351&lt;&gt;"",SUM($X$22:X351),"")</f>
        <v/>
      </c>
      <c r="Z351" s="73" t="str">
        <f t="shared" si="226"/>
        <v/>
      </c>
      <c r="AA351" s="73" t="str">
        <f t="shared" si="215"/>
        <v/>
      </c>
      <c r="AB351" s="73" t="str">
        <f t="shared" si="216"/>
        <v/>
      </c>
      <c r="AC351" s="73" t="str">
        <f t="shared" si="217"/>
        <v/>
      </c>
      <c r="AD351" s="73" t="str">
        <f>IFERROR($U351*(1-$V351)+SUM($W$22:$W351)+$AB351,"")</f>
        <v/>
      </c>
      <c r="AE351" s="73" t="b">
        <f t="shared" si="218"/>
        <v>1</v>
      </c>
      <c r="AF351" s="73" t="e">
        <f>IF(AND(AE351=TRUE,D351&gt;=65),$U351*(1-10%)+SUM($W$22:$W351)+$AB351,AD351)</f>
        <v>#VALUE!</v>
      </c>
      <c r="AG351" s="73" t="str">
        <f t="shared" si="201"/>
        <v/>
      </c>
      <c r="AH351" s="73" t="str">
        <f t="shared" si="202"/>
        <v/>
      </c>
      <c r="AI351" s="73" t="str">
        <f t="shared" si="203"/>
        <v/>
      </c>
      <c r="AJ351" s="73" t="str">
        <f t="shared" si="204"/>
        <v/>
      </c>
      <c r="AK351" s="73" t="b">
        <f t="shared" si="219"/>
        <v>1</v>
      </c>
      <c r="AL351" s="73" t="str">
        <f t="shared" si="205"/>
        <v/>
      </c>
      <c r="AM351" s="73" t="str">
        <f t="shared" si="227"/>
        <v/>
      </c>
      <c r="AN351" s="73" t="str">
        <f t="shared" si="220"/>
        <v/>
      </c>
      <c r="AO351" s="73" t="str">
        <f t="shared" si="221"/>
        <v/>
      </c>
      <c r="AP351" s="73" t="str">
        <f t="shared" si="222"/>
        <v/>
      </c>
    </row>
    <row r="352" spans="1:42" s="31" customFormat="1" x14ac:dyDescent="0.6">
      <c r="A352" s="70" t="str">
        <f t="shared" si="206"/>
        <v/>
      </c>
      <c r="B352" s="70" t="str">
        <f>IF(E352&lt;=$F$9,VLOOKUP(KALKULATOR!A352,Robocze!$B$23:$C$102,2),"")</f>
        <v/>
      </c>
      <c r="C352" s="70" t="str">
        <f t="shared" si="209"/>
        <v/>
      </c>
      <c r="D352" s="71" t="str">
        <f t="shared" si="223"/>
        <v/>
      </c>
      <c r="E352" s="77" t="str">
        <f t="shared" si="224"/>
        <v/>
      </c>
      <c r="F352" s="72" t="str">
        <f t="shared" si="210"/>
        <v/>
      </c>
      <c r="G352" s="73" t="str">
        <f>IFERROR(IF(AND(F352&lt;=$F$9,$F$5=Robocze!$B$4,$E352&lt;=$F$9,MONTH($F$8)=MONTH(E352)),$F$4,0)+IF(AND(F352&lt;=$F$9,$F$5=Robocze!$B$3,E352&lt;=$F$9),KALKULATOR!$F$4/12,0),"")</f>
        <v/>
      </c>
      <c r="H352" s="73" t="str">
        <f t="shared" si="211"/>
        <v/>
      </c>
      <c r="I352" s="74" t="str">
        <f t="shared" si="207"/>
        <v/>
      </c>
      <c r="J352" s="73" t="str">
        <f t="shared" si="193"/>
        <v/>
      </c>
      <c r="K352" s="75" t="str">
        <f t="shared" si="194"/>
        <v/>
      </c>
      <c r="L352" s="73" t="str">
        <f t="shared" si="195"/>
        <v/>
      </c>
      <c r="M352" s="73" t="str">
        <f t="shared" si="196"/>
        <v/>
      </c>
      <c r="N352" s="73" t="str">
        <f t="shared" si="197"/>
        <v/>
      </c>
      <c r="O352" s="73" t="str">
        <f t="shared" si="198"/>
        <v/>
      </c>
      <c r="P352" s="73" t="str">
        <f t="shared" si="199"/>
        <v/>
      </c>
      <c r="Q352" s="73" t="str">
        <f t="shared" si="200"/>
        <v/>
      </c>
      <c r="R352" s="73"/>
      <c r="S352" s="76" t="str">
        <f t="shared" si="208"/>
        <v/>
      </c>
      <c r="T352" s="73" t="str">
        <f t="shared" si="225"/>
        <v/>
      </c>
      <c r="U352" s="73" t="str">
        <f t="shared" si="212"/>
        <v/>
      </c>
      <c r="V352" s="76" t="str">
        <f t="shared" si="213"/>
        <v/>
      </c>
      <c r="W352" s="73" t="str">
        <f t="shared" si="214"/>
        <v/>
      </c>
      <c r="X352" s="73" t="str">
        <f>IF(B352&lt;&gt;"",IF(MONTH(E352)=MONTH($F$13),SUMIF($C$22:C734,"="&amp;(C352-1),$G$22:G734),0)*S352,"")</f>
        <v/>
      </c>
      <c r="Y352" s="73" t="str">
        <f>IF(B352&lt;&gt;"",SUM($X$22:X352),"")</f>
        <v/>
      </c>
      <c r="Z352" s="73" t="str">
        <f t="shared" si="226"/>
        <v/>
      </c>
      <c r="AA352" s="73" t="str">
        <f t="shared" si="215"/>
        <v/>
      </c>
      <c r="AB352" s="73" t="str">
        <f t="shared" si="216"/>
        <v/>
      </c>
      <c r="AC352" s="73" t="str">
        <f t="shared" si="217"/>
        <v/>
      </c>
      <c r="AD352" s="73" t="str">
        <f>IFERROR($U352*(1-$V352)+SUM($W$22:$W352)+$AB352,"")</f>
        <v/>
      </c>
      <c r="AE352" s="73" t="b">
        <f t="shared" si="218"/>
        <v>1</v>
      </c>
      <c r="AF352" s="73" t="e">
        <f>IF(AND(AE352=TRUE,D352&gt;=65),$U352*(1-10%)+SUM($W$22:$W352)+$AB352,AD352)</f>
        <v>#VALUE!</v>
      </c>
      <c r="AG352" s="73" t="str">
        <f t="shared" si="201"/>
        <v/>
      </c>
      <c r="AH352" s="73" t="str">
        <f t="shared" si="202"/>
        <v/>
      </c>
      <c r="AI352" s="73" t="str">
        <f t="shared" si="203"/>
        <v/>
      </c>
      <c r="AJ352" s="73" t="str">
        <f t="shared" si="204"/>
        <v/>
      </c>
      <c r="AK352" s="73" t="b">
        <f t="shared" si="219"/>
        <v>1</v>
      </c>
      <c r="AL352" s="73" t="str">
        <f t="shared" si="205"/>
        <v/>
      </c>
      <c r="AM352" s="73" t="str">
        <f t="shared" si="227"/>
        <v/>
      </c>
      <c r="AN352" s="73" t="str">
        <f t="shared" si="220"/>
        <v/>
      </c>
      <c r="AO352" s="73" t="str">
        <f t="shared" si="221"/>
        <v/>
      </c>
      <c r="AP352" s="73" t="str">
        <f t="shared" si="222"/>
        <v/>
      </c>
    </row>
    <row r="353" spans="1:42" s="31" customFormat="1" x14ac:dyDescent="0.6">
      <c r="A353" s="70" t="str">
        <f t="shared" si="206"/>
        <v/>
      </c>
      <c r="B353" s="70" t="str">
        <f>IF(E353&lt;=$F$9,VLOOKUP(KALKULATOR!A353,Robocze!$B$23:$C$102,2),"")</f>
        <v/>
      </c>
      <c r="C353" s="70" t="str">
        <f t="shared" si="209"/>
        <v/>
      </c>
      <c r="D353" s="71" t="str">
        <f t="shared" si="223"/>
        <v/>
      </c>
      <c r="E353" s="77" t="str">
        <f t="shared" si="224"/>
        <v/>
      </c>
      <c r="F353" s="72" t="str">
        <f t="shared" si="210"/>
        <v/>
      </c>
      <c r="G353" s="73" t="str">
        <f>IFERROR(IF(AND(F353&lt;=$F$9,$F$5=Robocze!$B$4,$E353&lt;=$F$9,MONTH($F$8)=MONTH(E353)),$F$4,0)+IF(AND(F353&lt;=$F$9,$F$5=Robocze!$B$3,E353&lt;=$F$9),KALKULATOR!$F$4/12,0),"")</f>
        <v/>
      </c>
      <c r="H353" s="73" t="str">
        <f t="shared" si="211"/>
        <v/>
      </c>
      <c r="I353" s="74" t="str">
        <f t="shared" si="207"/>
        <v/>
      </c>
      <c r="J353" s="73" t="str">
        <f t="shared" si="193"/>
        <v/>
      </c>
      <c r="K353" s="75" t="str">
        <f t="shared" si="194"/>
        <v/>
      </c>
      <c r="L353" s="73" t="str">
        <f t="shared" si="195"/>
        <v/>
      </c>
      <c r="M353" s="73" t="str">
        <f t="shared" si="196"/>
        <v/>
      </c>
      <c r="N353" s="73" t="str">
        <f t="shared" si="197"/>
        <v/>
      </c>
      <c r="O353" s="73" t="str">
        <f t="shared" si="198"/>
        <v/>
      </c>
      <c r="P353" s="73" t="str">
        <f t="shared" si="199"/>
        <v/>
      </c>
      <c r="Q353" s="73" t="str">
        <f t="shared" si="200"/>
        <v/>
      </c>
      <c r="R353" s="73"/>
      <c r="S353" s="76" t="str">
        <f t="shared" si="208"/>
        <v/>
      </c>
      <c r="T353" s="73" t="str">
        <f t="shared" si="225"/>
        <v/>
      </c>
      <c r="U353" s="73" t="str">
        <f t="shared" si="212"/>
        <v/>
      </c>
      <c r="V353" s="76" t="str">
        <f t="shared" si="213"/>
        <v/>
      </c>
      <c r="W353" s="73" t="str">
        <f t="shared" si="214"/>
        <v/>
      </c>
      <c r="X353" s="73" t="str">
        <f>IF(B353&lt;&gt;"",IF(MONTH(E353)=MONTH($F$13),SUMIF($C$22:C735,"="&amp;(C353-1),$G$22:G735),0)*S353,"")</f>
        <v/>
      </c>
      <c r="Y353" s="73" t="str">
        <f>IF(B353&lt;&gt;"",SUM($X$22:X353),"")</f>
        <v/>
      </c>
      <c r="Z353" s="73" t="str">
        <f t="shared" si="226"/>
        <v/>
      </c>
      <c r="AA353" s="73" t="str">
        <f t="shared" si="215"/>
        <v/>
      </c>
      <c r="AB353" s="73" t="str">
        <f t="shared" si="216"/>
        <v/>
      </c>
      <c r="AC353" s="73" t="str">
        <f t="shared" si="217"/>
        <v/>
      </c>
      <c r="AD353" s="73" t="str">
        <f>IFERROR($U353*(1-$V353)+SUM($W$22:$W353)+$AB353,"")</f>
        <v/>
      </c>
      <c r="AE353" s="73" t="b">
        <f t="shared" si="218"/>
        <v>1</v>
      </c>
      <c r="AF353" s="73" t="e">
        <f>IF(AND(AE353=TRUE,D353&gt;=65),$U353*(1-10%)+SUM($W$22:$W353)+$AB353,AD353)</f>
        <v>#VALUE!</v>
      </c>
      <c r="AG353" s="73" t="str">
        <f t="shared" si="201"/>
        <v/>
      </c>
      <c r="AH353" s="73" t="str">
        <f t="shared" si="202"/>
        <v/>
      </c>
      <c r="AI353" s="73" t="str">
        <f t="shared" si="203"/>
        <v/>
      </c>
      <c r="AJ353" s="73" t="str">
        <f t="shared" si="204"/>
        <v/>
      </c>
      <c r="AK353" s="73" t="b">
        <f t="shared" si="219"/>
        <v>1</v>
      </c>
      <c r="AL353" s="73" t="str">
        <f t="shared" si="205"/>
        <v/>
      </c>
      <c r="AM353" s="73" t="str">
        <f t="shared" si="227"/>
        <v/>
      </c>
      <c r="AN353" s="73" t="str">
        <f t="shared" si="220"/>
        <v/>
      </c>
      <c r="AO353" s="73" t="str">
        <f t="shared" si="221"/>
        <v/>
      </c>
      <c r="AP353" s="73" t="str">
        <f t="shared" si="222"/>
        <v/>
      </c>
    </row>
    <row r="354" spans="1:42" s="31" customFormat="1" x14ac:dyDescent="0.6">
      <c r="A354" s="70" t="str">
        <f t="shared" si="206"/>
        <v/>
      </c>
      <c r="B354" s="70" t="str">
        <f>IF(E354&lt;=$F$9,VLOOKUP(KALKULATOR!A354,Robocze!$B$23:$C$102,2),"")</f>
        <v/>
      </c>
      <c r="C354" s="70" t="str">
        <f t="shared" si="209"/>
        <v/>
      </c>
      <c r="D354" s="71" t="str">
        <f t="shared" si="223"/>
        <v/>
      </c>
      <c r="E354" s="77" t="str">
        <f t="shared" si="224"/>
        <v/>
      </c>
      <c r="F354" s="72" t="str">
        <f t="shared" si="210"/>
        <v/>
      </c>
      <c r="G354" s="73" t="str">
        <f>IFERROR(IF(AND(F354&lt;=$F$9,$F$5=Robocze!$B$4,$E354&lt;=$F$9,MONTH($F$8)=MONTH(E354)),$F$4,0)+IF(AND(F354&lt;=$F$9,$F$5=Robocze!$B$3,E354&lt;=$F$9),KALKULATOR!$F$4/12,0),"")</f>
        <v/>
      </c>
      <c r="H354" s="73" t="str">
        <f t="shared" si="211"/>
        <v/>
      </c>
      <c r="I354" s="74" t="str">
        <f t="shared" si="207"/>
        <v/>
      </c>
      <c r="J354" s="73" t="str">
        <f t="shared" si="193"/>
        <v/>
      </c>
      <c r="K354" s="75" t="str">
        <f t="shared" si="194"/>
        <v/>
      </c>
      <c r="L354" s="73" t="str">
        <f t="shared" si="195"/>
        <v/>
      </c>
      <c r="M354" s="73" t="str">
        <f t="shared" si="196"/>
        <v/>
      </c>
      <c r="N354" s="73" t="str">
        <f t="shared" si="197"/>
        <v/>
      </c>
      <c r="O354" s="73" t="str">
        <f t="shared" si="198"/>
        <v/>
      </c>
      <c r="P354" s="73" t="str">
        <f t="shared" si="199"/>
        <v/>
      </c>
      <c r="Q354" s="73" t="str">
        <f t="shared" si="200"/>
        <v/>
      </c>
      <c r="R354" s="73"/>
      <c r="S354" s="76" t="str">
        <f t="shared" si="208"/>
        <v/>
      </c>
      <c r="T354" s="73" t="str">
        <f t="shared" si="225"/>
        <v/>
      </c>
      <c r="U354" s="73" t="str">
        <f t="shared" si="212"/>
        <v/>
      </c>
      <c r="V354" s="76" t="str">
        <f t="shared" si="213"/>
        <v/>
      </c>
      <c r="W354" s="73" t="str">
        <f t="shared" si="214"/>
        <v/>
      </c>
      <c r="X354" s="73" t="str">
        <f>IF(B354&lt;&gt;"",IF(MONTH(E354)=MONTH($F$13),SUMIF($C$22:C736,"="&amp;(C354-1),$G$22:G736),0)*S354,"")</f>
        <v/>
      </c>
      <c r="Y354" s="73" t="str">
        <f>IF(B354&lt;&gt;"",SUM($X$22:X354),"")</f>
        <v/>
      </c>
      <c r="Z354" s="73" t="str">
        <f t="shared" si="226"/>
        <v/>
      </c>
      <c r="AA354" s="73" t="str">
        <f t="shared" si="215"/>
        <v/>
      </c>
      <c r="AB354" s="73" t="str">
        <f t="shared" si="216"/>
        <v/>
      </c>
      <c r="AC354" s="73" t="str">
        <f t="shared" si="217"/>
        <v/>
      </c>
      <c r="AD354" s="73" t="str">
        <f>IFERROR($U354*(1-$V354)+SUM($W$22:$W354)+$AB354,"")</f>
        <v/>
      </c>
      <c r="AE354" s="73" t="b">
        <f t="shared" si="218"/>
        <v>1</v>
      </c>
      <c r="AF354" s="73" t="e">
        <f>IF(AND(AE354=TRUE,D354&gt;=65),$U354*(1-10%)+SUM($W$22:$W354)+$AB354,AD354)</f>
        <v>#VALUE!</v>
      </c>
      <c r="AG354" s="73" t="str">
        <f t="shared" si="201"/>
        <v/>
      </c>
      <c r="AH354" s="73" t="str">
        <f t="shared" si="202"/>
        <v/>
      </c>
      <c r="AI354" s="73" t="str">
        <f t="shared" si="203"/>
        <v/>
      </c>
      <c r="AJ354" s="73" t="str">
        <f t="shared" si="204"/>
        <v/>
      </c>
      <c r="AK354" s="73" t="b">
        <f t="shared" si="219"/>
        <v>1</v>
      </c>
      <c r="AL354" s="73" t="str">
        <f t="shared" si="205"/>
        <v/>
      </c>
      <c r="AM354" s="73" t="str">
        <f t="shared" si="227"/>
        <v/>
      </c>
      <c r="AN354" s="73" t="str">
        <f t="shared" si="220"/>
        <v/>
      </c>
      <c r="AO354" s="73" t="str">
        <f t="shared" si="221"/>
        <v/>
      </c>
      <c r="AP354" s="73" t="str">
        <f t="shared" si="222"/>
        <v/>
      </c>
    </row>
    <row r="355" spans="1:42" s="31" customFormat="1" x14ac:dyDescent="0.6">
      <c r="A355" s="70" t="str">
        <f t="shared" si="206"/>
        <v/>
      </c>
      <c r="B355" s="70" t="str">
        <f>IF(E355&lt;=$F$9,VLOOKUP(KALKULATOR!A355,Robocze!$B$23:$C$102,2),"")</f>
        <v/>
      </c>
      <c r="C355" s="70" t="str">
        <f t="shared" si="209"/>
        <v/>
      </c>
      <c r="D355" s="71" t="str">
        <f t="shared" si="223"/>
        <v/>
      </c>
      <c r="E355" s="77" t="str">
        <f t="shared" si="224"/>
        <v/>
      </c>
      <c r="F355" s="72" t="str">
        <f t="shared" si="210"/>
        <v/>
      </c>
      <c r="G355" s="73" t="str">
        <f>IFERROR(IF(AND(F355&lt;=$F$9,$F$5=Robocze!$B$4,$E355&lt;=$F$9,MONTH($F$8)=MONTH(E355)),$F$4,0)+IF(AND(F355&lt;=$F$9,$F$5=Robocze!$B$3,E355&lt;=$F$9),KALKULATOR!$F$4/12,0),"")</f>
        <v/>
      </c>
      <c r="H355" s="73" t="str">
        <f t="shared" si="211"/>
        <v/>
      </c>
      <c r="I355" s="74" t="str">
        <f t="shared" si="207"/>
        <v/>
      </c>
      <c r="J355" s="73" t="str">
        <f t="shared" si="193"/>
        <v/>
      </c>
      <c r="K355" s="75" t="str">
        <f t="shared" si="194"/>
        <v/>
      </c>
      <c r="L355" s="73" t="str">
        <f t="shared" si="195"/>
        <v/>
      </c>
      <c r="M355" s="73" t="str">
        <f t="shared" si="196"/>
        <v/>
      </c>
      <c r="N355" s="73" t="str">
        <f t="shared" si="197"/>
        <v/>
      </c>
      <c r="O355" s="73" t="str">
        <f t="shared" si="198"/>
        <v/>
      </c>
      <c r="P355" s="73" t="str">
        <f t="shared" si="199"/>
        <v/>
      </c>
      <c r="Q355" s="73" t="str">
        <f t="shared" si="200"/>
        <v/>
      </c>
      <c r="R355" s="73"/>
      <c r="S355" s="76" t="str">
        <f t="shared" si="208"/>
        <v/>
      </c>
      <c r="T355" s="73" t="str">
        <f t="shared" si="225"/>
        <v/>
      </c>
      <c r="U355" s="73" t="str">
        <f t="shared" si="212"/>
        <v/>
      </c>
      <c r="V355" s="76" t="str">
        <f t="shared" si="213"/>
        <v/>
      </c>
      <c r="W355" s="73" t="str">
        <f t="shared" si="214"/>
        <v/>
      </c>
      <c r="X355" s="73" t="str">
        <f>IF(B355&lt;&gt;"",IF(MONTH(E355)=MONTH($F$13),SUMIF($C$22:C737,"="&amp;(C355-1),$G$22:G737),0)*S355,"")</f>
        <v/>
      </c>
      <c r="Y355" s="73" t="str">
        <f>IF(B355&lt;&gt;"",SUM($X$22:X355),"")</f>
        <v/>
      </c>
      <c r="Z355" s="73" t="str">
        <f t="shared" si="226"/>
        <v/>
      </c>
      <c r="AA355" s="73" t="str">
        <f t="shared" si="215"/>
        <v/>
      </c>
      <c r="AB355" s="73" t="str">
        <f t="shared" si="216"/>
        <v/>
      </c>
      <c r="AC355" s="73" t="str">
        <f t="shared" si="217"/>
        <v/>
      </c>
      <c r="AD355" s="73" t="str">
        <f>IFERROR($U355*(1-$V355)+SUM($W$22:$W355)+$AB355,"")</f>
        <v/>
      </c>
      <c r="AE355" s="73" t="b">
        <f t="shared" si="218"/>
        <v>1</v>
      </c>
      <c r="AF355" s="73" t="e">
        <f>IF(AND(AE355=TRUE,D355&gt;=65),$U355*(1-10%)+SUM($W$22:$W355)+$AB355,AD355)</f>
        <v>#VALUE!</v>
      </c>
      <c r="AG355" s="73" t="str">
        <f t="shared" si="201"/>
        <v/>
      </c>
      <c r="AH355" s="73" t="str">
        <f t="shared" si="202"/>
        <v/>
      </c>
      <c r="AI355" s="73" t="str">
        <f t="shared" si="203"/>
        <v/>
      </c>
      <c r="AJ355" s="73" t="str">
        <f t="shared" si="204"/>
        <v/>
      </c>
      <c r="AK355" s="73" t="b">
        <f t="shared" si="219"/>
        <v>1</v>
      </c>
      <c r="AL355" s="73" t="str">
        <f t="shared" si="205"/>
        <v/>
      </c>
      <c r="AM355" s="73" t="str">
        <f t="shared" si="227"/>
        <v/>
      </c>
      <c r="AN355" s="73" t="str">
        <f t="shared" si="220"/>
        <v/>
      </c>
      <c r="AO355" s="73" t="str">
        <f t="shared" si="221"/>
        <v/>
      </c>
      <c r="AP355" s="73" t="str">
        <f t="shared" si="222"/>
        <v/>
      </c>
    </row>
    <row r="356" spans="1:42" s="31" customFormat="1" x14ac:dyDescent="0.6">
      <c r="A356" s="70" t="str">
        <f t="shared" si="206"/>
        <v/>
      </c>
      <c r="B356" s="70" t="str">
        <f>IF(E356&lt;=$F$9,VLOOKUP(KALKULATOR!A356,Robocze!$B$23:$C$102,2),"")</f>
        <v/>
      </c>
      <c r="C356" s="70" t="str">
        <f t="shared" si="209"/>
        <v/>
      </c>
      <c r="D356" s="71" t="str">
        <f t="shared" si="223"/>
        <v/>
      </c>
      <c r="E356" s="77" t="str">
        <f t="shared" si="224"/>
        <v/>
      </c>
      <c r="F356" s="72" t="str">
        <f t="shared" si="210"/>
        <v/>
      </c>
      <c r="G356" s="73" t="str">
        <f>IFERROR(IF(AND(F356&lt;=$F$9,$F$5=Robocze!$B$4,$E356&lt;=$F$9,MONTH($F$8)=MONTH(E356)),$F$4,0)+IF(AND(F356&lt;=$F$9,$F$5=Robocze!$B$3,E356&lt;=$F$9),KALKULATOR!$F$4/12,0),"")</f>
        <v/>
      </c>
      <c r="H356" s="73" t="str">
        <f t="shared" si="211"/>
        <v/>
      </c>
      <c r="I356" s="74" t="str">
        <f t="shared" si="207"/>
        <v/>
      </c>
      <c r="J356" s="73" t="str">
        <f t="shared" si="193"/>
        <v/>
      </c>
      <c r="K356" s="75" t="str">
        <f t="shared" si="194"/>
        <v/>
      </c>
      <c r="L356" s="73" t="str">
        <f t="shared" si="195"/>
        <v/>
      </c>
      <c r="M356" s="73" t="str">
        <f t="shared" si="196"/>
        <v/>
      </c>
      <c r="N356" s="73" t="str">
        <f t="shared" si="197"/>
        <v/>
      </c>
      <c r="O356" s="73" t="str">
        <f t="shared" si="198"/>
        <v/>
      </c>
      <c r="P356" s="73" t="str">
        <f t="shared" si="199"/>
        <v/>
      </c>
      <c r="Q356" s="73" t="str">
        <f t="shared" si="200"/>
        <v/>
      </c>
      <c r="R356" s="73"/>
      <c r="S356" s="76" t="str">
        <f t="shared" si="208"/>
        <v/>
      </c>
      <c r="T356" s="73" t="str">
        <f t="shared" si="225"/>
        <v/>
      </c>
      <c r="U356" s="73" t="str">
        <f t="shared" si="212"/>
        <v/>
      </c>
      <c r="V356" s="76" t="str">
        <f t="shared" si="213"/>
        <v/>
      </c>
      <c r="W356" s="73" t="str">
        <f t="shared" si="214"/>
        <v/>
      </c>
      <c r="X356" s="73" t="str">
        <f>IF(B356&lt;&gt;"",IF(MONTH(E356)=MONTH($F$13),SUMIF($C$22:C738,"="&amp;(C356-1),$G$22:G738),0)*S356,"")</f>
        <v/>
      </c>
      <c r="Y356" s="73" t="str">
        <f>IF(B356&lt;&gt;"",SUM($X$22:X356),"")</f>
        <v/>
      </c>
      <c r="Z356" s="73" t="str">
        <f t="shared" si="226"/>
        <v/>
      </c>
      <c r="AA356" s="73" t="str">
        <f t="shared" si="215"/>
        <v/>
      </c>
      <c r="AB356" s="73" t="str">
        <f t="shared" si="216"/>
        <v/>
      </c>
      <c r="AC356" s="73" t="str">
        <f t="shared" si="217"/>
        <v/>
      </c>
      <c r="AD356" s="73" t="str">
        <f>IFERROR($U356*(1-$V356)+SUM($W$22:$W356)+$AB356,"")</f>
        <v/>
      </c>
      <c r="AE356" s="73" t="b">
        <f t="shared" si="218"/>
        <v>1</v>
      </c>
      <c r="AF356" s="73" t="e">
        <f>IF(AND(AE356=TRUE,D356&gt;=65),$U356*(1-10%)+SUM($W$22:$W356)+$AB356,AD356)</f>
        <v>#VALUE!</v>
      </c>
      <c r="AG356" s="73" t="str">
        <f t="shared" si="201"/>
        <v/>
      </c>
      <c r="AH356" s="73" t="str">
        <f t="shared" si="202"/>
        <v/>
      </c>
      <c r="AI356" s="73" t="str">
        <f t="shared" si="203"/>
        <v/>
      </c>
      <c r="AJ356" s="73" t="str">
        <f t="shared" si="204"/>
        <v/>
      </c>
      <c r="AK356" s="73" t="b">
        <f t="shared" si="219"/>
        <v>1</v>
      </c>
      <c r="AL356" s="73" t="str">
        <f t="shared" si="205"/>
        <v/>
      </c>
      <c r="AM356" s="73" t="str">
        <f t="shared" si="227"/>
        <v/>
      </c>
      <c r="AN356" s="73" t="str">
        <f t="shared" si="220"/>
        <v/>
      </c>
      <c r="AO356" s="73" t="str">
        <f t="shared" si="221"/>
        <v/>
      </c>
      <c r="AP356" s="73" t="str">
        <f t="shared" si="222"/>
        <v/>
      </c>
    </row>
    <row r="357" spans="1:42" s="69" customFormat="1" x14ac:dyDescent="0.6">
      <c r="A357" s="78" t="str">
        <f t="shared" si="206"/>
        <v/>
      </c>
      <c r="B357" s="78" t="str">
        <f>IF(E357&lt;=$F$9,VLOOKUP(KALKULATOR!A357,Robocze!$B$23:$C$102,2),"")</f>
        <v/>
      </c>
      <c r="C357" s="78" t="str">
        <f t="shared" si="209"/>
        <v/>
      </c>
      <c r="D357" s="79" t="str">
        <f t="shared" si="223"/>
        <v/>
      </c>
      <c r="E357" s="80" t="str">
        <f t="shared" si="224"/>
        <v/>
      </c>
      <c r="F357" s="81" t="str">
        <f t="shared" si="210"/>
        <v/>
      </c>
      <c r="G357" s="82" t="str">
        <f>IFERROR(IF(AND(F357&lt;=$F$9,$F$5=Robocze!$B$4,$E357&lt;=$F$9,MONTH($F$8)=MONTH(E357)),$F$4,0)+IF(AND(F357&lt;=$F$9,$F$5=Robocze!$B$3,E357&lt;=$F$9),KALKULATOR!$F$4/12,0),"")</f>
        <v/>
      </c>
      <c r="H357" s="82" t="str">
        <f t="shared" si="211"/>
        <v/>
      </c>
      <c r="I357" s="83" t="str">
        <f t="shared" si="207"/>
        <v/>
      </c>
      <c r="J357" s="82" t="str">
        <f t="shared" si="193"/>
        <v/>
      </c>
      <c r="K357" s="84" t="str">
        <f t="shared" si="194"/>
        <v/>
      </c>
      <c r="L357" s="82" t="str">
        <f t="shared" si="195"/>
        <v/>
      </c>
      <c r="M357" s="82" t="str">
        <f t="shared" si="196"/>
        <v/>
      </c>
      <c r="N357" s="82" t="str">
        <f t="shared" si="197"/>
        <v/>
      </c>
      <c r="O357" s="82" t="str">
        <f t="shared" si="198"/>
        <v/>
      </c>
      <c r="P357" s="82" t="str">
        <f t="shared" si="199"/>
        <v/>
      </c>
      <c r="Q357" s="82" t="str">
        <f t="shared" si="200"/>
        <v/>
      </c>
      <c r="R357" s="82"/>
      <c r="S357" s="85" t="str">
        <f t="shared" si="208"/>
        <v/>
      </c>
      <c r="T357" s="82" t="str">
        <f t="shared" si="225"/>
        <v/>
      </c>
      <c r="U357" s="82" t="str">
        <f t="shared" si="212"/>
        <v/>
      </c>
      <c r="V357" s="85" t="str">
        <f t="shared" si="213"/>
        <v/>
      </c>
      <c r="W357" s="82" t="str">
        <f t="shared" si="214"/>
        <v/>
      </c>
      <c r="X357" s="82" t="str">
        <f>IF(B357&lt;&gt;"",IF(MONTH(E357)=MONTH($F$13),SUMIF($C$22:C739,"="&amp;(C357-1),$G$22:G739),0)*S357,"")</f>
        <v/>
      </c>
      <c r="Y357" s="82" t="str">
        <f>IF(B357&lt;&gt;"",SUM($X$22:X357),"")</f>
        <v/>
      </c>
      <c r="Z357" s="82" t="str">
        <f t="shared" si="226"/>
        <v/>
      </c>
      <c r="AA357" s="82" t="str">
        <f t="shared" si="215"/>
        <v/>
      </c>
      <c r="AB357" s="82" t="str">
        <f t="shared" si="216"/>
        <v/>
      </c>
      <c r="AC357" s="82" t="str">
        <f t="shared" si="217"/>
        <v/>
      </c>
      <c r="AD357" s="82" t="str">
        <f>IFERROR($U357*(1-$V357)+SUM($W$22:$W357)+$AB357,"")</f>
        <v/>
      </c>
      <c r="AE357" s="73" t="b">
        <f t="shared" si="218"/>
        <v>1</v>
      </c>
      <c r="AF357" s="82" t="e">
        <f>IF(AND(AE357=TRUE,D357&gt;=65),$U357*(1-10%)+SUM($W$22:$W357)+$AB357,AD357)</f>
        <v>#VALUE!</v>
      </c>
      <c r="AG357" s="82" t="str">
        <f t="shared" si="201"/>
        <v/>
      </c>
      <c r="AH357" s="82" t="str">
        <f t="shared" si="202"/>
        <v/>
      </c>
      <c r="AI357" s="82" t="str">
        <f t="shared" si="203"/>
        <v/>
      </c>
      <c r="AJ357" s="82" t="str">
        <f t="shared" si="204"/>
        <v/>
      </c>
      <c r="AK357" s="73" t="b">
        <f t="shared" si="219"/>
        <v>1</v>
      </c>
      <c r="AL357" s="82" t="str">
        <f t="shared" si="205"/>
        <v/>
      </c>
      <c r="AM357" s="82" t="str">
        <f t="shared" si="227"/>
        <v/>
      </c>
      <c r="AN357" s="82" t="str">
        <f t="shared" si="220"/>
        <v/>
      </c>
      <c r="AO357" s="82" t="str">
        <f t="shared" si="221"/>
        <v/>
      </c>
      <c r="AP357" s="82" t="str">
        <f t="shared" si="222"/>
        <v/>
      </c>
    </row>
    <row r="358" spans="1:42" s="31" customFormat="1" x14ac:dyDescent="0.6">
      <c r="A358" s="70" t="str">
        <f t="shared" si="206"/>
        <v/>
      </c>
      <c r="B358" s="70" t="str">
        <f>IF(E358&lt;=$F$9,VLOOKUP(KALKULATOR!A358,Robocze!$B$23:$C$102,2),"")</f>
        <v/>
      </c>
      <c r="C358" s="70" t="str">
        <f t="shared" si="209"/>
        <v/>
      </c>
      <c r="D358" s="71" t="str">
        <f t="shared" si="223"/>
        <v/>
      </c>
      <c r="E358" s="72" t="str">
        <f t="shared" si="224"/>
        <v/>
      </c>
      <c r="F358" s="72" t="str">
        <f t="shared" si="210"/>
        <v/>
      </c>
      <c r="G358" s="73" t="str">
        <f>IFERROR(IF(AND(F358&lt;=$F$9,$F$5=Robocze!$B$4,$E358&lt;=$F$9,MONTH($F$8)=MONTH(E358)),$F$4,0)+IF(AND(F358&lt;=$F$9,$F$5=Robocze!$B$3,E358&lt;=$F$9),KALKULATOR!$F$4/12,0),"")</f>
        <v/>
      </c>
      <c r="H358" s="73" t="str">
        <f t="shared" si="211"/>
        <v/>
      </c>
      <c r="I358" s="74" t="str">
        <f t="shared" si="207"/>
        <v/>
      </c>
      <c r="J358" s="73" t="str">
        <f t="shared" si="193"/>
        <v/>
      </c>
      <c r="K358" s="75" t="str">
        <f t="shared" si="194"/>
        <v/>
      </c>
      <c r="L358" s="73" t="str">
        <f t="shared" si="195"/>
        <v/>
      </c>
      <c r="M358" s="73" t="str">
        <f t="shared" si="196"/>
        <v/>
      </c>
      <c r="N358" s="73" t="str">
        <f t="shared" si="197"/>
        <v/>
      </c>
      <c r="O358" s="73" t="str">
        <f t="shared" si="198"/>
        <v/>
      </c>
      <c r="P358" s="73" t="str">
        <f t="shared" si="199"/>
        <v/>
      </c>
      <c r="Q358" s="73" t="str">
        <f t="shared" si="200"/>
        <v/>
      </c>
      <c r="R358" s="73"/>
      <c r="S358" s="76" t="str">
        <f t="shared" si="208"/>
        <v/>
      </c>
      <c r="T358" s="73" t="str">
        <f t="shared" si="225"/>
        <v/>
      </c>
      <c r="U358" s="73" t="str">
        <f t="shared" si="212"/>
        <v/>
      </c>
      <c r="V358" s="76" t="str">
        <f t="shared" si="213"/>
        <v/>
      </c>
      <c r="W358" s="73" t="str">
        <f t="shared" si="214"/>
        <v/>
      </c>
      <c r="X358" s="73" t="str">
        <f>IF(B358&lt;&gt;"",IF(MONTH(E358)=MONTH($F$13),SUMIF($C$22:C740,"="&amp;(C358-1),$G$22:G740),0)*S358,"")</f>
        <v/>
      </c>
      <c r="Y358" s="73" t="str">
        <f>IF(B358&lt;&gt;"",SUM($X$22:X358),"")</f>
        <v/>
      </c>
      <c r="Z358" s="73" t="str">
        <f t="shared" si="226"/>
        <v/>
      </c>
      <c r="AA358" s="73" t="str">
        <f t="shared" si="215"/>
        <v/>
      </c>
      <c r="AB358" s="73" t="str">
        <f t="shared" si="216"/>
        <v/>
      </c>
      <c r="AC358" s="73" t="str">
        <f t="shared" si="217"/>
        <v/>
      </c>
      <c r="AD358" s="73" t="str">
        <f>IFERROR($U358*(1-$V358)+SUM($W$22:$W358)+$AB358,"")</f>
        <v/>
      </c>
      <c r="AE358" s="73" t="b">
        <f t="shared" si="218"/>
        <v>1</v>
      </c>
      <c r="AF358" s="73" t="e">
        <f>IF(AND(AE358=TRUE,D358&gt;=65),$U358*(1-10%)+SUM($W$22:$W358)+$AB358,AD358)</f>
        <v>#VALUE!</v>
      </c>
      <c r="AG358" s="73" t="str">
        <f t="shared" si="201"/>
        <v/>
      </c>
      <c r="AH358" s="73" t="str">
        <f t="shared" si="202"/>
        <v/>
      </c>
      <c r="AI358" s="73" t="str">
        <f t="shared" si="203"/>
        <v/>
      </c>
      <c r="AJ358" s="73" t="str">
        <f t="shared" si="204"/>
        <v/>
      </c>
      <c r="AK358" s="73" t="b">
        <f t="shared" si="219"/>
        <v>1</v>
      </c>
      <c r="AL358" s="73" t="str">
        <f t="shared" si="205"/>
        <v/>
      </c>
      <c r="AM358" s="73" t="str">
        <f t="shared" si="227"/>
        <v/>
      </c>
      <c r="AN358" s="73" t="str">
        <f t="shared" si="220"/>
        <v/>
      </c>
      <c r="AO358" s="73" t="str">
        <f t="shared" si="221"/>
        <v/>
      </c>
      <c r="AP358" s="73" t="str">
        <f t="shared" si="222"/>
        <v/>
      </c>
    </row>
    <row r="359" spans="1:42" s="31" customFormat="1" x14ac:dyDescent="0.6">
      <c r="A359" s="70" t="str">
        <f t="shared" si="206"/>
        <v/>
      </c>
      <c r="B359" s="70" t="str">
        <f>IF(E359&lt;=$F$9,VLOOKUP(KALKULATOR!A359,Robocze!$B$23:$C$102,2),"")</f>
        <v/>
      </c>
      <c r="C359" s="70" t="str">
        <f t="shared" si="209"/>
        <v/>
      </c>
      <c r="D359" s="71" t="str">
        <f t="shared" si="223"/>
        <v/>
      </c>
      <c r="E359" s="77" t="str">
        <f t="shared" si="224"/>
        <v/>
      </c>
      <c r="F359" s="72" t="str">
        <f t="shared" si="210"/>
        <v/>
      </c>
      <c r="G359" s="73" t="str">
        <f>IFERROR(IF(AND(F359&lt;=$F$9,$F$5=Robocze!$B$4,$E359&lt;=$F$9,MONTH($F$8)=MONTH(E359)),$F$4,0)+IF(AND(F359&lt;=$F$9,$F$5=Robocze!$B$3,E359&lt;=$F$9),KALKULATOR!$F$4/12,0),"")</f>
        <v/>
      </c>
      <c r="H359" s="73" t="str">
        <f t="shared" si="211"/>
        <v/>
      </c>
      <c r="I359" s="74" t="str">
        <f t="shared" si="207"/>
        <v/>
      </c>
      <c r="J359" s="73" t="str">
        <f t="shared" si="193"/>
        <v/>
      </c>
      <c r="K359" s="75" t="str">
        <f t="shared" si="194"/>
        <v/>
      </c>
      <c r="L359" s="73" t="str">
        <f t="shared" si="195"/>
        <v/>
      </c>
      <c r="M359" s="73" t="str">
        <f t="shared" si="196"/>
        <v/>
      </c>
      <c r="N359" s="73" t="str">
        <f t="shared" si="197"/>
        <v/>
      </c>
      <c r="O359" s="73" t="str">
        <f t="shared" si="198"/>
        <v/>
      </c>
      <c r="P359" s="73" t="str">
        <f t="shared" si="199"/>
        <v/>
      </c>
      <c r="Q359" s="73" t="str">
        <f t="shared" si="200"/>
        <v/>
      </c>
      <c r="R359" s="73"/>
      <c r="S359" s="76" t="str">
        <f t="shared" si="208"/>
        <v/>
      </c>
      <c r="T359" s="73" t="str">
        <f t="shared" si="225"/>
        <v/>
      </c>
      <c r="U359" s="73" t="str">
        <f t="shared" si="212"/>
        <v/>
      </c>
      <c r="V359" s="76" t="str">
        <f t="shared" si="213"/>
        <v/>
      </c>
      <c r="W359" s="73" t="str">
        <f t="shared" si="214"/>
        <v/>
      </c>
      <c r="X359" s="73" t="str">
        <f>IF(B359&lt;&gt;"",IF(MONTH(E359)=MONTH($F$13),SUMIF($C$22:C741,"="&amp;(C359-1),$G$22:G741),0)*S359,"")</f>
        <v/>
      </c>
      <c r="Y359" s="73" t="str">
        <f>IF(B359&lt;&gt;"",SUM($X$22:X359),"")</f>
        <v/>
      </c>
      <c r="Z359" s="73" t="str">
        <f t="shared" si="226"/>
        <v/>
      </c>
      <c r="AA359" s="73" t="str">
        <f t="shared" si="215"/>
        <v/>
      </c>
      <c r="AB359" s="73" t="str">
        <f t="shared" si="216"/>
        <v/>
      </c>
      <c r="AC359" s="73" t="str">
        <f t="shared" si="217"/>
        <v/>
      </c>
      <c r="AD359" s="73" t="str">
        <f>IFERROR($U359*(1-$V359)+SUM($W$22:$W359)+$AB359,"")</f>
        <v/>
      </c>
      <c r="AE359" s="73" t="b">
        <f t="shared" si="218"/>
        <v>1</v>
      </c>
      <c r="AF359" s="73" t="e">
        <f>IF(AND(AE359=TRUE,D359&gt;=65),$U359*(1-10%)+SUM($W$22:$W359)+$AB359,AD359)</f>
        <v>#VALUE!</v>
      </c>
      <c r="AG359" s="73" t="str">
        <f t="shared" si="201"/>
        <v/>
      </c>
      <c r="AH359" s="73" t="str">
        <f t="shared" si="202"/>
        <v/>
      </c>
      <c r="AI359" s="73" t="str">
        <f t="shared" si="203"/>
        <v/>
      </c>
      <c r="AJ359" s="73" t="str">
        <f t="shared" si="204"/>
        <v/>
      </c>
      <c r="AK359" s="73" t="b">
        <f t="shared" si="219"/>
        <v>1</v>
      </c>
      <c r="AL359" s="73" t="str">
        <f t="shared" si="205"/>
        <v/>
      </c>
      <c r="AM359" s="73" t="str">
        <f t="shared" si="227"/>
        <v/>
      </c>
      <c r="AN359" s="73" t="str">
        <f t="shared" si="220"/>
        <v/>
      </c>
      <c r="AO359" s="73" t="str">
        <f t="shared" si="221"/>
        <v/>
      </c>
      <c r="AP359" s="73" t="str">
        <f t="shared" si="222"/>
        <v/>
      </c>
    </row>
    <row r="360" spans="1:42" s="31" customFormat="1" x14ac:dyDescent="0.6">
      <c r="A360" s="70" t="str">
        <f t="shared" si="206"/>
        <v/>
      </c>
      <c r="B360" s="70" t="str">
        <f>IF(E360&lt;=$F$9,VLOOKUP(KALKULATOR!A360,Robocze!$B$23:$C$102,2),"")</f>
        <v/>
      </c>
      <c r="C360" s="70" t="str">
        <f t="shared" si="209"/>
        <v/>
      </c>
      <c r="D360" s="71" t="str">
        <f t="shared" si="223"/>
        <v/>
      </c>
      <c r="E360" s="77" t="str">
        <f t="shared" si="224"/>
        <v/>
      </c>
      <c r="F360" s="72" t="str">
        <f t="shared" si="210"/>
        <v/>
      </c>
      <c r="G360" s="73" t="str">
        <f>IFERROR(IF(AND(F360&lt;=$F$9,$F$5=Robocze!$B$4,$E360&lt;=$F$9,MONTH($F$8)=MONTH(E360)),$F$4,0)+IF(AND(F360&lt;=$F$9,$F$5=Robocze!$B$3,E360&lt;=$F$9),KALKULATOR!$F$4/12,0),"")</f>
        <v/>
      </c>
      <c r="H360" s="73" t="str">
        <f t="shared" si="211"/>
        <v/>
      </c>
      <c r="I360" s="74" t="str">
        <f t="shared" si="207"/>
        <v/>
      </c>
      <c r="J360" s="73" t="str">
        <f t="shared" si="193"/>
        <v/>
      </c>
      <c r="K360" s="75" t="str">
        <f t="shared" si="194"/>
        <v/>
      </c>
      <c r="L360" s="73" t="str">
        <f t="shared" si="195"/>
        <v/>
      </c>
      <c r="M360" s="73" t="str">
        <f t="shared" si="196"/>
        <v/>
      </c>
      <c r="N360" s="73" t="str">
        <f t="shared" si="197"/>
        <v/>
      </c>
      <c r="O360" s="73" t="str">
        <f t="shared" si="198"/>
        <v/>
      </c>
      <c r="P360" s="73" t="str">
        <f t="shared" si="199"/>
        <v/>
      </c>
      <c r="Q360" s="73" t="str">
        <f t="shared" si="200"/>
        <v/>
      </c>
      <c r="R360" s="73"/>
      <c r="S360" s="76" t="str">
        <f t="shared" si="208"/>
        <v/>
      </c>
      <c r="T360" s="73" t="str">
        <f t="shared" si="225"/>
        <v/>
      </c>
      <c r="U360" s="73" t="str">
        <f t="shared" si="212"/>
        <v/>
      </c>
      <c r="V360" s="76" t="str">
        <f t="shared" si="213"/>
        <v/>
      </c>
      <c r="W360" s="73" t="str">
        <f t="shared" si="214"/>
        <v/>
      </c>
      <c r="X360" s="73" t="str">
        <f>IF(B360&lt;&gt;"",IF(MONTH(E360)=MONTH($F$13),SUMIF($C$22:C741,"="&amp;(C360-1),$G$22:G741),0)*S360,"")</f>
        <v/>
      </c>
      <c r="Y360" s="73" t="str">
        <f>IF(B360&lt;&gt;"",SUM($X$22:X360),"")</f>
        <v/>
      </c>
      <c r="Z360" s="73" t="str">
        <f t="shared" si="226"/>
        <v/>
      </c>
      <c r="AA360" s="73" t="str">
        <f t="shared" si="215"/>
        <v/>
      </c>
      <c r="AB360" s="73" t="str">
        <f t="shared" si="216"/>
        <v/>
      </c>
      <c r="AC360" s="73" t="str">
        <f t="shared" si="217"/>
        <v/>
      </c>
      <c r="AD360" s="73" t="str">
        <f>IFERROR($U360*(1-$V360)+SUM($W$22:$W360)+$AB360,"")</f>
        <v/>
      </c>
      <c r="AE360" s="73" t="b">
        <f t="shared" si="218"/>
        <v>1</v>
      </c>
      <c r="AF360" s="73" t="e">
        <f>IF(AND(AE360=TRUE,D360&gt;=65),$U360*(1-10%)+SUM($W$22:$W360)+$AB360,AD360)</f>
        <v>#VALUE!</v>
      </c>
      <c r="AG360" s="73" t="str">
        <f t="shared" si="201"/>
        <v/>
      </c>
      <c r="AH360" s="73" t="str">
        <f t="shared" si="202"/>
        <v/>
      </c>
      <c r="AI360" s="73" t="str">
        <f t="shared" si="203"/>
        <v/>
      </c>
      <c r="AJ360" s="73" t="str">
        <f t="shared" si="204"/>
        <v/>
      </c>
      <c r="AK360" s="73" t="b">
        <f t="shared" si="219"/>
        <v>1</v>
      </c>
      <c r="AL360" s="73" t="str">
        <f t="shared" si="205"/>
        <v/>
      </c>
      <c r="AM360" s="73" t="str">
        <f t="shared" si="227"/>
        <v/>
      </c>
      <c r="AN360" s="73" t="str">
        <f t="shared" si="220"/>
        <v/>
      </c>
      <c r="AO360" s="73" t="str">
        <f t="shared" si="221"/>
        <v/>
      </c>
      <c r="AP360" s="73" t="str">
        <f t="shared" si="222"/>
        <v/>
      </c>
    </row>
    <row r="361" spans="1:42" s="31" customFormat="1" x14ac:dyDescent="0.6">
      <c r="A361" s="70" t="str">
        <f t="shared" si="206"/>
        <v/>
      </c>
      <c r="B361" s="70" t="str">
        <f>IF(E361&lt;=$F$9,VLOOKUP(KALKULATOR!A361,Robocze!$B$23:$C$102,2),"")</f>
        <v/>
      </c>
      <c r="C361" s="70" t="str">
        <f t="shared" si="209"/>
        <v/>
      </c>
      <c r="D361" s="71" t="str">
        <f t="shared" si="223"/>
        <v/>
      </c>
      <c r="E361" s="77" t="str">
        <f t="shared" si="224"/>
        <v/>
      </c>
      <c r="F361" s="72" t="str">
        <f t="shared" si="210"/>
        <v/>
      </c>
      <c r="G361" s="73" t="str">
        <f>IFERROR(IF(AND(F361&lt;=$F$9,$F$5=Robocze!$B$4,$E361&lt;=$F$9,MONTH($F$8)=MONTH(E361)),$F$4,0)+IF(AND(F361&lt;=$F$9,$F$5=Robocze!$B$3,E361&lt;=$F$9),KALKULATOR!$F$4/12,0),"")</f>
        <v/>
      </c>
      <c r="H361" s="73" t="str">
        <f t="shared" si="211"/>
        <v/>
      </c>
      <c r="I361" s="74" t="str">
        <f t="shared" si="207"/>
        <v/>
      </c>
      <c r="J361" s="73" t="str">
        <f t="shared" si="193"/>
        <v/>
      </c>
      <c r="K361" s="75" t="str">
        <f t="shared" si="194"/>
        <v/>
      </c>
      <c r="L361" s="73" t="str">
        <f t="shared" si="195"/>
        <v/>
      </c>
      <c r="M361" s="73" t="str">
        <f t="shared" si="196"/>
        <v/>
      </c>
      <c r="N361" s="73" t="str">
        <f t="shared" si="197"/>
        <v/>
      </c>
      <c r="O361" s="73" t="str">
        <f t="shared" si="198"/>
        <v/>
      </c>
      <c r="P361" s="73" t="str">
        <f t="shared" si="199"/>
        <v/>
      </c>
      <c r="Q361" s="73" t="str">
        <f t="shared" si="200"/>
        <v/>
      </c>
      <c r="R361" s="73"/>
      <c r="S361" s="76" t="str">
        <f t="shared" si="208"/>
        <v/>
      </c>
      <c r="T361" s="73" t="str">
        <f t="shared" si="225"/>
        <v/>
      </c>
      <c r="U361" s="73" t="str">
        <f t="shared" si="212"/>
        <v/>
      </c>
      <c r="V361" s="76" t="str">
        <f t="shared" si="213"/>
        <v/>
      </c>
      <c r="W361" s="73" t="str">
        <f t="shared" si="214"/>
        <v/>
      </c>
      <c r="X361" s="73" t="str">
        <f>IF(B361&lt;&gt;"",IF(MONTH(E361)=MONTH($F$13),SUMIF($C$22:C741,"="&amp;(C361-1),$G$22:G741),0)*S361,"")</f>
        <v/>
      </c>
      <c r="Y361" s="73" t="str">
        <f>IF(B361&lt;&gt;"",SUM($X$22:X361),"")</f>
        <v/>
      </c>
      <c r="Z361" s="73" t="str">
        <f t="shared" si="226"/>
        <v/>
      </c>
      <c r="AA361" s="73" t="str">
        <f t="shared" si="215"/>
        <v/>
      </c>
      <c r="AB361" s="73" t="str">
        <f t="shared" si="216"/>
        <v/>
      </c>
      <c r="AC361" s="73" t="str">
        <f t="shared" si="217"/>
        <v/>
      </c>
      <c r="AD361" s="73" t="str">
        <f>IFERROR($U361*(1-$V361)+SUM($W$22:$W361)+$AB361,"")</f>
        <v/>
      </c>
      <c r="AE361" s="73" t="b">
        <f t="shared" si="218"/>
        <v>1</v>
      </c>
      <c r="AF361" s="73" t="e">
        <f>IF(AND(AE361=TRUE,D361&gt;=65),$U361*(1-10%)+SUM($W$22:$W361)+$AB361,AD361)</f>
        <v>#VALUE!</v>
      </c>
      <c r="AG361" s="73" t="str">
        <f t="shared" si="201"/>
        <v/>
      </c>
      <c r="AH361" s="73" t="str">
        <f t="shared" si="202"/>
        <v/>
      </c>
      <c r="AI361" s="73" t="str">
        <f t="shared" si="203"/>
        <v/>
      </c>
      <c r="AJ361" s="73" t="str">
        <f t="shared" si="204"/>
        <v/>
      </c>
      <c r="AK361" s="73" t="b">
        <f t="shared" si="219"/>
        <v>1</v>
      </c>
      <c r="AL361" s="73" t="str">
        <f t="shared" si="205"/>
        <v/>
      </c>
      <c r="AM361" s="73" t="str">
        <f t="shared" si="227"/>
        <v/>
      </c>
      <c r="AN361" s="73" t="str">
        <f t="shared" si="220"/>
        <v/>
      </c>
      <c r="AO361" s="73" t="str">
        <f t="shared" si="221"/>
        <v/>
      </c>
      <c r="AP361" s="73" t="str">
        <f t="shared" si="222"/>
        <v/>
      </c>
    </row>
    <row r="362" spans="1:42" s="31" customFormat="1" x14ac:dyDescent="0.6">
      <c r="A362" s="70" t="str">
        <f t="shared" si="206"/>
        <v/>
      </c>
      <c r="B362" s="70" t="str">
        <f>IF(E362&lt;=$F$9,VLOOKUP(KALKULATOR!A362,Robocze!$B$23:$C$102,2),"")</f>
        <v/>
      </c>
      <c r="C362" s="70" t="str">
        <f t="shared" si="209"/>
        <v/>
      </c>
      <c r="D362" s="71" t="str">
        <f t="shared" si="223"/>
        <v/>
      </c>
      <c r="E362" s="77" t="str">
        <f t="shared" si="224"/>
        <v/>
      </c>
      <c r="F362" s="72" t="str">
        <f t="shared" si="210"/>
        <v/>
      </c>
      <c r="G362" s="73" t="str">
        <f>IFERROR(IF(AND(F362&lt;=$F$9,$F$5=Robocze!$B$4,$E362&lt;=$F$9,MONTH($F$8)=MONTH(E362)),$F$4,0)+IF(AND(F362&lt;=$F$9,$F$5=Robocze!$B$3,E362&lt;=$F$9),KALKULATOR!$F$4/12,0),"")</f>
        <v/>
      </c>
      <c r="H362" s="73" t="str">
        <f t="shared" si="211"/>
        <v/>
      </c>
      <c r="I362" s="74" t="str">
        <f t="shared" si="207"/>
        <v/>
      </c>
      <c r="J362" s="73" t="str">
        <f t="shared" si="193"/>
        <v/>
      </c>
      <c r="K362" s="75" t="str">
        <f t="shared" si="194"/>
        <v/>
      </c>
      <c r="L362" s="73" t="str">
        <f t="shared" si="195"/>
        <v/>
      </c>
      <c r="M362" s="73" t="str">
        <f t="shared" si="196"/>
        <v/>
      </c>
      <c r="N362" s="73" t="str">
        <f t="shared" si="197"/>
        <v/>
      </c>
      <c r="O362" s="73" t="str">
        <f t="shared" si="198"/>
        <v/>
      </c>
      <c r="P362" s="73" t="str">
        <f t="shared" si="199"/>
        <v/>
      </c>
      <c r="Q362" s="73" t="str">
        <f t="shared" si="200"/>
        <v/>
      </c>
      <c r="R362" s="73"/>
      <c r="S362" s="76" t="str">
        <f t="shared" si="208"/>
        <v/>
      </c>
      <c r="T362" s="73" t="str">
        <f t="shared" si="225"/>
        <v/>
      </c>
      <c r="U362" s="73" t="str">
        <f t="shared" si="212"/>
        <v/>
      </c>
      <c r="V362" s="76" t="str">
        <f t="shared" si="213"/>
        <v/>
      </c>
      <c r="W362" s="73" t="str">
        <f t="shared" si="214"/>
        <v/>
      </c>
      <c r="X362" s="73" t="str">
        <f>IF(B362&lt;&gt;"",IF(MONTH(E362)=MONTH($F$13),SUMIF($C$22:C741,"="&amp;(C362-1),$G$22:G741),0)*S362,"")</f>
        <v/>
      </c>
      <c r="Y362" s="73" t="str">
        <f>IF(B362&lt;&gt;"",SUM($X$22:X362),"")</f>
        <v/>
      </c>
      <c r="Z362" s="73" t="str">
        <f t="shared" si="226"/>
        <v/>
      </c>
      <c r="AA362" s="73" t="str">
        <f t="shared" si="215"/>
        <v/>
      </c>
      <c r="AB362" s="73" t="str">
        <f t="shared" si="216"/>
        <v/>
      </c>
      <c r="AC362" s="73" t="str">
        <f t="shared" si="217"/>
        <v/>
      </c>
      <c r="AD362" s="73" t="str">
        <f>IFERROR($U362*(1-$V362)+SUM($W$22:$W362)+$AB362,"")</f>
        <v/>
      </c>
      <c r="AE362" s="73" t="b">
        <f t="shared" si="218"/>
        <v>1</v>
      </c>
      <c r="AF362" s="73" t="e">
        <f>IF(AND(AE362=TRUE,D362&gt;=65),$U362*(1-10%)+SUM($W$22:$W362)+$AB362,AD362)</f>
        <v>#VALUE!</v>
      </c>
      <c r="AG362" s="73" t="str">
        <f t="shared" si="201"/>
        <v/>
      </c>
      <c r="AH362" s="73" t="str">
        <f t="shared" si="202"/>
        <v/>
      </c>
      <c r="AI362" s="73" t="str">
        <f t="shared" si="203"/>
        <v/>
      </c>
      <c r="AJ362" s="73" t="str">
        <f t="shared" si="204"/>
        <v/>
      </c>
      <c r="AK362" s="73" t="b">
        <f t="shared" si="219"/>
        <v>1</v>
      </c>
      <c r="AL362" s="73" t="str">
        <f t="shared" si="205"/>
        <v/>
      </c>
      <c r="AM362" s="73" t="str">
        <f t="shared" si="227"/>
        <v/>
      </c>
      <c r="AN362" s="73" t="str">
        <f t="shared" si="220"/>
        <v/>
      </c>
      <c r="AO362" s="73" t="str">
        <f t="shared" si="221"/>
        <v/>
      </c>
      <c r="AP362" s="73" t="str">
        <f t="shared" si="222"/>
        <v/>
      </c>
    </row>
    <row r="363" spans="1:42" s="31" customFormat="1" x14ac:dyDescent="0.6">
      <c r="A363" s="70" t="str">
        <f t="shared" si="206"/>
        <v/>
      </c>
      <c r="B363" s="70" t="str">
        <f>IF(E363&lt;=$F$9,VLOOKUP(KALKULATOR!A363,Robocze!$B$23:$C$102,2),"")</f>
        <v/>
      </c>
      <c r="C363" s="70" t="str">
        <f t="shared" si="209"/>
        <v/>
      </c>
      <c r="D363" s="71" t="str">
        <f t="shared" si="223"/>
        <v/>
      </c>
      <c r="E363" s="77" t="str">
        <f t="shared" si="224"/>
        <v/>
      </c>
      <c r="F363" s="72" t="str">
        <f t="shared" si="210"/>
        <v/>
      </c>
      <c r="G363" s="73" t="str">
        <f>IFERROR(IF(AND(F363&lt;=$F$9,$F$5=Robocze!$B$4,$E363&lt;=$F$9,MONTH($F$8)=MONTH(E363)),$F$4,0)+IF(AND(F363&lt;=$F$9,$F$5=Robocze!$B$3,E363&lt;=$F$9),KALKULATOR!$F$4/12,0),"")</f>
        <v/>
      </c>
      <c r="H363" s="73" t="str">
        <f t="shared" si="211"/>
        <v/>
      </c>
      <c r="I363" s="74" t="str">
        <f t="shared" si="207"/>
        <v/>
      </c>
      <c r="J363" s="73" t="str">
        <f t="shared" si="193"/>
        <v/>
      </c>
      <c r="K363" s="75" t="str">
        <f t="shared" si="194"/>
        <v/>
      </c>
      <c r="L363" s="73" t="str">
        <f t="shared" si="195"/>
        <v/>
      </c>
      <c r="M363" s="73" t="str">
        <f t="shared" si="196"/>
        <v/>
      </c>
      <c r="N363" s="73" t="str">
        <f t="shared" si="197"/>
        <v/>
      </c>
      <c r="O363" s="73" t="str">
        <f t="shared" si="198"/>
        <v/>
      </c>
      <c r="P363" s="73" t="str">
        <f t="shared" si="199"/>
        <v/>
      </c>
      <c r="Q363" s="73" t="str">
        <f t="shared" si="200"/>
        <v/>
      </c>
      <c r="R363" s="73"/>
      <c r="S363" s="76" t="str">
        <f t="shared" si="208"/>
        <v/>
      </c>
      <c r="T363" s="73" t="str">
        <f t="shared" si="225"/>
        <v/>
      </c>
      <c r="U363" s="73" t="str">
        <f t="shared" si="212"/>
        <v/>
      </c>
      <c r="V363" s="76" t="str">
        <f t="shared" si="213"/>
        <v/>
      </c>
      <c r="W363" s="73" t="str">
        <f t="shared" si="214"/>
        <v/>
      </c>
      <c r="X363" s="73" t="str">
        <f>IF(B363&lt;&gt;"",IF(MONTH(E363)=MONTH($F$13),SUMIF($C$22:C742,"="&amp;(C363-1),$G$22:G742),0)*S363,"")</f>
        <v/>
      </c>
      <c r="Y363" s="73" t="str">
        <f>IF(B363&lt;&gt;"",SUM($X$22:X363),"")</f>
        <v/>
      </c>
      <c r="Z363" s="73" t="str">
        <f t="shared" si="226"/>
        <v/>
      </c>
      <c r="AA363" s="73" t="str">
        <f t="shared" si="215"/>
        <v/>
      </c>
      <c r="AB363" s="73" t="str">
        <f t="shared" si="216"/>
        <v/>
      </c>
      <c r="AC363" s="73" t="str">
        <f t="shared" si="217"/>
        <v/>
      </c>
      <c r="AD363" s="73" t="str">
        <f>IFERROR($U363*(1-$V363)+SUM($W$22:$W363)+$AB363,"")</f>
        <v/>
      </c>
      <c r="AE363" s="73" t="b">
        <f t="shared" si="218"/>
        <v>1</v>
      </c>
      <c r="AF363" s="73" t="e">
        <f>IF(AND(AE363=TRUE,D363&gt;=65),$U363*(1-10%)+SUM($W$22:$W363)+$AB363,AD363)</f>
        <v>#VALUE!</v>
      </c>
      <c r="AG363" s="73" t="str">
        <f t="shared" si="201"/>
        <v/>
      </c>
      <c r="AH363" s="73" t="str">
        <f t="shared" si="202"/>
        <v/>
      </c>
      <c r="AI363" s="73" t="str">
        <f t="shared" si="203"/>
        <v/>
      </c>
      <c r="AJ363" s="73" t="str">
        <f t="shared" si="204"/>
        <v/>
      </c>
      <c r="AK363" s="73" t="b">
        <f t="shared" si="219"/>
        <v>1</v>
      </c>
      <c r="AL363" s="73" t="str">
        <f t="shared" si="205"/>
        <v/>
      </c>
      <c r="AM363" s="73" t="str">
        <f t="shared" si="227"/>
        <v/>
      </c>
      <c r="AN363" s="73" t="str">
        <f t="shared" si="220"/>
        <v/>
      </c>
      <c r="AO363" s="73" t="str">
        <f t="shared" si="221"/>
        <v/>
      </c>
      <c r="AP363" s="73" t="str">
        <f t="shared" si="222"/>
        <v/>
      </c>
    </row>
    <row r="364" spans="1:42" s="31" customFormat="1" x14ac:dyDescent="0.6">
      <c r="A364" s="70" t="str">
        <f t="shared" si="206"/>
        <v/>
      </c>
      <c r="B364" s="70" t="str">
        <f>IF(E364&lt;=$F$9,VLOOKUP(KALKULATOR!A364,Robocze!$B$23:$C$102,2),"")</f>
        <v/>
      </c>
      <c r="C364" s="70" t="str">
        <f t="shared" si="209"/>
        <v/>
      </c>
      <c r="D364" s="71" t="str">
        <f t="shared" si="223"/>
        <v/>
      </c>
      <c r="E364" s="77" t="str">
        <f t="shared" si="224"/>
        <v/>
      </c>
      <c r="F364" s="72" t="str">
        <f t="shared" si="210"/>
        <v/>
      </c>
      <c r="G364" s="73" t="str">
        <f>IFERROR(IF(AND(F364&lt;=$F$9,$F$5=Robocze!$B$4,$E364&lt;=$F$9,MONTH($F$8)=MONTH(E364)),$F$4,0)+IF(AND(F364&lt;=$F$9,$F$5=Robocze!$B$3,E364&lt;=$F$9),KALKULATOR!$F$4/12,0),"")</f>
        <v/>
      </c>
      <c r="H364" s="73" t="str">
        <f t="shared" si="211"/>
        <v/>
      </c>
      <c r="I364" s="74" t="str">
        <f t="shared" si="207"/>
        <v/>
      </c>
      <c r="J364" s="73" t="str">
        <f t="shared" si="193"/>
        <v/>
      </c>
      <c r="K364" s="75" t="str">
        <f t="shared" si="194"/>
        <v/>
      </c>
      <c r="L364" s="73" t="str">
        <f t="shared" si="195"/>
        <v/>
      </c>
      <c r="M364" s="73" t="str">
        <f t="shared" si="196"/>
        <v/>
      </c>
      <c r="N364" s="73" t="str">
        <f t="shared" si="197"/>
        <v/>
      </c>
      <c r="O364" s="73" t="str">
        <f t="shared" si="198"/>
        <v/>
      </c>
      <c r="P364" s="73" t="str">
        <f t="shared" si="199"/>
        <v/>
      </c>
      <c r="Q364" s="73" t="str">
        <f t="shared" si="200"/>
        <v/>
      </c>
      <c r="R364" s="73"/>
      <c r="S364" s="76" t="str">
        <f t="shared" si="208"/>
        <v/>
      </c>
      <c r="T364" s="73" t="str">
        <f t="shared" si="225"/>
        <v/>
      </c>
      <c r="U364" s="73" t="str">
        <f t="shared" si="212"/>
        <v/>
      </c>
      <c r="V364" s="76" t="str">
        <f t="shared" si="213"/>
        <v/>
      </c>
      <c r="W364" s="73" t="str">
        <f t="shared" si="214"/>
        <v/>
      </c>
      <c r="X364" s="73" t="str">
        <f>IF(B364&lt;&gt;"",IF(MONTH(E364)=MONTH($F$13),SUMIF($C$22:C743,"="&amp;(C364-1),$G$22:G743),0)*S364,"")</f>
        <v/>
      </c>
      <c r="Y364" s="73" t="str">
        <f>IF(B364&lt;&gt;"",SUM($X$22:X364),"")</f>
        <v/>
      </c>
      <c r="Z364" s="73" t="str">
        <f t="shared" si="226"/>
        <v/>
      </c>
      <c r="AA364" s="73" t="str">
        <f t="shared" si="215"/>
        <v/>
      </c>
      <c r="AB364" s="73" t="str">
        <f t="shared" si="216"/>
        <v/>
      </c>
      <c r="AC364" s="73" t="str">
        <f t="shared" si="217"/>
        <v/>
      </c>
      <c r="AD364" s="73" t="str">
        <f>IFERROR($U364*(1-$V364)+SUM($W$22:$W364)+$AB364,"")</f>
        <v/>
      </c>
      <c r="AE364" s="73" t="b">
        <f t="shared" si="218"/>
        <v>1</v>
      </c>
      <c r="AF364" s="73" t="e">
        <f>IF(AND(AE364=TRUE,D364&gt;=65),$U364*(1-10%)+SUM($W$22:$W364)+$AB364,AD364)</f>
        <v>#VALUE!</v>
      </c>
      <c r="AG364" s="73" t="str">
        <f t="shared" si="201"/>
        <v/>
      </c>
      <c r="AH364" s="73" t="str">
        <f t="shared" si="202"/>
        <v/>
      </c>
      <c r="AI364" s="73" t="str">
        <f t="shared" si="203"/>
        <v/>
      </c>
      <c r="AJ364" s="73" t="str">
        <f t="shared" si="204"/>
        <v/>
      </c>
      <c r="AK364" s="73" t="b">
        <f t="shared" si="219"/>
        <v>1</v>
      </c>
      <c r="AL364" s="73" t="str">
        <f t="shared" si="205"/>
        <v/>
      </c>
      <c r="AM364" s="73" t="str">
        <f t="shared" si="227"/>
        <v/>
      </c>
      <c r="AN364" s="73" t="str">
        <f t="shared" si="220"/>
        <v/>
      </c>
      <c r="AO364" s="73" t="str">
        <f t="shared" si="221"/>
        <v/>
      </c>
      <c r="AP364" s="73" t="str">
        <f t="shared" si="222"/>
        <v/>
      </c>
    </row>
    <row r="365" spans="1:42" s="31" customFormat="1" x14ac:dyDescent="0.6">
      <c r="A365" s="70" t="str">
        <f t="shared" si="206"/>
        <v/>
      </c>
      <c r="B365" s="70" t="str">
        <f>IF(E365&lt;=$F$9,VLOOKUP(KALKULATOR!A365,Robocze!$B$23:$C$102,2),"")</f>
        <v/>
      </c>
      <c r="C365" s="70" t="str">
        <f t="shared" si="209"/>
        <v/>
      </c>
      <c r="D365" s="71" t="str">
        <f t="shared" si="223"/>
        <v/>
      </c>
      <c r="E365" s="77" t="str">
        <f t="shared" si="224"/>
        <v/>
      </c>
      <c r="F365" s="72" t="str">
        <f t="shared" si="210"/>
        <v/>
      </c>
      <c r="G365" s="73" t="str">
        <f>IFERROR(IF(AND(F365&lt;=$F$9,$F$5=Robocze!$B$4,$E365&lt;=$F$9,MONTH($F$8)=MONTH(E365)),$F$4,0)+IF(AND(F365&lt;=$F$9,$F$5=Robocze!$B$3,E365&lt;=$F$9),KALKULATOR!$F$4/12,0),"")</f>
        <v/>
      </c>
      <c r="H365" s="73" t="str">
        <f t="shared" si="211"/>
        <v/>
      </c>
      <c r="I365" s="74" t="str">
        <f t="shared" si="207"/>
        <v/>
      </c>
      <c r="J365" s="73" t="str">
        <f t="shared" si="193"/>
        <v/>
      </c>
      <c r="K365" s="75" t="str">
        <f t="shared" si="194"/>
        <v/>
      </c>
      <c r="L365" s="73" t="str">
        <f t="shared" si="195"/>
        <v/>
      </c>
      <c r="M365" s="73" t="str">
        <f t="shared" si="196"/>
        <v/>
      </c>
      <c r="N365" s="73" t="str">
        <f t="shared" si="197"/>
        <v/>
      </c>
      <c r="O365" s="73" t="str">
        <f t="shared" si="198"/>
        <v/>
      </c>
      <c r="P365" s="73" t="str">
        <f t="shared" si="199"/>
        <v/>
      </c>
      <c r="Q365" s="73" t="str">
        <f t="shared" si="200"/>
        <v/>
      </c>
      <c r="R365" s="73"/>
      <c r="S365" s="76" t="str">
        <f t="shared" si="208"/>
        <v/>
      </c>
      <c r="T365" s="73" t="str">
        <f t="shared" si="225"/>
        <v/>
      </c>
      <c r="U365" s="73" t="str">
        <f t="shared" si="212"/>
        <v/>
      </c>
      <c r="V365" s="76" t="str">
        <f t="shared" si="213"/>
        <v/>
      </c>
      <c r="W365" s="73" t="str">
        <f t="shared" si="214"/>
        <v/>
      </c>
      <c r="X365" s="73" t="str">
        <f>IF(B365&lt;&gt;"",IF(MONTH(E365)=MONTH($F$13),SUMIF($C$22:C744,"="&amp;(C365-1),$G$22:G744),0)*S365,"")</f>
        <v/>
      </c>
      <c r="Y365" s="73" t="str">
        <f>IF(B365&lt;&gt;"",SUM($X$22:X365),"")</f>
        <v/>
      </c>
      <c r="Z365" s="73" t="str">
        <f t="shared" si="226"/>
        <v/>
      </c>
      <c r="AA365" s="73" t="str">
        <f t="shared" si="215"/>
        <v/>
      </c>
      <c r="AB365" s="73" t="str">
        <f t="shared" si="216"/>
        <v/>
      </c>
      <c r="AC365" s="73" t="str">
        <f t="shared" si="217"/>
        <v/>
      </c>
      <c r="AD365" s="73" t="str">
        <f>IFERROR($U365*(1-$V365)+SUM($W$22:$W365)+$AB365,"")</f>
        <v/>
      </c>
      <c r="AE365" s="73" t="b">
        <f t="shared" si="218"/>
        <v>1</v>
      </c>
      <c r="AF365" s="73" t="e">
        <f>IF(AND(AE365=TRUE,D365&gt;=65),$U365*(1-10%)+SUM($W$22:$W365)+$AB365,AD365)</f>
        <v>#VALUE!</v>
      </c>
      <c r="AG365" s="73" t="str">
        <f t="shared" si="201"/>
        <v/>
      </c>
      <c r="AH365" s="73" t="str">
        <f t="shared" si="202"/>
        <v/>
      </c>
      <c r="AI365" s="73" t="str">
        <f t="shared" si="203"/>
        <v/>
      </c>
      <c r="AJ365" s="73" t="str">
        <f t="shared" si="204"/>
        <v/>
      </c>
      <c r="AK365" s="73" t="b">
        <f t="shared" si="219"/>
        <v>1</v>
      </c>
      <c r="AL365" s="73" t="str">
        <f t="shared" si="205"/>
        <v/>
      </c>
      <c r="AM365" s="73" t="str">
        <f t="shared" si="227"/>
        <v/>
      </c>
      <c r="AN365" s="73" t="str">
        <f t="shared" si="220"/>
        <v/>
      </c>
      <c r="AO365" s="73" t="str">
        <f t="shared" si="221"/>
        <v/>
      </c>
      <c r="AP365" s="73" t="str">
        <f t="shared" si="222"/>
        <v/>
      </c>
    </row>
    <row r="366" spans="1:42" s="31" customFormat="1" x14ac:dyDescent="0.6">
      <c r="A366" s="70" t="str">
        <f t="shared" si="206"/>
        <v/>
      </c>
      <c r="B366" s="70" t="str">
        <f>IF(E366&lt;=$F$9,VLOOKUP(KALKULATOR!A366,Robocze!$B$23:$C$102,2),"")</f>
        <v/>
      </c>
      <c r="C366" s="70" t="str">
        <f t="shared" si="209"/>
        <v/>
      </c>
      <c r="D366" s="71" t="str">
        <f t="shared" si="223"/>
        <v/>
      </c>
      <c r="E366" s="77" t="str">
        <f t="shared" si="224"/>
        <v/>
      </c>
      <c r="F366" s="72" t="str">
        <f t="shared" si="210"/>
        <v/>
      </c>
      <c r="G366" s="73" t="str">
        <f>IFERROR(IF(AND(F366&lt;=$F$9,$F$5=Robocze!$B$4,$E366&lt;=$F$9,MONTH($F$8)=MONTH(E366)),$F$4,0)+IF(AND(F366&lt;=$F$9,$F$5=Robocze!$B$3,E366&lt;=$F$9),KALKULATOR!$F$4/12,0),"")</f>
        <v/>
      </c>
      <c r="H366" s="73" t="str">
        <f t="shared" si="211"/>
        <v/>
      </c>
      <c r="I366" s="74" t="str">
        <f t="shared" si="207"/>
        <v/>
      </c>
      <c r="J366" s="73" t="str">
        <f t="shared" si="193"/>
        <v/>
      </c>
      <c r="K366" s="75" t="str">
        <f t="shared" si="194"/>
        <v/>
      </c>
      <c r="L366" s="73" t="str">
        <f t="shared" si="195"/>
        <v/>
      </c>
      <c r="M366" s="73" t="str">
        <f t="shared" si="196"/>
        <v/>
      </c>
      <c r="N366" s="73" t="str">
        <f t="shared" si="197"/>
        <v/>
      </c>
      <c r="O366" s="73" t="str">
        <f t="shared" si="198"/>
        <v/>
      </c>
      <c r="P366" s="73" t="str">
        <f t="shared" si="199"/>
        <v/>
      </c>
      <c r="Q366" s="73" t="str">
        <f t="shared" si="200"/>
        <v/>
      </c>
      <c r="R366" s="73"/>
      <c r="S366" s="76" t="str">
        <f t="shared" si="208"/>
        <v/>
      </c>
      <c r="T366" s="73" t="str">
        <f t="shared" si="225"/>
        <v/>
      </c>
      <c r="U366" s="73" t="str">
        <f t="shared" si="212"/>
        <v/>
      </c>
      <c r="V366" s="76" t="str">
        <f t="shared" si="213"/>
        <v/>
      </c>
      <c r="W366" s="73" t="str">
        <f t="shared" si="214"/>
        <v/>
      </c>
      <c r="X366" s="73" t="str">
        <f>IF(B366&lt;&gt;"",IF(MONTH(E366)=MONTH($F$13),SUMIF($C$22:C745,"="&amp;(C366-1),$G$22:G745),0)*S366,"")</f>
        <v/>
      </c>
      <c r="Y366" s="73" t="str">
        <f>IF(B366&lt;&gt;"",SUM($X$22:X366),"")</f>
        <v/>
      </c>
      <c r="Z366" s="73" t="str">
        <f t="shared" si="226"/>
        <v/>
      </c>
      <c r="AA366" s="73" t="str">
        <f t="shared" si="215"/>
        <v/>
      </c>
      <c r="AB366" s="73" t="str">
        <f t="shared" si="216"/>
        <v/>
      </c>
      <c r="AC366" s="73" t="str">
        <f t="shared" si="217"/>
        <v/>
      </c>
      <c r="AD366" s="73" t="str">
        <f>IFERROR($U366*(1-$V366)+SUM($W$22:$W366)+$AB366,"")</f>
        <v/>
      </c>
      <c r="AE366" s="73" t="b">
        <f t="shared" si="218"/>
        <v>1</v>
      </c>
      <c r="AF366" s="73" t="e">
        <f>IF(AND(AE366=TRUE,D366&gt;=65),$U366*(1-10%)+SUM($W$22:$W366)+$AB366,AD366)</f>
        <v>#VALUE!</v>
      </c>
      <c r="AG366" s="73" t="str">
        <f t="shared" si="201"/>
        <v/>
      </c>
      <c r="AH366" s="73" t="str">
        <f t="shared" si="202"/>
        <v/>
      </c>
      <c r="AI366" s="73" t="str">
        <f t="shared" si="203"/>
        <v/>
      </c>
      <c r="AJ366" s="73" t="str">
        <f t="shared" si="204"/>
        <v/>
      </c>
      <c r="AK366" s="73" t="b">
        <f t="shared" si="219"/>
        <v>1</v>
      </c>
      <c r="AL366" s="73" t="str">
        <f t="shared" si="205"/>
        <v/>
      </c>
      <c r="AM366" s="73" t="str">
        <f t="shared" si="227"/>
        <v/>
      </c>
      <c r="AN366" s="73" t="str">
        <f t="shared" si="220"/>
        <v/>
      </c>
      <c r="AO366" s="73" t="str">
        <f t="shared" si="221"/>
        <v/>
      </c>
      <c r="AP366" s="73" t="str">
        <f t="shared" si="222"/>
        <v/>
      </c>
    </row>
    <row r="367" spans="1:42" s="31" customFormat="1" x14ac:dyDescent="0.6">
      <c r="A367" s="70" t="str">
        <f t="shared" si="206"/>
        <v/>
      </c>
      <c r="B367" s="70" t="str">
        <f>IF(E367&lt;=$F$9,VLOOKUP(KALKULATOR!A367,Robocze!$B$23:$C$102,2),"")</f>
        <v/>
      </c>
      <c r="C367" s="70" t="str">
        <f t="shared" si="209"/>
        <v/>
      </c>
      <c r="D367" s="71" t="str">
        <f t="shared" si="223"/>
        <v/>
      </c>
      <c r="E367" s="77" t="str">
        <f t="shared" si="224"/>
        <v/>
      </c>
      <c r="F367" s="72" t="str">
        <f t="shared" si="210"/>
        <v/>
      </c>
      <c r="G367" s="73" t="str">
        <f>IFERROR(IF(AND(F367&lt;=$F$9,$F$5=Robocze!$B$4,$E367&lt;=$F$9,MONTH($F$8)=MONTH(E367)),$F$4,0)+IF(AND(F367&lt;=$F$9,$F$5=Robocze!$B$3,E367&lt;=$F$9),KALKULATOR!$F$4/12,0),"")</f>
        <v/>
      </c>
      <c r="H367" s="73" t="str">
        <f t="shared" si="211"/>
        <v/>
      </c>
      <c r="I367" s="74" t="str">
        <f t="shared" si="207"/>
        <v/>
      </c>
      <c r="J367" s="73" t="str">
        <f t="shared" si="193"/>
        <v/>
      </c>
      <c r="K367" s="75" t="str">
        <f t="shared" si="194"/>
        <v/>
      </c>
      <c r="L367" s="73" t="str">
        <f t="shared" si="195"/>
        <v/>
      </c>
      <c r="M367" s="73" t="str">
        <f t="shared" si="196"/>
        <v/>
      </c>
      <c r="N367" s="73" t="str">
        <f t="shared" si="197"/>
        <v/>
      </c>
      <c r="O367" s="73" t="str">
        <f t="shared" si="198"/>
        <v/>
      </c>
      <c r="P367" s="73" t="str">
        <f t="shared" si="199"/>
        <v/>
      </c>
      <c r="Q367" s="73" t="str">
        <f t="shared" si="200"/>
        <v/>
      </c>
      <c r="R367" s="73"/>
      <c r="S367" s="76" t="str">
        <f t="shared" si="208"/>
        <v/>
      </c>
      <c r="T367" s="73" t="str">
        <f t="shared" si="225"/>
        <v/>
      </c>
      <c r="U367" s="73" t="str">
        <f t="shared" si="212"/>
        <v/>
      </c>
      <c r="V367" s="76" t="str">
        <f t="shared" si="213"/>
        <v/>
      </c>
      <c r="W367" s="73" t="str">
        <f t="shared" si="214"/>
        <v/>
      </c>
      <c r="X367" s="73" t="str">
        <f>IF(B367&lt;&gt;"",IF(MONTH(E367)=MONTH($F$13),SUMIF($C$22:C746,"="&amp;(C367-1),$G$22:G746),0)*S367,"")</f>
        <v/>
      </c>
      <c r="Y367" s="73" t="str">
        <f>IF(B367&lt;&gt;"",SUM($X$22:X367),"")</f>
        <v/>
      </c>
      <c r="Z367" s="73" t="str">
        <f t="shared" si="226"/>
        <v/>
      </c>
      <c r="AA367" s="73" t="str">
        <f t="shared" si="215"/>
        <v/>
      </c>
      <c r="AB367" s="73" t="str">
        <f t="shared" si="216"/>
        <v/>
      </c>
      <c r="AC367" s="73" t="str">
        <f t="shared" si="217"/>
        <v/>
      </c>
      <c r="AD367" s="73" t="str">
        <f>IFERROR($U367*(1-$V367)+SUM($W$22:$W367)+$AB367,"")</f>
        <v/>
      </c>
      <c r="AE367" s="73" t="b">
        <f t="shared" si="218"/>
        <v>1</v>
      </c>
      <c r="AF367" s="73" t="e">
        <f>IF(AND(AE367=TRUE,D367&gt;=65),$U367*(1-10%)+SUM($W$22:$W367)+$AB367,AD367)</f>
        <v>#VALUE!</v>
      </c>
      <c r="AG367" s="73" t="str">
        <f t="shared" si="201"/>
        <v/>
      </c>
      <c r="AH367" s="73" t="str">
        <f t="shared" si="202"/>
        <v/>
      </c>
      <c r="AI367" s="73" t="str">
        <f t="shared" si="203"/>
        <v/>
      </c>
      <c r="AJ367" s="73" t="str">
        <f t="shared" si="204"/>
        <v/>
      </c>
      <c r="AK367" s="73" t="b">
        <f t="shared" si="219"/>
        <v>1</v>
      </c>
      <c r="AL367" s="73" t="str">
        <f t="shared" si="205"/>
        <v/>
      </c>
      <c r="AM367" s="73" t="str">
        <f t="shared" si="227"/>
        <v/>
      </c>
      <c r="AN367" s="73" t="str">
        <f t="shared" si="220"/>
        <v/>
      </c>
      <c r="AO367" s="73" t="str">
        <f t="shared" si="221"/>
        <v/>
      </c>
      <c r="AP367" s="73" t="str">
        <f t="shared" si="222"/>
        <v/>
      </c>
    </row>
    <row r="368" spans="1:42" s="31" customFormat="1" x14ac:dyDescent="0.6">
      <c r="A368" s="70" t="str">
        <f t="shared" si="206"/>
        <v/>
      </c>
      <c r="B368" s="70" t="str">
        <f>IF(E368&lt;=$F$9,VLOOKUP(KALKULATOR!A368,Robocze!$B$23:$C$102,2),"")</f>
        <v/>
      </c>
      <c r="C368" s="70" t="str">
        <f t="shared" si="209"/>
        <v/>
      </c>
      <c r="D368" s="71" t="str">
        <f t="shared" si="223"/>
        <v/>
      </c>
      <c r="E368" s="77" t="str">
        <f t="shared" si="224"/>
        <v/>
      </c>
      <c r="F368" s="72" t="str">
        <f t="shared" si="210"/>
        <v/>
      </c>
      <c r="G368" s="73" t="str">
        <f>IFERROR(IF(AND(F368&lt;=$F$9,$F$5=Robocze!$B$4,$E368&lt;=$F$9,MONTH($F$8)=MONTH(E368)),$F$4,0)+IF(AND(F368&lt;=$F$9,$F$5=Robocze!$B$3,E368&lt;=$F$9),KALKULATOR!$F$4/12,0),"")</f>
        <v/>
      </c>
      <c r="H368" s="73" t="str">
        <f t="shared" si="211"/>
        <v/>
      </c>
      <c r="I368" s="74" t="str">
        <f t="shared" si="207"/>
        <v/>
      </c>
      <c r="J368" s="73" t="str">
        <f t="shared" si="193"/>
        <v/>
      </c>
      <c r="K368" s="75" t="str">
        <f t="shared" si="194"/>
        <v/>
      </c>
      <c r="L368" s="73" t="str">
        <f t="shared" si="195"/>
        <v/>
      </c>
      <c r="M368" s="73" t="str">
        <f t="shared" si="196"/>
        <v/>
      </c>
      <c r="N368" s="73" t="str">
        <f t="shared" si="197"/>
        <v/>
      </c>
      <c r="O368" s="73" t="str">
        <f t="shared" si="198"/>
        <v/>
      </c>
      <c r="P368" s="73" t="str">
        <f t="shared" si="199"/>
        <v/>
      </c>
      <c r="Q368" s="73" t="str">
        <f t="shared" si="200"/>
        <v/>
      </c>
      <c r="R368" s="73"/>
      <c r="S368" s="76" t="str">
        <f t="shared" si="208"/>
        <v/>
      </c>
      <c r="T368" s="73" t="str">
        <f t="shared" si="225"/>
        <v/>
      </c>
      <c r="U368" s="73" t="str">
        <f t="shared" si="212"/>
        <v/>
      </c>
      <c r="V368" s="76" t="str">
        <f t="shared" si="213"/>
        <v/>
      </c>
      <c r="W368" s="73" t="str">
        <f t="shared" si="214"/>
        <v/>
      </c>
      <c r="X368" s="73" t="str">
        <f>IF(B368&lt;&gt;"",IF(MONTH(E368)=MONTH($F$13),SUMIF($C$22:C747,"="&amp;(C368-1),$G$22:G747),0)*S368,"")</f>
        <v/>
      </c>
      <c r="Y368" s="73" t="str">
        <f>IF(B368&lt;&gt;"",SUM($X$22:X368),"")</f>
        <v/>
      </c>
      <c r="Z368" s="73" t="str">
        <f t="shared" si="226"/>
        <v/>
      </c>
      <c r="AA368" s="73" t="str">
        <f t="shared" si="215"/>
        <v/>
      </c>
      <c r="AB368" s="73" t="str">
        <f t="shared" si="216"/>
        <v/>
      </c>
      <c r="AC368" s="73" t="str">
        <f t="shared" si="217"/>
        <v/>
      </c>
      <c r="AD368" s="73" t="str">
        <f>IFERROR($U368*(1-$V368)+SUM($W$22:$W368)+$AB368,"")</f>
        <v/>
      </c>
      <c r="AE368" s="73" t="b">
        <f t="shared" si="218"/>
        <v>1</v>
      </c>
      <c r="AF368" s="73" t="e">
        <f>IF(AND(AE368=TRUE,D368&gt;=65),$U368*(1-10%)+SUM($W$22:$W368)+$AB368,AD368)</f>
        <v>#VALUE!</v>
      </c>
      <c r="AG368" s="73" t="str">
        <f t="shared" si="201"/>
        <v/>
      </c>
      <c r="AH368" s="73" t="str">
        <f t="shared" si="202"/>
        <v/>
      </c>
      <c r="AI368" s="73" t="str">
        <f t="shared" si="203"/>
        <v/>
      </c>
      <c r="AJ368" s="73" t="str">
        <f t="shared" si="204"/>
        <v/>
      </c>
      <c r="AK368" s="73" t="b">
        <f t="shared" si="219"/>
        <v>1</v>
      </c>
      <c r="AL368" s="73" t="str">
        <f t="shared" si="205"/>
        <v/>
      </c>
      <c r="AM368" s="73" t="str">
        <f t="shared" si="227"/>
        <v/>
      </c>
      <c r="AN368" s="73" t="str">
        <f t="shared" si="220"/>
        <v/>
      </c>
      <c r="AO368" s="73" t="str">
        <f t="shared" si="221"/>
        <v/>
      </c>
      <c r="AP368" s="73" t="str">
        <f t="shared" si="222"/>
        <v/>
      </c>
    </row>
    <row r="369" spans="1:42" s="69" customFormat="1" x14ac:dyDescent="0.6">
      <c r="A369" s="78" t="str">
        <f t="shared" si="206"/>
        <v/>
      </c>
      <c r="B369" s="78" t="str">
        <f>IF(E369&lt;=$F$9,VLOOKUP(KALKULATOR!A369,Robocze!$B$23:$C$102,2),"")</f>
        <v/>
      </c>
      <c r="C369" s="78" t="str">
        <f t="shared" si="209"/>
        <v/>
      </c>
      <c r="D369" s="79" t="str">
        <f t="shared" si="223"/>
        <v/>
      </c>
      <c r="E369" s="80" t="str">
        <f t="shared" si="224"/>
        <v/>
      </c>
      <c r="F369" s="81" t="str">
        <f t="shared" si="210"/>
        <v/>
      </c>
      <c r="G369" s="82" t="str">
        <f>IFERROR(IF(AND(F369&lt;=$F$9,$F$5=Robocze!$B$4,$E369&lt;=$F$9,MONTH($F$8)=MONTH(E369)),$F$4,0)+IF(AND(F369&lt;=$F$9,$F$5=Robocze!$B$3,E369&lt;=$F$9),KALKULATOR!$F$4/12,0),"")</f>
        <v/>
      </c>
      <c r="H369" s="82" t="str">
        <f t="shared" si="211"/>
        <v/>
      </c>
      <c r="I369" s="83" t="str">
        <f t="shared" si="207"/>
        <v/>
      </c>
      <c r="J369" s="82" t="str">
        <f t="shared" si="193"/>
        <v/>
      </c>
      <c r="K369" s="84" t="str">
        <f t="shared" si="194"/>
        <v/>
      </c>
      <c r="L369" s="82" t="str">
        <f t="shared" si="195"/>
        <v/>
      </c>
      <c r="M369" s="82" t="str">
        <f t="shared" si="196"/>
        <v/>
      </c>
      <c r="N369" s="82" t="str">
        <f t="shared" si="197"/>
        <v/>
      </c>
      <c r="O369" s="82" t="str">
        <f t="shared" si="198"/>
        <v/>
      </c>
      <c r="P369" s="82" t="str">
        <f t="shared" si="199"/>
        <v/>
      </c>
      <c r="Q369" s="82" t="str">
        <f t="shared" si="200"/>
        <v/>
      </c>
      <c r="R369" s="82"/>
      <c r="S369" s="85" t="str">
        <f t="shared" si="208"/>
        <v/>
      </c>
      <c r="T369" s="82" t="str">
        <f t="shared" si="225"/>
        <v/>
      </c>
      <c r="U369" s="82" t="str">
        <f t="shared" si="212"/>
        <v/>
      </c>
      <c r="V369" s="85" t="str">
        <f t="shared" si="213"/>
        <v/>
      </c>
      <c r="W369" s="82" t="str">
        <f t="shared" si="214"/>
        <v/>
      </c>
      <c r="X369" s="82" t="str">
        <f>IF(B369&lt;&gt;"",IF(MONTH(E369)=MONTH($F$13),SUMIF($C$22:C748,"="&amp;(C369-1),$G$22:G748),0)*S369,"")</f>
        <v/>
      </c>
      <c r="Y369" s="82" t="str">
        <f>IF(B369&lt;&gt;"",SUM($X$22:X369),"")</f>
        <v/>
      </c>
      <c r="Z369" s="82" t="str">
        <f t="shared" si="226"/>
        <v/>
      </c>
      <c r="AA369" s="82" t="str">
        <f t="shared" si="215"/>
        <v/>
      </c>
      <c r="AB369" s="82" t="str">
        <f t="shared" si="216"/>
        <v/>
      </c>
      <c r="AC369" s="82" t="str">
        <f t="shared" si="217"/>
        <v/>
      </c>
      <c r="AD369" s="82" t="str">
        <f>IFERROR($U369*(1-$V369)+SUM($W$22:$W369)+$AB369,"")</f>
        <v/>
      </c>
      <c r="AE369" s="73" t="b">
        <f t="shared" si="218"/>
        <v>1</v>
      </c>
      <c r="AF369" s="82" t="e">
        <f>IF(AND(AE369=TRUE,D369&gt;=65),$U369*(1-10%)+SUM($W$22:$W369)+$AB369,AD369)</f>
        <v>#VALUE!</v>
      </c>
      <c r="AG369" s="82" t="str">
        <f t="shared" si="201"/>
        <v/>
      </c>
      <c r="AH369" s="82" t="str">
        <f t="shared" si="202"/>
        <v/>
      </c>
      <c r="AI369" s="82" t="str">
        <f t="shared" si="203"/>
        <v/>
      </c>
      <c r="AJ369" s="82" t="str">
        <f t="shared" si="204"/>
        <v/>
      </c>
      <c r="AK369" s="73" t="b">
        <f t="shared" si="219"/>
        <v>1</v>
      </c>
      <c r="AL369" s="82" t="str">
        <f t="shared" si="205"/>
        <v/>
      </c>
      <c r="AM369" s="82" t="str">
        <f t="shared" si="227"/>
        <v/>
      </c>
      <c r="AN369" s="82" t="str">
        <f t="shared" si="220"/>
        <v/>
      </c>
      <c r="AO369" s="82" t="str">
        <f t="shared" si="221"/>
        <v/>
      </c>
      <c r="AP369" s="82" t="str">
        <f t="shared" si="222"/>
        <v/>
      </c>
    </row>
    <row r="370" spans="1:42" s="31" customFormat="1" x14ac:dyDescent="0.6">
      <c r="A370" s="70" t="str">
        <f t="shared" si="206"/>
        <v/>
      </c>
      <c r="B370" s="70" t="str">
        <f>IF(E370&lt;=$F$9,VLOOKUP(KALKULATOR!A370,Robocze!$B$23:$C$102,2),"")</f>
        <v/>
      </c>
      <c r="C370" s="70" t="str">
        <f t="shared" si="209"/>
        <v/>
      </c>
      <c r="D370" s="71" t="str">
        <f t="shared" si="223"/>
        <v/>
      </c>
      <c r="E370" s="72" t="str">
        <f t="shared" si="224"/>
        <v/>
      </c>
      <c r="F370" s="72" t="str">
        <f t="shared" si="210"/>
        <v/>
      </c>
      <c r="G370" s="73" t="str">
        <f>IFERROR(IF(AND(F370&lt;=$F$9,$F$5=Robocze!$B$4,$E370&lt;=$F$9,MONTH($F$8)=MONTH(E370)),$F$4,0)+IF(AND(F370&lt;=$F$9,$F$5=Robocze!$B$3,E370&lt;=$F$9),KALKULATOR!$F$4/12,0),"")</f>
        <v/>
      </c>
      <c r="H370" s="73" t="str">
        <f t="shared" si="211"/>
        <v/>
      </c>
      <c r="I370" s="74" t="str">
        <f t="shared" si="207"/>
        <v/>
      </c>
      <c r="J370" s="73" t="str">
        <f t="shared" si="193"/>
        <v/>
      </c>
      <c r="K370" s="75" t="str">
        <f t="shared" si="194"/>
        <v/>
      </c>
      <c r="L370" s="73" t="str">
        <f t="shared" si="195"/>
        <v/>
      </c>
      <c r="M370" s="73" t="str">
        <f t="shared" si="196"/>
        <v/>
      </c>
      <c r="N370" s="73" t="str">
        <f t="shared" si="197"/>
        <v/>
      </c>
      <c r="O370" s="73" t="str">
        <f t="shared" si="198"/>
        <v/>
      </c>
      <c r="P370" s="73" t="str">
        <f t="shared" si="199"/>
        <v/>
      </c>
      <c r="Q370" s="73" t="str">
        <f t="shared" si="200"/>
        <v/>
      </c>
      <c r="R370" s="73"/>
      <c r="S370" s="76" t="str">
        <f t="shared" si="208"/>
        <v/>
      </c>
      <c r="T370" s="73" t="str">
        <f t="shared" si="225"/>
        <v/>
      </c>
      <c r="U370" s="73" t="str">
        <f t="shared" si="212"/>
        <v/>
      </c>
      <c r="V370" s="76" t="str">
        <f t="shared" si="213"/>
        <v/>
      </c>
      <c r="W370" s="73" t="str">
        <f t="shared" si="214"/>
        <v/>
      </c>
      <c r="X370" s="73" t="str">
        <f>IF(B370&lt;&gt;"",IF(MONTH(E370)=MONTH($F$13),SUMIF($C$22:C749,"="&amp;(C370-1),$G$22:G749),0)*S370,"")</f>
        <v/>
      </c>
      <c r="Y370" s="73" t="str">
        <f>IF(B370&lt;&gt;"",SUM($X$22:X370),"")</f>
        <v/>
      </c>
      <c r="Z370" s="73" t="str">
        <f t="shared" si="226"/>
        <v/>
      </c>
      <c r="AA370" s="73" t="str">
        <f t="shared" si="215"/>
        <v/>
      </c>
      <c r="AB370" s="73" t="str">
        <f t="shared" si="216"/>
        <v/>
      </c>
      <c r="AC370" s="73" t="str">
        <f t="shared" si="217"/>
        <v/>
      </c>
      <c r="AD370" s="73" t="str">
        <f>IFERROR($U370*(1-$V370)+SUM($W$22:$W370)+$AB370,"")</f>
        <v/>
      </c>
      <c r="AE370" s="73" t="b">
        <f t="shared" si="218"/>
        <v>1</v>
      </c>
      <c r="AF370" s="73" t="e">
        <f>IF(AND(AE370=TRUE,D370&gt;=65),$U370*(1-10%)+SUM($W$22:$W370)+$AB370,AD370)</f>
        <v>#VALUE!</v>
      </c>
      <c r="AG370" s="73" t="str">
        <f t="shared" si="201"/>
        <v/>
      </c>
      <c r="AH370" s="73" t="str">
        <f t="shared" si="202"/>
        <v/>
      </c>
      <c r="AI370" s="73" t="str">
        <f t="shared" si="203"/>
        <v/>
      </c>
      <c r="AJ370" s="73" t="str">
        <f t="shared" si="204"/>
        <v/>
      </c>
      <c r="AK370" s="73" t="b">
        <f t="shared" si="219"/>
        <v>1</v>
      </c>
      <c r="AL370" s="73" t="str">
        <f t="shared" si="205"/>
        <v/>
      </c>
      <c r="AM370" s="73" t="str">
        <f t="shared" si="227"/>
        <v/>
      </c>
      <c r="AN370" s="73" t="str">
        <f t="shared" si="220"/>
        <v/>
      </c>
      <c r="AO370" s="73" t="str">
        <f t="shared" si="221"/>
        <v/>
      </c>
      <c r="AP370" s="73" t="str">
        <f t="shared" si="222"/>
        <v/>
      </c>
    </row>
    <row r="371" spans="1:42" s="31" customFormat="1" x14ac:dyDescent="0.6">
      <c r="A371" s="70" t="str">
        <f t="shared" si="206"/>
        <v/>
      </c>
      <c r="B371" s="70" t="str">
        <f>IF(E371&lt;=$F$9,VLOOKUP(KALKULATOR!A371,Robocze!$B$23:$C$102,2),"")</f>
        <v/>
      </c>
      <c r="C371" s="70" t="str">
        <f t="shared" si="209"/>
        <v/>
      </c>
      <c r="D371" s="71" t="str">
        <f t="shared" si="223"/>
        <v/>
      </c>
      <c r="E371" s="77" t="str">
        <f t="shared" si="224"/>
        <v/>
      </c>
      <c r="F371" s="72" t="str">
        <f t="shared" si="210"/>
        <v/>
      </c>
      <c r="G371" s="73" t="str">
        <f>IFERROR(IF(AND(F371&lt;=$F$9,$F$5=Robocze!$B$4,$E371&lt;=$F$9,MONTH($F$8)=MONTH(E371)),$F$4,0)+IF(AND(F371&lt;=$F$9,$F$5=Robocze!$B$3,E371&lt;=$F$9),KALKULATOR!$F$4/12,0),"")</f>
        <v/>
      </c>
      <c r="H371" s="73" t="str">
        <f t="shared" si="211"/>
        <v/>
      </c>
      <c r="I371" s="74" t="str">
        <f t="shared" si="207"/>
        <v/>
      </c>
      <c r="J371" s="73" t="str">
        <f t="shared" si="193"/>
        <v/>
      </c>
      <c r="K371" s="75" t="str">
        <f t="shared" si="194"/>
        <v/>
      </c>
      <c r="L371" s="73" t="str">
        <f t="shared" si="195"/>
        <v/>
      </c>
      <c r="M371" s="73" t="str">
        <f t="shared" si="196"/>
        <v/>
      </c>
      <c r="N371" s="73" t="str">
        <f t="shared" si="197"/>
        <v/>
      </c>
      <c r="O371" s="73" t="str">
        <f t="shared" si="198"/>
        <v/>
      </c>
      <c r="P371" s="73" t="str">
        <f t="shared" si="199"/>
        <v/>
      </c>
      <c r="Q371" s="73" t="str">
        <f t="shared" si="200"/>
        <v/>
      </c>
      <c r="R371" s="73"/>
      <c r="S371" s="76" t="str">
        <f t="shared" si="208"/>
        <v/>
      </c>
      <c r="T371" s="73" t="str">
        <f t="shared" si="225"/>
        <v/>
      </c>
      <c r="U371" s="73" t="str">
        <f t="shared" si="212"/>
        <v/>
      </c>
      <c r="V371" s="76" t="str">
        <f t="shared" si="213"/>
        <v/>
      </c>
      <c r="W371" s="73" t="str">
        <f t="shared" si="214"/>
        <v/>
      </c>
      <c r="X371" s="73" t="str">
        <f>IF(B371&lt;&gt;"",IF(MONTH(E371)=MONTH($F$13),SUMIF($C$22:C750,"="&amp;(C371-1),$G$22:G750),0)*S371,"")</f>
        <v/>
      </c>
      <c r="Y371" s="73" t="str">
        <f>IF(B371&lt;&gt;"",SUM($X$22:X371),"")</f>
        <v/>
      </c>
      <c r="Z371" s="73" t="str">
        <f t="shared" si="226"/>
        <v/>
      </c>
      <c r="AA371" s="73" t="str">
        <f t="shared" si="215"/>
        <v/>
      </c>
      <c r="AB371" s="73" t="str">
        <f t="shared" si="216"/>
        <v/>
      </c>
      <c r="AC371" s="73" t="str">
        <f t="shared" si="217"/>
        <v/>
      </c>
      <c r="AD371" s="73" t="str">
        <f>IFERROR($U371*(1-$V371)+SUM($W$22:$W371)+$AB371,"")</f>
        <v/>
      </c>
      <c r="AE371" s="73" t="b">
        <f t="shared" si="218"/>
        <v>1</v>
      </c>
      <c r="AF371" s="73" t="e">
        <f>IF(AND(AE371=TRUE,D371&gt;=65),$U371*(1-10%)+SUM($W$22:$W371)+$AB371,AD371)</f>
        <v>#VALUE!</v>
      </c>
      <c r="AG371" s="73" t="str">
        <f t="shared" si="201"/>
        <v/>
      </c>
      <c r="AH371" s="73" t="str">
        <f t="shared" si="202"/>
        <v/>
      </c>
      <c r="AI371" s="73" t="str">
        <f t="shared" si="203"/>
        <v/>
      </c>
      <c r="AJ371" s="73" t="str">
        <f t="shared" si="204"/>
        <v/>
      </c>
      <c r="AK371" s="73" t="b">
        <f t="shared" si="219"/>
        <v>1</v>
      </c>
      <c r="AL371" s="73" t="str">
        <f t="shared" si="205"/>
        <v/>
      </c>
      <c r="AM371" s="73" t="str">
        <f t="shared" si="227"/>
        <v/>
      </c>
      <c r="AN371" s="73" t="str">
        <f t="shared" si="220"/>
        <v/>
      </c>
      <c r="AO371" s="73" t="str">
        <f t="shared" si="221"/>
        <v/>
      </c>
      <c r="AP371" s="73" t="str">
        <f t="shared" si="222"/>
        <v/>
      </c>
    </row>
    <row r="372" spans="1:42" s="31" customFormat="1" x14ac:dyDescent="0.6">
      <c r="A372" s="70" t="str">
        <f t="shared" si="206"/>
        <v/>
      </c>
      <c r="B372" s="70" t="str">
        <f>IF(E372&lt;=$F$9,VLOOKUP(KALKULATOR!A372,Robocze!$B$23:$C$102,2),"")</f>
        <v/>
      </c>
      <c r="C372" s="70" t="str">
        <f t="shared" si="209"/>
        <v/>
      </c>
      <c r="D372" s="71" t="str">
        <f t="shared" si="223"/>
        <v/>
      </c>
      <c r="E372" s="77" t="str">
        <f t="shared" si="224"/>
        <v/>
      </c>
      <c r="F372" s="72" t="str">
        <f t="shared" si="210"/>
        <v/>
      </c>
      <c r="G372" s="73" t="str">
        <f>IFERROR(IF(AND(F372&lt;=$F$9,$F$5=Robocze!$B$4,$E372&lt;=$F$9,MONTH($F$8)=MONTH(E372)),$F$4,0)+IF(AND(F372&lt;=$F$9,$F$5=Robocze!$B$3,E372&lt;=$F$9),KALKULATOR!$F$4/12,0),"")</f>
        <v/>
      </c>
      <c r="H372" s="73" t="str">
        <f t="shared" si="211"/>
        <v/>
      </c>
      <c r="I372" s="74" t="str">
        <f t="shared" si="207"/>
        <v/>
      </c>
      <c r="J372" s="73" t="str">
        <f t="shared" si="193"/>
        <v/>
      </c>
      <c r="K372" s="75" t="str">
        <f t="shared" si="194"/>
        <v/>
      </c>
      <c r="L372" s="73" t="str">
        <f t="shared" si="195"/>
        <v/>
      </c>
      <c r="M372" s="73" t="str">
        <f t="shared" si="196"/>
        <v/>
      </c>
      <c r="N372" s="73" t="str">
        <f t="shared" si="197"/>
        <v/>
      </c>
      <c r="O372" s="73" t="str">
        <f t="shared" si="198"/>
        <v/>
      </c>
      <c r="P372" s="73" t="str">
        <f t="shared" si="199"/>
        <v/>
      </c>
      <c r="Q372" s="73" t="str">
        <f t="shared" si="200"/>
        <v/>
      </c>
      <c r="R372" s="73"/>
      <c r="S372" s="76" t="str">
        <f t="shared" si="208"/>
        <v/>
      </c>
      <c r="T372" s="73" t="str">
        <f t="shared" si="225"/>
        <v/>
      </c>
      <c r="U372" s="73" t="str">
        <f t="shared" si="212"/>
        <v/>
      </c>
      <c r="V372" s="76" t="str">
        <f t="shared" si="213"/>
        <v/>
      </c>
      <c r="W372" s="73" t="str">
        <f t="shared" si="214"/>
        <v/>
      </c>
      <c r="X372" s="73" t="str">
        <f>IF(B372&lt;&gt;"",IF(MONTH(E372)=MONTH($F$13),SUMIF($C$22:C751,"="&amp;(C372-1),$G$22:G751),0)*S372,"")</f>
        <v/>
      </c>
      <c r="Y372" s="73" t="str">
        <f>IF(B372&lt;&gt;"",SUM($X$22:X372),"")</f>
        <v/>
      </c>
      <c r="Z372" s="73" t="str">
        <f t="shared" si="226"/>
        <v/>
      </c>
      <c r="AA372" s="73" t="str">
        <f t="shared" si="215"/>
        <v/>
      </c>
      <c r="AB372" s="73" t="str">
        <f t="shared" si="216"/>
        <v/>
      </c>
      <c r="AC372" s="73" t="str">
        <f t="shared" si="217"/>
        <v/>
      </c>
      <c r="AD372" s="73" t="str">
        <f>IFERROR($U372*(1-$V372)+SUM($W$22:$W372)+$AB372,"")</f>
        <v/>
      </c>
      <c r="AE372" s="73" t="b">
        <f t="shared" si="218"/>
        <v>1</v>
      </c>
      <c r="AF372" s="73" t="e">
        <f>IF(AND(AE372=TRUE,D372&gt;=65),$U372*(1-10%)+SUM($W$22:$W372)+$AB372,AD372)</f>
        <v>#VALUE!</v>
      </c>
      <c r="AG372" s="73" t="str">
        <f t="shared" si="201"/>
        <v/>
      </c>
      <c r="AH372" s="73" t="str">
        <f t="shared" si="202"/>
        <v/>
      </c>
      <c r="AI372" s="73" t="str">
        <f t="shared" si="203"/>
        <v/>
      </c>
      <c r="AJ372" s="73" t="str">
        <f t="shared" si="204"/>
        <v/>
      </c>
      <c r="AK372" s="73" t="b">
        <f t="shared" si="219"/>
        <v>1</v>
      </c>
      <c r="AL372" s="73" t="str">
        <f t="shared" si="205"/>
        <v/>
      </c>
      <c r="AM372" s="73" t="str">
        <f t="shared" si="227"/>
        <v/>
      </c>
      <c r="AN372" s="73" t="str">
        <f t="shared" si="220"/>
        <v/>
      </c>
      <c r="AO372" s="73" t="str">
        <f t="shared" si="221"/>
        <v/>
      </c>
      <c r="AP372" s="73" t="str">
        <f t="shared" si="222"/>
        <v/>
      </c>
    </row>
    <row r="373" spans="1:42" s="31" customFormat="1" x14ac:dyDescent="0.6">
      <c r="A373" s="70" t="str">
        <f t="shared" si="206"/>
        <v/>
      </c>
      <c r="B373" s="70" t="str">
        <f>IF(E373&lt;=$F$9,VLOOKUP(KALKULATOR!A373,Robocze!$B$23:$C$102,2),"")</f>
        <v/>
      </c>
      <c r="C373" s="70" t="str">
        <f t="shared" si="209"/>
        <v/>
      </c>
      <c r="D373" s="71" t="str">
        <f t="shared" si="223"/>
        <v/>
      </c>
      <c r="E373" s="77" t="str">
        <f t="shared" si="224"/>
        <v/>
      </c>
      <c r="F373" s="72" t="str">
        <f t="shared" si="210"/>
        <v/>
      </c>
      <c r="G373" s="73" t="str">
        <f>IFERROR(IF(AND(F373&lt;=$F$9,$F$5=Robocze!$B$4,$E373&lt;=$F$9,MONTH($F$8)=MONTH(E373)),$F$4,0)+IF(AND(F373&lt;=$F$9,$F$5=Robocze!$B$3,E373&lt;=$F$9),KALKULATOR!$F$4/12,0),"")</f>
        <v/>
      </c>
      <c r="H373" s="73" t="str">
        <f t="shared" si="211"/>
        <v/>
      </c>
      <c r="I373" s="74" t="str">
        <f t="shared" si="207"/>
        <v/>
      </c>
      <c r="J373" s="73" t="str">
        <f t="shared" si="193"/>
        <v/>
      </c>
      <c r="K373" s="75" t="str">
        <f t="shared" si="194"/>
        <v/>
      </c>
      <c r="L373" s="73" t="str">
        <f t="shared" si="195"/>
        <v/>
      </c>
      <c r="M373" s="73" t="str">
        <f t="shared" si="196"/>
        <v/>
      </c>
      <c r="N373" s="73" t="str">
        <f t="shared" si="197"/>
        <v/>
      </c>
      <c r="O373" s="73" t="str">
        <f t="shared" si="198"/>
        <v/>
      </c>
      <c r="P373" s="73" t="str">
        <f t="shared" si="199"/>
        <v/>
      </c>
      <c r="Q373" s="73" t="str">
        <f t="shared" si="200"/>
        <v/>
      </c>
      <c r="R373" s="73"/>
      <c r="S373" s="76" t="str">
        <f t="shared" si="208"/>
        <v/>
      </c>
      <c r="T373" s="73" t="str">
        <f t="shared" si="225"/>
        <v/>
      </c>
      <c r="U373" s="73" t="str">
        <f t="shared" si="212"/>
        <v/>
      </c>
      <c r="V373" s="76" t="str">
        <f t="shared" si="213"/>
        <v/>
      </c>
      <c r="W373" s="73" t="str">
        <f t="shared" si="214"/>
        <v/>
      </c>
      <c r="X373" s="73" t="str">
        <f>IF(B373&lt;&gt;"",IF(MONTH(E373)=MONTH($F$13),SUMIF($C$22:C752,"="&amp;(C373-1),$G$22:G752),0)*S373,"")</f>
        <v/>
      </c>
      <c r="Y373" s="73" t="str">
        <f>IF(B373&lt;&gt;"",SUM($X$22:X373),"")</f>
        <v/>
      </c>
      <c r="Z373" s="73" t="str">
        <f t="shared" si="226"/>
        <v/>
      </c>
      <c r="AA373" s="73" t="str">
        <f t="shared" si="215"/>
        <v/>
      </c>
      <c r="AB373" s="73" t="str">
        <f t="shared" si="216"/>
        <v/>
      </c>
      <c r="AC373" s="73" t="str">
        <f t="shared" si="217"/>
        <v/>
      </c>
      <c r="AD373" s="73" t="str">
        <f>IFERROR($U373*(1-$V373)+SUM($W$22:$W373)+$AB373,"")</f>
        <v/>
      </c>
      <c r="AE373" s="73" t="b">
        <f t="shared" si="218"/>
        <v>1</v>
      </c>
      <c r="AF373" s="73" t="e">
        <f>IF(AND(AE373=TRUE,D373&gt;=65),$U373*(1-10%)+SUM($W$22:$W373)+$AB373,AD373)</f>
        <v>#VALUE!</v>
      </c>
      <c r="AG373" s="73" t="str">
        <f t="shared" si="201"/>
        <v/>
      </c>
      <c r="AH373" s="73" t="str">
        <f t="shared" si="202"/>
        <v/>
      </c>
      <c r="AI373" s="73" t="str">
        <f t="shared" si="203"/>
        <v/>
      </c>
      <c r="AJ373" s="73" t="str">
        <f t="shared" si="204"/>
        <v/>
      </c>
      <c r="AK373" s="73" t="b">
        <f t="shared" si="219"/>
        <v>1</v>
      </c>
      <c r="AL373" s="73" t="str">
        <f t="shared" si="205"/>
        <v/>
      </c>
      <c r="AM373" s="73" t="str">
        <f t="shared" si="227"/>
        <v/>
      </c>
      <c r="AN373" s="73" t="str">
        <f t="shared" si="220"/>
        <v/>
      </c>
      <c r="AO373" s="73" t="str">
        <f t="shared" si="221"/>
        <v/>
      </c>
      <c r="AP373" s="73" t="str">
        <f t="shared" si="222"/>
        <v/>
      </c>
    </row>
    <row r="374" spans="1:42" s="31" customFormat="1" x14ac:dyDescent="0.6">
      <c r="A374" s="70" t="str">
        <f t="shared" si="206"/>
        <v/>
      </c>
      <c r="B374" s="70" t="str">
        <f>IF(E374&lt;=$F$9,VLOOKUP(KALKULATOR!A374,Robocze!$B$23:$C$102,2),"")</f>
        <v/>
      </c>
      <c r="C374" s="70" t="str">
        <f t="shared" si="209"/>
        <v/>
      </c>
      <c r="D374" s="71" t="str">
        <f t="shared" si="223"/>
        <v/>
      </c>
      <c r="E374" s="77" t="str">
        <f t="shared" si="224"/>
        <v/>
      </c>
      <c r="F374" s="72" t="str">
        <f t="shared" si="210"/>
        <v/>
      </c>
      <c r="G374" s="73" t="str">
        <f>IFERROR(IF(AND(F374&lt;=$F$9,$F$5=Robocze!$B$4,$E374&lt;=$F$9,MONTH($F$8)=MONTH(E374)),$F$4,0)+IF(AND(F374&lt;=$F$9,$F$5=Robocze!$B$3,E374&lt;=$F$9),KALKULATOR!$F$4/12,0),"")</f>
        <v/>
      </c>
      <c r="H374" s="73" t="str">
        <f t="shared" si="211"/>
        <v/>
      </c>
      <c r="I374" s="74" t="str">
        <f t="shared" si="207"/>
        <v/>
      </c>
      <c r="J374" s="73" t="str">
        <f t="shared" si="193"/>
        <v/>
      </c>
      <c r="K374" s="75" t="str">
        <f t="shared" si="194"/>
        <v/>
      </c>
      <c r="L374" s="73" t="str">
        <f t="shared" si="195"/>
        <v/>
      </c>
      <c r="M374" s="73" t="str">
        <f t="shared" si="196"/>
        <v/>
      </c>
      <c r="N374" s="73" t="str">
        <f t="shared" si="197"/>
        <v/>
      </c>
      <c r="O374" s="73" t="str">
        <f t="shared" si="198"/>
        <v/>
      </c>
      <c r="P374" s="73" t="str">
        <f t="shared" si="199"/>
        <v/>
      </c>
      <c r="Q374" s="73" t="str">
        <f t="shared" si="200"/>
        <v/>
      </c>
      <c r="R374" s="73"/>
      <c r="S374" s="76" t="str">
        <f t="shared" si="208"/>
        <v/>
      </c>
      <c r="T374" s="73" t="str">
        <f t="shared" si="225"/>
        <v/>
      </c>
      <c r="U374" s="73" t="str">
        <f t="shared" si="212"/>
        <v/>
      </c>
      <c r="V374" s="76" t="str">
        <f t="shared" si="213"/>
        <v/>
      </c>
      <c r="W374" s="73" t="str">
        <f t="shared" si="214"/>
        <v/>
      </c>
      <c r="X374" s="73" t="str">
        <f>IF(B374&lt;&gt;"",IF(MONTH(E374)=MONTH($F$13),SUMIF($C$22:C753,"="&amp;(C374-1),$G$22:G753),0)*S374,"")</f>
        <v/>
      </c>
      <c r="Y374" s="73" t="str">
        <f>IF(B374&lt;&gt;"",SUM($X$22:X374),"")</f>
        <v/>
      </c>
      <c r="Z374" s="73" t="str">
        <f t="shared" si="226"/>
        <v/>
      </c>
      <c r="AA374" s="73" t="str">
        <f t="shared" si="215"/>
        <v/>
      </c>
      <c r="AB374" s="73" t="str">
        <f t="shared" si="216"/>
        <v/>
      </c>
      <c r="AC374" s="73" t="str">
        <f t="shared" si="217"/>
        <v/>
      </c>
      <c r="AD374" s="73" t="str">
        <f>IFERROR($U374*(1-$V374)+SUM($W$22:$W374)+$AB374,"")</f>
        <v/>
      </c>
      <c r="AE374" s="73" t="b">
        <f t="shared" si="218"/>
        <v>1</v>
      </c>
      <c r="AF374" s="73" t="e">
        <f>IF(AND(AE374=TRUE,D374&gt;=65),$U374*(1-10%)+SUM($W$22:$W374)+$AB374,AD374)</f>
        <v>#VALUE!</v>
      </c>
      <c r="AG374" s="73" t="str">
        <f t="shared" si="201"/>
        <v/>
      </c>
      <c r="AH374" s="73" t="str">
        <f t="shared" si="202"/>
        <v/>
      </c>
      <c r="AI374" s="73" t="str">
        <f t="shared" si="203"/>
        <v/>
      </c>
      <c r="AJ374" s="73" t="str">
        <f t="shared" si="204"/>
        <v/>
      </c>
      <c r="AK374" s="73" t="b">
        <f t="shared" si="219"/>
        <v>1</v>
      </c>
      <c r="AL374" s="73" t="str">
        <f t="shared" si="205"/>
        <v/>
      </c>
      <c r="AM374" s="73" t="str">
        <f t="shared" si="227"/>
        <v/>
      </c>
      <c r="AN374" s="73" t="str">
        <f t="shared" si="220"/>
        <v/>
      </c>
      <c r="AO374" s="73" t="str">
        <f t="shared" si="221"/>
        <v/>
      </c>
      <c r="AP374" s="73" t="str">
        <f t="shared" si="222"/>
        <v/>
      </c>
    </row>
    <row r="375" spans="1:42" s="31" customFormat="1" x14ac:dyDescent="0.6">
      <c r="A375" s="70" t="str">
        <f t="shared" si="206"/>
        <v/>
      </c>
      <c r="B375" s="70" t="str">
        <f>IF(E375&lt;=$F$9,VLOOKUP(KALKULATOR!A375,Robocze!$B$23:$C$102,2),"")</f>
        <v/>
      </c>
      <c r="C375" s="70" t="str">
        <f t="shared" si="209"/>
        <v/>
      </c>
      <c r="D375" s="71" t="str">
        <f t="shared" si="223"/>
        <v/>
      </c>
      <c r="E375" s="77" t="str">
        <f t="shared" si="224"/>
        <v/>
      </c>
      <c r="F375" s="72" t="str">
        <f t="shared" si="210"/>
        <v/>
      </c>
      <c r="G375" s="73" t="str">
        <f>IFERROR(IF(AND(F375&lt;=$F$9,$F$5=Robocze!$B$4,$E375&lt;=$F$9,MONTH($F$8)=MONTH(E375)),$F$4,0)+IF(AND(F375&lt;=$F$9,$F$5=Robocze!$B$3,E375&lt;=$F$9),KALKULATOR!$F$4/12,0),"")</f>
        <v/>
      </c>
      <c r="H375" s="73" t="str">
        <f t="shared" si="211"/>
        <v/>
      </c>
      <c r="I375" s="74" t="str">
        <f t="shared" si="207"/>
        <v/>
      </c>
      <c r="J375" s="73" t="str">
        <f t="shared" si="193"/>
        <v/>
      </c>
      <c r="K375" s="75" t="str">
        <f t="shared" si="194"/>
        <v/>
      </c>
      <c r="L375" s="73" t="str">
        <f t="shared" si="195"/>
        <v/>
      </c>
      <c r="M375" s="73" t="str">
        <f t="shared" si="196"/>
        <v/>
      </c>
      <c r="N375" s="73" t="str">
        <f t="shared" si="197"/>
        <v/>
      </c>
      <c r="O375" s="73" t="str">
        <f t="shared" si="198"/>
        <v/>
      </c>
      <c r="P375" s="73" t="str">
        <f t="shared" si="199"/>
        <v/>
      </c>
      <c r="Q375" s="73" t="str">
        <f t="shared" si="200"/>
        <v/>
      </c>
      <c r="R375" s="73"/>
      <c r="S375" s="76" t="str">
        <f t="shared" si="208"/>
        <v/>
      </c>
      <c r="T375" s="73" t="str">
        <f t="shared" si="225"/>
        <v/>
      </c>
      <c r="U375" s="73" t="str">
        <f t="shared" si="212"/>
        <v/>
      </c>
      <c r="V375" s="76" t="str">
        <f t="shared" si="213"/>
        <v/>
      </c>
      <c r="W375" s="73" t="str">
        <f t="shared" si="214"/>
        <v/>
      </c>
      <c r="X375" s="73" t="str">
        <f>IF(B375&lt;&gt;"",IF(MONTH(E375)=MONTH($F$13),SUMIF($C$22:C754,"="&amp;(C375-1),$G$22:G754),0)*S375,"")</f>
        <v/>
      </c>
      <c r="Y375" s="73" t="str">
        <f>IF(B375&lt;&gt;"",SUM($X$22:X375),"")</f>
        <v/>
      </c>
      <c r="Z375" s="73" t="str">
        <f t="shared" si="226"/>
        <v/>
      </c>
      <c r="AA375" s="73" t="str">
        <f t="shared" si="215"/>
        <v/>
      </c>
      <c r="AB375" s="73" t="str">
        <f t="shared" si="216"/>
        <v/>
      </c>
      <c r="AC375" s="73" t="str">
        <f t="shared" si="217"/>
        <v/>
      </c>
      <c r="AD375" s="73" t="str">
        <f>IFERROR($U375*(1-$V375)+SUM($W$22:$W375)+$AB375,"")</f>
        <v/>
      </c>
      <c r="AE375" s="73" t="b">
        <f t="shared" si="218"/>
        <v>1</v>
      </c>
      <c r="AF375" s="73" t="e">
        <f>IF(AND(AE375=TRUE,D375&gt;=65),$U375*(1-10%)+SUM($W$22:$W375)+$AB375,AD375)</f>
        <v>#VALUE!</v>
      </c>
      <c r="AG375" s="73" t="str">
        <f t="shared" si="201"/>
        <v/>
      </c>
      <c r="AH375" s="73" t="str">
        <f t="shared" si="202"/>
        <v/>
      </c>
      <c r="AI375" s="73" t="str">
        <f t="shared" si="203"/>
        <v/>
      </c>
      <c r="AJ375" s="73" t="str">
        <f t="shared" si="204"/>
        <v/>
      </c>
      <c r="AK375" s="73" t="b">
        <f t="shared" si="219"/>
        <v>1</v>
      </c>
      <c r="AL375" s="73" t="str">
        <f t="shared" si="205"/>
        <v/>
      </c>
      <c r="AM375" s="73" t="str">
        <f t="shared" si="227"/>
        <v/>
      </c>
      <c r="AN375" s="73" t="str">
        <f t="shared" si="220"/>
        <v/>
      </c>
      <c r="AO375" s="73" t="str">
        <f t="shared" si="221"/>
        <v/>
      </c>
      <c r="AP375" s="73" t="str">
        <f t="shared" si="222"/>
        <v/>
      </c>
    </row>
    <row r="376" spans="1:42" s="31" customFormat="1" x14ac:dyDescent="0.6">
      <c r="A376" s="70" t="str">
        <f t="shared" si="206"/>
        <v/>
      </c>
      <c r="B376" s="70" t="str">
        <f>IF(E376&lt;=$F$9,VLOOKUP(KALKULATOR!A376,Robocze!$B$23:$C$102,2),"")</f>
        <v/>
      </c>
      <c r="C376" s="70" t="str">
        <f t="shared" si="209"/>
        <v/>
      </c>
      <c r="D376" s="71" t="str">
        <f t="shared" si="223"/>
        <v/>
      </c>
      <c r="E376" s="77" t="str">
        <f t="shared" si="224"/>
        <v/>
      </c>
      <c r="F376" s="72" t="str">
        <f t="shared" si="210"/>
        <v/>
      </c>
      <c r="G376" s="73" t="str">
        <f>IFERROR(IF(AND(F376&lt;=$F$9,$F$5=Robocze!$B$4,$E376&lt;=$F$9,MONTH($F$8)=MONTH(E376)),$F$4,0)+IF(AND(F376&lt;=$F$9,$F$5=Robocze!$B$3,E376&lt;=$F$9),KALKULATOR!$F$4/12,0),"")</f>
        <v/>
      </c>
      <c r="H376" s="73" t="str">
        <f t="shared" si="211"/>
        <v/>
      </c>
      <c r="I376" s="74" t="str">
        <f t="shared" si="207"/>
        <v/>
      </c>
      <c r="J376" s="73" t="str">
        <f t="shared" si="193"/>
        <v/>
      </c>
      <c r="K376" s="75" t="str">
        <f t="shared" si="194"/>
        <v/>
      </c>
      <c r="L376" s="73" t="str">
        <f t="shared" si="195"/>
        <v/>
      </c>
      <c r="M376" s="73" t="str">
        <f t="shared" si="196"/>
        <v/>
      </c>
      <c r="N376" s="73" t="str">
        <f t="shared" si="197"/>
        <v/>
      </c>
      <c r="O376" s="73" t="str">
        <f t="shared" si="198"/>
        <v/>
      </c>
      <c r="P376" s="73" t="str">
        <f t="shared" si="199"/>
        <v/>
      </c>
      <c r="Q376" s="73" t="str">
        <f t="shared" si="200"/>
        <v/>
      </c>
      <c r="R376" s="73"/>
      <c r="S376" s="76" t="str">
        <f t="shared" si="208"/>
        <v/>
      </c>
      <c r="T376" s="73" t="str">
        <f t="shared" si="225"/>
        <v/>
      </c>
      <c r="U376" s="73" t="str">
        <f t="shared" si="212"/>
        <v/>
      </c>
      <c r="V376" s="76" t="str">
        <f t="shared" si="213"/>
        <v/>
      </c>
      <c r="W376" s="73" t="str">
        <f t="shared" si="214"/>
        <v/>
      </c>
      <c r="X376" s="73" t="str">
        <f>IF(B376&lt;&gt;"",IF(MONTH(E376)=MONTH($F$13),SUMIF($C$22:C755,"="&amp;(C376-1),$G$22:G755),0)*S376,"")</f>
        <v/>
      </c>
      <c r="Y376" s="73" t="str">
        <f>IF(B376&lt;&gt;"",SUM($X$22:X376),"")</f>
        <v/>
      </c>
      <c r="Z376" s="73" t="str">
        <f t="shared" si="226"/>
        <v/>
      </c>
      <c r="AA376" s="73" t="str">
        <f t="shared" si="215"/>
        <v/>
      </c>
      <c r="AB376" s="73" t="str">
        <f t="shared" si="216"/>
        <v/>
      </c>
      <c r="AC376" s="73" t="str">
        <f t="shared" si="217"/>
        <v/>
      </c>
      <c r="AD376" s="73" t="str">
        <f>IFERROR($U376*(1-$V376)+SUM($W$22:$W376)+$AB376,"")</f>
        <v/>
      </c>
      <c r="AE376" s="73" t="b">
        <f t="shared" si="218"/>
        <v>1</v>
      </c>
      <c r="AF376" s="73" t="e">
        <f>IF(AND(AE376=TRUE,D376&gt;=65),$U376*(1-10%)+SUM($W$22:$W376)+$AB376,AD376)</f>
        <v>#VALUE!</v>
      </c>
      <c r="AG376" s="73" t="str">
        <f t="shared" si="201"/>
        <v/>
      </c>
      <c r="AH376" s="73" t="str">
        <f t="shared" si="202"/>
        <v/>
      </c>
      <c r="AI376" s="73" t="str">
        <f t="shared" si="203"/>
        <v/>
      </c>
      <c r="AJ376" s="73" t="str">
        <f t="shared" si="204"/>
        <v/>
      </c>
      <c r="AK376" s="73" t="b">
        <f t="shared" si="219"/>
        <v>1</v>
      </c>
      <c r="AL376" s="73" t="str">
        <f t="shared" si="205"/>
        <v/>
      </c>
      <c r="AM376" s="73" t="str">
        <f t="shared" si="227"/>
        <v/>
      </c>
      <c r="AN376" s="73" t="str">
        <f t="shared" si="220"/>
        <v/>
      </c>
      <c r="AO376" s="73" t="str">
        <f t="shared" si="221"/>
        <v/>
      </c>
      <c r="AP376" s="73" t="str">
        <f t="shared" si="222"/>
        <v/>
      </c>
    </row>
    <row r="377" spans="1:42" s="31" customFormat="1" x14ac:dyDescent="0.6">
      <c r="A377" s="70" t="str">
        <f t="shared" si="206"/>
        <v/>
      </c>
      <c r="B377" s="70" t="str">
        <f>IF(E377&lt;=$F$9,VLOOKUP(KALKULATOR!A377,Robocze!$B$23:$C$102,2),"")</f>
        <v/>
      </c>
      <c r="C377" s="70" t="str">
        <f t="shared" si="209"/>
        <v/>
      </c>
      <c r="D377" s="71" t="str">
        <f t="shared" si="223"/>
        <v/>
      </c>
      <c r="E377" s="77" t="str">
        <f t="shared" si="224"/>
        <v/>
      </c>
      <c r="F377" s="72" t="str">
        <f t="shared" si="210"/>
        <v/>
      </c>
      <c r="G377" s="73" t="str">
        <f>IFERROR(IF(AND(F377&lt;=$F$9,$F$5=Robocze!$B$4,$E377&lt;=$F$9,MONTH($F$8)=MONTH(E377)),$F$4,0)+IF(AND(F377&lt;=$F$9,$F$5=Robocze!$B$3,E377&lt;=$F$9),KALKULATOR!$F$4/12,0),"")</f>
        <v/>
      </c>
      <c r="H377" s="73" t="str">
        <f t="shared" si="211"/>
        <v/>
      </c>
      <c r="I377" s="74" t="str">
        <f t="shared" si="207"/>
        <v/>
      </c>
      <c r="J377" s="73" t="str">
        <f t="shared" si="193"/>
        <v/>
      </c>
      <c r="K377" s="75" t="str">
        <f t="shared" si="194"/>
        <v/>
      </c>
      <c r="L377" s="73" t="str">
        <f t="shared" si="195"/>
        <v/>
      </c>
      <c r="M377" s="73" t="str">
        <f t="shared" si="196"/>
        <v/>
      </c>
      <c r="N377" s="73" t="str">
        <f t="shared" si="197"/>
        <v/>
      </c>
      <c r="O377" s="73" t="str">
        <f t="shared" si="198"/>
        <v/>
      </c>
      <c r="P377" s="73" t="str">
        <f t="shared" si="199"/>
        <v/>
      </c>
      <c r="Q377" s="73" t="str">
        <f t="shared" si="200"/>
        <v/>
      </c>
      <c r="R377" s="73"/>
      <c r="S377" s="76" t="str">
        <f t="shared" si="208"/>
        <v/>
      </c>
      <c r="T377" s="73" t="str">
        <f t="shared" si="225"/>
        <v/>
      </c>
      <c r="U377" s="73" t="str">
        <f t="shared" si="212"/>
        <v/>
      </c>
      <c r="V377" s="76" t="str">
        <f t="shared" si="213"/>
        <v/>
      </c>
      <c r="W377" s="73" t="str">
        <f t="shared" si="214"/>
        <v/>
      </c>
      <c r="X377" s="73" t="str">
        <f>IF(B377&lt;&gt;"",IF(MONTH(E377)=MONTH($F$13),SUMIF($C$22:C756,"="&amp;(C377-1),$G$22:G756),0)*S377,"")</f>
        <v/>
      </c>
      <c r="Y377" s="73" t="str">
        <f>IF(B377&lt;&gt;"",SUM($X$22:X377),"")</f>
        <v/>
      </c>
      <c r="Z377" s="73" t="str">
        <f t="shared" si="226"/>
        <v/>
      </c>
      <c r="AA377" s="73" t="str">
        <f t="shared" si="215"/>
        <v/>
      </c>
      <c r="AB377" s="73" t="str">
        <f t="shared" si="216"/>
        <v/>
      </c>
      <c r="AC377" s="73" t="str">
        <f t="shared" si="217"/>
        <v/>
      </c>
      <c r="AD377" s="73" t="str">
        <f>IFERROR($U377*(1-$V377)+SUM($W$22:$W377)+$AB377,"")</f>
        <v/>
      </c>
      <c r="AE377" s="73" t="b">
        <f t="shared" si="218"/>
        <v>1</v>
      </c>
      <c r="AF377" s="73" t="e">
        <f>IF(AND(AE377=TRUE,D377&gt;=65),$U377*(1-10%)+SUM($W$22:$W377)+$AB377,AD377)</f>
        <v>#VALUE!</v>
      </c>
      <c r="AG377" s="73" t="str">
        <f t="shared" si="201"/>
        <v/>
      </c>
      <c r="AH377" s="73" t="str">
        <f t="shared" si="202"/>
        <v/>
      </c>
      <c r="AI377" s="73" t="str">
        <f t="shared" si="203"/>
        <v/>
      </c>
      <c r="AJ377" s="73" t="str">
        <f t="shared" si="204"/>
        <v/>
      </c>
      <c r="AK377" s="73" t="b">
        <f t="shared" si="219"/>
        <v>1</v>
      </c>
      <c r="AL377" s="73" t="str">
        <f t="shared" si="205"/>
        <v/>
      </c>
      <c r="AM377" s="73" t="str">
        <f t="shared" si="227"/>
        <v/>
      </c>
      <c r="AN377" s="73" t="str">
        <f t="shared" si="220"/>
        <v/>
      </c>
      <c r="AO377" s="73" t="str">
        <f t="shared" si="221"/>
        <v/>
      </c>
      <c r="AP377" s="73" t="str">
        <f t="shared" si="222"/>
        <v/>
      </c>
    </row>
    <row r="378" spans="1:42" s="31" customFormat="1" x14ac:dyDescent="0.6">
      <c r="A378" s="70" t="str">
        <f t="shared" si="206"/>
        <v/>
      </c>
      <c r="B378" s="70" t="str">
        <f>IF(E378&lt;=$F$9,VLOOKUP(KALKULATOR!A378,Robocze!$B$23:$C$102,2),"")</f>
        <v/>
      </c>
      <c r="C378" s="70" t="str">
        <f t="shared" si="209"/>
        <v/>
      </c>
      <c r="D378" s="71" t="str">
        <f t="shared" si="223"/>
        <v/>
      </c>
      <c r="E378" s="77" t="str">
        <f t="shared" si="224"/>
        <v/>
      </c>
      <c r="F378" s="72" t="str">
        <f t="shared" si="210"/>
        <v/>
      </c>
      <c r="G378" s="73" t="str">
        <f>IFERROR(IF(AND(F378&lt;=$F$9,$F$5=Robocze!$B$4,$E378&lt;=$F$9,MONTH($F$8)=MONTH(E378)),$F$4,0)+IF(AND(F378&lt;=$F$9,$F$5=Robocze!$B$3,E378&lt;=$F$9),KALKULATOR!$F$4/12,0),"")</f>
        <v/>
      </c>
      <c r="H378" s="73" t="str">
        <f t="shared" si="211"/>
        <v/>
      </c>
      <c r="I378" s="74" t="str">
        <f t="shared" si="207"/>
        <v/>
      </c>
      <c r="J378" s="73" t="str">
        <f t="shared" si="193"/>
        <v/>
      </c>
      <c r="K378" s="75" t="str">
        <f t="shared" si="194"/>
        <v/>
      </c>
      <c r="L378" s="73" t="str">
        <f t="shared" si="195"/>
        <v/>
      </c>
      <c r="M378" s="73" t="str">
        <f t="shared" si="196"/>
        <v/>
      </c>
      <c r="N378" s="73" t="str">
        <f t="shared" si="197"/>
        <v/>
      </c>
      <c r="O378" s="73" t="str">
        <f t="shared" si="198"/>
        <v/>
      </c>
      <c r="P378" s="73" t="str">
        <f t="shared" si="199"/>
        <v/>
      </c>
      <c r="Q378" s="73" t="str">
        <f t="shared" si="200"/>
        <v/>
      </c>
      <c r="R378" s="73"/>
      <c r="S378" s="76" t="str">
        <f t="shared" si="208"/>
        <v/>
      </c>
      <c r="T378" s="73" t="str">
        <f t="shared" si="225"/>
        <v/>
      </c>
      <c r="U378" s="73" t="str">
        <f t="shared" si="212"/>
        <v/>
      </c>
      <c r="V378" s="76" t="str">
        <f t="shared" si="213"/>
        <v/>
      </c>
      <c r="W378" s="73" t="str">
        <f t="shared" si="214"/>
        <v/>
      </c>
      <c r="X378" s="73" t="str">
        <f>IF(B378&lt;&gt;"",IF(MONTH(E378)=MONTH($F$13),SUMIF($C$22:C757,"="&amp;(C378-1),$G$22:G757),0)*S378,"")</f>
        <v/>
      </c>
      <c r="Y378" s="73" t="str">
        <f>IF(B378&lt;&gt;"",SUM($X$22:X378),"")</f>
        <v/>
      </c>
      <c r="Z378" s="73" t="str">
        <f t="shared" si="226"/>
        <v/>
      </c>
      <c r="AA378" s="73" t="str">
        <f t="shared" si="215"/>
        <v/>
      </c>
      <c r="AB378" s="73" t="str">
        <f t="shared" si="216"/>
        <v/>
      </c>
      <c r="AC378" s="73" t="str">
        <f t="shared" si="217"/>
        <v/>
      </c>
      <c r="AD378" s="73" t="str">
        <f>IFERROR($U378*(1-$V378)+SUM($W$22:$W378)+$AB378,"")</f>
        <v/>
      </c>
      <c r="AE378" s="73" t="b">
        <f t="shared" si="218"/>
        <v>1</v>
      </c>
      <c r="AF378" s="73" t="e">
        <f>IF(AND(AE378=TRUE,D378&gt;=65),$U378*(1-10%)+SUM($W$22:$W378)+$AB378,AD378)</f>
        <v>#VALUE!</v>
      </c>
      <c r="AG378" s="73" t="str">
        <f t="shared" si="201"/>
        <v/>
      </c>
      <c r="AH378" s="73" t="str">
        <f t="shared" si="202"/>
        <v/>
      </c>
      <c r="AI378" s="73" t="str">
        <f t="shared" si="203"/>
        <v/>
      </c>
      <c r="AJ378" s="73" t="str">
        <f t="shared" si="204"/>
        <v/>
      </c>
      <c r="AK378" s="73" t="b">
        <f t="shared" si="219"/>
        <v>1</v>
      </c>
      <c r="AL378" s="73" t="str">
        <f t="shared" si="205"/>
        <v/>
      </c>
      <c r="AM378" s="73" t="str">
        <f t="shared" si="227"/>
        <v/>
      </c>
      <c r="AN378" s="73" t="str">
        <f t="shared" si="220"/>
        <v/>
      </c>
      <c r="AO378" s="73" t="str">
        <f t="shared" si="221"/>
        <v/>
      </c>
      <c r="AP378" s="73" t="str">
        <f t="shared" si="222"/>
        <v/>
      </c>
    </row>
    <row r="379" spans="1:42" s="31" customFormat="1" x14ac:dyDescent="0.6">
      <c r="A379" s="70" t="str">
        <f t="shared" si="206"/>
        <v/>
      </c>
      <c r="B379" s="70" t="str">
        <f>IF(E379&lt;=$F$9,VLOOKUP(KALKULATOR!A379,Robocze!$B$23:$C$102,2),"")</f>
        <v/>
      </c>
      <c r="C379" s="70" t="str">
        <f t="shared" si="209"/>
        <v/>
      </c>
      <c r="D379" s="71" t="str">
        <f t="shared" si="223"/>
        <v/>
      </c>
      <c r="E379" s="77" t="str">
        <f t="shared" si="224"/>
        <v/>
      </c>
      <c r="F379" s="72" t="str">
        <f t="shared" si="210"/>
        <v/>
      </c>
      <c r="G379" s="73" t="str">
        <f>IFERROR(IF(AND(F379&lt;=$F$9,$F$5=Robocze!$B$4,$E379&lt;=$F$9,MONTH($F$8)=MONTH(E379)),$F$4,0)+IF(AND(F379&lt;=$F$9,$F$5=Robocze!$B$3,E379&lt;=$F$9),KALKULATOR!$F$4/12,0),"")</f>
        <v/>
      </c>
      <c r="H379" s="73" t="str">
        <f t="shared" si="211"/>
        <v/>
      </c>
      <c r="I379" s="74" t="str">
        <f t="shared" si="207"/>
        <v/>
      </c>
      <c r="J379" s="73" t="str">
        <f t="shared" ref="J379:J442" si="228">IFERROR(IF(MONTH($F$8)=MONTH(E379),$F$15,0),"")</f>
        <v/>
      </c>
      <c r="K379" s="75" t="str">
        <f t="shared" ref="K379:K442" si="229">IFERROR(IF(AND(MOD(A379,12)=0,A379&lt;&gt;""),A379/12,""),"")</f>
        <v/>
      </c>
      <c r="L379" s="73" t="str">
        <f t="shared" ref="L379:L442" si="230">H379</f>
        <v/>
      </c>
      <c r="M379" s="73" t="str">
        <f t="shared" ref="M379:M442" si="231">IFERROR(AF379,"")</f>
        <v/>
      </c>
      <c r="N379" s="73" t="str">
        <f t="shared" ref="N379:N442" si="232">IFERROR(AD379,"")</f>
        <v/>
      </c>
      <c r="O379" s="73" t="str">
        <f t="shared" ref="O379:O442" si="233">IFERROR(AL379,"")</f>
        <v/>
      </c>
      <c r="P379" s="73" t="str">
        <f t="shared" ref="P379:P442" si="234">AJ379</f>
        <v/>
      </c>
      <c r="Q379" s="73" t="str">
        <f t="shared" ref="Q379:Q442" si="235">AP379</f>
        <v/>
      </c>
      <c r="R379" s="73"/>
      <c r="S379" s="76" t="str">
        <f t="shared" si="208"/>
        <v/>
      </c>
      <c r="T379" s="73" t="str">
        <f t="shared" si="225"/>
        <v/>
      </c>
      <c r="U379" s="73" t="str">
        <f t="shared" si="212"/>
        <v/>
      </c>
      <c r="V379" s="76" t="str">
        <f t="shared" si="213"/>
        <v/>
      </c>
      <c r="W379" s="73" t="str">
        <f t="shared" si="214"/>
        <v/>
      </c>
      <c r="X379" s="73" t="str">
        <f>IF(B379&lt;&gt;"",IF(MONTH(E379)=MONTH($F$13),SUMIF($C$22:C758,"="&amp;(C379-1),$G$22:G758),0)*S379,"")</f>
        <v/>
      </c>
      <c r="Y379" s="73" t="str">
        <f>IF(B379&lt;&gt;"",SUM($X$22:X379),"")</f>
        <v/>
      </c>
      <c r="Z379" s="73" t="str">
        <f t="shared" si="226"/>
        <v/>
      </c>
      <c r="AA379" s="73" t="str">
        <f t="shared" si="215"/>
        <v/>
      </c>
      <c r="AB379" s="73" t="str">
        <f t="shared" si="216"/>
        <v/>
      </c>
      <c r="AC379" s="73" t="str">
        <f t="shared" si="217"/>
        <v/>
      </c>
      <c r="AD379" s="73" t="str">
        <f>IFERROR($U379*(1-$V379)+SUM($W$22:$W379)+$AB379,"")</f>
        <v/>
      </c>
      <c r="AE379" s="73" t="b">
        <f t="shared" si="218"/>
        <v>1</v>
      </c>
      <c r="AF379" s="73" t="e">
        <f>IF(AND(AE379=TRUE,D379&gt;=65),$U379*(1-10%)+SUM($W$22:$W379)+$AB379,AD379)</f>
        <v>#VALUE!</v>
      </c>
      <c r="AG379" s="73" t="str">
        <f t="shared" ref="AG379:AG442" si="236">IF(B379&lt;&gt;"",(AI378+G379)*I379/12-J379,"")</f>
        <v/>
      </c>
      <c r="AH379" s="73" t="str">
        <f t="shared" ref="AH379:AH442" si="237">IF(B379&lt;&gt;"",AH378+AG379,"")</f>
        <v/>
      </c>
      <c r="AI379" s="73" t="str">
        <f t="shared" ref="AI379:AI442" si="238">IF(B379&lt;&gt;"",H379+AH379,"")</f>
        <v/>
      </c>
      <c r="AJ379" s="73" t="str">
        <f t="shared" ref="AJ379:AJ442" si="239">IF(B379&lt;&gt;"",IF(AI379&gt;H379,AI379-AH379*$F$14,AI379),"")</f>
        <v/>
      </c>
      <c r="AK379" s="73" t="b">
        <f t="shared" si="219"/>
        <v>1</v>
      </c>
      <c r="AL379" s="73" t="str">
        <f t="shared" ref="AL379:AL442" si="240">IF(AK379=TRUE,AI379,AJ379)</f>
        <v/>
      </c>
      <c r="AM379" s="73" t="str">
        <f t="shared" si="227"/>
        <v/>
      </c>
      <c r="AN379" s="73" t="str">
        <f t="shared" si="220"/>
        <v/>
      </c>
      <c r="AO379" s="73" t="str">
        <f t="shared" si="221"/>
        <v/>
      </c>
      <c r="AP379" s="73" t="str">
        <f t="shared" si="222"/>
        <v/>
      </c>
    </row>
    <row r="380" spans="1:42" s="31" customFormat="1" x14ac:dyDescent="0.6">
      <c r="A380" s="70" t="str">
        <f t="shared" si="206"/>
        <v/>
      </c>
      <c r="B380" s="70" t="str">
        <f>IF(E380&lt;=$F$9,VLOOKUP(KALKULATOR!A380,Robocze!$B$23:$C$102,2),"")</f>
        <v/>
      </c>
      <c r="C380" s="70" t="str">
        <f t="shared" si="209"/>
        <v/>
      </c>
      <c r="D380" s="71" t="str">
        <f t="shared" si="223"/>
        <v/>
      </c>
      <c r="E380" s="77" t="str">
        <f t="shared" si="224"/>
        <v/>
      </c>
      <c r="F380" s="72" t="str">
        <f t="shared" si="210"/>
        <v/>
      </c>
      <c r="G380" s="73" t="str">
        <f>IFERROR(IF(AND(F380&lt;=$F$9,$F$5=Robocze!$B$4,$E380&lt;=$F$9,MONTH($F$8)=MONTH(E380)),$F$4,0)+IF(AND(F380&lt;=$F$9,$F$5=Robocze!$B$3,E380&lt;=$F$9),KALKULATOR!$F$4/12,0),"")</f>
        <v/>
      </c>
      <c r="H380" s="73" t="str">
        <f t="shared" si="211"/>
        <v/>
      </c>
      <c r="I380" s="74" t="str">
        <f t="shared" si="207"/>
        <v/>
      </c>
      <c r="J380" s="73" t="str">
        <f t="shared" si="228"/>
        <v/>
      </c>
      <c r="K380" s="75" t="str">
        <f t="shared" si="229"/>
        <v/>
      </c>
      <c r="L380" s="73" t="str">
        <f t="shared" si="230"/>
        <v/>
      </c>
      <c r="M380" s="73" t="str">
        <f t="shared" si="231"/>
        <v/>
      </c>
      <c r="N380" s="73" t="str">
        <f t="shared" si="232"/>
        <v/>
      </c>
      <c r="O380" s="73" t="str">
        <f t="shared" si="233"/>
        <v/>
      </c>
      <c r="P380" s="73" t="str">
        <f t="shared" si="234"/>
        <v/>
      </c>
      <c r="Q380" s="73" t="str">
        <f t="shared" si="235"/>
        <v/>
      </c>
      <c r="R380" s="73"/>
      <c r="S380" s="76" t="str">
        <f t="shared" si="208"/>
        <v/>
      </c>
      <c r="T380" s="73" t="str">
        <f t="shared" si="225"/>
        <v/>
      </c>
      <c r="U380" s="73" t="str">
        <f t="shared" si="212"/>
        <v/>
      </c>
      <c r="V380" s="76" t="str">
        <f t="shared" si="213"/>
        <v/>
      </c>
      <c r="W380" s="73" t="str">
        <f t="shared" si="214"/>
        <v/>
      </c>
      <c r="X380" s="73" t="str">
        <f>IF(B380&lt;&gt;"",IF(MONTH(E380)=MONTH($F$13),SUMIF($C$22:C759,"="&amp;(C380-1),$G$22:G759),0)*S380,"")</f>
        <v/>
      </c>
      <c r="Y380" s="73" t="str">
        <f>IF(B380&lt;&gt;"",SUM($X$22:X380),"")</f>
        <v/>
      </c>
      <c r="Z380" s="73" t="str">
        <f t="shared" si="226"/>
        <v/>
      </c>
      <c r="AA380" s="73" t="str">
        <f t="shared" si="215"/>
        <v/>
      </c>
      <c r="AB380" s="73" t="str">
        <f t="shared" si="216"/>
        <v/>
      </c>
      <c r="AC380" s="73" t="str">
        <f t="shared" si="217"/>
        <v/>
      </c>
      <c r="AD380" s="73" t="str">
        <f>IFERROR($U380*(1-$V380)+SUM($W$22:$W380)+$AB380,"")</f>
        <v/>
      </c>
      <c r="AE380" s="73" t="b">
        <f t="shared" si="218"/>
        <v>1</v>
      </c>
      <c r="AF380" s="73" t="e">
        <f>IF(AND(AE380=TRUE,D380&gt;=65),$U380*(1-10%)+SUM($W$22:$W380)+$AB380,AD380)</f>
        <v>#VALUE!</v>
      </c>
      <c r="AG380" s="73" t="str">
        <f t="shared" si="236"/>
        <v/>
      </c>
      <c r="AH380" s="73" t="str">
        <f t="shared" si="237"/>
        <v/>
      </c>
      <c r="AI380" s="73" t="str">
        <f t="shared" si="238"/>
        <v/>
      </c>
      <c r="AJ380" s="73" t="str">
        <f t="shared" si="239"/>
        <v/>
      </c>
      <c r="AK380" s="73" t="b">
        <f t="shared" si="219"/>
        <v>1</v>
      </c>
      <c r="AL380" s="73" t="str">
        <f t="shared" si="240"/>
        <v/>
      </c>
      <c r="AM380" s="73" t="str">
        <f t="shared" si="227"/>
        <v/>
      </c>
      <c r="AN380" s="73" t="str">
        <f t="shared" si="220"/>
        <v/>
      </c>
      <c r="AO380" s="73" t="str">
        <f t="shared" si="221"/>
        <v/>
      </c>
      <c r="AP380" s="73" t="str">
        <f t="shared" si="222"/>
        <v/>
      </c>
    </row>
    <row r="381" spans="1:42" s="69" customFormat="1" x14ac:dyDescent="0.6">
      <c r="A381" s="78" t="str">
        <f t="shared" si="206"/>
        <v/>
      </c>
      <c r="B381" s="78" t="str">
        <f>IF(E381&lt;=$F$9,VLOOKUP(KALKULATOR!A381,Robocze!$B$23:$C$102,2),"")</f>
        <v/>
      </c>
      <c r="C381" s="78" t="str">
        <f t="shared" si="209"/>
        <v/>
      </c>
      <c r="D381" s="79" t="str">
        <f t="shared" si="223"/>
        <v/>
      </c>
      <c r="E381" s="80" t="str">
        <f t="shared" si="224"/>
        <v/>
      </c>
      <c r="F381" s="81" t="str">
        <f t="shared" si="210"/>
        <v/>
      </c>
      <c r="G381" s="82" t="str">
        <f>IFERROR(IF(AND(F381&lt;=$F$9,$F$5=Robocze!$B$4,$E381&lt;=$F$9,MONTH($F$8)=MONTH(E381)),$F$4,0)+IF(AND(F381&lt;=$F$9,$F$5=Robocze!$B$3,E381&lt;=$F$9),KALKULATOR!$F$4/12,0),"")</f>
        <v/>
      </c>
      <c r="H381" s="82" t="str">
        <f t="shared" si="211"/>
        <v/>
      </c>
      <c r="I381" s="83" t="str">
        <f t="shared" si="207"/>
        <v/>
      </c>
      <c r="J381" s="82" t="str">
        <f t="shared" si="228"/>
        <v/>
      </c>
      <c r="K381" s="84" t="str">
        <f t="shared" si="229"/>
        <v/>
      </c>
      <c r="L381" s="82" t="str">
        <f t="shared" si="230"/>
        <v/>
      </c>
      <c r="M381" s="82" t="str">
        <f t="shared" si="231"/>
        <v/>
      </c>
      <c r="N381" s="82" t="str">
        <f t="shared" si="232"/>
        <v/>
      </c>
      <c r="O381" s="82" t="str">
        <f t="shared" si="233"/>
        <v/>
      </c>
      <c r="P381" s="82" t="str">
        <f t="shared" si="234"/>
        <v/>
      </c>
      <c r="Q381" s="82" t="str">
        <f t="shared" si="235"/>
        <v/>
      </c>
      <c r="R381" s="82"/>
      <c r="S381" s="85" t="str">
        <f t="shared" si="208"/>
        <v/>
      </c>
      <c r="T381" s="82" t="str">
        <f t="shared" si="225"/>
        <v/>
      </c>
      <c r="U381" s="82" t="str">
        <f t="shared" si="212"/>
        <v/>
      </c>
      <c r="V381" s="85" t="str">
        <f t="shared" si="213"/>
        <v/>
      </c>
      <c r="W381" s="82" t="str">
        <f t="shared" si="214"/>
        <v/>
      </c>
      <c r="X381" s="82" t="str">
        <f>IF(B381&lt;&gt;"",IF(MONTH(E381)=MONTH($F$13),SUMIF($C$22:C760,"="&amp;(C381-1),$G$22:G760),0)*S381,"")</f>
        <v/>
      </c>
      <c r="Y381" s="82" t="str">
        <f>IF(B381&lt;&gt;"",SUM($X$22:X381),"")</f>
        <v/>
      </c>
      <c r="Z381" s="82" t="str">
        <f t="shared" si="226"/>
        <v/>
      </c>
      <c r="AA381" s="82" t="str">
        <f t="shared" si="215"/>
        <v/>
      </c>
      <c r="AB381" s="82" t="str">
        <f t="shared" si="216"/>
        <v/>
      </c>
      <c r="AC381" s="82" t="str">
        <f t="shared" si="217"/>
        <v/>
      </c>
      <c r="AD381" s="82" t="str">
        <f>IFERROR($U381*(1-$V381)+SUM($W$22:$W381)+$AB381,"")</f>
        <v/>
      </c>
      <c r="AE381" s="73" t="b">
        <f t="shared" si="218"/>
        <v>1</v>
      </c>
      <c r="AF381" s="82" t="e">
        <f>IF(AND(AE381=TRUE,D381&gt;=65),$U381*(1-10%)+SUM($W$22:$W381)+$AB381,AD381)</f>
        <v>#VALUE!</v>
      </c>
      <c r="AG381" s="82" t="str">
        <f t="shared" si="236"/>
        <v/>
      </c>
      <c r="AH381" s="82" t="str">
        <f t="shared" si="237"/>
        <v/>
      </c>
      <c r="AI381" s="82" t="str">
        <f t="shared" si="238"/>
        <v/>
      </c>
      <c r="AJ381" s="82" t="str">
        <f t="shared" si="239"/>
        <v/>
      </c>
      <c r="AK381" s="73" t="b">
        <f t="shared" si="219"/>
        <v>1</v>
      </c>
      <c r="AL381" s="82" t="str">
        <f t="shared" si="240"/>
        <v/>
      </c>
      <c r="AM381" s="82" t="str">
        <f t="shared" si="227"/>
        <v/>
      </c>
      <c r="AN381" s="82" t="str">
        <f t="shared" si="220"/>
        <v/>
      </c>
      <c r="AO381" s="82" t="str">
        <f t="shared" si="221"/>
        <v/>
      </c>
      <c r="AP381" s="82" t="str">
        <f t="shared" si="222"/>
        <v/>
      </c>
    </row>
    <row r="382" spans="1:42" s="31" customFormat="1" x14ac:dyDescent="0.6">
      <c r="A382" s="70" t="str">
        <f t="shared" si="206"/>
        <v/>
      </c>
      <c r="B382" s="70" t="str">
        <f>IF(E382&lt;=$F$9,VLOOKUP(KALKULATOR!A382,Robocze!$B$23:$C$102,2),"")</f>
        <v/>
      </c>
      <c r="C382" s="70" t="str">
        <f t="shared" ref="C382:C445" si="241">IF(B382="","",YEAR(E382))</f>
        <v/>
      </c>
      <c r="D382" s="71" t="str">
        <f t="shared" ref="D382:D445" si="242">IF(B382="","",D381+1/12)</f>
        <v/>
      </c>
      <c r="E382" s="72" t="str">
        <f t="shared" ref="E382:E445" si="243">IF(OR(B381="",E381&gt;$F$9,A382=""),"",EDATE(E381,1))</f>
        <v/>
      </c>
      <c r="F382" s="72" t="str">
        <f t="shared" ref="F382:F445" si="244">IFERROR(EOMONTH(E382,0),"")</f>
        <v/>
      </c>
      <c r="G382" s="73" t="str">
        <f>IFERROR(IF(AND(F382&lt;=$F$9,$F$5=Robocze!$B$4,$E382&lt;=$F$9,MONTH($F$8)=MONTH(E382)),$F$4,0)+IF(AND(F382&lt;=$F$9,$F$5=Robocze!$B$3,E382&lt;=$F$9),KALKULATOR!$F$4/12,0),"")</f>
        <v/>
      </c>
      <c r="H382" s="73" t="str">
        <f t="shared" ref="H382:H445" si="245">IFERROR(H381+G382,"")</f>
        <v/>
      </c>
      <c r="I382" s="74" t="str">
        <f t="shared" ref="I382:I445" si="246">IF(E382&lt;=$F$9,$F$2,"")</f>
        <v/>
      </c>
      <c r="J382" s="73" t="str">
        <f t="shared" ref="J382:J445" si="247">IFERROR(IF(MONTH($F$8)=MONTH(E382),$F$15,0),"")</f>
        <v/>
      </c>
      <c r="K382" s="75" t="str">
        <f t="shared" ref="K382:K445" si="248">IFERROR(IF(AND(MOD(A382,12)=0,A382&lt;&gt;""),A382/12,""),"")</f>
        <v/>
      </c>
      <c r="L382" s="73" t="str">
        <f t="shared" ref="L382:L445" si="249">H382</f>
        <v/>
      </c>
      <c r="M382" s="73" t="str">
        <f t="shared" ref="M382:M445" si="250">IFERROR(AF382,"")</f>
        <v/>
      </c>
      <c r="N382" s="73" t="str">
        <f t="shared" ref="N382:N445" si="251">IFERROR(AD382,"")</f>
        <v/>
      </c>
      <c r="O382" s="73" t="str">
        <f t="shared" ref="O382:O445" si="252">IFERROR(AL382,"")</f>
        <v/>
      </c>
      <c r="P382" s="73" t="str">
        <f t="shared" ref="P382:P445" si="253">AJ382</f>
        <v/>
      </c>
      <c r="Q382" s="73" t="str">
        <f t="shared" ref="Q382:Q445" si="254">AP382</f>
        <v/>
      </c>
      <c r="R382" s="73"/>
      <c r="S382" s="76" t="str">
        <f t="shared" ref="S382:S445" si="255">IF(B382&lt;&gt;"",$F$11,"")</f>
        <v/>
      </c>
      <c r="T382" s="73" t="str">
        <f t="shared" ref="T382:T445" si="256">IF(B382&lt;&gt;"",(U381-J382+G382)*(I382/12),"")</f>
        <v/>
      </c>
      <c r="U382" s="73" t="str">
        <f t="shared" ref="U382:U445" si="257">IF(B382&lt;&gt;"",U381+T382-J382+G382,"")</f>
        <v/>
      </c>
      <c r="V382" s="76" t="str">
        <f t="shared" ref="V382:V445" si="258">IF(B382&lt;&gt;"",$F$12,"")</f>
        <v/>
      </c>
      <c r="W382" s="73" t="str">
        <f t="shared" ref="W382:W445" si="259">IF(B382&lt;&gt;"",G382*S382,"")</f>
        <v/>
      </c>
      <c r="X382" s="73" t="str">
        <f>IF(B382&lt;&gt;"",IF(MONTH(E382)=MONTH($F$13),SUMIF($C$22:C761,"="&amp;(C382-1),$G$22:G761),0)*S382,"")</f>
        <v/>
      </c>
      <c r="Y382" s="73" t="str">
        <f>IF(B382&lt;&gt;"",SUM($X$22:X382),"")</f>
        <v/>
      </c>
      <c r="Z382" s="73" t="str">
        <f t="shared" ref="Z382:Z445" si="260">IF(B382&lt;&gt;"",(AC381+X382)*I382/12,"")</f>
        <v/>
      </c>
      <c r="AA382" s="73" t="str">
        <f t="shared" ref="AA382:AA445" si="261">IF(B382&lt;&gt;"",MAX(0,Z382*$F$14),"")</f>
        <v/>
      </c>
      <c r="AB382" s="73" t="str">
        <f t="shared" ref="AB382:AB445" si="262">IF(B382&lt;&gt;"",AB381+Z382-AA382,"")</f>
        <v/>
      </c>
      <c r="AC382" s="73" t="str">
        <f t="shared" ref="AC382:AC445" si="263">IF(B382&lt;&gt;"",AC381+Z382-AA382+X382,"")</f>
        <v/>
      </c>
      <c r="AD382" s="73" t="str">
        <f>IFERROR($U382*(1-$V382)+SUM($W$22:$W382)+$AB382,"")</f>
        <v/>
      </c>
      <c r="AE382" s="73" t="b">
        <f t="shared" si="218"/>
        <v>1</v>
      </c>
      <c r="AF382" s="73" t="e">
        <f>IF(AND(AE382=TRUE,D382&gt;=65),$U382*(1-10%)+SUM($W$22:$W382)+$AB382,AD382)</f>
        <v>#VALUE!</v>
      </c>
      <c r="AG382" s="73" t="str">
        <f t="shared" ref="AG382:AG445" si="264">IF(B382&lt;&gt;"",(AI381+G382)*I382/12-J382,"")</f>
        <v/>
      </c>
      <c r="AH382" s="73" t="str">
        <f t="shared" ref="AH382:AH445" si="265">IF(B382&lt;&gt;"",AH381+AG382,"")</f>
        <v/>
      </c>
      <c r="AI382" s="73" t="str">
        <f t="shared" ref="AI382:AI445" si="266">IF(B382&lt;&gt;"",H382+AH382,"")</f>
        <v/>
      </c>
      <c r="AJ382" s="73" t="str">
        <f t="shared" ref="AJ382:AJ445" si="267">IF(B382&lt;&gt;"",IF(AI382&gt;H382,AI382-AH382*$F$14,AI382),"")</f>
        <v/>
      </c>
      <c r="AK382" s="73" t="b">
        <f t="shared" si="219"/>
        <v>1</v>
      </c>
      <c r="AL382" s="73" t="str">
        <f t="shared" ref="AL382:AL445" si="268">IF(AK382=TRUE,AI382,AJ382)</f>
        <v/>
      </c>
      <c r="AM382" s="73" t="str">
        <f t="shared" ref="AM382:AM445" si="269">IF(B382&lt;&gt;"",(AP381+G382)*I382/12,"")</f>
        <v/>
      </c>
      <c r="AN382" s="73" t="str">
        <f t="shared" ref="AN382:AN445" si="270">IF(B382&lt;&gt;"",MAX(0,AM382*$F$14),"")</f>
        <v/>
      </c>
      <c r="AO382" s="73" t="str">
        <f t="shared" ref="AO382:AO445" si="271">IF(B382&lt;&gt;"",AP382-H382,"")</f>
        <v/>
      </c>
      <c r="AP382" s="73" t="str">
        <f t="shared" ref="AP382:AP445" si="272">IF(B382&lt;&gt;"",AP381+G382+AM382-AN382,"")</f>
        <v/>
      </c>
    </row>
    <row r="383" spans="1:42" s="31" customFormat="1" x14ac:dyDescent="0.6">
      <c r="A383" s="70" t="str">
        <f t="shared" si="206"/>
        <v/>
      </c>
      <c r="B383" s="70" t="str">
        <f>IF(E383&lt;=$F$9,VLOOKUP(KALKULATOR!A383,Robocze!$B$23:$C$102,2),"")</f>
        <v/>
      </c>
      <c r="C383" s="70" t="str">
        <f t="shared" si="241"/>
        <v/>
      </c>
      <c r="D383" s="71" t="str">
        <f t="shared" si="242"/>
        <v/>
      </c>
      <c r="E383" s="77" t="str">
        <f t="shared" si="243"/>
        <v/>
      </c>
      <c r="F383" s="72" t="str">
        <f t="shared" si="244"/>
        <v/>
      </c>
      <c r="G383" s="73" t="str">
        <f>IFERROR(IF(AND(F383&lt;=$F$9,$F$5=Robocze!$B$4,$E383&lt;=$F$9,MONTH($F$8)=MONTH(E383)),$F$4,0)+IF(AND(F383&lt;=$F$9,$F$5=Robocze!$B$3,E383&lt;=$F$9),KALKULATOR!$F$4/12,0),"")</f>
        <v/>
      </c>
      <c r="H383" s="73" t="str">
        <f t="shared" si="245"/>
        <v/>
      </c>
      <c r="I383" s="74" t="str">
        <f t="shared" si="246"/>
        <v/>
      </c>
      <c r="J383" s="73" t="str">
        <f t="shared" si="247"/>
        <v/>
      </c>
      <c r="K383" s="75" t="str">
        <f t="shared" si="248"/>
        <v/>
      </c>
      <c r="L383" s="73" t="str">
        <f t="shared" si="249"/>
        <v/>
      </c>
      <c r="M383" s="73" t="str">
        <f t="shared" si="250"/>
        <v/>
      </c>
      <c r="N383" s="73" t="str">
        <f t="shared" si="251"/>
        <v/>
      </c>
      <c r="O383" s="73" t="str">
        <f t="shared" si="252"/>
        <v/>
      </c>
      <c r="P383" s="73" t="str">
        <f t="shared" si="253"/>
        <v/>
      </c>
      <c r="Q383" s="73" t="str">
        <f t="shared" si="254"/>
        <v/>
      </c>
      <c r="R383" s="73"/>
      <c r="S383" s="76" t="str">
        <f t="shared" si="255"/>
        <v/>
      </c>
      <c r="T383" s="73" t="str">
        <f t="shared" si="256"/>
        <v/>
      </c>
      <c r="U383" s="73" t="str">
        <f t="shared" si="257"/>
        <v/>
      </c>
      <c r="V383" s="76" t="str">
        <f t="shared" si="258"/>
        <v/>
      </c>
      <c r="W383" s="73" t="str">
        <f t="shared" si="259"/>
        <v/>
      </c>
      <c r="X383" s="73" t="str">
        <f>IF(B383&lt;&gt;"",IF(MONTH(E383)=MONTH($F$13),SUMIF($C$22:C762,"="&amp;(C383-1),$G$22:G762),0)*S383,"")</f>
        <v/>
      </c>
      <c r="Y383" s="73" t="str">
        <f>IF(B383&lt;&gt;"",SUM($X$22:X383),"")</f>
        <v/>
      </c>
      <c r="Z383" s="73" t="str">
        <f t="shared" si="260"/>
        <v/>
      </c>
      <c r="AA383" s="73" t="str">
        <f t="shared" si="261"/>
        <v/>
      </c>
      <c r="AB383" s="73" t="str">
        <f t="shared" si="262"/>
        <v/>
      </c>
      <c r="AC383" s="73" t="str">
        <f t="shared" si="263"/>
        <v/>
      </c>
      <c r="AD383" s="73" t="str">
        <f>IFERROR($U383*(1-$V383)+SUM($W$22:$W383)+$AB383,"")</f>
        <v/>
      </c>
      <c r="AE383" s="73" t="b">
        <f t="shared" si="218"/>
        <v>1</v>
      </c>
      <c r="AF383" s="73" t="e">
        <f>IF(AND(AE383=TRUE,D383&gt;=65),$U383*(1-10%)+SUM($W$22:$W383)+$AB383,AD383)</f>
        <v>#VALUE!</v>
      </c>
      <c r="AG383" s="73" t="str">
        <f t="shared" si="264"/>
        <v/>
      </c>
      <c r="AH383" s="73" t="str">
        <f t="shared" si="265"/>
        <v/>
      </c>
      <c r="AI383" s="73" t="str">
        <f t="shared" si="266"/>
        <v/>
      </c>
      <c r="AJ383" s="73" t="str">
        <f t="shared" si="267"/>
        <v/>
      </c>
      <c r="AK383" s="73" t="b">
        <f t="shared" si="219"/>
        <v>1</v>
      </c>
      <c r="AL383" s="73" t="str">
        <f t="shared" si="268"/>
        <v/>
      </c>
      <c r="AM383" s="73" t="str">
        <f t="shared" si="269"/>
        <v/>
      </c>
      <c r="AN383" s="73" t="str">
        <f t="shared" si="270"/>
        <v/>
      </c>
      <c r="AO383" s="73" t="str">
        <f t="shared" si="271"/>
        <v/>
      </c>
      <c r="AP383" s="73" t="str">
        <f t="shared" si="272"/>
        <v/>
      </c>
    </row>
    <row r="384" spans="1:42" s="31" customFormat="1" x14ac:dyDescent="0.6">
      <c r="A384" s="70" t="str">
        <f t="shared" si="206"/>
        <v/>
      </c>
      <c r="B384" s="70" t="str">
        <f>IF(E384&lt;=$F$9,VLOOKUP(KALKULATOR!A384,Robocze!$B$23:$C$102,2),"")</f>
        <v/>
      </c>
      <c r="C384" s="70" t="str">
        <f t="shared" si="241"/>
        <v/>
      </c>
      <c r="D384" s="71" t="str">
        <f t="shared" si="242"/>
        <v/>
      </c>
      <c r="E384" s="77" t="str">
        <f t="shared" si="243"/>
        <v/>
      </c>
      <c r="F384" s="72" t="str">
        <f t="shared" si="244"/>
        <v/>
      </c>
      <c r="G384" s="73" t="str">
        <f>IFERROR(IF(AND(F384&lt;=$F$9,$F$5=Robocze!$B$4,$E384&lt;=$F$9,MONTH($F$8)=MONTH(E384)),$F$4,0)+IF(AND(F384&lt;=$F$9,$F$5=Robocze!$B$3,E384&lt;=$F$9),KALKULATOR!$F$4/12,0),"")</f>
        <v/>
      </c>
      <c r="H384" s="73" t="str">
        <f t="shared" si="245"/>
        <v/>
      </c>
      <c r="I384" s="74" t="str">
        <f t="shared" si="246"/>
        <v/>
      </c>
      <c r="J384" s="73" t="str">
        <f t="shared" si="247"/>
        <v/>
      </c>
      <c r="K384" s="75" t="str">
        <f t="shared" si="248"/>
        <v/>
      </c>
      <c r="L384" s="73" t="str">
        <f t="shared" si="249"/>
        <v/>
      </c>
      <c r="M384" s="73" t="str">
        <f t="shared" si="250"/>
        <v/>
      </c>
      <c r="N384" s="73" t="str">
        <f t="shared" si="251"/>
        <v/>
      </c>
      <c r="O384" s="73" t="str">
        <f t="shared" si="252"/>
        <v/>
      </c>
      <c r="P384" s="73" t="str">
        <f t="shared" si="253"/>
        <v/>
      </c>
      <c r="Q384" s="73" t="str">
        <f t="shared" si="254"/>
        <v/>
      </c>
      <c r="R384" s="73"/>
      <c r="S384" s="76" t="str">
        <f t="shared" si="255"/>
        <v/>
      </c>
      <c r="T384" s="73" t="str">
        <f t="shared" si="256"/>
        <v/>
      </c>
      <c r="U384" s="73" t="str">
        <f t="shared" si="257"/>
        <v/>
      </c>
      <c r="V384" s="76" t="str">
        <f t="shared" si="258"/>
        <v/>
      </c>
      <c r="W384" s="73" t="str">
        <f t="shared" si="259"/>
        <v/>
      </c>
      <c r="X384" s="73" t="str">
        <f>IF(B384&lt;&gt;"",IF(MONTH(E384)=MONTH($F$13),SUMIF($C$22:C763,"="&amp;(C384-1),$G$22:G763),0)*S384,"")</f>
        <v/>
      </c>
      <c r="Y384" s="73" t="str">
        <f>IF(B384&lt;&gt;"",SUM($X$22:X384),"")</f>
        <v/>
      </c>
      <c r="Z384" s="73" t="str">
        <f t="shared" si="260"/>
        <v/>
      </c>
      <c r="AA384" s="73" t="str">
        <f t="shared" si="261"/>
        <v/>
      </c>
      <c r="AB384" s="73" t="str">
        <f t="shared" si="262"/>
        <v/>
      </c>
      <c r="AC384" s="73" t="str">
        <f t="shared" si="263"/>
        <v/>
      </c>
      <c r="AD384" s="73" t="str">
        <f>IFERROR($U384*(1-$V384)+SUM($W$22:$W384)+$AB384,"")</f>
        <v/>
      </c>
      <c r="AE384" s="73" t="b">
        <f t="shared" si="218"/>
        <v>1</v>
      </c>
      <c r="AF384" s="73" t="e">
        <f>IF(AND(AE384=TRUE,D384&gt;=65),$U384*(1-10%)+SUM($W$22:$W384)+$AB384,AD384)</f>
        <v>#VALUE!</v>
      </c>
      <c r="AG384" s="73" t="str">
        <f t="shared" si="264"/>
        <v/>
      </c>
      <c r="AH384" s="73" t="str">
        <f t="shared" si="265"/>
        <v/>
      </c>
      <c r="AI384" s="73" t="str">
        <f t="shared" si="266"/>
        <v/>
      </c>
      <c r="AJ384" s="73" t="str">
        <f t="shared" si="267"/>
        <v/>
      </c>
      <c r="AK384" s="73" t="b">
        <f t="shared" si="219"/>
        <v>1</v>
      </c>
      <c r="AL384" s="73" t="str">
        <f t="shared" si="268"/>
        <v/>
      </c>
      <c r="AM384" s="73" t="str">
        <f t="shared" si="269"/>
        <v/>
      </c>
      <c r="AN384" s="73" t="str">
        <f t="shared" si="270"/>
        <v/>
      </c>
      <c r="AO384" s="73" t="str">
        <f t="shared" si="271"/>
        <v/>
      </c>
      <c r="AP384" s="73" t="str">
        <f t="shared" si="272"/>
        <v/>
      </c>
    </row>
    <row r="385" spans="1:42" s="31" customFormat="1" x14ac:dyDescent="0.6">
      <c r="A385" s="70" t="str">
        <f t="shared" si="206"/>
        <v/>
      </c>
      <c r="B385" s="70" t="str">
        <f>IF(E385&lt;=$F$9,VLOOKUP(KALKULATOR!A385,Robocze!$B$23:$C$102,2),"")</f>
        <v/>
      </c>
      <c r="C385" s="70" t="str">
        <f t="shared" si="241"/>
        <v/>
      </c>
      <c r="D385" s="71" t="str">
        <f t="shared" si="242"/>
        <v/>
      </c>
      <c r="E385" s="77" t="str">
        <f t="shared" si="243"/>
        <v/>
      </c>
      <c r="F385" s="72" t="str">
        <f t="shared" si="244"/>
        <v/>
      </c>
      <c r="G385" s="73" t="str">
        <f>IFERROR(IF(AND(F385&lt;=$F$9,$F$5=Robocze!$B$4,$E385&lt;=$F$9,MONTH($F$8)=MONTH(E385)),$F$4,0)+IF(AND(F385&lt;=$F$9,$F$5=Robocze!$B$3,E385&lt;=$F$9),KALKULATOR!$F$4/12,0),"")</f>
        <v/>
      </c>
      <c r="H385" s="73" t="str">
        <f t="shared" si="245"/>
        <v/>
      </c>
      <c r="I385" s="74" t="str">
        <f t="shared" si="246"/>
        <v/>
      </c>
      <c r="J385" s="73" t="str">
        <f t="shared" si="247"/>
        <v/>
      </c>
      <c r="K385" s="75" t="str">
        <f t="shared" si="248"/>
        <v/>
      </c>
      <c r="L385" s="73" t="str">
        <f t="shared" si="249"/>
        <v/>
      </c>
      <c r="M385" s="73" t="str">
        <f t="shared" si="250"/>
        <v/>
      </c>
      <c r="N385" s="73" t="str">
        <f t="shared" si="251"/>
        <v/>
      </c>
      <c r="O385" s="73" t="str">
        <f t="shared" si="252"/>
        <v/>
      </c>
      <c r="P385" s="73" t="str">
        <f t="shared" si="253"/>
        <v/>
      </c>
      <c r="Q385" s="73" t="str">
        <f t="shared" si="254"/>
        <v/>
      </c>
      <c r="R385" s="73"/>
      <c r="S385" s="76" t="str">
        <f t="shared" si="255"/>
        <v/>
      </c>
      <c r="T385" s="73" t="str">
        <f t="shared" si="256"/>
        <v/>
      </c>
      <c r="U385" s="73" t="str">
        <f t="shared" si="257"/>
        <v/>
      </c>
      <c r="V385" s="76" t="str">
        <f t="shared" si="258"/>
        <v/>
      </c>
      <c r="W385" s="73" t="str">
        <f t="shared" si="259"/>
        <v/>
      </c>
      <c r="X385" s="73" t="str">
        <f>IF(B385&lt;&gt;"",IF(MONTH(E385)=MONTH($F$13),SUMIF($C$22:C764,"="&amp;(C385-1),$G$22:G764),0)*S385,"")</f>
        <v/>
      </c>
      <c r="Y385" s="73" t="str">
        <f>IF(B385&lt;&gt;"",SUM($X$22:X385),"")</f>
        <v/>
      </c>
      <c r="Z385" s="73" t="str">
        <f t="shared" si="260"/>
        <v/>
      </c>
      <c r="AA385" s="73" t="str">
        <f t="shared" si="261"/>
        <v/>
      </c>
      <c r="AB385" s="73" t="str">
        <f t="shared" si="262"/>
        <v/>
      </c>
      <c r="AC385" s="73" t="str">
        <f t="shared" si="263"/>
        <v/>
      </c>
      <c r="AD385" s="73" t="str">
        <f>IFERROR($U385*(1-$V385)+SUM($W$22:$W385)+$AB385,"")</f>
        <v/>
      </c>
      <c r="AE385" s="73" t="b">
        <f t="shared" si="218"/>
        <v>1</v>
      </c>
      <c r="AF385" s="73" t="e">
        <f>IF(AND(AE385=TRUE,D385&gt;=65),$U385*(1-10%)+SUM($W$22:$W385)+$AB385,AD385)</f>
        <v>#VALUE!</v>
      </c>
      <c r="AG385" s="73" t="str">
        <f t="shared" si="264"/>
        <v/>
      </c>
      <c r="AH385" s="73" t="str">
        <f t="shared" si="265"/>
        <v/>
      </c>
      <c r="AI385" s="73" t="str">
        <f t="shared" si="266"/>
        <v/>
      </c>
      <c r="AJ385" s="73" t="str">
        <f t="shared" si="267"/>
        <v/>
      </c>
      <c r="AK385" s="73" t="b">
        <f t="shared" si="219"/>
        <v>1</v>
      </c>
      <c r="AL385" s="73" t="str">
        <f t="shared" si="268"/>
        <v/>
      </c>
      <c r="AM385" s="73" t="str">
        <f t="shared" si="269"/>
        <v/>
      </c>
      <c r="AN385" s="73" t="str">
        <f t="shared" si="270"/>
        <v/>
      </c>
      <c r="AO385" s="73" t="str">
        <f t="shared" si="271"/>
        <v/>
      </c>
      <c r="AP385" s="73" t="str">
        <f t="shared" si="272"/>
        <v/>
      </c>
    </row>
    <row r="386" spans="1:42" s="31" customFormat="1" x14ac:dyDescent="0.6">
      <c r="A386" s="70" t="str">
        <f t="shared" si="206"/>
        <v/>
      </c>
      <c r="B386" s="70" t="str">
        <f>IF(E386&lt;=$F$9,VLOOKUP(KALKULATOR!A386,Robocze!$B$23:$C$102,2),"")</f>
        <v/>
      </c>
      <c r="C386" s="70" t="str">
        <f t="shared" si="241"/>
        <v/>
      </c>
      <c r="D386" s="71" t="str">
        <f t="shared" si="242"/>
        <v/>
      </c>
      <c r="E386" s="77" t="str">
        <f t="shared" si="243"/>
        <v/>
      </c>
      <c r="F386" s="72" t="str">
        <f t="shared" si="244"/>
        <v/>
      </c>
      <c r="G386" s="73" t="str">
        <f>IFERROR(IF(AND(F386&lt;=$F$9,$F$5=Robocze!$B$4,$E386&lt;=$F$9,MONTH($F$8)=MONTH(E386)),$F$4,0)+IF(AND(F386&lt;=$F$9,$F$5=Robocze!$B$3,E386&lt;=$F$9),KALKULATOR!$F$4/12,0),"")</f>
        <v/>
      </c>
      <c r="H386" s="73" t="str">
        <f t="shared" si="245"/>
        <v/>
      </c>
      <c r="I386" s="74" t="str">
        <f t="shared" si="246"/>
        <v/>
      </c>
      <c r="J386" s="73" t="str">
        <f t="shared" si="247"/>
        <v/>
      </c>
      <c r="K386" s="75" t="str">
        <f t="shared" si="248"/>
        <v/>
      </c>
      <c r="L386" s="73" t="str">
        <f t="shared" si="249"/>
        <v/>
      </c>
      <c r="M386" s="73" t="str">
        <f t="shared" si="250"/>
        <v/>
      </c>
      <c r="N386" s="73" t="str">
        <f t="shared" si="251"/>
        <v/>
      </c>
      <c r="O386" s="73" t="str">
        <f t="shared" si="252"/>
        <v/>
      </c>
      <c r="P386" s="73" t="str">
        <f t="shared" si="253"/>
        <v/>
      </c>
      <c r="Q386" s="73" t="str">
        <f t="shared" si="254"/>
        <v/>
      </c>
      <c r="R386" s="73"/>
      <c r="S386" s="76" t="str">
        <f t="shared" si="255"/>
        <v/>
      </c>
      <c r="T386" s="73" t="str">
        <f t="shared" si="256"/>
        <v/>
      </c>
      <c r="U386" s="73" t="str">
        <f t="shared" si="257"/>
        <v/>
      </c>
      <c r="V386" s="76" t="str">
        <f t="shared" si="258"/>
        <v/>
      </c>
      <c r="W386" s="73" t="str">
        <f t="shared" si="259"/>
        <v/>
      </c>
      <c r="X386" s="73" t="str">
        <f>IF(B386&lt;&gt;"",IF(MONTH(E386)=MONTH($F$13),SUMIF($C$22:C765,"="&amp;(C386-1),$G$22:G765),0)*S386,"")</f>
        <v/>
      </c>
      <c r="Y386" s="73" t="str">
        <f>IF(B386&lt;&gt;"",SUM($X$22:X386),"")</f>
        <v/>
      </c>
      <c r="Z386" s="73" t="str">
        <f t="shared" si="260"/>
        <v/>
      </c>
      <c r="AA386" s="73" t="str">
        <f t="shared" si="261"/>
        <v/>
      </c>
      <c r="AB386" s="73" t="str">
        <f t="shared" si="262"/>
        <v/>
      </c>
      <c r="AC386" s="73" t="str">
        <f t="shared" si="263"/>
        <v/>
      </c>
      <c r="AD386" s="73" t="str">
        <f>IFERROR($U386*(1-$V386)+SUM($W$22:$W386)+$AB386,"")</f>
        <v/>
      </c>
      <c r="AE386" s="73" t="b">
        <f t="shared" si="218"/>
        <v>1</v>
      </c>
      <c r="AF386" s="73" t="e">
        <f>IF(AND(AE386=TRUE,D386&gt;=65),$U386*(1-10%)+SUM($W$22:$W386)+$AB386,AD386)</f>
        <v>#VALUE!</v>
      </c>
      <c r="AG386" s="73" t="str">
        <f t="shared" si="264"/>
        <v/>
      </c>
      <c r="AH386" s="73" t="str">
        <f t="shared" si="265"/>
        <v/>
      </c>
      <c r="AI386" s="73" t="str">
        <f t="shared" si="266"/>
        <v/>
      </c>
      <c r="AJ386" s="73" t="str">
        <f t="shared" si="267"/>
        <v/>
      </c>
      <c r="AK386" s="73" t="b">
        <f t="shared" si="219"/>
        <v>1</v>
      </c>
      <c r="AL386" s="73" t="str">
        <f t="shared" si="268"/>
        <v/>
      </c>
      <c r="AM386" s="73" t="str">
        <f t="shared" si="269"/>
        <v/>
      </c>
      <c r="AN386" s="73" t="str">
        <f t="shared" si="270"/>
        <v/>
      </c>
      <c r="AO386" s="73" t="str">
        <f t="shared" si="271"/>
        <v/>
      </c>
      <c r="AP386" s="73" t="str">
        <f t="shared" si="272"/>
        <v/>
      </c>
    </row>
    <row r="387" spans="1:42" s="31" customFormat="1" x14ac:dyDescent="0.6">
      <c r="A387" s="70" t="str">
        <f t="shared" si="206"/>
        <v/>
      </c>
      <c r="B387" s="70" t="str">
        <f>IF(E387&lt;=$F$9,VLOOKUP(KALKULATOR!A387,Robocze!$B$23:$C$102,2),"")</f>
        <v/>
      </c>
      <c r="C387" s="70" t="str">
        <f t="shared" si="241"/>
        <v/>
      </c>
      <c r="D387" s="71" t="str">
        <f t="shared" si="242"/>
        <v/>
      </c>
      <c r="E387" s="77" t="str">
        <f t="shared" si="243"/>
        <v/>
      </c>
      <c r="F387" s="72" t="str">
        <f t="shared" si="244"/>
        <v/>
      </c>
      <c r="G387" s="73" t="str">
        <f>IFERROR(IF(AND(F387&lt;=$F$9,$F$5=Robocze!$B$4,$E387&lt;=$F$9,MONTH($F$8)=MONTH(E387)),$F$4,0)+IF(AND(F387&lt;=$F$9,$F$5=Robocze!$B$3,E387&lt;=$F$9),KALKULATOR!$F$4/12,0),"")</f>
        <v/>
      </c>
      <c r="H387" s="73" t="str">
        <f t="shared" si="245"/>
        <v/>
      </c>
      <c r="I387" s="74" t="str">
        <f t="shared" si="246"/>
        <v/>
      </c>
      <c r="J387" s="73" t="str">
        <f t="shared" si="247"/>
        <v/>
      </c>
      <c r="K387" s="75" t="str">
        <f t="shared" si="248"/>
        <v/>
      </c>
      <c r="L387" s="73" t="str">
        <f t="shared" si="249"/>
        <v/>
      </c>
      <c r="M387" s="73" t="str">
        <f t="shared" si="250"/>
        <v/>
      </c>
      <c r="N387" s="73" t="str">
        <f t="shared" si="251"/>
        <v/>
      </c>
      <c r="O387" s="73" t="str">
        <f t="shared" si="252"/>
        <v/>
      </c>
      <c r="P387" s="73" t="str">
        <f t="shared" si="253"/>
        <v/>
      </c>
      <c r="Q387" s="73" t="str">
        <f t="shared" si="254"/>
        <v/>
      </c>
      <c r="R387" s="73"/>
      <c r="S387" s="76" t="str">
        <f t="shared" si="255"/>
        <v/>
      </c>
      <c r="T387" s="73" t="str">
        <f t="shared" si="256"/>
        <v/>
      </c>
      <c r="U387" s="73" t="str">
        <f t="shared" si="257"/>
        <v/>
      </c>
      <c r="V387" s="76" t="str">
        <f t="shared" si="258"/>
        <v/>
      </c>
      <c r="W387" s="73" t="str">
        <f t="shared" si="259"/>
        <v/>
      </c>
      <c r="X387" s="73" t="str">
        <f>IF(B387&lt;&gt;"",IF(MONTH(E387)=MONTH($F$13),SUMIF($C$22:C766,"="&amp;(C387-1),$G$22:G766),0)*S387,"")</f>
        <v/>
      </c>
      <c r="Y387" s="73" t="str">
        <f>IF(B387&lt;&gt;"",SUM($X$22:X387),"")</f>
        <v/>
      </c>
      <c r="Z387" s="73" t="str">
        <f t="shared" si="260"/>
        <v/>
      </c>
      <c r="AA387" s="73" t="str">
        <f t="shared" si="261"/>
        <v/>
      </c>
      <c r="AB387" s="73" t="str">
        <f t="shared" si="262"/>
        <v/>
      </c>
      <c r="AC387" s="73" t="str">
        <f t="shared" si="263"/>
        <v/>
      </c>
      <c r="AD387" s="73" t="str">
        <f>IFERROR($U387*(1-$V387)+SUM($W$22:$W387)+$AB387,"")</f>
        <v/>
      </c>
      <c r="AE387" s="73" t="b">
        <f t="shared" si="218"/>
        <v>1</v>
      </c>
      <c r="AF387" s="73" t="e">
        <f>IF(AND(AE387=TRUE,D387&gt;=65),$U387*(1-10%)+SUM($W$22:$W387)+$AB387,AD387)</f>
        <v>#VALUE!</v>
      </c>
      <c r="AG387" s="73" t="str">
        <f t="shared" si="264"/>
        <v/>
      </c>
      <c r="AH387" s="73" t="str">
        <f t="shared" si="265"/>
        <v/>
      </c>
      <c r="AI387" s="73" t="str">
        <f t="shared" si="266"/>
        <v/>
      </c>
      <c r="AJ387" s="73" t="str">
        <f t="shared" si="267"/>
        <v/>
      </c>
      <c r="AK387" s="73" t="b">
        <f t="shared" si="219"/>
        <v>1</v>
      </c>
      <c r="AL387" s="73" t="str">
        <f t="shared" si="268"/>
        <v/>
      </c>
      <c r="AM387" s="73" t="str">
        <f t="shared" si="269"/>
        <v/>
      </c>
      <c r="AN387" s="73" t="str">
        <f t="shared" si="270"/>
        <v/>
      </c>
      <c r="AO387" s="73" t="str">
        <f t="shared" si="271"/>
        <v/>
      </c>
      <c r="AP387" s="73" t="str">
        <f t="shared" si="272"/>
        <v/>
      </c>
    </row>
    <row r="388" spans="1:42" s="31" customFormat="1" x14ac:dyDescent="0.6">
      <c r="A388" s="70" t="str">
        <f t="shared" si="206"/>
        <v/>
      </c>
      <c r="B388" s="70" t="str">
        <f>IF(E388&lt;=$F$9,VLOOKUP(KALKULATOR!A388,Robocze!$B$23:$C$102,2),"")</f>
        <v/>
      </c>
      <c r="C388" s="70" t="str">
        <f t="shared" si="241"/>
        <v/>
      </c>
      <c r="D388" s="71" t="str">
        <f t="shared" si="242"/>
        <v/>
      </c>
      <c r="E388" s="77" t="str">
        <f t="shared" si="243"/>
        <v/>
      </c>
      <c r="F388" s="72" t="str">
        <f t="shared" si="244"/>
        <v/>
      </c>
      <c r="G388" s="73" t="str">
        <f>IFERROR(IF(AND(F388&lt;=$F$9,$F$5=Robocze!$B$4,$E388&lt;=$F$9,MONTH($F$8)=MONTH(E388)),$F$4,0)+IF(AND(F388&lt;=$F$9,$F$5=Robocze!$B$3,E388&lt;=$F$9),KALKULATOR!$F$4/12,0),"")</f>
        <v/>
      </c>
      <c r="H388" s="73" t="str">
        <f t="shared" si="245"/>
        <v/>
      </c>
      <c r="I388" s="74" t="str">
        <f t="shared" si="246"/>
        <v/>
      </c>
      <c r="J388" s="73" t="str">
        <f t="shared" si="247"/>
        <v/>
      </c>
      <c r="K388" s="75" t="str">
        <f t="shared" si="248"/>
        <v/>
      </c>
      <c r="L388" s="73" t="str">
        <f t="shared" si="249"/>
        <v/>
      </c>
      <c r="M388" s="73" t="str">
        <f t="shared" si="250"/>
        <v/>
      </c>
      <c r="N388" s="73" t="str">
        <f t="shared" si="251"/>
        <v/>
      </c>
      <c r="O388" s="73" t="str">
        <f t="shared" si="252"/>
        <v/>
      </c>
      <c r="P388" s="73" t="str">
        <f t="shared" si="253"/>
        <v/>
      </c>
      <c r="Q388" s="73" t="str">
        <f t="shared" si="254"/>
        <v/>
      </c>
      <c r="R388" s="73"/>
      <c r="S388" s="76" t="str">
        <f t="shared" si="255"/>
        <v/>
      </c>
      <c r="T388" s="73" t="str">
        <f t="shared" si="256"/>
        <v/>
      </c>
      <c r="U388" s="73" t="str">
        <f t="shared" si="257"/>
        <v/>
      </c>
      <c r="V388" s="76" t="str">
        <f t="shared" si="258"/>
        <v/>
      </c>
      <c r="W388" s="73" t="str">
        <f t="shared" si="259"/>
        <v/>
      </c>
      <c r="X388" s="73" t="str">
        <f>IF(B388&lt;&gt;"",IF(MONTH(E388)=MONTH($F$13),SUMIF($C$22:C767,"="&amp;(C388-1),$G$22:G767),0)*S388,"")</f>
        <v/>
      </c>
      <c r="Y388" s="73" t="str">
        <f>IF(B388&lt;&gt;"",SUM($X$22:X388),"")</f>
        <v/>
      </c>
      <c r="Z388" s="73" t="str">
        <f t="shared" si="260"/>
        <v/>
      </c>
      <c r="AA388" s="73" t="str">
        <f t="shared" si="261"/>
        <v/>
      </c>
      <c r="AB388" s="73" t="str">
        <f t="shared" si="262"/>
        <v/>
      </c>
      <c r="AC388" s="73" t="str">
        <f t="shared" si="263"/>
        <v/>
      </c>
      <c r="AD388" s="73" t="str">
        <f>IFERROR($U388*(1-$V388)+SUM($W$22:$W388)+$AB388,"")</f>
        <v/>
      </c>
      <c r="AE388" s="73" t="b">
        <f t="shared" si="218"/>
        <v>1</v>
      </c>
      <c r="AF388" s="73" t="e">
        <f>IF(AND(AE388=TRUE,D388&gt;=65),$U388*(1-10%)+SUM($W$22:$W388)+$AB388,AD388)</f>
        <v>#VALUE!</v>
      </c>
      <c r="AG388" s="73" t="str">
        <f t="shared" si="264"/>
        <v/>
      </c>
      <c r="AH388" s="73" t="str">
        <f t="shared" si="265"/>
        <v/>
      </c>
      <c r="AI388" s="73" t="str">
        <f t="shared" si="266"/>
        <v/>
      </c>
      <c r="AJ388" s="73" t="str">
        <f t="shared" si="267"/>
        <v/>
      </c>
      <c r="AK388" s="73" t="b">
        <f t="shared" si="219"/>
        <v>1</v>
      </c>
      <c r="AL388" s="73" t="str">
        <f t="shared" si="268"/>
        <v/>
      </c>
      <c r="AM388" s="73" t="str">
        <f t="shared" si="269"/>
        <v/>
      </c>
      <c r="AN388" s="73" t="str">
        <f t="shared" si="270"/>
        <v/>
      </c>
      <c r="AO388" s="73" t="str">
        <f t="shared" si="271"/>
        <v/>
      </c>
      <c r="AP388" s="73" t="str">
        <f t="shared" si="272"/>
        <v/>
      </c>
    </row>
    <row r="389" spans="1:42" s="31" customFormat="1" x14ac:dyDescent="0.6">
      <c r="A389" s="70" t="str">
        <f t="shared" si="206"/>
        <v/>
      </c>
      <c r="B389" s="70" t="str">
        <f>IF(E389&lt;=$F$9,VLOOKUP(KALKULATOR!A389,Robocze!$B$23:$C$102,2),"")</f>
        <v/>
      </c>
      <c r="C389" s="70" t="str">
        <f t="shared" si="241"/>
        <v/>
      </c>
      <c r="D389" s="71" t="str">
        <f t="shared" si="242"/>
        <v/>
      </c>
      <c r="E389" s="77" t="str">
        <f t="shared" si="243"/>
        <v/>
      </c>
      <c r="F389" s="72" t="str">
        <f t="shared" si="244"/>
        <v/>
      </c>
      <c r="G389" s="73" t="str">
        <f>IFERROR(IF(AND(F389&lt;=$F$9,$F$5=Robocze!$B$4,$E389&lt;=$F$9,MONTH($F$8)=MONTH(E389)),$F$4,0)+IF(AND(F389&lt;=$F$9,$F$5=Robocze!$B$3,E389&lt;=$F$9),KALKULATOR!$F$4/12,0),"")</f>
        <v/>
      </c>
      <c r="H389" s="73" t="str">
        <f t="shared" si="245"/>
        <v/>
      </c>
      <c r="I389" s="74" t="str">
        <f t="shared" si="246"/>
        <v/>
      </c>
      <c r="J389" s="73" t="str">
        <f t="shared" si="247"/>
        <v/>
      </c>
      <c r="K389" s="75" t="str">
        <f t="shared" si="248"/>
        <v/>
      </c>
      <c r="L389" s="73" t="str">
        <f t="shared" si="249"/>
        <v/>
      </c>
      <c r="M389" s="73" t="str">
        <f t="shared" si="250"/>
        <v/>
      </c>
      <c r="N389" s="73" t="str">
        <f t="shared" si="251"/>
        <v/>
      </c>
      <c r="O389" s="73" t="str">
        <f t="shared" si="252"/>
        <v/>
      </c>
      <c r="P389" s="73" t="str">
        <f t="shared" si="253"/>
        <v/>
      </c>
      <c r="Q389" s="73" t="str">
        <f t="shared" si="254"/>
        <v/>
      </c>
      <c r="R389" s="73"/>
      <c r="S389" s="76" t="str">
        <f t="shared" si="255"/>
        <v/>
      </c>
      <c r="T389" s="73" t="str">
        <f t="shared" si="256"/>
        <v/>
      </c>
      <c r="U389" s="73" t="str">
        <f t="shared" si="257"/>
        <v/>
      </c>
      <c r="V389" s="76" t="str">
        <f t="shared" si="258"/>
        <v/>
      </c>
      <c r="W389" s="73" t="str">
        <f t="shared" si="259"/>
        <v/>
      </c>
      <c r="X389" s="73" t="str">
        <f>IF(B389&lt;&gt;"",IF(MONTH(E389)=MONTH($F$13),SUMIF($C$22:C768,"="&amp;(C389-1),$G$22:G768),0)*S389,"")</f>
        <v/>
      </c>
      <c r="Y389" s="73" t="str">
        <f>IF(B389&lt;&gt;"",SUM($X$22:X389),"")</f>
        <v/>
      </c>
      <c r="Z389" s="73" t="str">
        <f t="shared" si="260"/>
        <v/>
      </c>
      <c r="AA389" s="73" t="str">
        <f t="shared" si="261"/>
        <v/>
      </c>
      <c r="AB389" s="73" t="str">
        <f t="shared" si="262"/>
        <v/>
      </c>
      <c r="AC389" s="73" t="str">
        <f t="shared" si="263"/>
        <v/>
      </c>
      <c r="AD389" s="73" t="str">
        <f>IFERROR($U389*(1-$V389)+SUM($W$22:$W389)+$AB389,"")</f>
        <v/>
      </c>
      <c r="AE389" s="73" t="b">
        <f t="shared" si="218"/>
        <v>1</v>
      </c>
      <c r="AF389" s="73" t="e">
        <f>IF(AND(AE389=TRUE,D389&gt;=65),$U389*(1-10%)+SUM($W$22:$W389)+$AB389,AD389)</f>
        <v>#VALUE!</v>
      </c>
      <c r="AG389" s="73" t="str">
        <f t="shared" si="264"/>
        <v/>
      </c>
      <c r="AH389" s="73" t="str">
        <f t="shared" si="265"/>
        <v/>
      </c>
      <c r="AI389" s="73" t="str">
        <f t="shared" si="266"/>
        <v/>
      </c>
      <c r="AJ389" s="73" t="str">
        <f t="shared" si="267"/>
        <v/>
      </c>
      <c r="AK389" s="73" t="b">
        <f t="shared" si="219"/>
        <v>1</v>
      </c>
      <c r="AL389" s="73" t="str">
        <f t="shared" si="268"/>
        <v/>
      </c>
      <c r="AM389" s="73" t="str">
        <f t="shared" si="269"/>
        <v/>
      </c>
      <c r="AN389" s="73" t="str">
        <f t="shared" si="270"/>
        <v/>
      </c>
      <c r="AO389" s="73" t="str">
        <f t="shared" si="271"/>
        <v/>
      </c>
      <c r="AP389" s="73" t="str">
        <f t="shared" si="272"/>
        <v/>
      </c>
    </row>
    <row r="390" spans="1:42" s="31" customFormat="1" x14ac:dyDescent="0.6">
      <c r="A390" s="70" t="str">
        <f t="shared" si="206"/>
        <v/>
      </c>
      <c r="B390" s="70" t="str">
        <f>IF(E390&lt;=$F$9,VLOOKUP(KALKULATOR!A390,Robocze!$B$23:$C$102,2),"")</f>
        <v/>
      </c>
      <c r="C390" s="70" t="str">
        <f t="shared" si="241"/>
        <v/>
      </c>
      <c r="D390" s="71" t="str">
        <f t="shared" si="242"/>
        <v/>
      </c>
      <c r="E390" s="77" t="str">
        <f t="shared" si="243"/>
        <v/>
      </c>
      <c r="F390" s="72" t="str">
        <f t="shared" si="244"/>
        <v/>
      </c>
      <c r="G390" s="73" t="str">
        <f>IFERROR(IF(AND(F390&lt;=$F$9,$F$5=Robocze!$B$4,$E390&lt;=$F$9,MONTH($F$8)=MONTH(E390)),$F$4,0)+IF(AND(F390&lt;=$F$9,$F$5=Robocze!$B$3,E390&lt;=$F$9),KALKULATOR!$F$4/12,0),"")</f>
        <v/>
      </c>
      <c r="H390" s="73" t="str">
        <f t="shared" si="245"/>
        <v/>
      </c>
      <c r="I390" s="74" t="str">
        <f t="shared" si="246"/>
        <v/>
      </c>
      <c r="J390" s="73" t="str">
        <f t="shared" si="247"/>
        <v/>
      </c>
      <c r="K390" s="75" t="str">
        <f t="shared" si="248"/>
        <v/>
      </c>
      <c r="L390" s="73" t="str">
        <f t="shared" si="249"/>
        <v/>
      </c>
      <c r="M390" s="73" t="str">
        <f t="shared" si="250"/>
        <v/>
      </c>
      <c r="N390" s="73" t="str">
        <f t="shared" si="251"/>
        <v/>
      </c>
      <c r="O390" s="73" t="str">
        <f t="shared" si="252"/>
        <v/>
      </c>
      <c r="P390" s="73" t="str">
        <f t="shared" si="253"/>
        <v/>
      </c>
      <c r="Q390" s="73" t="str">
        <f t="shared" si="254"/>
        <v/>
      </c>
      <c r="R390" s="73"/>
      <c r="S390" s="76" t="str">
        <f t="shared" si="255"/>
        <v/>
      </c>
      <c r="T390" s="73" t="str">
        <f t="shared" si="256"/>
        <v/>
      </c>
      <c r="U390" s="73" t="str">
        <f t="shared" si="257"/>
        <v/>
      </c>
      <c r="V390" s="76" t="str">
        <f t="shared" si="258"/>
        <v/>
      </c>
      <c r="W390" s="73" t="str">
        <f t="shared" si="259"/>
        <v/>
      </c>
      <c r="X390" s="73" t="str">
        <f>IF(B390&lt;&gt;"",IF(MONTH(E390)=MONTH($F$13),SUMIF($C$22:C769,"="&amp;(C390-1),$G$22:G769),0)*S390,"")</f>
        <v/>
      </c>
      <c r="Y390" s="73" t="str">
        <f>IF(B390&lt;&gt;"",SUM($X$22:X390),"")</f>
        <v/>
      </c>
      <c r="Z390" s="73" t="str">
        <f t="shared" si="260"/>
        <v/>
      </c>
      <c r="AA390" s="73" t="str">
        <f t="shared" si="261"/>
        <v/>
      </c>
      <c r="AB390" s="73" t="str">
        <f t="shared" si="262"/>
        <v/>
      </c>
      <c r="AC390" s="73" t="str">
        <f t="shared" si="263"/>
        <v/>
      </c>
      <c r="AD390" s="73" t="str">
        <f>IFERROR($U390*(1-$V390)+SUM($W$22:$W390)+$AB390,"")</f>
        <v/>
      </c>
      <c r="AE390" s="73" t="b">
        <f t="shared" si="218"/>
        <v>1</v>
      </c>
      <c r="AF390" s="73" t="e">
        <f>IF(AND(AE390=TRUE,D390&gt;=65),$U390*(1-10%)+SUM($W$22:$W390)+$AB390,AD390)</f>
        <v>#VALUE!</v>
      </c>
      <c r="AG390" s="73" t="str">
        <f t="shared" si="264"/>
        <v/>
      </c>
      <c r="AH390" s="73" t="str">
        <f t="shared" si="265"/>
        <v/>
      </c>
      <c r="AI390" s="73" t="str">
        <f t="shared" si="266"/>
        <v/>
      </c>
      <c r="AJ390" s="73" t="str">
        <f t="shared" si="267"/>
        <v/>
      </c>
      <c r="AK390" s="73" t="b">
        <f t="shared" si="219"/>
        <v>1</v>
      </c>
      <c r="AL390" s="73" t="str">
        <f t="shared" si="268"/>
        <v/>
      </c>
      <c r="AM390" s="73" t="str">
        <f t="shared" si="269"/>
        <v/>
      </c>
      <c r="AN390" s="73" t="str">
        <f t="shared" si="270"/>
        <v/>
      </c>
      <c r="AO390" s="73" t="str">
        <f t="shared" si="271"/>
        <v/>
      </c>
      <c r="AP390" s="73" t="str">
        <f t="shared" si="272"/>
        <v/>
      </c>
    </row>
    <row r="391" spans="1:42" s="31" customFormat="1" x14ac:dyDescent="0.6">
      <c r="A391" s="70" t="str">
        <f t="shared" si="206"/>
        <v/>
      </c>
      <c r="B391" s="70" t="str">
        <f>IF(E391&lt;=$F$9,VLOOKUP(KALKULATOR!A391,Robocze!$B$23:$C$102,2),"")</f>
        <v/>
      </c>
      <c r="C391" s="70" t="str">
        <f t="shared" si="241"/>
        <v/>
      </c>
      <c r="D391" s="71" t="str">
        <f t="shared" si="242"/>
        <v/>
      </c>
      <c r="E391" s="77" t="str">
        <f t="shared" si="243"/>
        <v/>
      </c>
      <c r="F391" s="72" t="str">
        <f t="shared" si="244"/>
        <v/>
      </c>
      <c r="G391" s="73" t="str">
        <f>IFERROR(IF(AND(F391&lt;=$F$9,$F$5=Robocze!$B$4,$E391&lt;=$F$9,MONTH($F$8)=MONTH(E391)),$F$4,0)+IF(AND(F391&lt;=$F$9,$F$5=Robocze!$B$3,E391&lt;=$F$9),KALKULATOR!$F$4/12,0),"")</f>
        <v/>
      </c>
      <c r="H391" s="73" t="str">
        <f t="shared" si="245"/>
        <v/>
      </c>
      <c r="I391" s="74" t="str">
        <f t="shared" si="246"/>
        <v/>
      </c>
      <c r="J391" s="73" t="str">
        <f t="shared" si="247"/>
        <v/>
      </c>
      <c r="K391" s="75" t="str">
        <f t="shared" si="248"/>
        <v/>
      </c>
      <c r="L391" s="73" t="str">
        <f t="shared" si="249"/>
        <v/>
      </c>
      <c r="M391" s="73" t="str">
        <f t="shared" si="250"/>
        <v/>
      </c>
      <c r="N391" s="73" t="str">
        <f t="shared" si="251"/>
        <v/>
      </c>
      <c r="O391" s="73" t="str">
        <f t="shared" si="252"/>
        <v/>
      </c>
      <c r="P391" s="73" t="str">
        <f t="shared" si="253"/>
        <v/>
      </c>
      <c r="Q391" s="73" t="str">
        <f t="shared" si="254"/>
        <v/>
      </c>
      <c r="R391" s="73"/>
      <c r="S391" s="76" t="str">
        <f t="shared" si="255"/>
        <v/>
      </c>
      <c r="T391" s="73" t="str">
        <f t="shared" si="256"/>
        <v/>
      </c>
      <c r="U391" s="73" t="str">
        <f t="shared" si="257"/>
        <v/>
      </c>
      <c r="V391" s="76" t="str">
        <f t="shared" si="258"/>
        <v/>
      </c>
      <c r="W391" s="73" t="str">
        <f t="shared" si="259"/>
        <v/>
      </c>
      <c r="X391" s="73" t="str">
        <f>IF(B391&lt;&gt;"",IF(MONTH(E391)=MONTH($F$13),SUMIF($C$22:C770,"="&amp;(C391-1),$G$22:G770),0)*S391,"")</f>
        <v/>
      </c>
      <c r="Y391" s="73" t="str">
        <f>IF(B391&lt;&gt;"",SUM($X$22:X391),"")</f>
        <v/>
      </c>
      <c r="Z391" s="73" t="str">
        <f t="shared" si="260"/>
        <v/>
      </c>
      <c r="AA391" s="73" t="str">
        <f t="shared" si="261"/>
        <v/>
      </c>
      <c r="AB391" s="73" t="str">
        <f t="shared" si="262"/>
        <v/>
      </c>
      <c r="AC391" s="73" t="str">
        <f t="shared" si="263"/>
        <v/>
      </c>
      <c r="AD391" s="73" t="str">
        <f>IFERROR($U391*(1-$V391)+SUM($W$22:$W391)+$AB391,"")</f>
        <v/>
      </c>
      <c r="AE391" s="73" t="b">
        <f t="shared" si="218"/>
        <v>1</v>
      </c>
      <c r="AF391" s="73" t="e">
        <f>IF(AND(AE391=TRUE,D391&gt;=65),$U391*(1-10%)+SUM($W$22:$W391)+$AB391,AD391)</f>
        <v>#VALUE!</v>
      </c>
      <c r="AG391" s="73" t="str">
        <f t="shared" si="264"/>
        <v/>
      </c>
      <c r="AH391" s="73" t="str">
        <f t="shared" si="265"/>
        <v/>
      </c>
      <c r="AI391" s="73" t="str">
        <f t="shared" si="266"/>
        <v/>
      </c>
      <c r="AJ391" s="73" t="str">
        <f t="shared" si="267"/>
        <v/>
      </c>
      <c r="AK391" s="73" t="b">
        <f t="shared" si="219"/>
        <v>1</v>
      </c>
      <c r="AL391" s="73" t="str">
        <f t="shared" si="268"/>
        <v/>
      </c>
      <c r="AM391" s="73" t="str">
        <f t="shared" si="269"/>
        <v/>
      </c>
      <c r="AN391" s="73" t="str">
        <f t="shared" si="270"/>
        <v/>
      </c>
      <c r="AO391" s="73" t="str">
        <f t="shared" si="271"/>
        <v/>
      </c>
      <c r="AP391" s="73" t="str">
        <f t="shared" si="272"/>
        <v/>
      </c>
    </row>
    <row r="392" spans="1:42" s="31" customFormat="1" x14ac:dyDescent="0.6">
      <c r="A392" s="70" t="str">
        <f t="shared" si="206"/>
        <v/>
      </c>
      <c r="B392" s="70" t="str">
        <f>IF(E392&lt;=$F$9,VLOOKUP(KALKULATOR!A392,Robocze!$B$23:$C$102,2),"")</f>
        <v/>
      </c>
      <c r="C392" s="70" t="str">
        <f t="shared" si="241"/>
        <v/>
      </c>
      <c r="D392" s="71" t="str">
        <f t="shared" si="242"/>
        <v/>
      </c>
      <c r="E392" s="77" t="str">
        <f t="shared" si="243"/>
        <v/>
      </c>
      <c r="F392" s="72" t="str">
        <f t="shared" si="244"/>
        <v/>
      </c>
      <c r="G392" s="73" t="str">
        <f>IFERROR(IF(AND(F392&lt;=$F$9,$F$5=Robocze!$B$4,$E392&lt;=$F$9,MONTH($F$8)=MONTH(E392)),$F$4,0)+IF(AND(F392&lt;=$F$9,$F$5=Robocze!$B$3,E392&lt;=$F$9),KALKULATOR!$F$4/12,0),"")</f>
        <v/>
      </c>
      <c r="H392" s="73" t="str">
        <f t="shared" si="245"/>
        <v/>
      </c>
      <c r="I392" s="74" t="str">
        <f t="shared" si="246"/>
        <v/>
      </c>
      <c r="J392" s="73" t="str">
        <f t="shared" si="247"/>
        <v/>
      </c>
      <c r="K392" s="75" t="str">
        <f t="shared" si="248"/>
        <v/>
      </c>
      <c r="L392" s="73" t="str">
        <f t="shared" si="249"/>
        <v/>
      </c>
      <c r="M392" s="73" t="str">
        <f t="shared" si="250"/>
        <v/>
      </c>
      <c r="N392" s="73" t="str">
        <f t="shared" si="251"/>
        <v/>
      </c>
      <c r="O392" s="73" t="str">
        <f t="shared" si="252"/>
        <v/>
      </c>
      <c r="P392" s="73" t="str">
        <f t="shared" si="253"/>
        <v/>
      </c>
      <c r="Q392" s="73" t="str">
        <f t="shared" si="254"/>
        <v/>
      </c>
      <c r="R392" s="73"/>
      <c r="S392" s="76" t="str">
        <f t="shared" si="255"/>
        <v/>
      </c>
      <c r="T392" s="73" t="str">
        <f t="shared" si="256"/>
        <v/>
      </c>
      <c r="U392" s="73" t="str">
        <f t="shared" si="257"/>
        <v/>
      </c>
      <c r="V392" s="76" t="str">
        <f t="shared" si="258"/>
        <v/>
      </c>
      <c r="W392" s="73" t="str">
        <f t="shared" si="259"/>
        <v/>
      </c>
      <c r="X392" s="73" t="str">
        <f>IF(B392&lt;&gt;"",IF(MONTH(E392)=MONTH($F$13),SUMIF($C$22:C771,"="&amp;(C392-1),$G$22:G771),0)*S392,"")</f>
        <v/>
      </c>
      <c r="Y392" s="73" t="str">
        <f>IF(B392&lt;&gt;"",SUM($X$22:X392),"")</f>
        <v/>
      </c>
      <c r="Z392" s="73" t="str">
        <f t="shared" si="260"/>
        <v/>
      </c>
      <c r="AA392" s="73" t="str">
        <f t="shared" si="261"/>
        <v/>
      </c>
      <c r="AB392" s="73" t="str">
        <f t="shared" si="262"/>
        <v/>
      </c>
      <c r="AC392" s="73" t="str">
        <f t="shared" si="263"/>
        <v/>
      </c>
      <c r="AD392" s="73" t="str">
        <f>IFERROR($U392*(1-$V392)+SUM($W$22:$W392)+$AB392,"")</f>
        <v/>
      </c>
      <c r="AE392" s="73" t="b">
        <f t="shared" si="218"/>
        <v>1</v>
      </c>
      <c r="AF392" s="73" t="e">
        <f>IF(AND(AE392=TRUE,D392&gt;=65),$U392*(1-10%)+SUM($W$22:$W392)+$AB392,AD392)</f>
        <v>#VALUE!</v>
      </c>
      <c r="AG392" s="73" t="str">
        <f t="shared" si="264"/>
        <v/>
      </c>
      <c r="AH392" s="73" t="str">
        <f t="shared" si="265"/>
        <v/>
      </c>
      <c r="AI392" s="73" t="str">
        <f t="shared" si="266"/>
        <v/>
      </c>
      <c r="AJ392" s="73" t="str">
        <f t="shared" si="267"/>
        <v/>
      </c>
      <c r="AK392" s="73" t="b">
        <f t="shared" si="219"/>
        <v>1</v>
      </c>
      <c r="AL392" s="73" t="str">
        <f t="shared" si="268"/>
        <v/>
      </c>
      <c r="AM392" s="73" t="str">
        <f t="shared" si="269"/>
        <v/>
      </c>
      <c r="AN392" s="73" t="str">
        <f t="shared" si="270"/>
        <v/>
      </c>
      <c r="AO392" s="73" t="str">
        <f t="shared" si="271"/>
        <v/>
      </c>
      <c r="AP392" s="73" t="str">
        <f t="shared" si="272"/>
        <v/>
      </c>
    </row>
    <row r="393" spans="1:42" s="69" customFormat="1" x14ac:dyDescent="0.6">
      <c r="A393" s="78" t="str">
        <f t="shared" si="206"/>
        <v/>
      </c>
      <c r="B393" s="78" t="str">
        <f>IF(E393&lt;=$F$9,VLOOKUP(KALKULATOR!A393,Robocze!$B$23:$C$102,2),"")</f>
        <v/>
      </c>
      <c r="C393" s="78" t="str">
        <f t="shared" si="241"/>
        <v/>
      </c>
      <c r="D393" s="79" t="str">
        <f t="shared" si="242"/>
        <v/>
      </c>
      <c r="E393" s="80" t="str">
        <f t="shared" si="243"/>
        <v/>
      </c>
      <c r="F393" s="81" t="str">
        <f t="shared" si="244"/>
        <v/>
      </c>
      <c r="G393" s="82" t="str">
        <f>IFERROR(IF(AND(F393&lt;=$F$9,$F$5=Robocze!$B$4,$E393&lt;=$F$9,MONTH($F$8)=MONTH(E393)),$F$4,0)+IF(AND(F393&lt;=$F$9,$F$5=Robocze!$B$3,E393&lt;=$F$9),KALKULATOR!$F$4/12,0),"")</f>
        <v/>
      </c>
      <c r="H393" s="82" t="str">
        <f t="shared" si="245"/>
        <v/>
      </c>
      <c r="I393" s="83" t="str">
        <f t="shared" si="246"/>
        <v/>
      </c>
      <c r="J393" s="82" t="str">
        <f t="shared" si="247"/>
        <v/>
      </c>
      <c r="K393" s="84" t="str">
        <f t="shared" si="248"/>
        <v/>
      </c>
      <c r="L393" s="82" t="str">
        <f t="shared" si="249"/>
        <v/>
      </c>
      <c r="M393" s="82" t="str">
        <f t="shared" si="250"/>
        <v/>
      </c>
      <c r="N393" s="82" t="str">
        <f t="shared" si="251"/>
        <v/>
      </c>
      <c r="O393" s="82" t="str">
        <f t="shared" si="252"/>
        <v/>
      </c>
      <c r="P393" s="82" t="str">
        <f t="shared" si="253"/>
        <v/>
      </c>
      <c r="Q393" s="82" t="str">
        <f t="shared" si="254"/>
        <v/>
      </c>
      <c r="R393" s="82"/>
      <c r="S393" s="85" t="str">
        <f t="shared" si="255"/>
        <v/>
      </c>
      <c r="T393" s="82" t="str">
        <f t="shared" si="256"/>
        <v/>
      </c>
      <c r="U393" s="82" t="str">
        <f t="shared" si="257"/>
        <v/>
      </c>
      <c r="V393" s="85" t="str">
        <f t="shared" si="258"/>
        <v/>
      </c>
      <c r="W393" s="82" t="str">
        <f t="shared" si="259"/>
        <v/>
      </c>
      <c r="X393" s="82" t="str">
        <f>IF(B393&lt;&gt;"",IF(MONTH(E393)=MONTH($F$13),SUMIF($C$22:C772,"="&amp;(C393-1),$G$22:G772),0)*S393,"")</f>
        <v/>
      </c>
      <c r="Y393" s="82" t="str">
        <f>IF(B393&lt;&gt;"",SUM($X$22:X393),"")</f>
        <v/>
      </c>
      <c r="Z393" s="82" t="str">
        <f t="shared" si="260"/>
        <v/>
      </c>
      <c r="AA393" s="82" t="str">
        <f t="shared" si="261"/>
        <v/>
      </c>
      <c r="AB393" s="82" t="str">
        <f t="shared" si="262"/>
        <v/>
      </c>
      <c r="AC393" s="82" t="str">
        <f t="shared" si="263"/>
        <v/>
      </c>
      <c r="AD393" s="82" t="str">
        <f>IFERROR($U393*(1-$V393)+SUM($W$22:$W393)+$AB393,"")</f>
        <v/>
      </c>
      <c r="AE393" s="73" t="b">
        <f t="shared" si="218"/>
        <v>1</v>
      </c>
      <c r="AF393" s="82" t="e">
        <f>IF(AND(AE393=TRUE,D393&gt;=65),$U393*(1-10%)+SUM($W$22:$W393)+$AB393,AD393)</f>
        <v>#VALUE!</v>
      </c>
      <c r="AG393" s="82" t="str">
        <f t="shared" si="264"/>
        <v/>
      </c>
      <c r="AH393" s="82" t="str">
        <f t="shared" si="265"/>
        <v/>
      </c>
      <c r="AI393" s="82" t="str">
        <f t="shared" si="266"/>
        <v/>
      </c>
      <c r="AJ393" s="82" t="str">
        <f t="shared" si="267"/>
        <v/>
      </c>
      <c r="AK393" s="73" t="b">
        <f t="shared" si="219"/>
        <v>1</v>
      </c>
      <c r="AL393" s="82" t="str">
        <f t="shared" si="268"/>
        <v/>
      </c>
      <c r="AM393" s="82" t="str">
        <f t="shared" si="269"/>
        <v/>
      </c>
      <c r="AN393" s="82" t="str">
        <f t="shared" si="270"/>
        <v/>
      </c>
      <c r="AO393" s="82" t="str">
        <f t="shared" si="271"/>
        <v/>
      </c>
      <c r="AP393" s="82" t="str">
        <f t="shared" si="272"/>
        <v/>
      </c>
    </row>
    <row r="394" spans="1:42" s="31" customFormat="1" x14ac:dyDescent="0.6">
      <c r="A394" s="70" t="str">
        <f t="shared" si="206"/>
        <v/>
      </c>
      <c r="B394" s="70" t="str">
        <f>IF(E394&lt;=$F$9,VLOOKUP(KALKULATOR!A394,Robocze!$B$23:$C$102,2),"")</f>
        <v/>
      </c>
      <c r="C394" s="70" t="str">
        <f t="shared" si="241"/>
        <v/>
      </c>
      <c r="D394" s="71" t="str">
        <f t="shared" si="242"/>
        <v/>
      </c>
      <c r="E394" s="72" t="str">
        <f t="shared" si="243"/>
        <v/>
      </c>
      <c r="F394" s="72" t="str">
        <f t="shared" si="244"/>
        <v/>
      </c>
      <c r="G394" s="73" t="str">
        <f>IFERROR(IF(AND(F394&lt;=$F$9,$F$5=Robocze!$B$4,$E394&lt;=$F$9,MONTH($F$8)=MONTH(E394)),$F$4,0)+IF(AND(F394&lt;=$F$9,$F$5=Robocze!$B$3,E394&lt;=$F$9),KALKULATOR!$F$4/12,0),"")</f>
        <v/>
      </c>
      <c r="H394" s="73" t="str">
        <f t="shared" si="245"/>
        <v/>
      </c>
      <c r="I394" s="74" t="str">
        <f t="shared" si="246"/>
        <v/>
      </c>
      <c r="J394" s="73" t="str">
        <f t="shared" si="247"/>
        <v/>
      </c>
      <c r="K394" s="75" t="str">
        <f t="shared" si="248"/>
        <v/>
      </c>
      <c r="L394" s="73" t="str">
        <f t="shared" si="249"/>
        <v/>
      </c>
      <c r="M394" s="73" t="str">
        <f t="shared" si="250"/>
        <v/>
      </c>
      <c r="N394" s="73" t="str">
        <f t="shared" si="251"/>
        <v/>
      </c>
      <c r="O394" s="73" t="str">
        <f t="shared" si="252"/>
        <v/>
      </c>
      <c r="P394" s="73" t="str">
        <f t="shared" si="253"/>
        <v/>
      </c>
      <c r="Q394" s="73" t="str">
        <f t="shared" si="254"/>
        <v/>
      </c>
      <c r="R394" s="73"/>
      <c r="S394" s="76" t="str">
        <f t="shared" si="255"/>
        <v/>
      </c>
      <c r="T394" s="73" t="str">
        <f t="shared" si="256"/>
        <v/>
      </c>
      <c r="U394" s="73" t="str">
        <f t="shared" si="257"/>
        <v/>
      </c>
      <c r="V394" s="76" t="str">
        <f t="shared" si="258"/>
        <v/>
      </c>
      <c r="W394" s="73" t="str">
        <f t="shared" si="259"/>
        <v/>
      </c>
      <c r="X394" s="73" t="str">
        <f>IF(B394&lt;&gt;"",IF(MONTH(E394)=MONTH($F$13),SUMIF($C$22:C773,"="&amp;(C394-1),$G$22:G773),0)*S394,"")</f>
        <v/>
      </c>
      <c r="Y394" s="73" t="str">
        <f>IF(B394&lt;&gt;"",SUM($X$22:X394),"")</f>
        <v/>
      </c>
      <c r="Z394" s="73" t="str">
        <f t="shared" si="260"/>
        <v/>
      </c>
      <c r="AA394" s="73" t="str">
        <f t="shared" si="261"/>
        <v/>
      </c>
      <c r="AB394" s="73" t="str">
        <f t="shared" si="262"/>
        <v/>
      </c>
      <c r="AC394" s="73" t="str">
        <f t="shared" si="263"/>
        <v/>
      </c>
      <c r="AD394" s="73" t="str">
        <f>IFERROR($U394*(1-$V394)+SUM($W$22:$W394)+$AB394,"")</f>
        <v/>
      </c>
      <c r="AE394" s="73" t="b">
        <f t="shared" si="218"/>
        <v>1</v>
      </c>
      <c r="AF394" s="73" t="e">
        <f>IF(AND(AE394=TRUE,D394&gt;=65),$U394*(1-10%)+SUM($W$22:$W394)+$AB394,AD394)</f>
        <v>#VALUE!</v>
      </c>
      <c r="AG394" s="73" t="str">
        <f t="shared" si="264"/>
        <v/>
      </c>
      <c r="AH394" s="73" t="str">
        <f t="shared" si="265"/>
        <v/>
      </c>
      <c r="AI394" s="73" t="str">
        <f t="shared" si="266"/>
        <v/>
      </c>
      <c r="AJ394" s="73" t="str">
        <f t="shared" si="267"/>
        <v/>
      </c>
      <c r="AK394" s="73" t="b">
        <f t="shared" si="219"/>
        <v>1</v>
      </c>
      <c r="AL394" s="73" t="str">
        <f t="shared" si="268"/>
        <v/>
      </c>
      <c r="AM394" s="73" t="str">
        <f t="shared" si="269"/>
        <v/>
      </c>
      <c r="AN394" s="73" t="str">
        <f t="shared" si="270"/>
        <v/>
      </c>
      <c r="AO394" s="73" t="str">
        <f t="shared" si="271"/>
        <v/>
      </c>
      <c r="AP394" s="73" t="str">
        <f t="shared" si="272"/>
        <v/>
      </c>
    </row>
    <row r="395" spans="1:42" s="31" customFormat="1" x14ac:dyDescent="0.6">
      <c r="A395" s="70" t="str">
        <f t="shared" si="206"/>
        <v/>
      </c>
      <c r="B395" s="70" t="str">
        <f>IF(E395&lt;=$F$9,VLOOKUP(KALKULATOR!A395,Robocze!$B$23:$C$102,2),"")</f>
        <v/>
      </c>
      <c r="C395" s="70" t="str">
        <f t="shared" si="241"/>
        <v/>
      </c>
      <c r="D395" s="71" t="str">
        <f t="shared" si="242"/>
        <v/>
      </c>
      <c r="E395" s="77" t="str">
        <f t="shared" si="243"/>
        <v/>
      </c>
      <c r="F395" s="72" t="str">
        <f t="shared" si="244"/>
        <v/>
      </c>
      <c r="G395" s="73" t="str">
        <f>IFERROR(IF(AND(F395&lt;=$F$9,$F$5=Robocze!$B$4,$E395&lt;=$F$9,MONTH($F$8)=MONTH(E395)),$F$4,0)+IF(AND(F395&lt;=$F$9,$F$5=Robocze!$B$3,E395&lt;=$F$9),KALKULATOR!$F$4/12,0),"")</f>
        <v/>
      </c>
      <c r="H395" s="73" t="str">
        <f t="shared" si="245"/>
        <v/>
      </c>
      <c r="I395" s="74" t="str">
        <f t="shared" si="246"/>
        <v/>
      </c>
      <c r="J395" s="73" t="str">
        <f t="shared" si="247"/>
        <v/>
      </c>
      <c r="K395" s="75" t="str">
        <f t="shared" si="248"/>
        <v/>
      </c>
      <c r="L395" s="73" t="str">
        <f t="shared" si="249"/>
        <v/>
      </c>
      <c r="M395" s="73" t="str">
        <f t="shared" si="250"/>
        <v/>
      </c>
      <c r="N395" s="73" t="str">
        <f t="shared" si="251"/>
        <v/>
      </c>
      <c r="O395" s="73" t="str">
        <f t="shared" si="252"/>
        <v/>
      </c>
      <c r="P395" s="73" t="str">
        <f t="shared" si="253"/>
        <v/>
      </c>
      <c r="Q395" s="73" t="str">
        <f t="shared" si="254"/>
        <v/>
      </c>
      <c r="R395" s="73"/>
      <c r="S395" s="76" t="str">
        <f t="shared" si="255"/>
        <v/>
      </c>
      <c r="T395" s="73" t="str">
        <f t="shared" si="256"/>
        <v/>
      </c>
      <c r="U395" s="73" t="str">
        <f t="shared" si="257"/>
        <v/>
      </c>
      <c r="V395" s="76" t="str">
        <f t="shared" si="258"/>
        <v/>
      </c>
      <c r="W395" s="73" t="str">
        <f t="shared" si="259"/>
        <v/>
      </c>
      <c r="X395" s="73" t="str">
        <f>IF(B395&lt;&gt;"",IF(MONTH(E395)=MONTH($F$13),SUMIF($C$22:C774,"="&amp;(C395-1),$G$22:G774),0)*S395,"")</f>
        <v/>
      </c>
      <c r="Y395" s="73" t="str">
        <f>IF(B395&lt;&gt;"",SUM($X$22:X395),"")</f>
        <v/>
      </c>
      <c r="Z395" s="73" t="str">
        <f t="shared" si="260"/>
        <v/>
      </c>
      <c r="AA395" s="73" t="str">
        <f t="shared" si="261"/>
        <v/>
      </c>
      <c r="AB395" s="73" t="str">
        <f t="shared" si="262"/>
        <v/>
      </c>
      <c r="AC395" s="73" t="str">
        <f t="shared" si="263"/>
        <v/>
      </c>
      <c r="AD395" s="73" t="str">
        <f>IFERROR($U395*(1-$V395)+SUM($W$22:$W395)+$AB395,"")</f>
        <v/>
      </c>
      <c r="AE395" s="73" t="b">
        <f t="shared" si="218"/>
        <v>1</v>
      </c>
      <c r="AF395" s="73" t="e">
        <f>IF(AND(AE395=TRUE,D395&gt;=65),$U395*(1-10%)+SUM($W$22:$W395)+$AB395,AD395)</f>
        <v>#VALUE!</v>
      </c>
      <c r="AG395" s="73" t="str">
        <f t="shared" si="264"/>
        <v/>
      </c>
      <c r="AH395" s="73" t="str">
        <f t="shared" si="265"/>
        <v/>
      </c>
      <c r="AI395" s="73" t="str">
        <f t="shared" si="266"/>
        <v/>
      </c>
      <c r="AJ395" s="73" t="str">
        <f t="shared" si="267"/>
        <v/>
      </c>
      <c r="AK395" s="73" t="b">
        <f t="shared" si="219"/>
        <v>1</v>
      </c>
      <c r="AL395" s="73" t="str">
        <f t="shared" si="268"/>
        <v/>
      </c>
      <c r="AM395" s="73" t="str">
        <f t="shared" si="269"/>
        <v/>
      </c>
      <c r="AN395" s="73" t="str">
        <f t="shared" si="270"/>
        <v/>
      </c>
      <c r="AO395" s="73" t="str">
        <f t="shared" si="271"/>
        <v/>
      </c>
      <c r="AP395" s="73" t="str">
        <f t="shared" si="272"/>
        <v/>
      </c>
    </row>
    <row r="396" spans="1:42" s="31" customFormat="1" x14ac:dyDescent="0.6">
      <c r="A396" s="70" t="str">
        <f t="shared" si="206"/>
        <v/>
      </c>
      <c r="B396" s="70" t="str">
        <f>IF(E396&lt;=$F$9,VLOOKUP(KALKULATOR!A396,Robocze!$B$23:$C$102,2),"")</f>
        <v/>
      </c>
      <c r="C396" s="70" t="str">
        <f t="shared" si="241"/>
        <v/>
      </c>
      <c r="D396" s="71" t="str">
        <f t="shared" si="242"/>
        <v/>
      </c>
      <c r="E396" s="77" t="str">
        <f t="shared" si="243"/>
        <v/>
      </c>
      <c r="F396" s="72" t="str">
        <f t="shared" si="244"/>
        <v/>
      </c>
      <c r="G396" s="73" t="str">
        <f>IFERROR(IF(AND(F396&lt;=$F$9,$F$5=Robocze!$B$4,$E396&lt;=$F$9,MONTH($F$8)=MONTH(E396)),$F$4,0)+IF(AND(F396&lt;=$F$9,$F$5=Robocze!$B$3,E396&lt;=$F$9),KALKULATOR!$F$4/12,0),"")</f>
        <v/>
      </c>
      <c r="H396" s="73" t="str">
        <f t="shared" si="245"/>
        <v/>
      </c>
      <c r="I396" s="74" t="str">
        <f t="shared" si="246"/>
        <v/>
      </c>
      <c r="J396" s="73" t="str">
        <f t="shared" si="247"/>
        <v/>
      </c>
      <c r="K396" s="75" t="str">
        <f t="shared" si="248"/>
        <v/>
      </c>
      <c r="L396" s="73" t="str">
        <f t="shared" si="249"/>
        <v/>
      </c>
      <c r="M396" s="73" t="str">
        <f t="shared" si="250"/>
        <v/>
      </c>
      <c r="N396" s="73" t="str">
        <f t="shared" si="251"/>
        <v/>
      </c>
      <c r="O396" s="73" t="str">
        <f t="shared" si="252"/>
        <v/>
      </c>
      <c r="P396" s="73" t="str">
        <f t="shared" si="253"/>
        <v/>
      </c>
      <c r="Q396" s="73" t="str">
        <f t="shared" si="254"/>
        <v/>
      </c>
      <c r="R396" s="73"/>
      <c r="S396" s="76" t="str">
        <f t="shared" si="255"/>
        <v/>
      </c>
      <c r="T396" s="73" t="str">
        <f t="shared" si="256"/>
        <v/>
      </c>
      <c r="U396" s="73" t="str">
        <f t="shared" si="257"/>
        <v/>
      </c>
      <c r="V396" s="76" t="str">
        <f t="shared" si="258"/>
        <v/>
      </c>
      <c r="W396" s="73" t="str">
        <f t="shared" si="259"/>
        <v/>
      </c>
      <c r="X396" s="73" t="str">
        <f>IF(B396&lt;&gt;"",IF(MONTH(E396)=MONTH($F$13),SUMIF($C$22:C775,"="&amp;(C396-1),$G$22:G775),0)*S396,"")</f>
        <v/>
      </c>
      <c r="Y396" s="73" t="str">
        <f>IF(B396&lt;&gt;"",SUM($X$22:X396),"")</f>
        <v/>
      </c>
      <c r="Z396" s="73" t="str">
        <f t="shared" si="260"/>
        <v/>
      </c>
      <c r="AA396" s="73" t="str">
        <f t="shared" si="261"/>
        <v/>
      </c>
      <c r="AB396" s="73" t="str">
        <f t="shared" si="262"/>
        <v/>
      </c>
      <c r="AC396" s="73" t="str">
        <f t="shared" si="263"/>
        <v/>
      </c>
      <c r="AD396" s="73" t="str">
        <f>IFERROR($U396*(1-$V396)+SUM($W$22:$W396)+$AB396,"")</f>
        <v/>
      </c>
      <c r="AE396" s="73" t="b">
        <f t="shared" si="218"/>
        <v>1</v>
      </c>
      <c r="AF396" s="73" t="e">
        <f>IF(AND(AE396=TRUE,D396&gt;=65),$U396*(1-10%)+SUM($W$22:$W396)+$AB396,AD396)</f>
        <v>#VALUE!</v>
      </c>
      <c r="AG396" s="73" t="str">
        <f t="shared" si="264"/>
        <v/>
      </c>
      <c r="AH396" s="73" t="str">
        <f t="shared" si="265"/>
        <v/>
      </c>
      <c r="AI396" s="73" t="str">
        <f t="shared" si="266"/>
        <v/>
      </c>
      <c r="AJ396" s="73" t="str">
        <f t="shared" si="267"/>
        <v/>
      </c>
      <c r="AK396" s="73" t="b">
        <f t="shared" si="219"/>
        <v>1</v>
      </c>
      <c r="AL396" s="73" t="str">
        <f t="shared" si="268"/>
        <v/>
      </c>
      <c r="AM396" s="73" t="str">
        <f t="shared" si="269"/>
        <v/>
      </c>
      <c r="AN396" s="73" t="str">
        <f t="shared" si="270"/>
        <v/>
      </c>
      <c r="AO396" s="73" t="str">
        <f t="shared" si="271"/>
        <v/>
      </c>
      <c r="AP396" s="73" t="str">
        <f t="shared" si="272"/>
        <v/>
      </c>
    </row>
    <row r="397" spans="1:42" s="31" customFormat="1" x14ac:dyDescent="0.6">
      <c r="A397" s="70" t="str">
        <f t="shared" si="206"/>
        <v/>
      </c>
      <c r="B397" s="70" t="str">
        <f>IF(E397&lt;=$F$9,VLOOKUP(KALKULATOR!A397,Robocze!$B$23:$C$102,2),"")</f>
        <v/>
      </c>
      <c r="C397" s="70" t="str">
        <f t="shared" si="241"/>
        <v/>
      </c>
      <c r="D397" s="71" t="str">
        <f t="shared" si="242"/>
        <v/>
      </c>
      <c r="E397" s="77" t="str">
        <f t="shared" si="243"/>
        <v/>
      </c>
      <c r="F397" s="72" t="str">
        <f t="shared" si="244"/>
        <v/>
      </c>
      <c r="G397" s="73" t="str">
        <f>IFERROR(IF(AND(F397&lt;=$F$9,$F$5=Robocze!$B$4,$E397&lt;=$F$9,MONTH($F$8)=MONTH(E397)),$F$4,0)+IF(AND(F397&lt;=$F$9,$F$5=Robocze!$B$3,E397&lt;=$F$9),KALKULATOR!$F$4/12,0),"")</f>
        <v/>
      </c>
      <c r="H397" s="73" t="str">
        <f t="shared" si="245"/>
        <v/>
      </c>
      <c r="I397" s="74" t="str">
        <f t="shared" si="246"/>
        <v/>
      </c>
      <c r="J397" s="73" t="str">
        <f t="shared" si="247"/>
        <v/>
      </c>
      <c r="K397" s="75" t="str">
        <f t="shared" si="248"/>
        <v/>
      </c>
      <c r="L397" s="73" t="str">
        <f t="shared" si="249"/>
        <v/>
      </c>
      <c r="M397" s="73" t="str">
        <f t="shared" si="250"/>
        <v/>
      </c>
      <c r="N397" s="73" t="str">
        <f t="shared" si="251"/>
        <v/>
      </c>
      <c r="O397" s="73" t="str">
        <f t="shared" si="252"/>
        <v/>
      </c>
      <c r="P397" s="73" t="str">
        <f t="shared" si="253"/>
        <v/>
      </c>
      <c r="Q397" s="73" t="str">
        <f t="shared" si="254"/>
        <v/>
      </c>
      <c r="R397" s="73"/>
      <c r="S397" s="76" t="str">
        <f t="shared" si="255"/>
        <v/>
      </c>
      <c r="T397" s="73" t="str">
        <f t="shared" si="256"/>
        <v/>
      </c>
      <c r="U397" s="73" t="str">
        <f t="shared" si="257"/>
        <v/>
      </c>
      <c r="V397" s="76" t="str">
        <f t="shared" si="258"/>
        <v/>
      </c>
      <c r="W397" s="73" t="str">
        <f t="shared" si="259"/>
        <v/>
      </c>
      <c r="X397" s="73" t="str">
        <f>IF(B397&lt;&gt;"",IF(MONTH(E397)=MONTH($F$13),SUMIF($C$22:C776,"="&amp;(C397-1),$G$22:G776),0)*S397,"")</f>
        <v/>
      </c>
      <c r="Y397" s="73" t="str">
        <f>IF(B397&lt;&gt;"",SUM($X$22:X397),"")</f>
        <v/>
      </c>
      <c r="Z397" s="73" t="str">
        <f t="shared" si="260"/>
        <v/>
      </c>
      <c r="AA397" s="73" t="str">
        <f t="shared" si="261"/>
        <v/>
      </c>
      <c r="AB397" s="73" t="str">
        <f t="shared" si="262"/>
        <v/>
      </c>
      <c r="AC397" s="73" t="str">
        <f t="shared" si="263"/>
        <v/>
      </c>
      <c r="AD397" s="73" t="str">
        <f>IFERROR($U397*(1-$V397)+SUM($W$22:$W397)+$AB397,"")</f>
        <v/>
      </c>
      <c r="AE397" s="73" t="b">
        <f t="shared" si="218"/>
        <v>1</v>
      </c>
      <c r="AF397" s="73" t="e">
        <f>IF(AND(AE397=TRUE,D397&gt;=65),$U397*(1-10%)+SUM($W$22:$W397)+$AB397,AD397)</f>
        <v>#VALUE!</v>
      </c>
      <c r="AG397" s="73" t="str">
        <f t="shared" si="264"/>
        <v/>
      </c>
      <c r="AH397" s="73" t="str">
        <f t="shared" si="265"/>
        <v/>
      </c>
      <c r="AI397" s="73" t="str">
        <f t="shared" si="266"/>
        <v/>
      </c>
      <c r="AJ397" s="73" t="str">
        <f t="shared" si="267"/>
        <v/>
      </c>
      <c r="AK397" s="73" t="b">
        <f t="shared" si="219"/>
        <v>1</v>
      </c>
      <c r="AL397" s="73" t="str">
        <f t="shared" si="268"/>
        <v/>
      </c>
      <c r="AM397" s="73" t="str">
        <f t="shared" si="269"/>
        <v/>
      </c>
      <c r="AN397" s="73" t="str">
        <f t="shared" si="270"/>
        <v/>
      </c>
      <c r="AO397" s="73" t="str">
        <f t="shared" si="271"/>
        <v/>
      </c>
      <c r="AP397" s="73" t="str">
        <f t="shared" si="272"/>
        <v/>
      </c>
    </row>
    <row r="398" spans="1:42" s="31" customFormat="1" x14ac:dyDescent="0.6">
      <c r="A398" s="70" t="str">
        <f t="shared" si="206"/>
        <v/>
      </c>
      <c r="B398" s="70" t="str">
        <f>IF(E398&lt;=$F$9,VLOOKUP(KALKULATOR!A398,Robocze!$B$23:$C$102,2),"")</f>
        <v/>
      </c>
      <c r="C398" s="70" t="str">
        <f t="shared" si="241"/>
        <v/>
      </c>
      <c r="D398" s="71" t="str">
        <f t="shared" si="242"/>
        <v/>
      </c>
      <c r="E398" s="77" t="str">
        <f t="shared" si="243"/>
        <v/>
      </c>
      <c r="F398" s="72" t="str">
        <f t="shared" si="244"/>
        <v/>
      </c>
      <c r="G398" s="73" t="str">
        <f>IFERROR(IF(AND(F398&lt;=$F$9,$F$5=Robocze!$B$4,$E398&lt;=$F$9,MONTH($F$8)=MONTH(E398)),$F$4,0)+IF(AND(F398&lt;=$F$9,$F$5=Robocze!$B$3,E398&lt;=$F$9),KALKULATOR!$F$4/12,0),"")</f>
        <v/>
      </c>
      <c r="H398" s="73" t="str">
        <f t="shared" si="245"/>
        <v/>
      </c>
      <c r="I398" s="74" t="str">
        <f t="shared" si="246"/>
        <v/>
      </c>
      <c r="J398" s="73" t="str">
        <f t="shared" si="247"/>
        <v/>
      </c>
      <c r="K398" s="75" t="str">
        <f t="shared" si="248"/>
        <v/>
      </c>
      <c r="L398" s="73" t="str">
        <f t="shared" si="249"/>
        <v/>
      </c>
      <c r="M398" s="73" t="str">
        <f t="shared" si="250"/>
        <v/>
      </c>
      <c r="N398" s="73" t="str">
        <f t="shared" si="251"/>
        <v/>
      </c>
      <c r="O398" s="73" t="str">
        <f t="shared" si="252"/>
        <v/>
      </c>
      <c r="P398" s="73" t="str">
        <f t="shared" si="253"/>
        <v/>
      </c>
      <c r="Q398" s="73" t="str">
        <f t="shared" si="254"/>
        <v/>
      </c>
      <c r="R398" s="73"/>
      <c r="S398" s="76" t="str">
        <f t="shared" si="255"/>
        <v/>
      </c>
      <c r="T398" s="73" t="str">
        <f t="shared" si="256"/>
        <v/>
      </c>
      <c r="U398" s="73" t="str">
        <f t="shared" si="257"/>
        <v/>
      </c>
      <c r="V398" s="76" t="str">
        <f t="shared" si="258"/>
        <v/>
      </c>
      <c r="W398" s="73" t="str">
        <f t="shared" si="259"/>
        <v/>
      </c>
      <c r="X398" s="73" t="str">
        <f>IF(B398&lt;&gt;"",IF(MONTH(E398)=MONTH($F$13),SUMIF($C$22:C777,"="&amp;(C398-1),$G$22:G777),0)*S398,"")</f>
        <v/>
      </c>
      <c r="Y398" s="73" t="str">
        <f>IF(B398&lt;&gt;"",SUM($X$22:X398),"")</f>
        <v/>
      </c>
      <c r="Z398" s="73" t="str">
        <f t="shared" si="260"/>
        <v/>
      </c>
      <c r="AA398" s="73" t="str">
        <f t="shared" si="261"/>
        <v/>
      </c>
      <c r="AB398" s="73" t="str">
        <f t="shared" si="262"/>
        <v/>
      </c>
      <c r="AC398" s="73" t="str">
        <f t="shared" si="263"/>
        <v/>
      </c>
      <c r="AD398" s="73" t="str">
        <f>IFERROR($U398*(1-$V398)+SUM($W$22:$W398)+$AB398,"")</f>
        <v/>
      </c>
      <c r="AE398" s="73" t="b">
        <f t="shared" si="218"/>
        <v>1</v>
      </c>
      <c r="AF398" s="73" t="e">
        <f>IF(AND(AE398=TRUE,D398&gt;=65),$U398*(1-10%)+SUM($W$22:$W398)+$AB398,AD398)</f>
        <v>#VALUE!</v>
      </c>
      <c r="AG398" s="73" t="str">
        <f t="shared" si="264"/>
        <v/>
      </c>
      <c r="AH398" s="73" t="str">
        <f t="shared" si="265"/>
        <v/>
      </c>
      <c r="AI398" s="73" t="str">
        <f t="shared" si="266"/>
        <v/>
      </c>
      <c r="AJ398" s="73" t="str">
        <f t="shared" si="267"/>
        <v/>
      </c>
      <c r="AK398" s="73" t="b">
        <f t="shared" si="219"/>
        <v>1</v>
      </c>
      <c r="AL398" s="73" t="str">
        <f t="shared" si="268"/>
        <v/>
      </c>
      <c r="AM398" s="73" t="str">
        <f t="shared" si="269"/>
        <v/>
      </c>
      <c r="AN398" s="73" t="str">
        <f t="shared" si="270"/>
        <v/>
      </c>
      <c r="AO398" s="73" t="str">
        <f t="shared" si="271"/>
        <v/>
      </c>
      <c r="AP398" s="73" t="str">
        <f t="shared" si="272"/>
        <v/>
      </c>
    </row>
    <row r="399" spans="1:42" s="31" customFormat="1" x14ac:dyDescent="0.6">
      <c r="A399" s="70" t="str">
        <f t="shared" si="206"/>
        <v/>
      </c>
      <c r="B399" s="70" t="str">
        <f>IF(E399&lt;=$F$9,VLOOKUP(KALKULATOR!A399,Robocze!$B$23:$C$102,2),"")</f>
        <v/>
      </c>
      <c r="C399" s="70" t="str">
        <f t="shared" si="241"/>
        <v/>
      </c>
      <c r="D399" s="71" t="str">
        <f t="shared" si="242"/>
        <v/>
      </c>
      <c r="E399" s="77" t="str">
        <f t="shared" si="243"/>
        <v/>
      </c>
      <c r="F399" s="72" t="str">
        <f t="shared" si="244"/>
        <v/>
      </c>
      <c r="G399" s="73" t="str">
        <f>IFERROR(IF(AND(F399&lt;=$F$9,$F$5=Robocze!$B$4,$E399&lt;=$F$9,MONTH($F$8)=MONTH(E399)),$F$4,0)+IF(AND(F399&lt;=$F$9,$F$5=Robocze!$B$3,E399&lt;=$F$9),KALKULATOR!$F$4/12,0),"")</f>
        <v/>
      </c>
      <c r="H399" s="73" t="str">
        <f t="shared" si="245"/>
        <v/>
      </c>
      <c r="I399" s="74" t="str">
        <f t="shared" si="246"/>
        <v/>
      </c>
      <c r="J399" s="73" t="str">
        <f t="shared" si="247"/>
        <v/>
      </c>
      <c r="K399" s="75" t="str">
        <f t="shared" si="248"/>
        <v/>
      </c>
      <c r="L399" s="73" t="str">
        <f t="shared" si="249"/>
        <v/>
      </c>
      <c r="M399" s="73" t="str">
        <f t="shared" si="250"/>
        <v/>
      </c>
      <c r="N399" s="73" t="str">
        <f t="shared" si="251"/>
        <v/>
      </c>
      <c r="O399" s="73" t="str">
        <f t="shared" si="252"/>
        <v/>
      </c>
      <c r="P399" s="73" t="str">
        <f t="shared" si="253"/>
        <v/>
      </c>
      <c r="Q399" s="73" t="str">
        <f t="shared" si="254"/>
        <v/>
      </c>
      <c r="R399" s="73"/>
      <c r="S399" s="76" t="str">
        <f t="shared" si="255"/>
        <v/>
      </c>
      <c r="T399" s="73" t="str">
        <f t="shared" si="256"/>
        <v/>
      </c>
      <c r="U399" s="73" t="str">
        <f t="shared" si="257"/>
        <v/>
      </c>
      <c r="V399" s="76" t="str">
        <f t="shared" si="258"/>
        <v/>
      </c>
      <c r="W399" s="73" t="str">
        <f t="shared" si="259"/>
        <v/>
      </c>
      <c r="X399" s="73" t="str">
        <f>IF(B399&lt;&gt;"",IF(MONTH(E399)=MONTH($F$13),SUMIF($C$22:C778,"="&amp;(C399-1),$G$22:G778),0)*S399,"")</f>
        <v/>
      </c>
      <c r="Y399" s="73" t="str">
        <f>IF(B399&lt;&gt;"",SUM($X$22:X399),"")</f>
        <v/>
      </c>
      <c r="Z399" s="73" t="str">
        <f t="shared" si="260"/>
        <v/>
      </c>
      <c r="AA399" s="73" t="str">
        <f t="shared" si="261"/>
        <v/>
      </c>
      <c r="AB399" s="73" t="str">
        <f t="shared" si="262"/>
        <v/>
      </c>
      <c r="AC399" s="73" t="str">
        <f t="shared" si="263"/>
        <v/>
      </c>
      <c r="AD399" s="73" t="str">
        <f>IFERROR($U399*(1-$V399)+SUM($W$22:$W399)+$AB399,"")</f>
        <v/>
      </c>
      <c r="AE399" s="73" t="b">
        <f t="shared" si="218"/>
        <v>1</v>
      </c>
      <c r="AF399" s="73" t="e">
        <f>IF(AND(AE399=TRUE,D399&gt;=65),$U399*(1-10%)+SUM($W$22:$W399)+$AB399,AD399)</f>
        <v>#VALUE!</v>
      </c>
      <c r="AG399" s="73" t="str">
        <f t="shared" si="264"/>
        <v/>
      </c>
      <c r="AH399" s="73" t="str">
        <f t="shared" si="265"/>
        <v/>
      </c>
      <c r="AI399" s="73" t="str">
        <f t="shared" si="266"/>
        <v/>
      </c>
      <c r="AJ399" s="73" t="str">
        <f t="shared" si="267"/>
        <v/>
      </c>
      <c r="AK399" s="73" t="b">
        <f t="shared" si="219"/>
        <v>1</v>
      </c>
      <c r="AL399" s="73" t="str">
        <f t="shared" si="268"/>
        <v/>
      </c>
      <c r="AM399" s="73" t="str">
        <f t="shared" si="269"/>
        <v/>
      </c>
      <c r="AN399" s="73" t="str">
        <f t="shared" si="270"/>
        <v/>
      </c>
      <c r="AO399" s="73" t="str">
        <f t="shared" si="271"/>
        <v/>
      </c>
      <c r="AP399" s="73" t="str">
        <f t="shared" si="272"/>
        <v/>
      </c>
    </row>
    <row r="400" spans="1:42" s="31" customFormat="1" x14ac:dyDescent="0.6">
      <c r="A400" s="70" t="str">
        <f t="shared" si="206"/>
        <v/>
      </c>
      <c r="B400" s="70" t="str">
        <f>IF(E400&lt;=$F$9,VLOOKUP(KALKULATOR!A400,Robocze!$B$23:$C$102,2),"")</f>
        <v/>
      </c>
      <c r="C400" s="70" t="str">
        <f t="shared" si="241"/>
        <v/>
      </c>
      <c r="D400" s="71" t="str">
        <f t="shared" si="242"/>
        <v/>
      </c>
      <c r="E400" s="77" t="str">
        <f t="shared" si="243"/>
        <v/>
      </c>
      <c r="F400" s="72" t="str">
        <f t="shared" si="244"/>
        <v/>
      </c>
      <c r="G400" s="73" t="str">
        <f>IFERROR(IF(AND(F400&lt;=$F$9,$F$5=Robocze!$B$4,$E400&lt;=$F$9,MONTH($F$8)=MONTH(E400)),$F$4,0)+IF(AND(F400&lt;=$F$9,$F$5=Robocze!$B$3,E400&lt;=$F$9),KALKULATOR!$F$4/12,0),"")</f>
        <v/>
      </c>
      <c r="H400" s="73" t="str">
        <f t="shared" si="245"/>
        <v/>
      </c>
      <c r="I400" s="74" t="str">
        <f t="shared" si="246"/>
        <v/>
      </c>
      <c r="J400" s="73" t="str">
        <f t="shared" si="247"/>
        <v/>
      </c>
      <c r="K400" s="75" t="str">
        <f t="shared" si="248"/>
        <v/>
      </c>
      <c r="L400" s="73" t="str">
        <f t="shared" si="249"/>
        <v/>
      </c>
      <c r="M400" s="73" t="str">
        <f t="shared" si="250"/>
        <v/>
      </c>
      <c r="N400" s="73" t="str">
        <f t="shared" si="251"/>
        <v/>
      </c>
      <c r="O400" s="73" t="str">
        <f t="shared" si="252"/>
        <v/>
      </c>
      <c r="P400" s="73" t="str">
        <f t="shared" si="253"/>
        <v/>
      </c>
      <c r="Q400" s="73" t="str">
        <f t="shared" si="254"/>
        <v/>
      </c>
      <c r="R400" s="73"/>
      <c r="S400" s="76" t="str">
        <f t="shared" si="255"/>
        <v/>
      </c>
      <c r="T400" s="73" t="str">
        <f t="shared" si="256"/>
        <v/>
      </c>
      <c r="U400" s="73" t="str">
        <f t="shared" si="257"/>
        <v/>
      </c>
      <c r="V400" s="76" t="str">
        <f t="shared" si="258"/>
        <v/>
      </c>
      <c r="W400" s="73" t="str">
        <f t="shared" si="259"/>
        <v/>
      </c>
      <c r="X400" s="73" t="str">
        <f>IF(B400&lt;&gt;"",IF(MONTH(E400)=MONTH($F$13),SUMIF($C$22:C779,"="&amp;(C400-1),$G$22:G779),0)*S400,"")</f>
        <v/>
      </c>
      <c r="Y400" s="73" t="str">
        <f>IF(B400&lt;&gt;"",SUM($X$22:X400),"")</f>
        <v/>
      </c>
      <c r="Z400" s="73" t="str">
        <f t="shared" si="260"/>
        <v/>
      </c>
      <c r="AA400" s="73" t="str">
        <f t="shared" si="261"/>
        <v/>
      </c>
      <c r="AB400" s="73" t="str">
        <f t="shared" si="262"/>
        <v/>
      </c>
      <c r="AC400" s="73" t="str">
        <f t="shared" si="263"/>
        <v/>
      </c>
      <c r="AD400" s="73" t="str">
        <f>IFERROR($U400*(1-$V400)+SUM($W$22:$W400)+$AB400,"")</f>
        <v/>
      </c>
      <c r="AE400" s="73" t="b">
        <f t="shared" si="218"/>
        <v>1</v>
      </c>
      <c r="AF400" s="73" t="e">
        <f>IF(AND(AE400=TRUE,D400&gt;=65),$U400*(1-10%)+SUM($W$22:$W400)+$AB400,AD400)</f>
        <v>#VALUE!</v>
      </c>
      <c r="AG400" s="73" t="str">
        <f t="shared" si="264"/>
        <v/>
      </c>
      <c r="AH400" s="73" t="str">
        <f t="shared" si="265"/>
        <v/>
      </c>
      <c r="AI400" s="73" t="str">
        <f t="shared" si="266"/>
        <v/>
      </c>
      <c r="AJ400" s="73" t="str">
        <f t="shared" si="267"/>
        <v/>
      </c>
      <c r="AK400" s="73" t="b">
        <f t="shared" si="219"/>
        <v>1</v>
      </c>
      <c r="AL400" s="73" t="str">
        <f t="shared" si="268"/>
        <v/>
      </c>
      <c r="AM400" s="73" t="str">
        <f t="shared" si="269"/>
        <v/>
      </c>
      <c r="AN400" s="73" t="str">
        <f t="shared" si="270"/>
        <v/>
      </c>
      <c r="AO400" s="73" t="str">
        <f t="shared" si="271"/>
        <v/>
      </c>
      <c r="AP400" s="73" t="str">
        <f t="shared" si="272"/>
        <v/>
      </c>
    </row>
    <row r="401" spans="1:42" s="31" customFormat="1" x14ac:dyDescent="0.6">
      <c r="A401" s="70" t="str">
        <f t="shared" si="206"/>
        <v/>
      </c>
      <c r="B401" s="70" t="str">
        <f>IF(E401&lt;=$F$9,VLOOKUP(KALKULATOR!A401,Robocze!$B$23:$C$102,2),"")</f>
        <v/>
      </c>
      <c r="C401" s="70" t="str">
        <f t="shared" si="241"/>
        <v/>
      </c>
      <c r="D401" s="71" t="str">
        <f t="shared" si="242"/>
        <v/>
      </c>
      <c r="E401" s="77" t="str">
        <f t="shared" si="243"/>
        <v/>
      </c>
      <c r="F401" s="72" t="str">
        <f t="shared" si="244"/>
        <v/>
      </c>
      <c r="G401" s="73" t="str">
        <f>IFERROR(IF(AND(F401&lt;=$F$9,$F$5=Robocze!$B$4,$E401&lt;=$F$9,MONTH($F$8)=MONTH(E401)),$F$4,0)+IF(AND(F401&lt;=$F$9,$F$5=Robocze!$B$3,E401&lt;=$F$9),KALKULATOR!$F$4/12,0),"")</f>
        <v/>
      </c>
      <c r="H401" s="73" t="str">
        <f t="shared" si="245"/>
        <v/>
      </c>
      <c r="I401" s="74" t="str">
        <f t="shared" si="246"/>
        <v/>
      </c>
      <c r="J401" s="73" t="str">
        <f t="shared" si="247"/>
        <v/>
      </c>
      <c r="K401" s="75" t="str">
        <f t="shared" si="248"/>
        <v/>
      </c>
      <c r="L401" s="73" t="str">
        <f t="shared" si="249"/>
        <v/>
      </c>
      <c r="M401" s="73" t="str">
        <f t="shared" si="250"/>
        <v/>
      </c>
      <c r="N401" s="73" t="str">
        <f t="shared" si="251"/>
        <v/>
      </c>
      <c r="O401" s="73" t="str">
        <f t="shared" si="252"/>
        <v/>
      </c>
      <c r="P401" s="73" t="str">
        <f t="shared" si="253"/>
        <v/>
      </c>
      <c r="Q401" s="73" t="str">
        <f t="shared" si="254"/>
        <v/>
      </c>
      <c r="R401" s="73"/>
      <c r="S401" s="76" t="str">
        <f t="shared" si="255"/>
        <v/>
      </c>
      <c r="T401" s="73" t="str">
        <f t="shared" si="256"/>
        <v/>
      </c>
      <c r="U401" s="73" t="str">
        <f t="shared" si="257"/>
        <v/>
      </c>
      <c r="V401" s="76" t="str">
        <f t="shared" si="258"/>
        <v/>
      </c>
      <c r="W401" s="73" t="str">
        <f t="shared" si="259"/>
        <v/>
      </c>
      <c r="X401" s="73" t="str">
        <f>IF(B401&lt;&gt;"",IF(MONTH(E401)=MONTH($F$13),SUMIF($C$22:C780,"="&amp;(C401-1),$G$22:G780),0)*S401,"")</f>
        <v/>
      </c>
      <c r="Y401" s="73" t="str">
        <f>IF(B401&lt;&gt;"",SUM($X$22:X401),"")</f>
        <v/>
      </c>
      <c r="Z401" s="73" t="str">
        <f t="shared" si="260"/>
        <v/>
      </c>
      <c r="AA401" s="73" t="str">
        <f t="shared" si="261"/>
        <v/>
      </c>
      <c r="AB401" s="73" t="str">
        <f t="shared" si="262"/>
        <v/>
      </c>
      <c r="AC401" s="73" t="str">
        <f t="shared" si="263"/>
        <v/>
      </c>
      <c r="AD401" s="73" t="str">
        <f>IFERROR($U401*(1-$V401)+SUM($W$22:$W401)+$AB401,"")</f>
        <v/>
      </c>
      <c r="AE401" s="73" t="b">
        <f t="shared" si="218"/>
        <v>1</v>
      </c>
      <c r="AF401" s="73" t="e">
        <f>IF(AND(AE401=TRUE,D401&gt;=65),$U401*(1-10%)+SUM($W$22:$W401)+$AB401,AD401)</f>
        <v>#VALUE!</v>
      </c>
      <c r="AG401" s="73" t="str">
        <f t="shared" si="264"/>
        <v/>
      </c>
      <c r="AH401" s="73" t="str">
        <f t="shared" si="265"/>
        <v/>
      </c>
      <c r="AI401" s="73" t="str">
        <f t="shared" si="266"/>
        <v/>
      </c>
      <c r="AJ401" s="73" t="str">
        <f t="shared" si="267"/>
        <v/>
      </c>
      <c r="AK401" s="73" t="b">
        <f t="shared" si="219"/>
        <v>1</v>
      </c>
      <c r="AL401" s="73" t="str">
        <f t="shared" si="268"/>
        <v/>
      </c>
      <c r="AM401" s="73" t="str">
        <f t="shared" si="269"/>
        <v/>
      </c>
      <c r="AN401" s="73" t="str">
        <f t="shared" si="270"/>
        <v/>
      </c>
      <c r="AO401" s="73" t="str">
        <f t="shared" si="271"/>
        <v/>
      </c>
      <c r="AP401" s="73" t="str">
        <f t="shared" si="272"/>
        <v/>
      </c>
    </row>
    <row r="402" spans="1:42" s="31" customFormat="1" x14ac:dyDescent="0.6">
      <c r="A402" s="70" t="str">
        <f t="shared" si="206"/>
        <v/>
      </c>
      <c r="B402" s="70" t="str">
        <f>IF(E402&lt;=$F$9,VLOOKUP(KALKULATOR!A402,Robocze!$B$23:$C$102,2),"")</f>
        <v/>
      </c>
      <c r="C402" s="70" t="str">
        <f t="shared" si="241"/>
        <v/>
      </c>
      <c r="D402" s="71" t="str">
        <f t="shared" si="242"/>
        <v/>
      </c>
      <c r="E402" s="77" t="str">
        <f t="shared" si="243"/>
        <v/>
      </c>
      <c r="F402" s="72" t="str">
        <f t="shared" si="244"/>
        <v/>
      </c>
      <c r="G402" s="73" t="str">
        <f>IFERROR(IF(AND(F402&lt;=$F$9,$F$5=Robocze!$B$4,$E402&lt;=$F$9,MONTH($F$8)=MONTH(E402)),$F$4,0)+IF(AND(F402&lt;=$F$9,$F$5=Robocze!$B$3,E402&lt;=$F$9),KALKULATOR!$F$4/12,0),"")</f>
        <v/>
      </c>
      <c r="H402" s="73" t="str">
        <f t="shared" si="245"/>
        <v/>
      </c>
      <c r="I402" s="74" t="str">
        <f t="shared" si="246"/>
        <v/>
      </c>
      <c r="J402" s="73" t="str">
        <f t="shared" si="247"/>
        <v/>
      </c>
      <c r="K402" s="75" t="str">
        <f t="shared" si="248"/>
        <v/>
      </c>
      <c r="L402" s="73" t="str">
        <f t="shared" si="249"/>
        <v/>
      </c>
      <c r="M402" s="73" t="str">
        <f t="shared" si="250"/>
        <v/>
      </c>
      <c r="N402" s="73" t="str">
        <f t="shared" si="251"/>
        <v/>
      </c>
      <c r="O402" s="73" t="str">
        <f t="shared" si="252"/>
        <v/>
      </c>
      <c r="P402" s="73" t="str">
        <f t="shared" si="253"/>
        <v/>
      </c>
      <c r="Q402" s="73" t="str">
        <f t="shared" si="254"/>
        <v/>
      </c>
      <c r="R402" s="73"/>
      <c r="S402" s="76" t="str">
        <f t="shared" si="255"/>
        <v/>
      </c>
      <c r="T402" s="73" t="str">
        <f t="shared" si="256"/>
        <v/>
      </c>
      <c r="U402" s="73" t="str">
        <f t="shared" si="257"/>
        <v/>
      </c>
      <c r="V402" s="76" t="str">
        <f t="shared" si="258"/>
        <v/>
      </c>
      <c r="W402" s="73" t="str">
        <f t="shared" si="259"/>
        <v/>
      </c>
      <c r="X402" s="73" t="str">
        <f>IF(B402&lt;&gt;"",IF(MONTH(E402)=MONTH($F$13),SUMIF($C$22:C781,"="&amp;(C402-1),$G$22:G781),0)*S402,"")</f>
        <v/>
      </c>
      <c r="Y402" s="73" t="str">
        <f>IF(B402&lt;&gt;"",SUM($X$22:X402),"")</f>
        <v/>
      </c>
      <c r="Z402" s="73" t="str">
        <f t="shared" si="260"/>
        <v/>
      </c>
      <c r="AA402" s="73" t="str">
        <f t="shared" si="261"/>
        <v/>
      </c>
      <c r="AB402" s="73" t="str">
        <f t="shared" si="262"/>
        <v/>
      </c>
      <c r="AC402" s="73" t="str">
        <f t="shared" si="263"/>
        <v/>
      </c>
      <c r="AD402" s="73" t="str">
        <f>IFERROR($U402*(1-$V402)+SUM($W$22:$W402)+$AB402,"")</f>
        <v/>
      </c>
      <c r="AE402" s="73" t="b">
        <f t="shared" si="218"/>
        <v>1</v>
      </c>
      <c r="AF402" s="73" t="e">
        <f>IF(AND(AE402=TRUE,D402&gt;=65),$U402*(1-10%)+SUM($W$22:$W402)+$AB402,AD402)</f>
        <v>#VALUE!</v>
      </c>
      <c r="AG402" s="73" t="str">
        <f t="shared" si="264"/>
        <v/>
      </c>
      <c r="AH402" s="73" t="str">
        <f t="shared" si="265"/>
        <v/>
      </c>
      <c r="AI402" s="73" t="str">
        <f t="shared" si="266"/>
        <v/>
      </c>
      <c r="AJ402" s="73" t="str">
        <f t="shared" si="267"/>
        <v/>
      </c>
      <c r="AK402" s="73" t="b">
        <f t="shared" si="219"/>
        <v>1</v>
      </c>
      <c r="AL402" s="73" t="str">
        <f t="shared" si="268"/>
        <v/>
      </c>
      <c r="AM402" s="73" t="str">
        <f t="shared" si="269"/>
        <v/>
      </c>
      <c r="AN402" s="73" t="str">
        <f t="shared" si="270"/>
        <v/>
      </c>
      <c r="AO402" s="73" t="str">
        <f t="shared" si="271"/>
        <v/>
      </c>
      <c r="AP402" s="73" t="str">
        <f t="shared" si="272"/>
        <v/>
      </c>
    </row>
    <row r="403" spans="1:42" s="31" customFormat="1" x14ac:dyDescent="0.6">
      <c r="A403" s="70" t="str">
        <f t="shared" si="206"/>
        <v/>
      </c>
      <c r="B403" s="70" t="str">
        <f>IF(E403&lt;=$F$9,VLOOKUP(KALKULATOR!A403,Robocze!$B$23:$C$102,2),"")</f>
        <v/>
      </c>
      <c r="C403" s="70" t="str">
        <f t="shared" si="241"/>
        <v/>
      </c>
      <c r="D403" s="71" t="str">
        <f t="shared" si="242"/>
        <v/>
      </c>
      <c r="E403" s="77" t="str">
        <f t="shared" si="243"/>
        <v/>
      </c>
      <c r="F403" s="72" t="str">
        <f t="shared" si="244"/>
        <v/>
      </c>
      <c r="G403" s="73" t="str">
        <f>IFERROR(IF(AND(F403&lt;=$F$9,$F$5=Robocze!$B$4,$E403&lt;=$F$9,MONTH($F$8)=MONTH(E403)),$F$4,0)+IF(AND(F403&lt;=$F$9,$F$5=Robocze!$B$3,E403&lt;=$F$9),KALKULATOR!$F$4/12,0),"")</f>
        <v/>
      </c>
      <c r="H403" s="73" t="str">
        <f t="shared" si="245"/>
        <v/>
      </c>
      <c r="I403" s="74" t="str">
        <f t="shared" si="246"/>
        <v/>
      </c>
      <c r="J403" s="73" t="str">
        <f t="shared" si="247"/>
        <v/>
      </c>
      <c r="K403" s="75" t="str">
        <f t="shared" si="248"/>
        <v/>
      </c>
      <c r="L403" s="73" t="str">
        <f t="shared" si="249"/>
        <v/>
      </c>
      <c r="M403" s="73" t="str">
        <f t="shared" si="250"/>
        <v/>
      </c>
      <c r="N403" s="73" t="str">
        <f t="shared" si="251"/>
        <v/>
      </c>
      <c r="O403" s="73" t="str">
        <f t="shared" si="252"/>
        <v/>
      </c>
      <c r="P403" s="73" t="str">
        <f t="shared" si="253"/>
        <v/>
      </c>
      <c r="Q403" s="73" t="str">
        <f t="shared" si="254"/>
        <v/>
      </c>
      <c r="R403" s="73"/>
      <c r="S403" s="76" t="str">
        <f t="shared" si="255"/>
        <v/>
      </c>
      <c r="T403" s="73" t="str">
        <f t="shared" si="256"/>
        <v/>
      </c>
      <c r="U403" s="73" t="str">
        <f t="shared" si="257"/>
        <v/>
      </c>
      <c r="V403" s="76" t="str">
        <f t="shared" si="258"/>
        <v/>
      </c>
      <c r="W403" s="73" t="str">
        <f t="shared" si="259"/>
        <v/>
      </c>
      <c r="X403" s="73" t="str">
        <f>IF(B403&lt;&gt;"",IF(MONTH(E403)=MONTH($F$13),SUMIF($C$22:C782,"="&amp;(C403-1),$G$22:G782),0)*S403,"")</f>
        <v/>
      </c>
      <c r="Y403" s="73" t="str">
        <f>IF(B403&lt;&gt;"",SUM($X$22:X403),"")</f>
        <v/>
      </c>
      <c r="Z403" s="73" t="str">
        <f t="shared" si="260"/>
        <v/>
      </c>
      <c r="AA403" s="73" t="str">
        <f t="shared" si="261"/>
        <v/>
      </c>
      <c r="AB403" s="73" t="str">
        <f t="shared" si="262"/>
        <v/>
      </c>
      <c r="AC403" s="73" t="str">
        <f t="shared" si="263"/>
        <v/>
      </c>
      <c r="AD403" s="73" t="str">
        <f>IFERROR($U403*(1-$V403)+SUM($W$22:$W403)+$AB403,"")</f>
        <v/>
      </c>
      <c r="AE403" s="73" t="b">
        <f t="shared" si="218"/>
        <v>1</v>
      </c>
      <c r="AF403" s="73" t="e">
        <f>IF(AND(AE403=TRUE,D403&gt;=65),$U403*(1-10%)+SUM($W$22:$W403)+$AB403,AD403)</f>
        <v>#VALUE!</v>
      </c>
      <c r="AG403" s="73" t="str">
        <f t="shared" si="264"/>
        <v/>
      </c>
      <c r="AH403" s="73" t="str">
        <f t="shared" si="265"/>
        <v/>
      </c>
      <c r="AI403" s="73" t="str">
        <f t="shared" si="266"/>
        <v/>
      </c>
      <c r="AJ403" s="73" t="str">
        <f t="shared" si="267"/>
        <v/>
      </c>
      <c r="AK403" s="73" t="b">
        <f t="shared" si="219"/>
        <v>1</v>
      </c>
      <c r="AL403" s="73" t="str">
        <f t="shared" si="268"/>
        <v/>
      </c>
      <c r="AM403" s="73" t="str">
        <f t="shared" si="269"/>
        <v/>
      </c>
      <c r="AN403" s="73" t="str">
        <f t="shared" si="270"/>
        <v/>
      </c>
      <c r="AO403" s="73" t="str">
        <f t="shared" si="271"/>
        <v/>
      </c>
      <c r="AP403" s="73" t="str">
        <f t="shared" si="272"/>
        <v/>
      </c>
    </row>
    <row r="404" spans="1:42" s="31" customFormat="1" x14ac:dyDescent="0.6">
      <c r="A404" s="70" t="str">
        <f t="shared" si="206"/>
        <v/>
      </c>
      <c r="B404" s="70" t="str">
        <f>IF(E404&lt;=$F$9,VLOOKUP(KALKULATOR!A404,Robocze!$B$23:$C$102,2),"")</f>
        <v/>
      </c>
      <c r="C404" s="70" t="str">
        <f t="shared" si="241"/>
        <v/>
      </c>
      <c r="D404" s="71" t="str">
        <f t="shared" si="242"/>
        <v/>
      </c>
      <c r="E404" s="77" t="str">
        <f t="shared" si="243"/>
        <v/>
      </c>
      <c r="F404" s="72" t="str">
        <f t="shared" si="244"/>
        <v/>
      </c>
      <c r="G404" s="73" t="str">
        <f>IFERROR(IF(AND(F404&lt;=$F$9,$F$5=Robocze!$B$4,$E404&lt;=$F$9,MONTH($F$8)=MONTH(E404)),$F$4,0)+IF(AND(F404&lt;=$F$9,$F$5=Robocze!$B$3,E404&lt;=$F$9),KALKULATOR!$F$4/12,0),"")</f>
        <v/>
      </c>
      <c r="H404" s="73" t="str">
        <f t="shared" si="245"/>
        <v/>
      </c>
      <c r="I404" s="74" t="str">
        <f t="shared" si="246"/>
        <v/>
      </c>
      <c r="J404" s="73" t="str">
        <f t="shared" si="247"/>
        <v/>
      </c>
      <c r="K404" s="75" t="str">
        <f t="shared" si="248"/>
        <v/>
      </c>
      <c r="L404" s="73" t="str">
        <f t="shared" si="249"/>
        <v/>
      </c>
      <c r="M404" s="73" t="str">
        <f t="shared" si="250"/>
        <v/>
      </c>
      <c r="N404" s="73" t="str">
        <f t="shared" si="251"/>
        <v/>
      </c>
      <c r="O404" s="73" t="str">
        <f t="shared" si="252"/>
        <v/>
      </c>
      <c r="P404" s="73" t="str">
        <f t="shared" si="253"/>
        <v/>
      </c>
      <c r="Q404" s="73" t="str">
        <f t="shared" si="254"/>
        <v/>
      </c>
      <c r="R404" s="73"/>
      <c r="S404" s="76" t="str">
        <f t="shared" si="255"/>
        <v/>
      </c>
      <c r="T404" s="73" t="str">
        <f t="shared" si="256"/>
        <v/>
      </c>
      <c r="U404" s="73" t="str">
        <f t="shared" si="257"/>
        <v/>
      </c>
      <c r="V404" s="76" t="str">
        <f t="shared" si="258"/>
        <v/>
      </c>
      <c r="W404" s="73" t="str">
        <f t="shared" si="259"/>
        <v/>
      </c>
      <c r="X404" s="73" t="str">
        <f>IF(B404&lt;&gt;"",IF(MONTH(E404)=MONTH($F$13),SUMIF($C$22:C783,"="&amp;(C404-1),$G$22:G783),0)*S404,"")</f>
        <v/>
      </c>
      <c r="Y404" s="73" t="str">
        <f>IF(B404&lt;&gt;"",SUM($X$22:X404),"")</f>
        <v/>
      </c>
      <c r="Z404" s="73" t="str">
        <f t="shared" si="260"/>
        <v/>
      </c>
      <c r="AA404" s="73" t="str">
        <f t="shared" si="261"/>
        <v/>
      </c>
      <c r="AB404" s="73" t="str">
        <f t="shared" si="262"/>
        <v/>
      </c>
      <c r="AC404" s="73" t="str">
        <f t="shared" si="263"/>
        <v/>
      </c>
      <c r="AD404" s="73" t="str">
        <f>IFERROR($U404*(1-$V404)+SUM($W$22:$W404)+$AB404,"")</f>
        <v/>
      </c>
      <c r="AE404" s="73" t="b">
        <f t="shared" si="218"/>
        <v>1</v>
      </c>
      <c r="AF404" s="73" t="e">
        <f>IF(AND(AE404=TRUE,D404&gt;=65),$U404*(1-10%)+SUM($W$22:$W404)+$AB404,AD404)</f>
        <v>#VALUE!</v>
      </c>
      <c r="AG404" s="73" t="str">
        <f t="shared" si="264"/>
        <v/>
      </c>
      <c r="AH404" s="73" t="str">
        <f t="shared" si="265"/>
        <v/>
      </c>
      <c r="AI404" s="73" t="str">
        <f t="shared" si="266"/>
        <v/>
      </c>
      <c r="AJ404" s="73" t="str">
        <f t="shared" si="267"/>
        <v/>
      </c>
      <c r="AK404" s="73" t="b">
        <f t="shared" si="219"/>
        <v>1</v>
      </c>
      <c r="AL404" s="73" t="str">
        <f t="shared" si="268"/>
        <v/>
      </c>
      <c r="AM404" s="73" t="str">
        <f t="shared" si="269"/>
        <v/>
      </c>
      <c r="AN404" s="73" t="str">
        <f t="shared" si="270"/>
        <v/>
      </c>
      <c r="AO404" s="73" t="str">
        <f t="shared" si="271"/>
        <v/>
      </c>
      <c r="AP404" s="73" t="str">
        <f t="shared" si="272"/>
        <v/>
      </c>
    </row>
    <row r="405" spans="1:42" s="69" customFormat="1" x14ac:dyDescent="0.6">
      <c r="A405" s="78" t="str">
        <f t="shared" si="206"/>
        <v/>
      </c>
      <c r="B405" s="78" t="str">
        <f>IF(E405&lt;=$F$9,VLOOKUP(KALKULATOR!A405,Robocze!$B$23:$C$102,2),"")</f>
        <v/>
      </c>
      <c r="C405" s="78" t="str">
        <f t="shared" si="241"/>
        <v/>
      </c>
      <c r="D405" s="79" t="str">
        <f t="shared" si="242"/>
        <v/>
      </c>
      <c r="E405" s="80" t="str">
        <f t="shared" si="243"/>
        <v/>
      </c>
      <c r="F405" s="81" t="str">
        <f t="shared" si="244"/>
        <v/>
      </c>
      <c r="G405" s="82" t="str">
        <f>IFERROR(IF(AND(F405&lt;=$F$9,$F$5=Robocze!$B$4,$E405&lt;=$F$9,MONTH($F$8)=MONTH(E405)),$F$4,0)+IF(AND(F405&lt;=$F$9,$F$5=Robocze!$B$3,E405&lt;=$F$9),KALKULATOR!$F$4/12,0),"")</f>
        <v/>
      </c>
      <c r="H405" s="82" t="str">
        <f t="shared" si="245"/>
        <v/>
      </c>
      <c r="I405" s="83" t="str">
        <f t="shared" si="246"/>
        <v/>
      </c>
      <c r="J405" s="82" t="str">
        <f t="shared" si="247"/>
        <v/>
      </c>
      <c r="K405" s="84" t="str">
        <f t="shared" si="248"/>
        <v/>
      </c>
      <c r="L405" s="82" t="str">
        <f t="shared" si="249"/>
        <v/>
      </c>
      <c r="M405" s="82" t="str">
        <f t="shared" si="250"/>
        <v/>
      </c>
      <c r="N405" s="82" t="str">
        <f t="shared" si="251"/>
        <v/>
      </c>
      <c r="O405" s="82" t="str">
        <f t="shared" si="252"/>
        <v/>
      </c>
      <c r="P405" s="82" t="str">
        <f t="shared" si="253"/>
        <v/>
      </c>
      <c r="Q405" s="82" t="str">
        <f t="shared" si="254"/>
        <v/>
      </c>
      <c r="R405" s="82"/>
      <c r="S405" s="85" t="str">
        <f t="shared" si="255"/>
        <v/>
      </c>
      <c r="T405" s="82" t="str">
        <f t="shared" si="256"/>
        <v/>
      </c>
      <c r="U405" s="82" t="str">
        <f t="shared" si="257"/>
        <v/>
      </c>
      <c r="V405" s="85" t="str">
        <f t="shared" si="258"/>
        <v/>
      </c>
      <c r="W405" s="82" t="str">
        <f t="shared" si="259"/>
        <v/>
      </c>
      <c r="X405" s="82" t="str">
        <f>IF(B405&lt;&gt;"",IF(MONTH(E405)=MONTH($F$13),SUMIF($C$22:C784,"="&amp;(C405-1),$G$22:G784),0)*S405,"")</f>
        <v/>
      </c>
      <c r="Y405" s="82" t="str">
        <f>IF(B405&lt;&gt;"",SUM($X$22:X405),"")</f>
        <v/>
      </c>
      <c r="Z405" s="82" t="str">
        <f t="shared" si="260"/>
        <v/>
      </c>
      <c r="AA405" s="82" t="str">
        <f t="shared" si="261"/>
        <v/>
      </c>
      <c r="AB405" s="82" t="str">
        <f t="shared" si="262"/>
        <v/>
      </c>
      <c r="AC405" s="82" t="str">
        <f t="shared" si="263"/>
        <v/>
      </c>
      <c r="AD405" s="82" t="str">
        <f>IFERROR($U405*(1-$V405)+SUM($W$22:$W405)+$AB405,"")</f>
        <v/>
      </c>
      <c r="AE405" s="73" t="b">
        <f t="shared" si="218"/>
        <v>1</v>
      </c>
      <c r="AF405" s="82" t="e">
        <f>IF(AND(AE405=TRUE,D405&gt;=65),$U405*(1-10%)+SUM($W$22:$W405)+$AB405,AD405)</f>
        <v>#VALUE!</v>
      </c>
      <c r="AG405" s="82" t="str">
        <f t="shared" si="264"/>
        <v/>
      </c>
      <c r="AH405" s="82" t="str">
        <f t="shared" si="265"/>
        <v/>
      </c>
      <c r="AI405" s="82" t="str">
        <f t="shared" si="266"/>
        <v/>
      </c>
      <c r="AJ405" s="82" t="str">
        <f t="shared" si="267"/>
        <v/>
      </c>
      <c r="AK405" s="73" t="b">
        <f t="shared" si="219"/>
        <v>1</v>
      </c>
      <c r="AL405" s="82" t="str">
        <f t="shared" si="268"/>
        <v/>
      </c>
      <c r="AM405" s="82" t="str">
        <f t="shared" si="269"/>
        <v/>
      </c>
      <c r="AN405" s="82" t="str">
        <f t="shared" si="270"/>
        <v/>
      </c>
      <c r="AO405" s="82" t="str">
        <f t="shared" si="271"/>
        <v/>
      </c>
      <c r="AP405" s="82" t="str">
        <f t="shared" si="272"/>
        <v/>
      </c>
    </row>
    <row r="406" spans="1:42" s="31" customFormat="1" x14ac:dyDescent="0.6">
      <c r="A406" s="70" t="str">
        <f t="shared" ref="A406:A469" si="273">IFERROR(IF((A405+1)&lt;=$F$7*12,A405+1,""),"")</f>
        <v/>
      </c>
      <c r="B406" s="70" t="str">
        <f>IF(E406&lt;=$F$9,VLOOKUP(KALKULATOR!A406,Robocze!$B$23:$C$102,2),"")</f>
        <v/>
      </c>
      <c r="C406" s="70" t="str">
        <f t="shared" si="241"/>
        <v/>
      </c>
      <c r="D406" s="71" t="str">
        <f t="shared" si="242"/>
        <v/>
      </c>
      <c r="E406" s="72" t="str">
        <f t="shared" si="243"/>
        <v/>
      </c>
      <c r="F406" s="72" t="str">
        <f t="shared" si="244"/>
        <v/>
      </c>
      <c r="G406" s="73" t="str">
        <f>IFERROR(IF(AND(F406&lt;=$F$9,$F$5=Robocze!$B$4,$E406&lt;=$F$9,MONTH($F$8)=MONTH(E406)),$F$4,0)+IF(AND(F406&lt;=$F$9,$F$5=Robocze!$B$3,E406&lt;=$F$9),KALKULATOR!$F$4/12,0),"")</f>
        <v/>
      </c>
      <c r="H406" s="73" t="str">
        <f t="shared" si="245"/>
        <v/>
      </c>
      <c r="I406" s="74" t="str">
        <f t="shared" si="246"/>
        <v/>
      </c>
      <c r="J406" s="73" t="str">
        <f t="shared" si="247"/>
        <v/>
      </c>
      <c r="K406" s="75" t="str">
        <f t="shared" si="248"/>
        <v/>
      </c>
      <c r="L406" s="73" t="str">
        <f t="shared" si="249"/>
        <v/>
      </c>
      <c r="M406" s="73" t="str">
        <f t="shared" si="250"/>
        <v/>
      </c>
      <c r="N406" s="73" t="str">
        <f t="shared" si="251"/>
        <v/>
      </c>
      <c r="O406" s="73" t="str">
        <f t="shared" si="252"/>
        <v/>
      </c>
      <c r="P406" s="73" t="str">
        <f t="shared" si="253"/>
        <v/>
      </c>
      <c r="Q406" s="73" t="str">
        <f t="shared" si="254"/>
        <v/>
      </c>
      <c r="R406" s="73"/>
      <c r="S406" s="76" t="str">
        <f t="shared" si="255"/>
        <v/>
      </c>
      <c r="T406" s="73" t="str">
        <f t="shared" si="256"/>
        <v/>
      </c>
      <c r="U406" s="73" t="str">
        <f t="shared" si="257"/>
        <v/>
      </c>
      <c r="V406" s="76" t="str">
        <f t="shared" si="258"/>
        <v/>
      </c>
      <c r="W406" s="73" t="str">
        <f t="shared" si="259"/>
        <v/>
      </c>
      <c r="X406" s="73" t="str">
        <f>IF(B406&lt;&gt;"",IF(MONTH(E406)=MONTH($F$13),SUMIF($C$22:C785,"="&amp;(C406-1),$G$22:G785),0)*S406,"")</f>
        <v/>
      </c>
      <c r="Y406" s="73" t="str">
        <f>IF(B406&lt;&gt;"",SUM($X$22:X406),"")</f>
        <v/>
      </c>
      <c r="Z406" s="73" t="str">
        <f t="shared" si="260"/>
        <v/>
      </c>
      <c r="AA406" s="73" t="str">
        <f t="shared" si="261"/>
        <v/>
      </c>
      <c r="AB406" s="73" t="str">
        <f t="shared" si="262"/>
        <v/>
      </c>
      <c r="AC406" s="73" t="str">
        <f t="shared" si="263"/>
        <v/>
      </c>
      <c r="AD406" s="73" t="str">
        <f>IFERROR($U406*(1-$V406)+SUM($W$22:$W406)+$AB406,"")</f>
        <v/>
      </c>
      <c r="AE406" s="73" t="b">
        <f t="shared" si="218"/>
        <v>1</v>
      </c>
      <c r="AF406" s="73" t="e">
        <f>IF(AND(AE406=TRUE,D406&gt;=65),$U406*(1-10%)+SUM($W$22:$W406)+$AB406,AD406)</f>
        <v>#VALUE!</v>
      </c>
      <c r="AG406" s="73" t="str">
        <f t="shared" si="264"/>
        <v/>
      </c>
      <c r="AH406" s="73" t="str">
        <f t="shared" si="265"/>
        <v/>
      </c>
      <c r="AI406" s="73" t="str">
        <f t="shared" si="266"/>
        <v/>
      </c>
      <c r="AJ406" s="73" t="str">
        <f t="shared" si="267"/>
        <v/>
      </c>
      <c r="AK406" s="73" t="b">
        <f t="shared" si="219"/>
        <v>1</v>
      </c>
      <c r="AL406" s="73" t="str">
        <f t="shared" si="268"/>
        <v/>
      </c>
      <c r="AM406" s="73" t="str">
        <f t="shared" si="269"/>
        <v/>
      </c>
      <c r="AN406" s="73" t="str">
        <f t="shared" si="270"/>
        <v/>
      </c>
      <c r="AO406" s="73" t="str">
        <f t="shared" si="271"/>
        <v/>
      </c>
      <c r="AP406" s="73" t="str">
        <f t="shared" si="272"/>
        <v/>
      </c>
    </row>
    <row r="407" spans="1:42" s="31" customFormat="1" x14ac:dyDescent="0.6">
      <c r="A407" s="70" t="str">
        <f t="shared" si="273"/>
        <v/>
      </c>
      <c r="B407" s="70" t="str">
        <f>IF(E407&lt;=$F$9,VLOOKUP(KALKULATOR!A407,Robocze!$B$23:$C$102,2),"")</f>
        <v/>
      </c>
      <c r="C407" s="70" t="str">
        <f t="shared" si="241"/>
        <v/>
      </c>
      <c r="D407" s="71" t="str">
        <f t="shared" si="242"/>
        <v/>
      </c>
      <c r="E407" s="77" t="str">
        <f t="shared" si="243"/>
        <v/>
      </c>
      <c r="F407" s="72" t="str">
        <f t="shared" si="244"/>
        <v/>
      </c>
      <c r="G407" s="73" t="str">
        <f>IFERROR(IF(AND(F407&lt;=$F$9,$F$5=Robocze!$B$4,$E407&lt;=$F$9,MONTH($F$8)=MONTH(E407)),$F$4,0)+IF(AND(F407&lt;=$F$9,$F$5=Robocze!$B$3,E407&lt;=$F$9),KALKULATOR!$F$4/12,0),"")</f>
        <v/>
      </c>
      <c r="H407" s="73" t="str">
        <f t="shared" si="245"/>
        <v/>
      </c>
      <c r="I407" s="74" t="str">
        <f t="shared" si="246"/>
        <v/>
      </c>
      <c r="J407" s="73" t="str">
        <f t="shared" si="247"/>
        <v/>
      </c>
      <c r="K407" s="75" t="str">
        <f t="shared" si="248"/>
        <v/>
      </c>
      <c r="L407" s="73" t="str">
        <f t="shared" si="249"/>
        <v/>
      </c>
      <c r="M407" s="73" t="str">
        <f t="shared" si="250"/>
        <v/>
      </c>
      <c r="N407" s="73" t="str">
        <f t="shared" si="251"/>
        <v/>
      </c>
      <c r="O407" s="73" t="str">
        <f t="shared" si="252"/>
        <v/>
      </c>
      <c r="P407" s="73" t="str">
        <f t="shared" si="253"/>
        <v/>
      </c>
      <c r="Q407" s="73" t="str">
        <f t="shared" si="254"/>
        <v/>
      </c>
      <c r="R407" s="73"/>
      <c r="S407" s="76" t="str">
        <f t="shared" si="255"/>
        <v/>
      </c>
      <c r="T407" s="73" t="str">
        <f t="shared" si="256"/>
        <v/>
      </c>
      <c r="U407" s="73" t="str">
        <f t="shared" si="257"/>
        <v/>
      </c>
      <c r="V407" s="76" t="str">
        <f t="shared" si="258"/>
        <v/>
      </c>
      <c r="W407" s="73" t="str">
        <f t="shared" si="259"/>
        <v/>
      </c>
      <c r="X407" s="73" t="str">
        <f>IF(B407&lt;&gt;"",IF(MONTH(E407)=MONTH($F$13),SUMIF($C$22:C786,"="&amp;(C407-1),$G$22:G786),0)*S407,"")</f>
        <v/>
      </c>
      <c r="Y407" s="73" t="str">
        <f>IF(B407&lt;&gt;"",SUM($X$22:X407),"")</f>
        <v/>
      </c>
      <c r="Z407" s="73" t="str">
        <f t="shared" si="260"/>
        <v/>
      </c>
      <c r="AA407" s="73" t="str">
        <f t="shared" si="261"/>
        <v/>
      </c>
      <c r="AB407" s="73" t="str">
        <f t="shared" si="262"/>
        <v/>
      </c>
      <c r="AC407" s="73" t="str">
        <f t="shared" si="263"/>
        <v/>
      </c>
      <c r="AD407" s="73" t="str">
        <f>IFERROR($U407*(1-$V407)+SUM($W$22:$W407)+$AB407,"")</f>
        <v/>
      </c>
      <c r="AE407" s="73" t="b">
        <f t="shared" ref="AE407:AE470" si="274">IFERROR(IF(AE406=TRUE,AE406,AND(YEAR(E407)-YEAR($F$8)&gt;=5,D407&gt;=65)),"")</f>
        <v>1</v>
      </c>
      <c r="AF407" s="73" t="e">
        <f>IF(AND(AE407=TRUE,D407&gt;=65),$U407*(1-10%)+SUM($W$22:$W407)+$AB407,AD407)</f>
        <v>#VALUE!</v>
      </c>
      <c r="AG407" s="73" t="str">
        <f t="shared" si="264"/>
        <v/>
      </c>
      <c r="AH407" s="73" t="str">
        <f t="shared" si="265"/>
        <v/>
      </c>
      <c r="AI407" s="73" t="str">
        <f t="shared" si="266"/>
        <v/>
      </c>
      <c r="AJ407" s="73" t="str">
        <f t="shared" si="267"/>
        <v/>
      </c>
      <c r="AK407" s="73" t="b">
        <f t="shared" ref="AK407:AK470" si="275">IFERROR(IF(AK406=TRUE,AK406,AND(YEAR(E407)-YEAR($F$8)&gt;=5,D407&gt;=55,OR(D407&gt;=60,D407&gt;=$F$10))),"")</f>
        <v>1</v>
      </c>
      <c r="AL407" s="73" t="str">
        <f t="shared" si="268"/>
        <v/>
      </c>
      <c r="AM407" s="73" t="str">
        <f t="shared" si="269"/>
        <v/>
      </c>
      <c r="AN407" s="73" t="str">
        <f t="shared" si="270"/>
        <v/>
      </c>
      <c r="AO407" s="73" t="str">
        <f t="shared" si="271"/>
        <v/>
      </c>
      <c r="AP407" s="73" t="str">
        <f t="shared" si="272"/>
        <v/>
      </c>
    </row>
    <row r="408" spans="1:42" s="31" customFormat="1" x14ac:dyDescent="0.6">
      <c r="A408" s="70" t="str">
        <f t="shared" si="273"/>
        <v/>
      </c>
      <c r="B408" s="70" t="str">
        <f>IF(E408&lt;=$F$9,VLOOKUP(KALKULATOR!A408,Robocze!$B$23:$C$102,2),"")</f>
        <v/>
      </c>
      <c r="C408" s="70" t="str">
        <f t="shared" si="241"/>
        <v/>
      </c>
      <c r="D408" s="71" t="str">
        <f t="shared" si="242"/>
        <v/>
      </c>
      <c r="E408" s="77" t="str">
        <f t="shared" si="243"/>
        <v/>
      </c>
      <c r="F408" s="72" t="str">
        <f t="shared" si="244"/>
        <v/>
      </c>
      <c r="G408" s="73" t="str">
        <f>IFERROR(IF(AND(F408&lt;=$F$9,$F$5=Robocze!$B$4,$E408&lt;=$F$9,MONTH($F$8)=MONTH(E408)),$F$4,0)+IF(AND(F408&lt;=$F$9,$F$5=Robocze!$B$3,E408&lt;=$F$9),KALKULATOR!$F$4/12,0),"")</f>
        <v/>
      </c>
      <c r="H408" s="73" t="str">
        <f t="shared" si="245"/>
        <v/>
      </c>
      <c r="I408" s="74" t="str">
        <f t="shared" si="246"/>
        <v/>
      </c>
      <c r="J408" s="73" t="str">
        <f t="shared" si="247"/>
        <v/>
      </c>
      <c r="K408" s="75" t="str">
        <f t="shared" si="248"/>
        <v/>
      </c>
      <c r="L408" s="73" t="str">
        <f t="shared" si="249"/>
        <v/>
      </c>
      <c r="M408" s="73" t="str">
        <f t="shared" si="250"/>
        <v/>
      </c>
      <c r="N408" s="73" t="str">
        <f t="shared" si="251"/>
        <v/>
      </c>
      <c r="O408" s="73" t="str">
        <f t="shared" si="252"/>
        <v/>
      </c>
      <c r="P408" s="73" t="str">
        <f t="shared" si="253"/>
        <v/>
      </c>
      <c r="Q408" s="73" t="str">
        <f t="shared" si="254"/>
        <v/>
      </c>
      <c r="R408" s="73"/>
      <c r="S408" s="76" t="str">
        <f t="shared" si="255"/>
        <v/>
      </c>
      <c r="T408" s="73" t="str">
        <f t="shared" si="256"/>
        <v/>
      </c>
      <c r="U408" s="73" t="str">
        <f t="shared" si="257"/>
        <v/>
      </c>
      <c r="V408" s="76" t="str">
        <f t="shared" si="258"/>
        <v/>
      </c>
      <c r="W408" s="73" t="str">
        <f t="shared" si="259"/>
        <v/>
      </c>
      <c r="X408" s="73" t="str">
        <f>IF(B408&lt;&gt;"",IF(MONTH(E408)=MONTH($F$13),SUMIF($C$22:C787,"="&amp;(C408-1),$G$22:G787),0)*S408,"")</f>
        <v/>
      </c>
      <c r="Y408" s="73" t="str">
        <f>IF(B408&lt;&gt;"",SUM($X$22:X408),"")</f>
        <v/>
      </c>
      <c r="Z408" s="73" t="str">
        <f t="shared" si="260"/>
        <v/>
      </c>
      <c r="AA408" s="73" t="str">
        <f t="shared" si="261"/>
        <v/>
      </c>
      <c r="AB408" s="73" t="str">
        <f t="shared" si="262"/>
        <v/>
      </c>
      <c r="AC408" s="73" t="str">
        <f t="shared" si="263"/>
        <v/>
      </c>
      <c r="AD408" s="73" t="str">
        <f>IFERROR($U408*(1-$V408)+SUM($W$22:$W408)+$AB408,"")</f>
        <v/>
      </c>
      <c r="AE408" s="73" t="b">
        <f t="shared" si="274"/>
        <v>1</v>
      </c>
      <c r="AF408" s="73" t="e">
        <f>IF(AND(AE408=TRUE,D408&gt;=65),$U408*(1-10%)+SUM($W$22:$W408)+$AB408,AD408)</f>
        <v>#VALUE!</v>
      </c>
      <c r="AG408" s="73" t="str">
        <f t="shared" si="264"/>
        <v/>
      </c>
      <c r="AH408" s="73" t="str">
        <f t="shared" si="265"/>
        <v/>
      </c>
      <c r="AI408" s="73" t="str">
        <f t="shared" si="266"/>
        <v/>
      </c>
      <c r="AJ408" s="73" t="str">
        <f t="shared" si="267"/>
        <v/>
      </c>
      <c r="AK408" s="73" t="b">
        <f t="shared" si="275"/>
        <v>1</v>
      </c>
      <c r="AL408" s="73" t="str">
        <f t="shared" si="268"/>
        <v/>
      </c>
      <c r="AM408" s="73" t="str">
        <f t="shared" si="269"/>
        <v/>
      </c>
      <c r="AN408" s="73" t="str">
        <f t="shared" si="270"/>
        <v/>
      </c>
      <c r="AO408" s="73" t="str">
        <f t="shared" si="271"/>
        <v/>
      </c>
      <c r="AP408" s="73" t="str">
        <f t="shared" si="272"/>
        <v/>
      </c>
    </row>
    <row r="409" spans="1:42" s="31" customFormat="1" x14ac:dyDescent="0.6">
      <c r="A409" s="70" t="str">
        <f t="shared" si="273"/>
        <v/>
      </c>
      <c r="B409" s="70" t="str">
        <f>IF(E409&lt;=$F$9,VLOOKUP(KALKULATOR!A409,Robocze!$B$23:$C$102,2),"")</f>
        <v/>
      </c>
      <c r="C409" s="70" t="str">
        <f t="shared" si="241"/>
        <v/>
      </c>
      <c r="D409" s="71" t="str">
        <f t="shared" si="242"/>
        <v/>
      </c>
      <c r="E409" s="77" t="str">
        <f t="shared" si="243"/>
        <v/>
      </c>
      <c r="F409" s="72" t="str">
        <f t="shared" si="244"/>
        <v/>
      </c>
      <c r="G409" s="73" t="str">
        <f>IFERROR(IF(AND(F409&lt;=$F$9,$F$5=Robocze!$B$4,$E409&lt;=$F$9,MONTH($F$8)=MONTH(E409)),$F$4,0)+IF(AND(F409&lt;=$F$9,$F$5=Robocze!$B$3,E409&lt;=$F$9),KALKULATOR!$F$4/12,0),"")</f>
        <v/>
      </c>
      <c r="H409" s="73" t="str">
        <f t="shared" si="245"/>
        <v/>
      </c>
      <c r="I409" s="74" t="str">
        <f t="shared" si="246"/>
        <v/>
      </c>
      <c r="J409" s="73" t="str">
        <f t="shared" si="247"/>
        <v/>
      </c>
      <c r="K409" s="75" t="str">
        <f t="shared" si="248"/>
        <v/>
      </c>
      <c r="L409" s="73" t="str">
        <f t="shared" si="249"/>
        <v/>
      </c>
      <c r="M409" s="73" t="str">
        <f t="shared" si="250"/>
        <v/>
      </c>
      <c r="N409" s="73" t="str">
        <f t="shared" si="251"/>
        <v/>
      </c>
      <c r="O409" s="73" t="str">
        <f t="shared" si="252"/>
        <v/>
      </c>
      <c r="P409" s="73" t="str">
        <f t="shared" si="253"/>
        <v/>
      </c>
      <c r="Q409" s="73" t="str">
        <f t="shared" si="254"/>
        <v/>
      </c>
      <c r="R409" s="73"/>
      <c r="S409" s="76" t="str">
        <f t="shared" si="255"/>
        <v/>
      </c>
      <c r="T409" s="73" t="str">
        <f t="shared" si="256"/>
        <v/>
      </c>
      <c r="U409" s="73" t="str">
        <f t="shared" si="257"/>
        <v/>
      </c>
      <c r="V409" s="76" t="str">
        <f t="shared" si="258"/>
        <v/>
      </c>
      <c r="W409" s="73" t="str">
        <f t="shared" si="259"/>
        <v/>
      </c>
      <c r="X409" s="73" t="str">
        <f>IF(B409&lt;&gt;"",IF(MONTH(E409)=MONTH($F$13),SUMIF($C$22:C788,"="&amp;(C409-1),$G$22:G788),0)*S409,"")</f>
        <v/>
      </c>
      <c r="Y409" s="73" t="str">
        <f>IF(B409&lt;&gt;"",SUM($X$22:X409),"")</f>
        <v/>
      </c>
      <c r="Z409" s="73" t="str">
        <f t="shared" si="260"/>
        <v/>
      </c>
      <c r="AA409" s="73" t="str">
        <f t="shared" si="261"/>
        <v/>
      </c>
      <c r="AB409" s="73" t="str">
        <f t="shared" si="262"/>
        <v/>
      </c>
      <c r="AC409" s="73" t="str">
        <f t="shared" si="263"/>
        <v/>
      </c>
      <c r="AD409" s="73" t="str">
        <f>IFERROR($U409*(1-$V409)+SUM($W$22:$W409)+$AB409,"")</f>
        <v/>
      </c>
      <c r="AE409" s="73" t="b">
        <f t="shared" si="274"/>
        <v>1</v>
      </c>
      <c r="AF409" s="73" t="e">
        <f>IF(AND(AE409=TRUE,D409&gt;=65),$U409*(1-10%)+SUM($W$22:$W409)+$AB409,AD409)</f>
        <v>#VALUE!</v>
      </c>
      <c r="AG409" s="73" t="str">
        <f t="shared" si="264"/>
        <v/>
      </c>
      <c r="AH409" s="73" t="str">
        <f t="shared" si="265"/>
        <v/>
      </c>
      <c r="AI409" s="73" t="str">
        <f t="shared" si="266"/>
        <v/>
      </c>
      <c r="AJ409" s="73" t="str">
        <f t="shared" si="267"/>
        <v/>
      </c>
      <c r="AK409" s="73" t="b">
        <f t="shared" si="275"/>
        <v>1</v>
      </c>
      <c r="AL409" s="73" t="str">
        <f t="shared" si="268"/>
        <v/>
      </c>
      <c r="AM409" s="73" t="str">
        <f t="shared" si="269"/>
        <v/>
      </c>
      <c r="AN409" s="73" t="str">
        <f t="shared" si="270"/>
        <v/>
      </c>
      <c r="AO409" s="73" t="str">
        <f t="shared" si="271"/>
        <v/>
      </c>
      <c r="AP409" s="73" t="str">
        <f t="shared" si="272"/>
        <v/>
      </c>
    </row>
    <row r="410" spans="1:42" s="31" customFormat="1" x14ac:dyDescent="0.6">
      <c r="A410" s="70" t="str">
        <f t="shared" si="273"/>
        <v/>
      </c>
      <c r="B410" s="70" t="str">
        <f>IF(E410&lt;=$F$9,VLOOKUP(KALKULATOR!A410,Robocze!$B$23:$C$102,2),"")</f>
        <v/>
      </c>
      <c r="C410" s="70" t="str">
        <f t="shared" si="241"/>
        <v/>
      </c>
      <c r="D410" s="71" t="str">
        <f t="shared" si="242"/>
        <v/>
      </c>
      <c r="E410" s="77" t="str">
        <f t="shared" si="243"/>
        <v/>
      </c>
      <c r="F410" s="72" t="str">
        <f t="shared" si="244"/>
        <v/>
      </c>
      <c r="G410" s="73" t="str">
        <f>IFERROR(IF(AND(F410&lt;=$F$9,$F$5=Robocze!$B$4,$E410&lt;=$F$9,MONTH($F$8)=MONTH(E410)),$F$4,0)+IF(AND(F410&lt;=$F$9,$F$5=Robocze!$B$3,E410&lt;=$F$9),KALKULATOR!$F$4/12,0),"")</f>
        <v/>
      </c>
      <c r="H410" s="73" t="str">
        <f t="shared" si="245"/>
        <v/>
      </c>
      <c r="I410" s="74" t="str">
        <f t="shared" si="246"/>
        <v/>
      </c>
      <c r="J410" s="73" t="str">
        <f t="shared" si="247"/>
        <v/>
      </c>
      <c r="K410" s="75" t="str">
        <f t="shared" si="248"/>
        <v/>
      </c>
      <c r="L410" s="73" t="str">
        <f t="shared" si="249"/>
        <v/>
      </c>
      <c r="M410" s="73" t="str">
        <f t="shared" si="250"/>
        <v/>
      </c>
      <c r="N410" s="73" t="str">
        <f t="shared" si="251"/>
        <v/>
      </c>
      <c r="O410" s="73" t="str">
        <f t="shared" si="252"/>
        <v/>
      </c>
      <c r="P410" s="73" t="str">
        <f t="shared" si="253"/>
        <v/>
      </c>
      <c r="Q410" s="73" t="str">
        <f t="shared" si="254"/>
        <v/>
      </c>
      <c r="R410" s="73"/>
      <c r="S410" s="76" t="str">
        <f t="shared" si="255"/>
        <v/>
      </c>
      <c r="T410" s="73" t="str">
        <f t="shared" si="256"/>
        <v/>
      </c>
      <c r="U410" s="73" t="str">
        <f t="shared" si="257"/>
        <v/>
      </c>
      <c r="V410" s="76" t="str">
        <f t="shared" si="258"/>
        <v/>
      </c>
      <c r="W410" s="73" t="str">
        <f t="shared" si="259"/>
        <v/>
      </c>
      <c r="X410" s="73" t="str">
        <f>IF(B410&lt;&gt;"",IF(MONTH(E410)=MONTH($F$13),SUMIF($C$22:C789,"="&amp;(C410-1),$G$22:G789),0)*S410,"")</f>
        <v/>
      </c>
      <c r="Y410" s="73" t="str">
        <f>IF(B410&lt;&gt;"",SUM($X$22:X410),"")</f>
        <v/>
      </c>
      <c r="Z410" s="73" t="str">
        <f t="shared" si="260"/>
        <v/>
      </c>
      <c r="AA410" s="73" t="str">
        <f t="shared" si="261"/>
        <v/>
      </c>
      <c r="AB410" s="73" t="str">
        <f t="shared" si="262"/>
        <v/>
      </c>
      <c r="AC410" s="73" t="str">
        <f t="shared" si="263"/>
        <v/>
      </c>
      <c r="AD410" s="73" t="str">
        <f>IFERROR($U410*(1-$V410)+SUM($W$22:$W410)+$AB410,"")</f>
        <v/>
      </c>
      <c r="AE410" s="73" t="b">
        <f t="shared" si="274"/>
        <v>1</v>
      </c>
      <c r="AF410" s="73" t="e">
        <f>IF(AND(AE410=TRUE,D410&gt;=65),$U410*(1-10%)+SUM($W$22:$W410)+$AB410,AD410)</f>
        <v>#VALUE!</v>
      </c>
      <c r="AG410" s="73" t="str">
        <f t="shared" si="264"/>
        <v/>
      </c>
      <c r="AH410" s="73" t="str">
        <f t="shared" si="265"/>
        <v/>
      </c>
      <c r="AI410" s="73" t="str">
        <f t="shared" si="266"/>
        <v/>
      </c>
      <c r="AJ410" s="73" t="str">
        <f t="shared" si="267"/>
        <v/>
      </c>
      <c r="AK410" s="73" t="b">
        <f t="shared" si="275"/>
        <v>1</v>
      </c>
      <c r="AL410" s="73" t="str">
        <f t="shared" si="268"/>
        <v/>
      </c>
      <c r="AM410" s="73" t="str">
        <f t="shared" si="269"/>
        <v/>
      </c>
      <c r="AN410" s="73" t="str">
        <f t="shared" si="270"/>
        <v/>
      </c>
      <c r="AO410" s="73" t="str">
        <f t="shared" si="271"/>
        <v/>
      </c>
      <c r="AP410" s="73" t="str">
        <f t="shared" si="272"/>
        <v/>
      </c>
    </row>
    <row r="411" spans="1:42" s="31" customFormat="1" x14ac:dyDescent="0.6">
      <c r="A411" s="70" t="str">
        <f t="shared" si="273"/>
        <v/>
      </c>
      <c r="B411" s="70" t="str">
        <f>IF(E411&lt;=$F$9,VLOOKUP(KALKULATOR!A411,Robocze!$B$23:$C$102,2),"")</f>
        <v/>
      </c>
      <c r="C411" s="70" t="str">
        <f t="shared" si="241"/>
        <v/>
      </c>
      <c r="D411" s="71" t="str">
        <f t="shared" si="242"/>
        <v/>
      </c>
      <c r="E411" s="77" t="str">
        <f t="shared" si="243"/>
        <v/>
      </c>
      <c r="F411" s="72" t="str">
        <f t="shared" si="244"/>
        <v/>
      </c>
      <c r="G411" s="73" t="str">
        <f>IFERROR(IF(AND(F411&lt;=$F$9,$F$5=Robocze!$B$4,$E411&lt;=$F$9,MONTH($F$8)=MONTH(E411)),$F$4,0)+IF(AND(F411&lt;=$F$9,$F$5=Robocze!$B$3,E411&lt;=$F$9),KALKULATOR!$F$4/12,0),"")</f>
        <v/>
      </c>
      <c r="H411" s="73" t="str">
        <f t="shared" si="245"/>
        <v/>
      </c>
      <c r="I411" s="74" t="str">
        <f t="shared" si="246"/>
        <v/>
      </c>
      <c r="J411" s="73" t="str">
        <f t="shared" si="247"/>
        <v/>
      </c>
      <c r="K411" s="75" t="str">
        <f t="shared" si="248"/>
        <v/>
      </c>
      <c r="L411" s="73" t="str">
        <f t="shared" si="249"/>
        <v/>
      </c>
      <c r="M411" s="73" t="str">
        <f t="shared" si="250"/>
        <v/>
      </c>
      <c r="N411" s="73" t="str">
        <f t="shared" si="251"/>
        <v/>
      </c>
      <c r="O411" s="73" t="str">
        <f t="shared" si="252"/>
        <v/>
      </c>
      <c r="P411" s="73" t="str">
        <f t="shared" si="253"/>
        <v/>
      </c>
      <c r="Q411" s="73" t="str">
        <f t="shared" si="254"/>
        <v/>
      </c>
      <c r="R411" s="73"/>
      <c r="S411" s="76" t="str">
        <f t="shared" si="255"/>
        <v/>
      </c>
      <c r="T411" s="73" t="str">
        <f t="shared" si="256"/>
        <v/>
      </c>
      <c r="U411" s="73" t="str">
        <f t="shared" si="257"/>
        <v/>
      </c>
      <c r="V411" s="76" t="str">
        <f t="shared" si="258"/>
        <v/>
      </c>
      <c r="W411" s="73" t="str">
        <f t="shared" si="259"/>
        <v/>
      </c>
      <c r="X411" s="73" t="str">
        <f>IF(B411&lt;&gt;"",IF(MONTH(E411)=MONTH($F$13),SUMIF($C$22:C790,"="&amp;(C411-1),$G$22:G790),0)*S411,"")</f>
        <v/>
      </c>
      <c r="Y411" s="73" t="str">
        <f>IF(B411&lt;&gt;"",SUM($X$22:X411),"")</f>
        <v/>
      </c>
      <c r="Z411" s="73" t="str">
        <f t="shared" si="260"/>
        <v/>
      </c>
      <c r="AA411" s="73" t="str">
        <f t="shared" si="261"/>
        <v/>
      </c>
      <c r="AB411" s="73" t="str">
        <f t="shared" si="262"/>
        <v/>
      </c>
      <c r="AC411" s="73" t="str">
        <f t="shared" si="263"/>
        <v/>
      </c>
      <c r="AD411" s="73" t="str">
        <f>IFERROR($U411*(1-$V411)+SUM($W$22:$W411)+$AB411,"")</f>
        <v/>
      </c>
      <c r="AE411" s="73" t="b">
        <f t="shared" si="274"/>
        <v>1</v>
      </c>
      <c r="AF411" s="73" t="e">
        <f>IF(AND(AE411=TRUE,D411&gt;=65),$U411*(1-10%)+SUM($W$22:$W411)+$AB411,AD411)</f>
        <v>#VALUE!</v>
      </c>
      <c r="AG411" s="73" t="str">
        <f t="shared" si="264"/>
        <v/>
      </c>
      <c r="AH411" s="73" t="str">
        <f t="shared" si="265"/>
        <v/>
      </c>
      <c r="AI411" s="73" t="str">
        <f t="shared" si="266"/>
        <v/>
      </c>
      <c r="AJ411" s="73" t="str">
        <f t="shared" si="267"/>
        <v/>
      </c>
      <c r="AK411" s="73" t="b">
        <f t="shared" si="275"/>
        <v>1</v>
      </c>
      <c r="AL411" s="73" t="str">
        <f t="shared" si="268"/>
        <v/>
      </c>
      <c r="AM411" s="73" t="str">
        <f t="shared" si="269"/>
        <v/>
      </c>
      <c r="AN411" s="73" t="str">
        <f t="shared" si="270"/>
        <v/>
      </c>
      <c r="AO411" s="73" t="str">
        <f t="shared" si="271"/>
        <v/>
      </c>
      <c r="AP411" s="73" t="str">
        <f t="shared" si="272"/>
        <v/>
      </c>
    </row>
    <row r="412" spans="1:42" s="31" customFormat="1" x14ac:dyDescent="0.6">
      <c r="A412" s="70" t="str">
        <f t="shared" si="273"/>
        <v/>
      </c>
      <c r="B412" s="70" t="str">
        <f>IF(E412&lt;=$F$9,VLOOKUP(KALKULATOR!A412,Robocze!$B$23:$C$102,2),"")</f>
        <v/>
      </c>
      <c r="C412" s="70" t="str">
        <f t="shared" si="241"/>
        <v/>
      </c>
      <c r="D412" s="71" t="str">
        <f t="shared" si="242"/>
        <v/>
      </c>
      <c r="E412" s="77" t="str">
        <f t="shared" si="243"/>
        <v/>
      </c>
      <c r="F412" s="72" t="str">
        <f t="shared" si="244"/>
        <v/>
      </c>
      <c r="G412" s="73" t="str">
        <f>IFERROR(IF(AND(F412&lt;=$F$9,$F$5=Robocze!$B$4,$E412&lt;=$F$9,MONTH($F$8)=MONTH(E412)),$F$4,0)+IF(AND(F412&lt;=$F$9,$F$5=Robocze!$B$3,E412&lt;=$F$9),KALKULATOR!$F$4/12,0),"")</f>
        <v/>
      </c>
      <c r="H412" s="73" t="str">
        <f t="shared" si="245"/>
        <v/>
      </c>
      <c r="I412" s="74" t="str">
        <f t="shared" si="246"/>
        <v/>
      </c>
      <c r="J412" s="73" t="str">
        <f t="shared" si="247"/>
        <v/>
      </c>
      <c r="K412" s="75" t="str">
        <f t="shared" si="248"/>
        <v/>
      </c>
      <c r="L412" s="73" t="str">
        <f t="shared" si="249"/>
        <v/>
      </c>
      <c r="M412" s="73" t="str">
        <f t="shared" si="250"/>
        <v/>
      </c>
      <c r="N412" s="73" t="str">
        <f t="shared" si="251"/>
        <v/>
      </c>
      <c r="O412" s="73" t="str">
        <f t="shared" si="252"/>
        <v/>
      </c>
      <c r="P412" s="73" t="str">
        <f t="shared" si="253"/>
        <v/>
      </c>
      <c r="Q412" s="73" t="str">
        <f t="shared" si="254"/>
        <v/>
      </c>
      <c r="R412" s="73"/>
      <c r="S412" s="76" t="str">
        <f t="shared" si="255"/>
        <v/>
      </c>
      <c r="T412" s="73" t="str">
        <f t="shared" si="256"/>
        <v/>
      </c>
      <c r="U412" s="73" t="str">
        <f t="shared" si="257"/>
        <v/>
      </c>
      <c r="V412" s="76" t="str">
        <f t="shared" si="258"/>
        <v/>
      </c>
      <c r="W412" s="73" t="str">
        <f t="shared" si="259"/>
        <v/>
      </c>
      <c r="X412" s="73" t="str">
        <f>IF(B412&lt;&gt;"",IF(MONTH(E412)=MONTH($F$13),SUMIF($C$22:C791,"="&amp;(C412-1),$G$22:G791),0)*S412,"")</f>
        <v/>
      </c>
      <c r="Y412" s="73" t="str">
        <f>IF(B412&lt;&gt;"",SUM($X$22:X412),"")</f>
        <v/>
      </c>
      <c r="Z412" s="73" t="str">
        <f t="shared" si="260"/>
        <v/>
      </c>
      <c r="AA412" s="73" t="str">
        <f t="shared" si="261"/>
        <v/>
      </c>
      <c r="AB412" s="73" t="str">
        <f t="shared" si="262"/>
        <v/>
      </c>
      <c r="AC412" s="73" t="str">
        <f t="shared" si="263"/>
        <v/>
      </c>
      <c r="AD412" s="73" t="str">
        <f>IFERROR($U412*(1-$V412)+SUM($W$22:$W412)+$AB412,"")</f>
        <v/>
      </c>
      <c r="AE412" s="73" t="b">
        <f t="shared" si="274"/>
        <v>1</v>
      </c>
      <c r="AF412" s="73" t="e">
        <f>IF(AND(AE412=TRUE,D412&gt;=65),$U412*(1-10%)+SUM($W$22:$W412)+$AB412,AD412)</f>
        <v>#VALUE!</v>
      </c>
      <c r="AG412" s="73" t="str">
        <f t="shared" si="264"/>
        <v/>
      </c>
      <c r="AH412" s="73" t="str">
        <f t="shared" si="265"/>
        <v/>
      </c>
      <c r="AI412" s="73" t="str">
        <f t="shared" si="266"/>
        <v/>
      </c>
      <c r="AJ412" s="73" t="str">
        <f t="shared" si="267"/>
        <v/>
      </c>
      <c r="AK412" s="73" t="b">
        <f t="shared" si="275"/>
        <v>1</v>
      </c>
      <c r="AL412" s="73" t="str">
        <f t="shared" si="268"/>
        <v/>
      </c>
      <c r="AM412" s="73" t="str">
        <f t="shared" si="269"/>
        <v/>
      </c>
      <c r="AN412" s="73" t="str">
        <f t="shared" si="270"/>
        <v/>
      </c>
      <c r="AO412" s="73" t="str">
        <f t="shared" si="271"/>
        <v/>
      </c>
      <c r="AP412" s="73" t="str">
        <f t="shared" si="272"/>
        <v/>
      </c>
    </row>
    <row r="413" spans="1:42" s="31" customFormat="1" x14ac:dyDescent="0.6">
      <c r="A413" s="70" t="str">
        <f t="shared" si="273"/>
        <v/>
      </c>
      <c r="B413" s="70" t="str">
        <f>IF(E413&lt;=$F$9,VLOOKUP(KALKULATOR!A413,Robocze!$B$23:$C$102,2),"")</f>
        <v/>
      </c>
      <c r="C413" s="70" t="str">
        <f t="shared" si="241"/>
        <v/>
      </c>
      <c r="D413" s="71" t="str">
        <f t="shared" si="242"/>
        <v/>
      </c>
      <c r="E413" s="77" t="str">
        <f t="shared" si="243"/>
        <v/>
      </c>
      <c r="F413" s="72" t="str">
        <f t="shared" si="244"/>
        <v/>
      </c>
      <c r="G413" s="73" t="str">
        <f>IFERROR(IF(AND(F413&lt;=$F$9,$F$5=Robocze!$B$4,$E413&lt;=$F$9,MONTH($F$8)=MONTH(E413)),$F$4,0)+IF(AND(F413&lt;=$F$9,$F$5=Robocze!$B$3,E413&lt;=$F$9),KALKULATOR!$F$4/12,0),"")</f>
        <v/>
      </c>
      <c r="H413" s="73" t="str">
        <f t="shared" si="245"/>
        <v/>
      </c>
      <c r="I413" s="74" t="str">
        <f t="shared" si="246"/>
        <v/>
      </c>
      <c r="J413" s="73" t="str">
        <f t="shared" si="247"/>
        <v/>
      </c>
      <c r="K413" s="75" t="str">
        <f t="shared" si="248"/>
        <v/>
      </c>
      <c r="L413" s="73" t="str">
        <f t="shared" si="249"/>
        <v/>
      </c>
      <c r="M413" s="73" t="str">
        <f t="shared" si="250"/>
        <v/>
      </c>
      <c r="N413" s="73" t="str">
        <f t="shared" si="251"/>
        <v/>
      </c>
      <c r="O413" s="73" t="str">
        <f t="shared" si="252"/>
        <v/>
      </c>
      <c r="P413" s="73" t="str">
        <f t="shared" si="253"/>
        <v/>
      </c>
      <c r="Q413" s="73" t="str">
        <f t="shared" si="254"/>
        <v/>
      </c>
      <c r="R413" s="73"/>
      <c r="S413" s="76" t="str">
        <f t="shared" si="255"/>
        <v/>
      </c>
      <c r="T413" s="73" t="str">
        <f t="shared" si="256"/>
        <v/>
      </c>
      <c r="U413" s="73" t="str">
        <f t="shared" si="257"/>
        <v/>
      </c>
      <c r="V413" s="76" t="str">
        <f t="shared" si="258"/>
        <v/>
      </c>
      <c r="W413" s="73" t="str">
        <f t="shared" si="259"/>
        <v/>
      </c>
      <c r="X413" s="73" t="str">
        <f>IF(B413&lt;&gt;"",IF(MONTH(E413)=MONTH($F$13),SUMIF($C$22:C792,"="&amp;(C413-1),$G$22:G792),0)*S413,"")</f>
        <v/>
      </c>
      <c r="Y413" s="73" t="str">
        <f>IF(B413&lt;&gt;"",SUM($X$22:X413),"")</f>
        <v/>
      </c>
      <c r="Z413" s="73" t="str">
        <f t="shared" si="260"/>
        <v/>
      </c>
      <c r="AA413" s="73" t="str">
        <f t="shared" si="261"/>
        <v/>
      </c>
      <c r="AB413" s="73" t="str">
        <f t="shared" si="262"/>
        <v/>
      </c>
      <c r="AC413" s="73" t="str">
        <f t="shared" si="263"/>
        <v/>
      </c>
      <c r="AD413" s="73" t="str">
        <f>IFERROR($U413*(1-$V413)+SUM($W$22:$W413)+$AB413,"")</f>
        <v/>
      </c>
      <c r="AE413" s="73" t="b">
        <f t="shared" si="274"/>
        <v>1</v>
      </c>
      <c r="AF413" s="73" t="e">
        <f>IF(AND(AE413=TRUE,D413&gt;=65),$U413*(1-10%)+SUM($W$22:$W413)+$AB413,AD413)</f>
        <v>#VALUE!</v>
      </c>
      <c r="AG413" s="73" t="str">
        <f t="shared" si="264"/>
        <v/>
      </c>
      <c r="AH413" s="73" t="str">
        <f t="shared" si="265"/>
        <v/>
      </c>
      <c r="AI413" s="73" t="str">
        <f t="shared" si="266"/>
        <v/>
      </c>
      <c r="AJ413" s="73" t="str">
        <f t="shared" si="267"/>
        <v/>
      </c>
      <c r="AK413" s="73" t="b">
        <f t="shared" si="275"/>
        <v>1</v>
      </c>
      <c r="AL413" s="73" t="str">
        <f t="shared" si="268"/>
        <v/>
      </c>
      <c r="AM413" s="73" t="str">
        <f t="shared" si="269"/>
        <v/>
      </c>
      <c r="AN413" s="73" t="str">
        <f t="shared" si="270"/>
        <v/>
      </c>
      <c r="AO413" s="73" t="str">
        <f t="shared" si="271"/>
        <v/>
      </c>
      <c r="AP413" s="73" t="str">
        <f t="shared" si="272"/>
        <v/>
      </c>
    </row>
    <row r="414" spans="1:42" s="31" customFormat="1" x14ac:dyDescent="0.6">
      <c r="A414" s="70" t="str">
        <f t="shared" si="273"/>
        <v/>
      </c>
      <c r="B414" s="70" t="str">
        <f>IF(E414&lt;=$F$9,VLOOKUP(KALKULATOR!A414,Robocze!$B$23:$C$102,2),"")</f>
        <v/>
      </c>
      <c r="C414" s="70" t="str">
        <f t="shared" si="241"/>
        <v/>
      </c>
      <c r="D414" s="71" t="str">
        <f t="shared" si="242"/>
        <v/>
      </c>
      <c r="E414" s="77" t="str">
        <f t="shared" si="243"/>
        <v/>
      </c>
      <c r="F414" s="72" t="str">
        <f t="shared" si="244"/>
        <v/>
      </c>
      <c r="G414" s="73" t="str">
        <f>IFERROR(IF(AND(F414&lt;=$F$9,$F$5=Robocze!$B$4,$E414&lt;=$F$9,MONTH($F$8)=MONTH(E414)),$F$4,0)+IF(AND(F414&lt;=$F$9,$F$5=Robocze!$B$3,E414&lt;=$F$9),KALKULATOR!$F$4/12,0),"")</f>
        <v/>
      </c>
      <c r="H414" s="73" t="str">
        <f t="shared" si="245"/>
        <v/>
      </c>
      <c r="I414" s="74" t="str">
        <f t="shared" si="246"/>
        <v/>
      </c>
      <c r="J414" s="73" t="str">
        <f t="shared" si="247"/>
        <v/>
      </c>
      <c r="K414" s="75" t="str">
        <f t="shared" si="248"/>
        <v/>
      </c>
      <c r="L414" s="73" t="str">
        <f t="shared" si="249"/>
        <v/>
      </c>
      <c r="M414" s="73" t="str">
        <f t="shared" si="250"/>
        <v/>
      </c>
      <c r="N414" s="73" t="str">
        <f t="shared" si="251"/>
        <v/>
      </c>
      <c r="O414" s="73" t="str">
        <f t="shared" si="252"/>
        <v/>
      </c>
      <c r="P414" s="73" t="str">
        <f t="shared" si="253"/>
        <v/>
      </c>
      <c r="Q414" s="73" t="str">
        <f t="shared" si="254"/>
        <v/>
      </c>
      <c r="R414" s="73"/>
      <c r="S414" s="76" t="str">
        <f t="shared" si="255"/>
        <v/>
      </c>
      <c r="T414" s="73" t="str">
        <f t="shared" si="256"/>
        <v/>
      </c>
      <c r="U414" s="73" t="str">
        <f t="shared" si="257"/>
        <v/>
      </c>
      <c r="V414" s="76" t="str">
        <f t="shared" si="258"/>
        <v/>
      </c>
      <c r="W414" s="73" t="str">
        <f t="shared" si="259"/>
        <v/>
      </c>
      <c r="X414" s="73" t="str">
        <f>IF(B414&lt;&gt;"",IF(MONTH(E414)=MONTH($F$13),SUMIF($C$22:C793,"="&amp;(C414-1),$G$22:G793),0)*S414,"")</f>
        <v/>
      </c>
      <c r="Y414" s="73" t="str">
        <f>IF(B414&lt;&gt;"",SUM($X$22:X414),"")</f>
        <v/>
      </c>
      <c r="Z414" s="73" t="str">
        <f t="shared" si="260"/>
        <v/>
      </c>
      <c r="AA414" s="73" t="str">
        <f t="shared" si="261"/>
        <v/>
      </c>
      <c r="AB414" s="73" t="str">
        <f t="shared" si="262"/>
        <v/>
      </c>
      <c r="AC414" s="73" t="str">
        <f t="shared" si="263"/>
        <v/>
      </c>
      <c r="AD414" s="73" t="str">
        <f>IFERROR($U414*(1-$V414)+SUM($W$22:$W414)+$AB414,"")</f>
        <v/>
      </c>
      <c r="AE414" s="73" t="b">
        <f t="shared" si="274"/>
        <v>1</v>
      </c>
      <c r="AF414" s="73" t="e">
        <f>IF(AND(AE414=TRUE,D414&gt;=65),$U414*(1-10%)+SUM($W$22:$W414)+$AB414,AD414)</f>
        <v>#VALUE!</v>
      </c>
      <c r="AG414" s="73" t="str">
        <f t="shared" si="264"/>
        <v/>
      </c>
      <c r="AH414" s="73" t="str">
        <f t="shared" si="265"/>
        <v/>
      </c>
      <c r="AI414" s="73" t="str">
        <f t="shared" si="266"/>
        <v/>
      </c>
      <c r="AJ414" s="73" t="str">
        <f t="shared" si="267"/>
        <v/>
      </c>
      <c r="AK414" s="73" t="b">
        <f t="shared" si="275"/>
        <v>1</v>
      </c>
      <c r="AL414" s="73" t="str">
        <f t="shared" si="268"/>
        <v/>
      </c>
      <c r="AM414" s="73" t="str">
        <f t="shared" si="269"/>
        <v/>
      </c>
      <c r="AN414" s="73" t="str">
        <f t="shared" si="270"/>
        <v/>
      </c>
      <c r="AO414" s="73" t="str">
        <f t="shared" si="271"/>
        <v/>
      </c>
      <c r="AP414" s="73" t="str">
        <f t="shared" si="272"/>
        <v/>
      </c>
    </row>
    <row r="415" spans="1:42" s="31" customFormat="1" x14ac:dyDescent="0.6">
      <c r="A415" s="70" t="str">
        <f t="shared" si="273"/>
        <v/>
      </c>
      <c r="B415" s="70" t="str">
        <f>IF(E415&lt;=$F$9,VLOOKUP(KALKULATOR!A415,Robocze!$B$23:$C$102,2),"")</f>
        <v/>
      </c>
      <c r="C415" s="70" t="str">
        <f t="shared" si="241"/>
        <v/>
      </c>
      <c r="D415" s="71" t="str">
        <f t="shared" si="242"/>
        <v/>
      </c>
      <c r="E415" s="77" t="str">
        <f t="shared" si="243"/>
        <v/>
      </c>
      <c r="F415" s="72" t="str">
        <f t="shared" si="244"/>
        <v/>
      </c>
      <c r="G415" s="73" t="str">
        <f>IFERROR(IF(AND(F415&lt;=$F$9,$F$5=Robocze!$B$4,$E415&lt;=$F$9,MONTH($F$8)=MONTH(E415)),$F$4,0)+IF(AND(F415&lt;=$F$9,$F$5=Robocze!$B$3,E415&lt;=$F$9),KALKULATOR!$F$4/12,0),"")</f>
        <v/>
      </c>
      <c r="H415" s="73" t="str">
        <f t="shared" si="245"/>
        <v/>
      </c>
      <c r="I415" s="74" t="str">
        <f t="shared" si="246"/>
        <v/>
      </c>
      <c r="J415" s="73" t="str">
        <f t="shared" si="247"/>
        <v/>
      </c>
      <c r="K415" s="75" t="str">
        <f t="shared" si="248"/>
        <v/>
      </c>
      <c r="L415" s="73" t="str">
        <f t="shared" si="249"/>
        <v/>
      </c>
      <c r="M415" s="73" t="str">
        <f t="shared" si="250"/>
        <v/>
      </c>
      <c r="N415" s="73" t="str">
        <f t="shared" si="251"/>
        <v/>
      </c>
      <c r="O415" s="73" t="str">
        <f t="shared" si="252"/>
        <v/>
      </c>
      <c r="P415" s="73" t="str">
        <f t="shared" si="253"/>
        <v/>
      </c>
      <c r="Q415" s="73" t="str">
        <f t="shared" si="254"/>
        <v/>
      </c>
      <c r="R415" s="73"/>
      <c r="S415" s="76" t="str">
        <f t="shared" si="255"/>
        <v/>
      </c>
      <c r="T415" s="73" t="str">
        <f t="shared" si="256"/>
        <v/>
      </c>
      <c r="U415" s="73" t="str">
        <f t="shared" si="257"/>
        <v/>
      </c>
      <c r="V415" s="76" t="str">
        <f t="shared" si="258"/>
        <v/>
      </c>
      <c r="W415" s="73" t="str">
        <f t="shared" si="259"/>
        <v/>
      </c>
      <c r="X415" s="73" t="str">
        <f>IF(B415&lt;&gt;"",IF(MONTH(E415)=MONTH($F$13),SUMIF($C$22:C794,"="&amp;(C415-1),$G$22:G794),0)*S415,"")</f>
        <v/>
      </c>
      <c r="Y415" s="73" t="str">
        <f>IF(B415&lt;&gt;"",SUM($X$22:X415),"")</f>
        <v/>
      </c>
      <c r="Z415" s="73" t="str">
        <f t="shared" si="260"/>
        <v/>
      </c>
      <c r="AA415" s="73" t="str">
        <f t="shared" si="261"/>
        <v/>
      </c>
      <c r="AB415" s="73" t="str">
        <f t="shared" si="262"/>
        <v/>
      </c>
      <c r="AC415" s="73" t="str">
        <f t="shared" si="263"/>
        <v/>
      </c>
      <c r="AD415" s="73" t="str">
        <f>IFERROR($U415*(1-$V415)+SUM($W$22:$W415)+$AB415,"")</f>
        <v/>
      </c>
      <c r="AE415" s="73" t="b">
        <f t="shared" si="274"/>
        <v>1</v>
      </c>
      <c r="AF415" s="73" t="e">
        <f>IF(AND(AE415=TRUE,D415&gt;=65),$U415*(1-10%)+SUM($W$22:$W415)+$AB415,AD415)</f>
        <v>#VALUE!</v>
      </c>
      <c r="AG415" s="73" t="str">
        <f t="shared" si="264"/>
        <v/>
      </c>
      <c r="AH415" s="73" t="str">
        <f t="shared" si="265"/>
        <v/>
      </c>
      <c r="AI415" s="73" t="str">
        <f t="shared" si="266"/>
        <v/>
      </c>
      <c r="AJ415" s="73" t="str">
        <f t="shared" si="267"/>
        <v/>
      </c>
      <c r="AK415" s="73" t="b">
        <f t="shared" si="275"/>
        <v>1</v>
      </c>
      <c r="AL415" s="73" t="str">
        <f t="shared" si="268"/>
        <v/>
      </c>
      <c r="AM415" s="73" t="str">
        <f t="shared" si="269"/>
        <v/>
      </c>
      <c r="AN415" s="73" t="str">
        <f t="shared" si="270"/>
        <v/>
      </c>
      <c r="AO415" s="73" t="str">
        <f t="shared" si="271"/>
        <v/>
      </c>
      <c r="AP415" s="73" t="str">
        <f t="shared" si="272"/>
        <v/>
      </c>
    </row>
    <row r="416" spans="1:42" s="31" customFormat="1" x14ac:dyDescent="0.6">
      <c r="A416" s="70" t="str">
        <f t="shared" si="273"/>
        <v/>
      </c>
      <c r="B416" s="70" t="str">
        <f>IF(E416&lt;=$F$9,VLOOKUP(KALKULATOR!A416,Robocze!$B$23:$C$102,2),"")</f>
        <v/>
      </c>
      <c r="C416" s="70" t="str">
        <f t="shared" si="241"/>
        <v/>
      </c>
      <c r="D416" s="71" t="str">
        <f t="shared" si="242"/>
        <v/>
      </c>
      <c r="E416" s="77" t="str">
        <f t="shared" si="243"/>
        <v/>
      </c>
      <c r="F416" s="72" t="str">
        <f t="shared" si="244"/>
        <v/>
      </c>
      <c r="G416" s="73" t="str">
        <f>IFERROR(IF(AND(F416&lt;=$F$9,$F$5=Robocze!$B$4,$E416&lt;=$F$9,MONTH($F$8)=MONTH(E416)),$F$4,0)+IF(AND(F416&lt;=$F$9,$F$5=Robocze!$B$3,E416&lt;=$F$9),KALKULATOR!$F$4/12,0),"")</f>
        <v/>
      </c>
      <c r="H416" s="73" t="str">
        <f t="shared" si="245"/>
        <v/>
      </c>
      <c r="I416" s="74" t="str">
        <f t="shared" si="246"/>
        <v/>
      </c>
      <c r="J416" s="73" t="str">
        <f t="shared" si="247"/>
        <v/>
      </c>
      <c r="K416" s="75" t="str">
        <f t="shared" si="248"/>
        <v/>
      </c>
      <c r="L416" s="73" t="str">
        <f t="shared" si="249"/>
        <v/>
      </c>
      <c r="M416" s="73" t="str">
        <f t="shared" si="250"/>
        <v/>
      </c>
      <c r="N416" s="73" t="str">
        <f t="shared" si="251"/>
        <v/>
      </c>
      <c r="O416" s="73" t="str">
        <f t="shared" si="252"/>
        <v/>
      </c>
      <c r="P416" s="73" t="str">
        <f t="shared" si="253"/>
        <v/>
      </c>
      <c r="Q416" s="73" t="str">
        <f t="shared" si="254"/>
        <v/>
      </c>
      <c r="R416" s="73"/>
      <c r="S416" s="76" t="str">
        <f t="shared" si="255"/>
        <v/>
      </c>
      <c r="T416" s="73" t="str">
        <f t="shared" si="256"/>
        <v/>
      </c>
      <c r="U416" s="73" t="str">
        <f t="shared" si="257"/>
        <v/>
      </c>
      <c r="V416" s="76" t="str">
        <f t="shared" si="258"/>
        <v/>
      </c>
      <c r="W416" s="73" t="str">
        <f t="shared" si="259"/>
        <v/>
      </c>
      <c r="X416" s="73" t="str">
        <f>IF(B416&lt;&gt;"",IF(MONTH(E416)=MONTH($F$13),SUMIF($C$22:C795,"="&amp;(C416-1),$G$22:G795),0)*S416,"")</f>
        <v/>
      </c>
      <c r="Y416" s="73" t="str">
        <f>IF(B416&lt;&gt;"",SUM($X$22:X416),"")</f>
        <v/>
      </c>
      <c r="Z416" s="73" t="str">
        <f t="shared" si="260"/>
        <v/>
      </c>
      <c r="AA416" s="73" t="str">
        <f t="shared" si="261"/>
        <v/>
      </c>
      <c r="AB416" s="73" t="str">
        <f t="shared" si="262"/>
        <v/>
      </c>
      <c r="AC416" s="73" t="str">
        <f t="shared" si="263"/>
        <v/>
      </c>
      <c r="AD416" s="73" t="str">
        <f>IFERROR($U416*(1-$V416)+SUM($W$22:$W416)+$AB416,"")</f>
        <v/>
      </c>
      <c r="AE416" s="73" t="b">
        <f t="shared" si="274"/>
        <v>1</v>
      </c>
      <c r="AF416" s="73" t="e">
        <f>IF(AND(AE416=TRUE,D416&gt;=65),$U416*(1-10%)+SUM($W$22:$W416)+$AB416,AD416)</f>
        <v>#VALUE!</v>
      </c>
      <c r="AG416" s="73" t="str">
        <f t="shared" si="264"/>
        <v/>
      </c>
      <c r="AH416" s="73" t="str">
        <f t="shared" si="265"/>
        <v/>
      </c>
      <c r="AI416" s="73" t="str">
        <f t="shared" si="266"/>
        <v/>
      </c>
      <c r="AJ416" s="73" t="str">
        <f t="shared" si="267"/>
        <v/>
      </c>
      <c r="AK416" s="73" t="b">
        <f t="shared" si="275"/>
        <v>1</v>
      </c>
      <c r="AL416" s="73" t="str">
        <f t="shared" si="268"/>
        <v/>
      </c>
      <c r="AM416" s="73" t="str">
        <f t="shared" si="269"/>
        <v/>
      </c>
      <c r="AN416" s="73" t="str">
        <f t="shared" si="270"/>
        <v/>
      </c>
      <c r="AO416" s="73" t="str">
        <f t="shared" si="271"/>
        <v/>
      </c>
      <c r="AP416" s="73" t="str">
        <f t="shared" si="272"/>
        <v/>
      </c>
    </row>
    <row r="417" spans="1:42" s="69" customFormat="1" x14ac:dyDescent="0.6">
      <c r="A417" s="78" t="str">
        <f t="shared" si="273"/>
        <v/>
      </c>
      <c r="B417" s="78" t="str">
        <f>IF(E417&lt;=$F$9,VLOOKUP(KALKULATOR!A417,Robocze!$B$23:$C$102,2),"")</f>
        <v/>
      </c>
      <c r="C417" s="78" t="str">
        <f t="shared" si="241"/>
        <v/>
      </c>
      <c r="D417" s="79" t="str">
        <f t="shared" si="242"/>
        <v/>
      </c>
      <c r="E417" s="80" t="str">
        <f t="shared" si="243"/>
        <v/>
      </c>
      <c r="F417" s="81" t="str">
        <f t="shared" si="244"/>
        <v/>
      </c>
      <c r="G417" s="82" t="str">
        <f>IFERROR(IF(AND(F417&lt;=$F$9,$F$5=Robocze!$B$4,$E417&lt;=$F$9,MONTH($F$8)=MONTH(E417)),$F$4,0)+IF(AND(F417&lt;=$F$9,$F$5=Robocze!$B$3,E417&lt;=$F$9),KALKULATOR!$F$4/12,0),"")</f>
        <v/>
      </c>
      <c r="H417" s="82" t="str">
        <f t="shared" si="245"/>
        <v/>
      </c>
      <c r="I417" s="83" t="str">
        <f t="shared" si="246"/>
        <v/>
      </c>
      <c r="J417" s="82" t="str">
        <f t="shared" si="247"/>
        <v/>
      </c>
      <c r="K417" s="84" t="str">
        <f t="shared" si="248"/>
        <v/>
      </c>
      <c r="L417" s="82" t="str">
        <f t="shared" si="249"/>
        <v/>
      </c>
      <c r="M417" s="82" t="str">
        <f t="shared" si="250"/>
        <v/>
      </c>
      <c r="N417" s="82" t="str">
        <f t="shared" si="251"/>
        <v/>
      </c>
      <c r="O417" s="82" t="str">
        <f t="shared" si="252"/>
        <v/>
      </c>
      <c r="P417" s="82" t="str">
        <f t="shared" si="253"/>
        <v/>
      </c>
      <c r="Q417" s="82" t="str">
        <f t="shared" si="254"/>
        <v/>
      </c>
      <c r="R417" s="82"/>
      <c r="S417" s="85" t="str">
        <f t="shared" si="255"/>
        <v/>
      </c>
      <c r="T417" s="82" t="str">
        <f t="shared" si="256"/>
        <v/>
      </c>
      <c r="U417" s="82" t="str">
        <f t="shared" si="257"/>
        <v/>
      </c>
      <c r="V417" s="85" t="str">
        <f t="shared" si="258"/>
        <v/>
      </c>
      <c r="W417" s="82" t="str">
        <f t="shared" si="259"/>
        <v/>
      </c>
      <c r="X417" s="82" t="str">
        <f>IF(B417&lt;&gt;"",IF(MONTH(E417)=MONTH($F$13),SUMIF($C$22:C796,"="&amp;(C417-1),$G$22:G796),0)*S417,"")</f>
        <v/>
      </c>
      <c r="Y417" s="82" t="str">
        <f>IF(B417&lt;&gt;"",SUM($X$22:X417),"")</f>
        <v/>
      </c>
      <c r="Z417" s="82" t="str">
        <f t="shared" si="260"/>
        <v/>
      </c>
      <c r="AA417" s="82" t="str">
        <f t="shared" si="261"/>
        <v/>
      </c>
      <c r="AB417" s="82" t="str">
        <f t="shared" si="262"/>
        <v/>
      </c>
      <c r="AC417" s="82" t="str">
        <f t="shared" si="263"/>
        <v/>
      </c>
      <c r="AD417" s="82" t="str">
        <f>IFERROR($U417*(1-$V417)+SUM($W$22:$W417)+$AB417,"")</f>
        <v/>
      </c>
      <c r="AE417" s="73" t="b">
        <f t="shared" si="274"/>
        <v>1</v>
      </c>
      <c r="AF417" s="82" t="e">
        <f>IF(AND(AE417=TRUE,D417&gt;=65),$U417*(1-10%)+SUM($W$22:$W417)+$AB417,AD417)</f>
        <v>#VALUE!</v>
      </c>
      <c r="AG417" s="82" t="str">
        <f t="shared" si="264"/>
        <v/>
      </c>
      <c r="AH417" s="82" t="str">
        <f t="shared" si="265"/>
        <v/>
      </c>
      <c r="AI417" s="82" t="str">
        <f t="shared" si="266"/>
        <v/>
      </c>
      <c r="AJ417" s="82" t="str">
        <f t="shared" si="267"/>
        <v/>
      </c>
      <c r="AK417" s="73" t="b">
        <f t="shared" si="275"/>
        <v>1</v>
      </c>
      <c r="AL417" s="82" t="str">
        <f t="shared" si="268"/>
        <v/>
      </c>
      <c r="AM417" s="82" t="str">
        <f t="shared" si="269"/>
        <v/>
      </c>
      <c r="AN417" s="82" t="str">
        <f t="shared" si="270"/>
        <v/>
      </c>
      <c r="AO417" s="82" t="str">
        <f t="shared" si="271"/>
        <v/>
      </c>
      <c r="AP417" s="82" t="str">
        <f t="shared" si="272"/>
        <v/>
      </c>
    </row>
    <row r="418" spans="1:42" s="69" customFormat="1" x14ac:dyDescent="0.6">
      <c r="A418" s="78" t="str">
        <f t="shared" si="273"/>
        <v/>
      </c>
      <c r="B418" s="78" t="str">
        <f>IF(E418&lt;=$F$9,VLOOKUP(KALKULATOR!A418,Robocze!$B$23:$C$102,2),"")</f>
        <v/>
      </c>
      <c r="C418" s="78" t="str">
        <f t="shared" si="241"/>
        <v/>
      </c>
      <c r="D418" s="79" t="str">
        <f t="shared" si="242"/>
        <v/>
      </c>
      <c r="E418" s="80" t="str">
        <f t="shared" si="243"/>
        <v/>
      </c>
      <c r="F418" s="81" t="str">
        <f t="shared" si="244"/>
        <v/>
      </c>
      <c r="G418" s="82" t="str">
        <f>IFERROR(IF(AND(F418&lt;=$F$9,$F$5=Robocze!$B$4,$E418&lt;=$F$9,MONTH($F$8)=MONTH(E418)),$F$4,0)+IF(AND(F418&lt;=$F$9,$F$5=Robocze!$B$3,E418&lt;=$F$9),KALKULATOR!$F$4/12,0),"")</f>
        <v/>
      </c>
      <c r="H418" s="82" t="str">
        <f t="shared" si="245"/>
        <v/>
      </c>
      <c r="I418" s="83" t="str">
        <f t="shared" si="246"/>
        <v/>
      </c>
      <c r="J418" s="82" t="str">
        <f t="shared" si="247"/>
        <v/>
      </c>
      <c r="K418" s="84" t="str">
        <f t="shared" si="248"/>
        <v/>
      </c>
      <c r="L418" s="82" t="str">
        <f t="shared" si="249"/>
        <v/>
      </c>
      <c r="M418" s="82" t="str">
        <f t="shared" si="250"/>
        <v/>
      </c>
      <c r="N418" s="82" t="str">
        <f t="shared" si="251"/>
        <v/>
      </c>
      <c r="O418" s="82" t="str">
        <f t="shared" si="252"/>
        <v/>
      </c>
      <c r="P418" s="82" t="str">
        <f t="shared" si="253"/>
        <v/>
      </c>
      <c r="Q418" s="82" t="str">
        <f t="shared" si="254"/>
        <v/>
      </c>
      <c r="R418" s="82"/>
      <c r="S418" s="85" t="str">
        <f t="shared" si="255"/>
        <v/>
      </c>
      <c r="T418" s="82" t="str">
        <f t="shared" si="256"/>
        <v/>
      </c>
      <c r="U418" s="82" t="str">
        <f t="shared" si="257"/>
        <v/>
      </c>
      <c r="V418" s="85" t="str">
        <f t="shared" si="258"/>
        <v/>
      </c>
      <c r="W418" s="82" t="str">
        <f t="shared" si="259"/>
        <v/>
      </c>
      <c r="X418" s="82" t="str">
        <f>IF(B418&lt;&gt;"",IF(MONTH(E418)=MONTH($F$13),SUMIF($C$22:C797,"="&amp;(C418-1),$G$22:G797),0)*S418,"")</f>
        <v/>
      </c>
      <c r="Y418" s="82" t="str">
        <f>IF(B418&lt;&gt;"",SUM($X$22:X418),"")</f>
        <v/>
      </c>
      <c r="Z418" s="82" t="str">
        <f t="shared" si="260"/>
        <v/>
      </c>
      <c r="AA418" s="82" t="str">
        <f t="shared" si="261"/>
        <v/>
      </c>
      <c r="AB418" s="82" t="str">
        <f t="shared" si="262"/>
        <v/>
      </c>
      <c r="AC418" s="82" t="str">
        <f t="shared" si="263"/>
        <v/>
      </c>
      <c r="AD418" s="82" t="str">
        <f>IFERROR($U418*(1-$V418)+SUM($W$22:$W418)+$AB418,"")</f>
        <v/>
      </c>
      <c r="AE418" s="73" t="b">
        <f t="shared" si="274"/>
        <v>1</v>
      </c>
      <c r="AF418" s="82" t="e">
        <f>IF(AND(AE418=TRUE,D418&gt;=65),$U418*(1-10%)+SUM($W$22:$W418)+$AB418,AD418)</f>
        <v>#VALUE!</v>
      </c>
      <c r="AG418" s="82" t="str">
        <f t="shared" si="264"/>
        <v/>
      </c>
      <c r="AH418" s="82" t="str">
        <f t="shared" si="265"/>
        <v/>
      </c>
      <c r="AI418" s="82" t="str">
        <f t="shared" si="266"/>
        <v/>
      </c>
      <c r="AJ418" s="82" t="str">
        <f t="shared" si="267"/>
        <v/>
      </c>
      <c r="AK418" s="73" t="b">
        <f t="shared" si="275"/>
        <v>1</v>
      </c>
      <c r="AL418" s="82" t="str">
        <f t="shared" si="268"/>
        <v/>
      </c>
      <c r="AM418" s="82" t="str">
        <f t="shared" si="269"/>
        <v/>
      </c>
      <c r="AN418" s="82" t="str">
        <f t="shared" si="270"/>
        <v/>
      </c>
      <c r="AO418" s="82" t="str">
        <f t="shared" si="271"/>
        <v/>
      </c>
      <c r="AP418" s="82" t="str">
        <f t="shared" si="272"/>
        <v/>
      </c>
    </row>
    <row r="419" spans="1:42" s="31" customFormat="1" x14ac:dyDescent="0.6">
      <c r="A419" s="70" t="str">
        <f t="shared" si="273"/>
        <v/>
      </c>
      <c r="B419" s="70" t="str">
        <f>IF(E419&lt;=$F$9,VLOOKUP(KALKULATOR!A419,Robocze!$B$23:$C$102,2),"")</f>
        <v/>
      </c>
      <c r="C419" s="70" t="str">
        <f t="shared" si="241"/>
        <v/>
      </c>
      <c r="D419" s="71" t="str">
        <f t="shared" si="242"/>
        <v/>
      </c>
      <c r="E419" s="72" t="str">
        <f t="shared" si="243"/>
        <v/>
      </c>
      <c r="F419" s="72" t="str">
        <f t="shared" si="244"/>
        <v/>
      </c>
      <c r="G419" s="73" t="str">
        <f>IFERROR(IF(AND(F419&lt;=$F$9,$F$5=Robocze!$B$4,$E419&lt;=$F$9,MONTH($F$8)=MONTH(E419)),$F$4,0)+IF(AND(F419&lt;=$F$9,$F$5=Robocze!$B$3,E419&lt;=$F$9),KALKULATOR!$F$4/12,0),"")</f>
        <v/>
      </c>
      <c r="H419" s="73" t="str">
        <f t="shared" si="245"/>
        <v/>
      </c>
      <c r="I419" s="74" t="str">
        <f t="shared" si="246"/>
        <v/>
      </c>
      <c r="J419" s="73" t="str">
        <f t="shared" si="247"/>
        <v/>
      </c>
      <c r="K419" s="75" t="str">
        <f t="shared" si="248"/>
        <v/>
      </c>
      <c r="L419" s="73" t="str">
        <f t="shared" si="249"/>
        <v/>
      </c>
      <c r="M419" s="73" t="str">
        <f t="shared" si="250"/>
        <v/>
      </c>
      <c r="N419" s="73" t="str">
        <f t="shared" si="251"/>
        <v/>
      </c>
      <c r="O419" s="73" t="str">
        <f t="shared" si="252"/>
        <v/>
      </c>
      <c r="P419" s="73" t="str">
        <f t="shared" si="253"/>
        <v/>
      </c>
      <c r="Q419" s="73" t="str">
        <f t="shared" si="254"/>
        <v/>
      </c>
      <c r="R419" s="73"/>
      <c r="S419" s="76" t="str">
        <f t="shared" si="255"/>
        <v/>
      </c>
      <c r="T419" s="73" t="str">
        <f t="shared" si="256"/>
        <v/>
      </c>
      <c r="U419" s="73" t="str">
        <f t="shared" si="257"/>
        <v/>
      </c>
      <c r="V419" s="76" t="str">
        <f t="shared" si="258"/>
        <v/>
      </c>
      <c r="W419" s="73" t="str">
        <f t="shared" si="259"/>
        <v/>
      </c>
      <c r="X419" s="73" t="str">
        <f>IF(B419&lt;&gt;"",IF(MONTH(E419)=MONTH($F$13),SUMIF($C$22:C798,"="&amp;(C419-1),$G$22:G798),0)*S419,"")</f>
        <v/>
      </c>
      <c r="Y419" s="73" t="str">
        <f>IF(B419&lt;&gt;"",SUM($X$22:X419),"")</f>
        <v/>
      </c>
      <c r="Z419" s="73" t="str">
        <f t="shared" si="260"/>
        <v/>
      </c>
      <c r="AA419" s="73" t="str">
        <f t="shared" si="261"/>
        <v/>
      </c>
      <c r="AB419" s="73" t="str">
        <f t="shared" si="262"/>
        <v/>
      </c>
      <c r="AC419" s="73" t="str">
        <f t="shared" si="263"/>
        <v/>
      </c>
      <c r="AD419" s="73" t="str">
        <f>IFERROR($U419*(1-$V419)+SUM($W$22:$W419)+$AB419,"")</f>
        <v/>
      </c>
      <c r="AE419" s="73" t="b">
        <f t="shared" si="274"/>
        <v>1</v>
      </c>
      <c r="AF419" s="73" t="e">
        <f>IF(AND(AE419=TRUE,D419&gt;=65),$U419*(1-10%)+SUM($W$22:$W419)+$AB419,AD419)</f>
        <v>#VALUE!</v>
      </c>
      <c r="AG419" s="73" t="str">
        <f t="shared" si="264"/>
        <v/>
      </c>
      <c r="AH419" s="73" t="str">
        <f t="shared" si="265"/>
        <v/>
      </c>
      <c r="AI419" s="73" t="str">
        <f t="shared" si="266"/>
        <v/>
      </c>
      <c r="AJ419" s="73" t="str">
        <f t="shared" si="267"/>
        <v/>
      </c>
      <c r="AK419" s="73" t="b">
        <f t="shared" si="275"/>
        <v>1</v>
      </c>
      <c r="AL419" s="73" t="str">
        <f t="shared" si="268"/>
        <v/>
      </c>
      <c r="AM419" s="73" t="str">
        <f t="shared" si="269"/>
        <v/>
      </c>
      <c r="AN419" s="73" t="str">
        <f t="shared" si="270"/>
        <v/>
      </c>
      <c r="AO419" s="73" t="str">
        <f t="shared" si="271"/>
        <v/>
      </c>
      <c r="AP419" s="73" t="str">
        <f t="shared" si="272"/>
        <v/>
      </c>
    </row>
    <row r="420" spans="1:42" s="31" customFormat="1" x14ac:dyDescent="0.6">
      <c r="A420" s="70" t="str">
        <f t="shared" si="273"/>
        <v/>
      </c>
      <c r="B420" s="70" t="str">
        <f>IF(E420&lt;=$F$9,VLOOKUP(KALKULATOR!A420,Robocze!$B$23:$C$102,2),"")</f>
        <v/>
      </c>
      <c r="C420" s="70" t="str">
        <f t="shared" si="241"/>
        <v/>
      </c>
      <c r="D420" s="71" t="str">
        <f t="shared" si="242"/>
        <v/>
      </c>
      <c r="E420" s="77" t="str">
        <f t="shared" si="243"/>
        <v/>
      </c>
      <c r="F420" s="72" t="str">
        <f t="shared" si="244"/>
        <v/>
      </c>
      <c r="G420" s="73" t="str">
        <f>IFERROR(IF(AND(F420&lt;=$F$9,$F$5=Robocze!$B$4,$E420&lt;=$F$9,MONTH($F$8)=MONTH(E420)),$F$4,0)+IF(AND(F420&lt;=$F$9,$F$5=Robocze!$B$3,E420&lt;=$F$9),KALKULATOR!$F$4/12,0),"")</f>
        <v/>
      </c>
      <c r="H420" s="73" t="str">
        <f t="shared" si="245"/>
        <v/>
      </c>
      <c r="I420" s="74" t="str">
        <f t="shared" si="246"/>
        <v/>
      </c>
      <c r="J420" s="73" t="str">
        <f t="shared" si="247"/>
        <v/>
      </c>
      <c r="K420" s="75" t="str">
        <f t="shared" si="248"/>
        <v/>
      </c>
      <c r="L420" s="73" t="str">
        <f t="shared" si="249"/>
        <v/>
      </c>
      <c r="M420" s="73" t="str">
        <f t="shared" si="250"/>
        <v/>
      </c>
      <c r="N420" s="73" t="str">
        <f t="shared" si="251"/>
        <v/>
      </c>
      <c r="O420" s="73" t="str">
        <f t="shared" si="252"/>
        <v/>
      </c>
      <c r="P420" s="73" t="str">
        <f t="shared" si="253"/>
        <v/>
      </c>
      <c r="Q420" s="73" t="str">
        <f t="shared" si="254"/>
        <v/>
      </c>
      <c r="R420" s="73"/>
      <c r="S420" s="76" t="str">
        <f t="shared" si="255"/>
        <v/>
      </c>
      <c r="T420" s="73" t="str">
        <f t="shared" si="256"/>
        <v/>
      </c>
      <c r="U420" s="73" t="str">
        <f t="shared" si="257"/>
        <v/>
      </c>
      <c r="V420" s="76" t="str">
        <f t="shared" si="258"/>
        <v/>
      </c>
      <c r="W420" s="73" t="str">
        <f t="shared" si="259"/>
        <v/>
      </c>
      <c r="X420" s="73" t="str">
        <f>IF(B420&lt;&gt;"",IF(MONTH(E420)=MONTH($F$13),SUMIF($C$22:C799,"="&amp;(C420-1),$G$22:G799),0)*S420,"")</f>
        <v/>
      </c>
      <c r="Y420" s="73" t="str">
        <f>IF(B420&lt;&gt;"",SUM($X$22:X420),"")</f>
        <v/>
      </c>
      <c r="Z420" s="73" t="str">
        <f t="shared" si="260"/>
        <v/>
      </c>
      <c r="AA420" s="73" t="str">
        <f t="shared" si="261"/>
        <v/>
      </c>
      <c r="AB420" s="73" t="str">
        <f t="shared" si="262"/>
        <v/>
      </c>
      <c r="AC420" s="73" t="str">
        <f t="shared" si="263"/>
        <v/>
      </c>
      <c r="AD420" s="73" t="str">
        <f>IFERROR($U420*(1-$V420)+SUM($W$22:$W420)+$AB420,"")</f>
        <v/>
      </c>
      <c r="AE420" s="73" t="b">
        <f t="shared" si="274"/>
        <v>1</v>
      </c>
      <c r="AF420" s="73" t="e">
        <f>IF(AND(AE420=TRUE,D420&gt;=65),$U420*(1-10%)+SUM($W$22:$W420)+$AB420,AD420)</f>
        <v>#VALUE!</v>
      </c>
      <c r="AG420" s="73" t="str">
        <f t="shared" si="264"/>
        <v/>
      </c>
      <c r="AH420" s="73" t="str">
        <f t="shared" si="265"/>
        <v/>
      </c>
      <c r="AI420" s="73" t="str">
        <f t="shared" si="266"/>
        <v/>
      </c>
      <c r="AJ420" s="73" t="str">
        <f t="shared" si="267"/>
        <v/>
      </c>
      <c r="AK420" s="73" t="b">
        <f t="shared" si="275"/>
        <v>1</v>
      </c>
      <c r="AL420" s="73" t="str">
        <f t="shared" si="268"/>
        <v/>
      </c>
      <c r="AM420" s="73" t="str">
        <f t="shared" si="269"/>
        <v/>
      </c>
      <c r="AN420" s="73" t="str">
        <f t="shared" si="270"/>
        <v/>
      </c>
      <c r="AO420" s="73" t="str">
        <f t="shared" si="271"/>
        <v/>
      </c>
      <c r="AP420" s="73" t="str">
        <f t="shared" si="272"/>
        <v/>
      </c>
    </row>
    <row r="421" spans="1:42" s="31" customFormat="1" x14ac:dyDescent="0.6">
      <c r="A421" s="70" t="str">
        <f t="shared" si="273"/>
        <v/>
      </c>
      <c r="B421" s="70" t="str">
        <f>IF(E421&lt;=$F$9,VLOOKUP(KALKULATOR!A421,Robocze!$B$23:$C$102,2),"")</f>
        <v/>
      </c>
      <c r="C421" s="70" t="str">
        <f t="shared" si="241"/>
        <v/>
      </c>
      <c r="D421" s="71" t="str">
        <f t="shared" si="242"/>
        <v/>
      </c>
      <c r="E421" s="77" t="str">
        <f t="shared" si="243"/>
        <v/>
      </c>
      <c r="F421" s="72" t="str">
        <f t="shared" si="244"/>
        <v/>
      </c>
      <c r="G421" s="73" t="str">
        <f>IFERROR(IF(AND(F421&lt;=$F$9,$F$5=Robocze!$B$4,$E421&lt;=$F$9,MONTH($F$8)=MONTH(E421)),$F$4,0)+IF(AND(F421&lt;=$F$9,$F$5=Robocze!$B$3,E421&lt;=$F$9),KALKULATOR!$F$4/12,0),"")</f>
        <v/>
      </c>
      <c r="H421" s="73" t="str">
        <f t="shared" si="245"/>
        <v/>
      </c>
      <c r="I421" s="74" t="str">
        <f t="shared" si="246"/>
        <v/>
      </c>
      <c r="J421" s="73" t="str">
        <f t="shared" si="247"/>
        <v/>
      </c>
      <c r="K421" s="75" t="str">
        <f t="shared" si="248"/>
        <v/>
      </c>
      <c r="L421" s="73" t="str">
        <f t="shared" si="249"/>
        <v/>
      </c>
      <c r="M421" s="73" t="str">
        <f t="shared" si="250"/>
        <v/>
      </c>
      <c r="N421" s="73" t="str">
        <f t="shared" si="251"/>
        <v/>
      </c>
      <c r="O421" s="73" t="str">
        <f t="shared" si="252"/>
        <v/>
      </c>
      <c r="P421" s="73" t="str">
        <f t="shared" si="253"/>
        <v/>
      </c>
      <c r="Q421" s="73" t="str">
        <f t="shared" si="254"/>
        <v/>
      </c>
      <c r="R421" s="73"/>
      <c r="S421" s="76" t="str">
        <f t="shared" si="255"/>
        <v/>
      </c>
      <c r="T421" s="73" t="str">
        <f t="shared" si="256"/>
        <v/>
      </c>
      <c r="U421" s="73" t="str">
        <f t="shared" si="257"/>
        <v/>
      </c>
      <c r="V421" s="76" t="str">
        <f t="shared" si="258"/>
        <v/>
      </c>
      <c r="W421" s="73" t="str">
        <f t="shared" si="259"/>
        <v/>
      </c>
      <c r="X421" s="73" t="str">
        <f>IF(B421&lt;&gt;"",IF(MONTH(E421)=MONTH($F$13),SUMIF($C$22:C800,"="&amp;(C421-1),$G$22:G800),0)*S421,"")</f>
        <v/>
      </c>
      <c r="Y421" s="73" t="str">
        <f>IF(B421&lt;&gt;"",SUM($X$22:X421),"")</f>
        <v/>
      </c>
      <c r="Z421" s="73" t="str">
        <f t="shared" si="260"/>
        <v/>
      </c>
      <c r="AA421" s="73" t="str">
        <f t="shared" si="261"/>
        <v/>
      </c>
      <c r="AB421" s="73" t="str">
        <f t="shared" si="262"/>
        <v/>
      </c>
      <c r="AC421" s="73" t="str">
        <f t="shared" si="263"/>
        <v/>
      </c>
      <c r="AD421" s="73" t="str">
        <f>IFERROR($U421*(1-$V421)+SUM($W$22:$W421)+$AB421,"")</f>
        <v/>
      </c>
      <c r="AE421" s="73" t="b">
        <f t="shared" si="274"/>
        <v>1</v>
      </c>
      <c r="AF421" s="73" t="e">
        <f>IF(AND(AE421=TRUE,D421&gt;=65),$U421*(1-10%)+SUM($W$22:$W421)+$AB421,AD421)</f>
        <v>#VALUE!</v>
      </c>
      <c r="AG421" s="73" t="str">
        <f t="shared" si="264"/>
        <v/>
      </c>
      <c r="AH421" s="73" t="str">
        <f t="shared" si="265"/>
        <v/>
      </c>
      <c r="AI421" s="73" t="str">
        <f t="shared" si="266"/>
        <v/>
      </c>
      <c r="AJ421" s="73" t="str">
        <f t="shared" si="267"/>
        <v/>
      </c>
      <c r="AK421" s="73" t="b">
        <f t="shared" si="275"/>
        <v>1</v>
      </c>
      <c r="AL421" s="73" t="str">
        <f t="shared" si="268"/>
        <v/>
      </c>
      <c r="AM421" s="73" t="str">
        <f t="shared" si="269"/>
        <v/>
      </c>
      <c r="AN421" s="73" t="str">
        <f t="shared" si="270"/>
        <v/>
      </c>
      <c r="AO421" s="73" t="str">
        <f t="shared" si="271"/>
        <v/>
      </c>
      <c r="AP421" s="73" t="str">
        <f t="shared" si="272"/>
        <v/>
      </c>
    </row>
    <row r="422" spans="1:42" s="31" customFormat="1" x14ac:dyDescent="0.6">
      <c r="A422" s="70" t="str">
        <f t="shared" si="273"/>
        <v/>
      </c>
      <c r="B422" s="70" t="str">
        <f>IF(E422&lt;=$F$9,VLOOKUP(KALKULATOR!A422,Robocze!$B$23:$C$102,2),"")</f>
        <v/>
      </c>
      <c r="C422" s="70" t="str">
        <f t="shared" si="241"/>
        <v/>
      </c>
      <c r="D422" s="71" t="str">
        <f t="shared" si="242"/>
        <v/>
      </c>
      <c r="E422" s="77" t="str">
        <f t="shared" si="243"/>
        <v/>
      </c>
      <c r="F422" s="72" t="str">
        <f t="shared" si="244"/>
        <v/>
      </c>
      <c r="G422" s="73" t="str">
        <f>IFERROR(IF(AND(F422&lt;=$F$9,$F$5=Robocze!$B$4,$E422&lt;=$F$9,MONTH($F$8)=MONTH(E422)),$F$4,0)+IF(AND(F422&lt;=$F$9,$F$5=Robocze!$B$3,E422&lt;=$F$9),KALKULATOR!$F$4/12,0),"")</f>
        <v/>
      </c>
      <c r="H422" s="73" t="str">
        <f t="shared" si="245"/>
        <v/>
      </c>
      <c r="I422" s="74" t="str">
        <f t="shared" si="246"/>
        <v/>
      </c>
      <c r="J422" s="73" t="str">
        <f t="shared" si="247"/>
        <v/>
      </c>
      <c r="K422" s="75" t="str">
        <f t="shared" si="248"/>
        <v/>
      </c>
      <c r="L422" s="73" t="str">
        <f t="shared" si="249"/>
        <v/>
      </c>
      <c r="M422" s="73" t="str">
        <f t="shared" si="250"/>
        <v/>
      </c>
      <c r="N422" s="73" t="str">
        <f t="shared" si="251"/>
        <v/>
      </c>
      <c r="O422" s="73" t="str">
        <f t="shared" si="252"/>
        <v/>
      </c>
      <c r="P422" s="73" t="str">
        <f t="shared" si="253"/>
        <v/>
      </c>
      <c r="Q422" s="73" t="str">
        <f t="shared" si="254"/>
        <v/>
      </c>
      <c r="R422" s="73"/>
      <c r="S422" s="76" t="str">
        <f t="shared" si="255"/>
        <v/>
      </c>
      <c r="T422" s="73" t="str">
        <f t="shared" si="256"/>
        <v/>
      </c>
      <c r="U422" s="73" t="str">
        <f t="shared" si="257"/>
        <v/>
      </c>
      <c r="V422" s="76" t="str">
        <f t="shared" si="258"/>
        <v/>
      </c>
      <c r="W422" s="73" t="str">
        <f t="shared" si="259"/>
        <v/>
      </c>
      <c r="X422" s="73" t="str">
        <f>IF(B422&lt;&gt;"",IF(MONTH(E422)=MONTH($F$13),SUMIF($C$22:C801,"="&amp;(C422-1),$G$22:G801),0)*S422,"")</f>
        <v/>
      </c>
      <c r="Y422" s="73" t="str">
        <f>IF(B422&lt;&gt;"",SUM($X$22:X422),"")</f>
        <v/>
      </c>
      <c r="Z422" s="73" t="str">
        <f t="shared" si="260"/>
        <v/>
      </c>
      <c r="AA422" s="73" t="str">
        <f t="shared" si="261"/>
        <v/>
      </c>
      <c r="AB422" s="73" t="str">
        <f t="shared" si="262"/>
        <v/>
      </c>
      <c r="AC422" s="73" t="str">
        <f t="shared" si="263"/>
        <v/>
      </c>
      <c r="AD422" s="73" t="str">
        <f>IFERROR($U422*(1-$V422)+SUM($W$22:$W422)+$AB422,"")</f>
        <v/>
      </c>
      <c r="AE422" s="73" t="b">
        <f t="shared" si="274"/>
        <v>1</v>
      </c>
      <c r="AF422" s="73" t="e">
        <f>IF(AND(AE422=TRUE,D422&gt;=65),$U422*(1-10%)+SUM($W$22:$W422)+$AB422,AD422)</f>
        <v>#VALUE!</v>
      </c>
      <c r="AG422" s="73" t="str">
        <f t="shared" si="264"/>
        <v/>
      </c>
      <c r="AH422" s="73" t="str">
        <f t="shared" si="265"/>
        <v/>
      </c>
      <c r="AI422" s="73" t="str">
        <f t="shared" si="266"/>
        <v/>
      </c>
      <c r="AJ422" s="73" t="str">
        <f t="shared" si="267"/>
        <v/>
      </c>
      <c r="AK422" s="73" t="b">
        <f t="shared" si="275"/>
        <v>1</v>
      </c>
      <c r="AL422" s="73" t="str">
        <f t="shared" si="268"/>
        <v/>
      </c>
      <c r="AM422" s="73" t="str">
        <f t="shared" si="269"/>
        <v/>
      </c>
      <c r="AN422" s="73" t="str">
        <f t="shared" si="270"/>
        <v/>
      </c>
      <c r="AO422" s="73" t="str">
        <f t="shared" si="271"/>
        <v/>
      </c>
      <c r="AP422" s="73" t="str">
        <f t="shared" si="272"/>
        <v/>
      </c>
    </row>
    <row r="423" spans="1:42" s="31" customFormat="1" x14ac:dyDescent="0.6">
      <c r="A423" s="70" t="str">
        <f t="shared" si="273"/>
        <v/>
      </c>
      <c r="B423" s="70" t="str">
        <f>IF(E423&lt;=$F$9,VLOOKUP(KALKULATOR!A423,Robocze!$B$23:$C$102,2),"")</f>
        <v/>
      </c>
      <c r="C423" s="70" t="str">
        <f t="shared" si="241"/>
        <v/>
      </c>
      <c r="D423" s="71" t="str">
        <f t="shared" si="242"/>
        <v/>
      </c>
      <c r="E423" s="77" t="str">
        <f t="shared" si="243"/>
        <v/>
      </c>
      <c r="F423" s="72" t="str">
        <f t="shared" si="244"/>
        <v/>
      </c>
      <c r="G423" s="73" t="str">
        <f>IFERROR(IF(AND(F423&lt;=$F$9,$F$5=Robocze!$B$4,$E423&lt;=$F$9,MONTH($F$8)=MONTH(E423)),$F$4,0)+IF(AND(F423&lt;=$F$9,$F$5=Robocze!$B$3,E423&lt;=$F$9),KALKULATOR!$F$4/12,0),"")</f>
        <v/>
      </c>
      <c r="H423" s="73" t="str">
        <f t="shared" si="245"/>
        <v/>
      </c>
      <c r="I423" s="74" t="str">
        <f t="shared" si="246"/>
        <v/>
      </c>
      <c r="J423" s="73" t="str">
        <f t="shared" si="247"/>
        <v/>
      </c>
      <c r="K423" s="75" t="str">
        <f t="shared" si="248"/>
        <v/>
      </c>
      <c r="L423" s="73" t="str">
        <f t="shared" si="249"/>
        <v/>
      </c>
      <c r="M423" s="73" t="str">
        <f t="shared" si="250"/>
        <v/>
      </c>
      <c r="N423" s="73" t="str">
        <f t="shared" si="251"/>
        <v/>
      </c>
      <c r="O423" s="73" t="str">
        <f t="shared" si="252"/>
        <v/>
      </c>
      <c r="P423" s="73" t="str">
        <f t="shared" si="253"/>
        <v/>
      </c>
      <c r="Q423" s="73" t="str">
        <f t="shared" si="254"/>
        <v/>
      </c>
      <c r="R423" s="73"/>
      <c r="S423" s="76" t="str">
        <f t="shared" si="255"/>
        <v/>
      </c>
      <c r="T423" s="73" t="str">
        <f t="shared" si="256"/>
        <v/>
      </c>
      <c r="U423" s="73" t="str">
        <f t="shared" si="257"/>
        <v/>
      </c>
      <c r="V423" s="76" t="str">
        <f t="shared" si="258"/>
        <v/>
      </c>
      <c r="W423" s="73" t="str">
        <f t="shared" si="259"/>
        <v/>
      </c>
      <c r="X423" s="73" t="str">
        <f>IF(B423&lt;&gt;"",IF(MONTH(E423)=MONTH($F$13),SUMIF($C$22:C802,"="&amp;(C423-1),$G$22:G802),0)*S423,"")</f>
        <v/>
      </c>
      <c r="Y423" s="73" t="str">
        <f>IF(B423&lt;&gt;"",SUM($X$22:X423),"")</f>
        <v/>
      </c>
      <c r="Z423" s="73" t="str">
        <f t="shared" si="260"/>
        <v/>
      </c>
      <c r="AA423" s="73" t="str">
        <f t="shared" si="261"/>
        <v/>
      </c>
      <c r="AB423" s="73" t="str">
        <f t="shared" si="262"/>
        <v/>
      </c>
      <c r="AC423" s="73" t="str">
        <f t="shared" si="263"/>
        <v/>
      </c>
      <c r="AD423" s="73" t="str">
        <f>IFERROR($U423*(1-$V423)+SUM($W$22:$W423)+$AB423,"")</f>
        <v/>
      </c>
      <c r="AE423" s="73" t="b">
        <f t="shared" si="274"/>
        <v>1</v>
      </c>
      <c r="AF423" s="73" t="e">
        <f>IF(AND(AE423=TRUE,D423&gt;=65),$U423*(1-10%)+SUM($W$22:$W423)+$AB423,AD423)</f>
        <v>#VALUE!</v>
      </c>
      <c r="AG423" s="73" t="str">
        <f t="shared" si="264"/>
        <v/>
      </c>
      <c r="AH423" s="73" t="str">
        <f t="shared" si="265"/>
        <v/>
      </c>
      <c r="AI423" s="73" t="str">
        <f t="shared" si="266"/>
        <v/>
      </c>
      <c r="AJ423" s="73" t="str">
        <f t="shared" si="267"/>
        <v/>
      </c>
      <c r="AK423" s="73" t="b">
        <f t="shared" si="275"/>
        <v>1</v>
      </c>
      <c r="AL423" s="73" t="str">
        <f t="shared" si="268"/>
        <v/>
      </c>
      <c r="AM423" s="73" t="str">
        <f t="shared" si="269"/>
        <v/>
      </c>
      <c r="AN423" s="73" t="str">
        <f t="shared" si="270"/>
        <v/>
      </c>
      <c r="AO423" s="73" t="str">
        <f t="shared" si="271"/>
        <v/>
      </c>
      <c r="AP423" s="73" t="str">
        <f t="shared" si="272"/>
        <v/>
      </c>
    </row>
    <row r="424" spans="1:42" s="31" customFormat="1" x14ac:dyDescent="0.6">
      <c r="A424" s="70" t="str">
        <f t="shared" si="273"/>
        <v/>
      </c>
      <c r="B424" s="70" t="str">
        <f>IF(E424&lt;=$F$9,VLOOKUP(KALKULATOR!A424,Robocze!$B$23:$C$102,2),"")</f>
        <v/>
      </c>
      <c r="C424" s="70" t="str">
        <f t="shared" si="241"/>
        <v/>
      </c>
      <c r="D424" s="71" t="str">
        <f t="shared" si="242"/>
        <v/>
      </c>
      <c r="E424" s="77" t="str">
        <f t="shared" si="243"/>
        <v/>
      </c>
      <c r="F424" s="72" t="str">
        <f t="shared" si="244"/>
        <v/>
      </c>
      <c r="G424" s="73" t="str">
        <f>IFERROR(IF(AND(F424&lt;=$F$9,$F$5=Robocze!$B$4,$E424&lt;=$F$9,MONTH($F$8)=MONTH(E424)),$F$4,0)+IF(AND(F424&lt;=$F$9,$F$5=Robocze!$B$3,E424&lt;=$F$9),KALKULATOR!$F$4/12,0),"")</f>
        <v/>
      </c>
      <c r="H424" s="73" t="str">
        <f t="shared" si="245"/>
        <v/>
      </c>
      <c r="I424" s="74" t="str">
        <f t="shared" si="246"/>
        <v/>
      </c>
      <c r="J424" s="73" t="str">
        <f t="shared" si="247"/>
        <v/>
      </c>
      <c r="K424" s="75" t="str">
        <f t="shared" si="248"/>
        <v/>
      </c>
      <c r="L424" s="73" t="str">
        <f t="shared" si="249"/>
        <v/>
      </c>
      <c r="M424" s="73" t="str">
        <f t="shared" si="250"/>
        <v/>
      </c>
      <c r="N424" s="73" t="str">
        <f t="shared" si="251"/>
        <v/>
      </c>
      <c r="O424" s="73" t="str">
        <f t="shared" si="252"/>
        <v/>
      </c>
      <c r="P424" s="73" t="str">
        <f t="shared" si="253"/>
        <v/>
      </c>
      <c r="Q424" s="73" t="str">
        <f t="shared" si="254"/>
        <v/>
      </c>
      <c r="R424" s="73"/>
      <c r="S424" s="76" t="str">
        <f t="shared" si="255"/>
        <v/>
      </c>
      <c r="T424" s="73" t="str">
        <f t="shared" si="256"/>
        <v/>
      </c>
      <c r="U424" s="73" t="str">
        <f t="shared" si="257"/>
        <v/>
      </c>
      <c r="V424" s="76" t="str">
        <f t="shared" si="258"/>
        <v/>
      </c>
      <c r="W424" s="73" t="str">
        <f t="shared" si="259"/>
        <v/>
      </c>
      <c r="X424" s="73" t="str">
        <f>IF(B424&lt;&gt;"",IF(MONTH(E424)=MONTH($F$13),SUMIF($C$22:C803,"="&amp;(C424-1),$G$22:G803),0)*S424,"")</f>
        <v/>
      </c>
      <c r="Y424" s="73" t="str">
        <f>IF(B424&lt;&gt;"",SUM($X$22:X424),"")</f>
        <v/>
      </c>
      <c r="Z424" s="73" t="str">
        <f t="shared" si="260"/>
        <v/>
      </c>
      <c r="AA424" s="73" t="str">
        <f t="shared" si="261"/>
        <v/>
      </c>
      <c r="AB424" s="73" t="str">
        <f t="shared" si="262"/>
        <v/>
      </c>
      <c r="AC424" s="73" t="str">
        <f t="shared" si="263"/>
        <v/>
      </c>
      <c r="AD424" s="73" t="str">
        <f>IFERROR($U424*(1-$V424)+SUM($W$22:$W424)+$AB424,"")</f>
        <v/>
      </c>
      <c r="AE424" s="73" t="b">
        <f t="shared" si="274"/>
        <v>1</v>
      </c>
      <c r="AF424" s="73" t="e">
        <f>IF(AND(AE424=TRUE,D424&gt;=65),$U424*(1-10%)+SUM($W$22:$W424)+$AB424,AD424)</f>
        <v>#VALUE!</v>
      </c>
      <c r="AG424" s="73" t="str">
        <f t="shared" si="264"/>
        <v/>
      </c>
      <c r="AH424" s="73" t="str">
        <f t="shared" si="265"/>
        <v/>
      </c>
      <c r="AI424" s="73" t="str">
        <f t="shared" si="266"/>
        <v/>
      </c>
      <c r="AJ424" s="73" t="str">
        <f t="shared" si="267"/>
        <v/>
      </c>
      <c r="AK424" s="73" t="b">
        <f t="shared" si="275"/>
        <v>1</v>
      </c>
      <c r="AL424" s="73" t="str">
        <f t="shared" si="268"/>
        <v/>
      </c>
      <c r="AM424" s="73" t="str">
        <f t="shared" si="269"/>
        <v/>
      </c>
      <c r="AN424" s="73" t="str">
        <f t="shared" si="270"/>
        <v/>
      </c>
      <c r="AO424" s="73" t="str">
        <f t="shared" si="271"/>
        <v/>
      </c>
      <c r="AP424" s="73" t="str">
        <f t="shared" si="272"/>
        <v/>
      </c>
    </row>
    <row r="425" spans="1:42" s="31" customFormat="1" x14ac:dyDescent="0.6">
      <c r="A425" s="70" t="str">
        <f t="shared" si="273"/>
        <v/>
      </c>
      <c r="B425" s="70" t="str">
        <f>IF(E425&lt;=$F$9,VLOOKUP(KALKULATOR!A425,Robocze!$B$23:$C$102,2),"")</f>
        <v/>
      </c>
      <c r="C425" s="70" t="str">
        <f t="shared" si="241"/>
        <v/>
      </c>
      <c r="D425" s="71" t="str">
        <f t="shared" si="242"/>
        <v/>
      </c>
      <c r="E425" s="77" t="str">
        <f t="shared" si="243"/>
        <v/>
      </c>
      <c r="F425" s="72" t="str">
        <f t="shared" si="244"/>
        <v/>
      </c>
      <c r="G425" s="73" t="str">
        <f>IFERROR(IF(AND(F425&lt;=$F$9,$F$5=Robocze!$B$4,$E425&lt;=$F$9,MONTH($F$8)=MONTH(E425)),$F$4,0)+IF(AND(F425&lt;=$F$9,$F$5=Robocze!$B$3,E425&lt;=$F$9),KALKULATOR!$F$4/12,0),"")</f>
        <v/>
      </c>
      <c r="H425" s="73" t="str">
        <f t="shared" si="245"/>
        <v/>
      </c>
      <c r="I425" s="74" t="str">
        <f t="shared" si="246"/>
        <v/>
      </c>
      <c r="J425" s="73" t="str">
        <f t="shared" si="247"/>
        <v/>
      </c>
      <c r="K425" s="75" t="str">
        <f t="shared" si="248"/>
        <v/>
      </c>
      <c r="L425" s="73" t="str">
        <f t="shared" si="249"/>
        <v/>
      </c>
      <c r="M425" s="73" t="str">
        <f t="shared" si="250"/>
        <v/>
      </c>
      <c r="N425" s="73" t="str">
        <f t="shared" si="251"/>
        <v/>
      </c>
      <c r="O425" s="73" t="str">
        <f t="shared" si="252"/>
        <v/>
      </c>
      <c r="P425" s="73" t="str">
        <f t="shared" si="253"/>
        <v/>
      </c>
      <c r="Q425" s="73" t="str">
        <f t="shared" si="254"/>
        <v/>
      </c>
      <c r="R425" s="73"/>
      <c r="S425" s="76" t="str">
        <f t="shared" si="255"/>
        <v/>
      </c>
      <c r="T425" s="73" t="str">
        <f t="shared" si="256"/>
        <v/>
      </c>
      <c r="U425" s="73" t="str">
        <f t="shared" si="257"/>
        <v/>
      </c>
      <c r="V425" s="76" t="str">
        <f t="shared" si="258"/>
        <v/>
      </c>
      <c r="W425" s="73" t="str">
        <f t="shared" si="259"/>
        <v/>
      </c>
      <c r="X425" s="73" t="str">
        <f>IF(B425&lt;&gt;"",IF(MONTH(E425)=MONTH($F$13),SUMIF($C$22:C804,"="&amp;(C425-1),$G$22:G804),0)*S425,"")</f>
        <v/>
      </c>
      <c r="Y425" s="73" t="str">
        <f>IF(B425&lt;&gt;"",SUM($X$22:X425),"")</f>
        <v/>
      </c>
      <c r="Z425" s="73" t="str">
        <f t="shared" si="260"/>
        <v/>
      </c>
      <c r="AA425" s="73" t="str">
        <f t="shared" si="261"/>
        <v/>
      </c>
      <c r="AB425" s="73" t="str">
        <f t="shared" si="262"/>
        <v/>
      </c>
      <c r="AC425" s="73" t="str">
        <f t="shared" si="263"/>
        <v/>
      </c>
      <c r="AD425" s="73" t="str">
        <f>IFERROR($U425*(1-$V425)+SUM($W$22:$W425)+$AB425,"")</f>
        <v/>
      </c>
      <c r="AE425" s="73" t="b">
        <f t="shared" si="274"/>
        <v>1</v>
      </c>
      <c r="AF425" s="73" t="e">
        <f>IF(AND(AE425=TRUE,D425&gt;=65),$U425*(1-10%)+SUM($W$22:$W425)+$AB425,AD425)</f>
        <v>#VALUE!</v>
      </c>
      <c r="AG425" s="73" t="str">
        <f t="shared" si="264"/>
        <v/>
      </c>
      <c r="AH425" s="73" t="str">
        <f t="shared" si="265"/>
        <v/>
      </c>
      <c r="AI425" s="73" t="str">
        <f t="shared" si="266"/>
        <v/>
      </c>
      <c r="AJ425" s="73" t="str">
        <f t="shared" si="267"/>
        <v/>
      </c>
      <c r="AK425" s="73" t="b">
        <f t="shared" si="275"/>
        <v>1</v>
      </c>
      <c r="AL425" s="73" t="str">
        <f t="shared" si="268"/>
        <v/>
      </c>
      <c r="AM425" s="73" t="str">
        <f t="shared" si="269"/>
        <v/>
      </c>
      <c r="AN425" s="73" t="str">
        <f t="shared" si="270"/>
        <v/>
      </c>
      <c r="AO425" s="73" t="str">
        <f t="shared" si="271"/>
        <v/>
      </c>
      <c r="AP425" s="73" t="str">
        <f t="shared" si="272"/>
        <v/>
      </c>
    </row>
    <row r="426" spans="1:42" s="31" customFormat="1" x14ac:dyDescent="0.6">
      <c r="A426" s="70" t="str">
        <f t="shared" si="273"/>
        <v/>
      </c>
      <c r="B426" s="70" t="str">
        <f>IF(E426&lt;=$F$9,VLOOKUP(KALKULATOR!A426,Robocze!$B$23:$C$102,2),"")</f>
        <v/>
      </c>
      <c r="C426" s="70" t="str">
        <f t="shared" si="241"/>
        <v/>
      </c>
      <c r="D426" s="71" t="str">
        <f t="shared" si="242"/>
        <v/>
      </c>
      <c r="E426" s="77" t="str">
        <f t="shared" si="243"/>
        <v/>
      </c>
      <c r="F426" s="72" t="str">
        <f t="shared" si="244"/>
        <v/>
      </c>
      <c r="G426" s="73" t="str">
        <f>IFERROR(IF(AND(F426&lt;=$F$9,$F$5=Robocze!$B$4,$E426&lt;=$F$9,MONTH($F$8)=MONTH(E426)),$F$4,0)+IF(AND(F426&lt;=$F$9,$F$5=Robocze!$B$3,E426&lt;=$F$9),KALKULATOR!$F$4/12,0),"")</f>
        <v/>
      </c>
      <c r="H426" s="73" t="str">
        <f t="shared" si="245"/>
        <v/>
      </c>
      <c r="I426" s="74" t="str">
        <f t="shared" si="246"/>
        <v/>
      </c>
      <c r="J426" s="73" t="str">
        <f t="shared" si="247"/>
        <v/>
      </c>
      <c r="K426" s="75" t="str">
        <f t="shared" si="248"/>
        <v/>
      </c>
      <c r="L426" s="73" t="str">
        <f t="shared" si="249"/>
        <v/>
      </c>
      <c r="M426" s="73" t="str">
        <f t="shared" si="250"/>
        <v/>
      </c>
      <c r="N426" s="73" t="str">
        <f t="shared" si="251"/>
        <v/>
      </c>
      <c r="O426" s="73" t="str">
        <f t="shared" si="252"/>
        <v/>
      </c>
      <c r="P426" s="73" t="str">
        <f t="shared" si="253"/>
        <v/>
      </c>
      <c r="Q426" s="73" t="str">
        <f t="shared" si="254"/>
        <v/>
      </c>
      <c r="R426" s="73"/>
      <c r="S426" s="76" t="str">
        <f t="shared" si="255"/>
        <v/>
      </c>
      <c r="T426" s="73" t="str">
        <f t="shared" si="256"/>
        <v/>
      </c>
      <c r="U426" s="73" t="str">
        <f t="shared" si="257"/>
        <v/>
      </c>
      <c r="V426" s="76" t="str">
        <f t="shared" si="258"/>
        <v/>
      </c>
      <c r="W426" s="73" t="str">
        <f t="shared" si="259"/>
        <v/>
      </c>
      <c r="X426" s="73" t="str">
        <f>IF(B426&lt;&gt;"",IF(MONTH(E426)=MONTH($F$13),SUMIF($C$22:C805,"="&amp;(C426-1),$G$22:G805),0)*S426,"")</f>
        <v/>
      </c>
      <c r="Y426" s="73" t="str">
        <f>IF(B426&lt;&gt;"",SUM($X$22:X426),"")</f>
        <v/>
      </c>
      <c r="Z426" s="73" t="str">
        <f t="shared" si="260"/>
        <v/>
      </c>
      <c r="AA426" s="73" t="str">
        <f t="shared" si="261"/>
        <v/>
      </c>
      <c r="AB426" s="73" t="str">
        <f t="shared" si="262"/>
        <v/>
      </c>
      <c r="AC426" s="73" t="str">
        <f t="shared" si="263"/>
        <v/>
      </c>
      <c r="AD426" s="73" t="str">
        <f>IFERROR($U426*(1-$V426)+SUM($W$22:$W426)+$AB426,"")</f>
        <v/>
      </c>
      <c r="AE426" s="73" t="b">
        <f t="shared" si="274"/>
        <v>1</v>
      </c>
      <c r="AF426" s="73" t="e">
        <f>IF(AND(AE426=TRUE,D426&gt;=65),$U426*(1-10%)+SUM($W$22:$W426)+$AB426,AD426)</f>
        <v>#VALUE!</v>
      </c>
      <c r="AG426" s="73" t="str">
        <f t="shared" si="264"/>
        <v/>
      </c>
      <c r="AH426" s="73" t="str">
        <f t="shared" si="265"/>
        <v/>
      </c>
      <c r="AI426" s="73" t="str">
        <f t="shared" si="266"/>
        <v/>
      </c>
      <c r="AJ426" s="73" t="str">
        <f t="shared" si="267"/>
        <v/>
      </c>
      <c r="AK426" s="73" t="b">
        <f t="shared" si="275"/>
        <v>1</v>
      </c>
      <c r="AL426" s="73" t="str">
        <f t="shared" si="268"/>
        <v/>
      </c>
      <c r="AM426" s="73" t="str">
        <f t="shared" si="269"/>
        <v/>
      </c>
      <c r="AN426" s="73" t="str">
        <f t="shared" si="270"/>
        <v/>
      </c>
      <c r="AO426" s="73" t="str">
        <f t="shared" si="271"/>
        <v/>
      </c>
      <c r="AP426" s="73" t="str">
        <f t="shared" si="272"/>
        <v/>
      </c>
    </row>
    <row r="427" spans="1:42" s="31" customFormat="1" x14ac:dyDescent="0.6">
      <c r="A427" s="70" t="str">
        <f t="shared" si="273"/>
        <v/>
      </c>
      <c r="B427" s="70" t="str">
        <f>IF(E427&lt;=$F$9,VLOOKUP(KALKULATOR!A427,Robocze!$B$23:$C$102,2),"")</f>
        <v/>
      </c>
      <c r="C427" s="70" t="str">
        <f t="shared" si="241"/>
        <v/>
      </c>
      <c r="D427" s="71" t="str">
        <f t="shared" si="242"/>
        <v/>
      </c>
      <c r="E427" s="77" t="str">
        <f t="shared" si="243"/>
        <v/>
      </c>
      <c r="F427" s="72" t="str">
        <f t="shared" si="244"/>
        <v/>
      </c>
      <c r="G427" s="73" t="str">
        <f>IFERROR(IF(AND(F427&lt;=$F$9,$F$5=Robocze!$B$4,$E427&lt;=$F$9,MONTH($F$8)=MONTH(E427)),$F$4,0)+IF(AND(F427&lt;=$F$9,$F$5=Robocze!$B$3,E427&lt;=$F$9),KALKULATOR!$F$4/12,0),"")</f>
        <v/>
      </c>
      <c r="H427" s="73" t="str">
        <f t="shared" si="245"/>
        <v/>
      </c>
      <c r="I427" s="74" t="str">
        <f t="shared" si="246"/>
        <v/>
      </c>
      <c r="J427" s="73" t="str">
        <f t="shared" si="247"/>
        <v/>
      </c>
      <c r="K427" s="75" t="str">
        <f t="shared" si="248"/>
        <v/>
      </c>
      <c r="L427" s="73" t="str">
        <f t="shared" si="249"/>
        <v/>
      </c>
      <c r="M427" s="73" t="str">
        <f t="shared" si="250"/>
        <v/>
      </c>
      <c r="N427" s="73" t="str">
        <f t="shared" si="251"/>
        <v/>
      </c>
      <c r="O427" s="73" t="str">
        <f t="shared" si="252"/>
        <v/>
      </c>
      <c r="P427" s="73" t="str">
        <f t="shared" si="253"/>
        <v/>
      </c>
      <c r="Q427" s="73" t="str">
        <f t="shared" si="254"/>
        <v/>
      </c>
      <c r="R427" s="73"/>
      <c r="S427" s="76" t="str">
        <f t="shared" si="255"/>
        <v/>
      </c>
      <c r="T427" s="73" t="str">
        <f t="shared" si="256"/>
        <v/>
      </c>
      <c r="U427" s="73" t="str">
        <f t="shared" si="257"/>
        <v/>
      </c>
      <c r="V427" s="76" t="str">
        <f t="shared" si="258"/>
        <v/>
      </c>
      <c r="W427" s="73" t="str">
        <f t="shared" si="259"/>
        <v/>
      </c>
      <c r="X427" s="73" t="str">
        <f>IF(B427&lt;&gt;"",IF(MONTH(E427)=MONTH($F$13),SUMIF($C$22:C806,"="&amp;(C427-1),$G$22:G806),0)*S427,"")</f>
        <v/>
      </c>
      <c r="Y427" s="73" t="str">
        <f>IF(B427&lt;&gt;"",SUM($X$22:X427),"")</f>
        <v/>
      </c>
      <c r="Z427" s="73" t="str">
        <f t="shared" si="260"/>
        <v/>
      </c>
      <c r="AA427" s="73" t="str">
        <f t="shared" si="261"/>
        <v/>
      </c>
      <c r="AB427" s="73" t="str">
        <f t="shared" si="262"/>
        <v/>
      </c>
      <c r="AC427" s="73" t="str">
        <f t="shared" si="263"/>
        <v/>
      </c>
      <c r="AD427" s="73" t="str">
        <f>IFERROR($U427*(1-$V427)+SUM($W$22:$W427)+$AB427,"")</f>
        <v/>
      </c>
      <c r="AE427" s="73" t="b">
        <f t="shared" si="274"/>
        <v>1</v>
      </c>
      <c r="AF427" s="73" t="e">
        <f>IF(AND(AE427=TRUE,D427&gt;=65),$U427*(1-10%)+SUM($W$22:$W427)+$AB427,AD427)</f>
        <v>#VALUE!</v>
      </c>
      <c r="AG427" s="73" t="str">
        <f t="shared" si="264"/>
        <v/>
      </c>
      <c r="AH427" s="73" t="str">
        <f t="shared" si="265"/>
        <v/>
      </c>
      <c r="AI427" s="73" t="str">
        <f t="shared" si="266"/>
        <v/>
      </c>
      <c r="AJ427" s="73" t="str">
        <f t="shared" si="267"/>
        <v/>
      </c>
      <c r="AK427" s="73" t="b">
        <f t="shared" si="275"/>
        <v>1</v>
      </c>
      <c r="AL427" s="73" t="str">
        <f t="shared" si="268"/>
        <v/>
      </c>
      <c r="AM427" s="73" t="str">
        <f t="shared" si="269"/>
        <v/>
      </c>
      <c r="AN427" s="73" t="str">
        <f t="shared" si="270"/>
        <v/>
      </c>
      <c r="AO427" s="73" t="str">
        <f t="shared" si="271"/>
        <v/>
      </c>
      <c r="AP427" s="73" t="str">
        <f t="shared" si="272"/>
        <v/>
      </c>
    </row>
    <row r="428" spans="1:42" s="31" customFormat="1" x14ac:dyDescent="0.6">
      <c r="A428" s="70" t="str">
        <f t="shared" si="273"/>
        <v/>
      </c>
      <c r="B428" s="70" t="str">
        <f>IF(E428&lt;=$F$9,VLOOKUP(KALKULATOR!A428,Robocze!$B$23:$C$102,2),"")</f>
        <v/>
      </c>
      <c r="C428" s="70" t="str">
        <f t="shared" si="241"/>
        <v/>
      </c>
      <c r="D428" s="71" t="str">
        <f t="shared" si="242"/>
        <v/>
      </c>
      <c r="E428" s="77" t="str">
        <f t="shared" si="243"/>
        <v/>
      </c>
      <c r="F428" s="72" t="str">
        <f t="shared" si="244"/>
        <v/>
      </c>
      <c r="G428" s="73" t="str">
        <f>IFERROR(IF(AND(F428&lt;=$F$9,$F$5=Robocze!$B$4,$E428&lt;=$F$9,MONTH($F$8)=MONTH(E428)),$F$4,0)+IF(AND(F428&lt;=$F$9,$F$5=Robocze!$B$3,E428&lt;=$F$9),KALKULATOR!$F$4/12,0),"")</f>
        <v/>
      </c>
      <c r="H428" s="73" t="str">
        <f t="shared" si="245"/>
        <v/>
      </c>
      <c r="I428" s="74" t="str">
        <f t="shared" si="246"/>
        <v/>
      </c>
      <c r="J428" s="73" t="str">
        <f t="shared" si="247"/>
        <v/>
      </c>
      <c r="K428" s="75" t="str">
        <f t="shared" si="248"/>
        <v/>
      </c>
      <c r="L428" s="73" t="str">
        <f t="shared" si="249"/>
        <v/>
      </c>
      <c r="M428" s="73" t="str">
        <f t="shared" si="250"/>
        <v/>
      </c>
      <c r="N428" s="73" t="str">
        <f t="shared" si="251"/>
        <v/>
      </c>
      <c r="O428" s="73" t="str">
        <f t="shared" si="252"/>
        <v/>
      </c>
      <c r="P428" s="73" t="str">
        <f t="shared" si="253"/>
        <v/>
      </c>
      <c r="Q428" s="73" t="str">
        <f t="shared" si="254"/>
        <v/>
      </c>
      <c r="R428" s="73"/>
      <c r="S428" s="76" t="str">
        <f t="shared" si="255"/>
        <v/>
      </c>
      <c r="T428" s="73" t="str">
        <f t="shared" si="256"/>
        <v/>
      </c>
      <c r="U428" s="73" t="str">
        <f t="shared" si="257"/>
        <v/>
      </c>
      <c r="V428" s="76" t="str">
        <f t="shared" si="258"/>
        <v/>
      </c>
      <c r="W428" s="73" t="str">
        <f t="shared" si="259"/>
        <v/>
      </c>
      <c r="X428" s="73" t="str">
        <f>IF(B428&lt;&gt;"",IF(MONTH(E428)=MONTH($F$13),SUMIF($C$22:C807,"="&amp;(C428-1),$G$22:G807),0)*S428,"")</f>
        <v/>
      </c>
      <c r="Y428" s="73" t="str">
        <f>IF(B428&lt;&gt;"",SUM($X$22:X428),"")</f>
        <v/>
      </c>
      <c r="Z428" s="73" t="str">
        <f t="shared" si="260"/>
        <v/>
      </c>
      <c r="AA428" s="73" t="str">
        <f t="shared" si="261"/>
        <v/>
      </c>
      <c r="AB428" s="73" t="str">
        <f t="shared" si="262"/>
        <v/>
      </c>
      <c r="AC428" s="73" t="str">
        <f t="shared" si="263"/>
        <v/>
      </c>
      <c r="AD428" s="73" t="str">
        <f>IFERROR($U428*(1-$V428)+SUM($W$22:$W428)+$AB428,"")</f>
        <v/>
      </c>
      <c r="AE428" s="73" t="b">
        <f t="shared" si="274"/>
        <v>1</v>
      </c>
      <c r="AF428" s="73" t="e">
        <f>IF(AND(AE428=TRUE,D428&gt;=65),$U428*(1-10%)+SUM($W$22:$W428)+$AB428,AD428)</f>
        <v>#VALUE!</v>
      </c>
      <c r="AG428" s="73" t="str">
        <f t="shared" si="264"/>
        <v/>
      </c>
      <c r="AH428" s="73" t="str">
        <f t="shared" si="265"/>
        <v/>
      </c>
      <c r="AI428" s="73" t="str">
        <f t="shared" si="266"/>
        <v/>
      </c>
      <c r="AJ428" s="73" t="str">
        <f t="shared" si="267"/>
        <v/>
      </c>
      <c r="AK428" s="73" t="b">
        <f t="shared" si="275"/>
        <v>1</v>
      </c>
      <c r="AL428" s="73" t="str">
        <f t="shared" si="268"/>
        <v/>
      </c>
      <c r="AM428" s="73" t="str">
        <f t="shared" si="269"/>
        <v/>
      </c>
      <c r="AN428" s="73" t="str">
        <f t="shared" si="270"/>
        <v/>
      </c>
      <c r="AO428" s="73" t="str">
        <f t="shared" si="271"/>
        <v/>
      </c>
      <c r="AP428" s="73" t="str">
        <f t="shared" si="272"/>
        <v/>
      </c>
    </row>
    <row r="429" spans="1:42" s="31" customFormat="1" x14ac:dyDescent="0.6">
      <c r="A429" s="70" t="str">
        <f t="shared" si="273"/>
        <v/>
      </c>
      <c r="B429" s="70" t="str">
        <f>IF(E429&lt;=$F$9,VLOOKUP(KALKULATOR!A429,Robocze!$B$23:$C$102,2),"")</f>
        <v/>
      </c>
      <c r="C429" s="70" t="str">
        <f t="shared" si="241"/>
        <v/>
      </c>
      <c r="D429" s="71" t="str">
        <f t="shared" si="242"/>
        <v/>
      </c>
      <c r="E429" s="77" t="str">
        <f t="shared" si="243"/>
        <v/>
      </c>
      <c r="F429" s="72" t="str">
        <f t="shared" si="244"/>
        <v/>
      </c>
      <c r="G429" s="73" t="str">
        <f>IFERROR(IF(AND(F429&lt;=$F$9,$F$5=Robocze!$B$4,$E429&lt;=$F$9,MONTH($F$8)=MONTH(E429)),$F$4,0)+IF(AND(F429&lt;=$F$9,$F$5=Robocze!$B$3,E429&lt;=$F$9),KALKULATOR!$F$4/12,0),"")</f>
        <v/>
      </c>
      <c r="H429" s="73" t="str">
        <f t="shared" si="245"/>
        <v/>
      </c>
      <c r="I429" s="74" t="str">
        <f t="shared" si="246"/>
        <v/>
      </c>
      <c r="J429" s="73" t="str">
        <f t="shared" si="247"/>
        <v/>
      </c>
      <c r="K429" s="75" t="str">
        <f t="shared" si="248"/>
        <v/>
      </c>
      <c r="L429" s="73" t="str">
        <f t="shared" si="249"/>
        <v/>
      </c>
      <c r="M429" s="73" t="str">
        <f t="shared" si="250"/>
        <v/>
      </c>
      <c r="N429" s="73" t="str">
        <f t="shared" si="251"/>
        <v/>
      </c>
      <c r="O429" s="73" t="str">
        <f t="shared" si="252"/>
        <v/>
      </c>
      <c r="P429" s="73" t="str">
        <f t="shared" si="253"/>
        <v/>
      </c>
      <c r="Q429" s="73" t="str">
        <f t="shared" si="254"/>
        <v/>
      </c>
      <c r="R429" s="73"/>
      <c r="S429" s="76" t="str">
        <f t="shared" si="255"/>
        <v/>
      </c>
      <c r="T429" s="73" t="str">
        <f t="shared" si="256"/>
        <v/>
      </c>
      <c r="U429" s="73" t="str">
        <f t="shared" si="257"/>
        <v/>
      </c>
      <c r="V429" s="76" t="str">
        <f t="shared" si="258"/>
        <v/>
      </c>
      <c r="W429" s="73" t="str">
        <f t="shared" si="259"/>
        <v/>
      </c>
      <c r="X429" s="73" t="str">
        <f>IF(B429&lt;&gt;"",IF(MONTH(E429)=MONTH($F$13),SUMIF($C$22:C808,"="&amp;(C429-1),$G$22:G808),0)*S429,"")</f>
        <v/>
      </c>
      <c r="Y429" s="73" t="str">
        <f>IF(B429&lt;&gt;"",SUM($X$22:X429),"")</f>
        <v/>
      </c>
      <c r="Z429" s="73" t="str">
        <f t="shared" si="260"/>
        <v/>
      </c>
      <c r="AA429" s="73" t="str">
        <f t="shared" si="261"/>
        <v/>
      </c>
      <c r="AB429" s="73" t="str">
        <f t="shared" si="262"/>
        <v/>
      </c>
      <c r="AC429" s="73" t="str">
        <f t="shared" si="263"/>
        <v/>
      </c>
      <c r="AD429" s="73" t="str">
        <f>IFERROR($U429*(1-$V429)+SUM($W$22:$W429)+$AB429,"")</f>
        <v/>
      </c>
      <c r="AE429" s="73" t="b">
        <f t="shared" si="274"/>
        <v>1</v>
      </c>
      <c r="AF429" s="73" t="e">
        <f>IF(AND(AE429=TRUE,D429&gt;=65),$U429*(1-10%)+SUM($W$22:$W429)+$AB429,AD429)</f>
        <v>#VALUE!</v>
      </c>
      <c r="AG429" s="73" t="str">
        <f t="shared" si="264"/>
        <v/>
      </c>
      <c r="AH429" s="73" t="str">
        <f t="shared" si="265"/>
        <v/>
      </c>
      <c r="AI429" s="73" t="str">
        <f t="shared" si="266"/>
        <v/>
      </c>
      <c r="AJ429" s="73" t="str">
        <f t="shared" si="267"/>
        <v/>
      </c>
      <c r="AK429" s="73" t="b">
        <f t="shared" si="275"/>
        <v>1</v>
      </c>
      <c r="AL429" s="73" t="str">
        <f t="shared" si="268"/>
        <v/>
      </c>
      <c r="AM429" s="73" t="str">
        <f t="shared" si="269"/>
        <v/>
      </c>
      <c r="AN429" s="73" t="str">
        <f t="shared" si="270"/>
        <v/>
      </c>
      <c r="AO429" s="73" t="str">
        <f t="shared" si="271"/>
        <v/>
      </c>
      <c r="AP429" s="73" t="str">
        <f t="shared" si="272"/>
        <v/>
      </c>
    </row>
    <row r="430" spans="1:42" s="69" customFormat="1" x14ac:dyDescent="0.6">
      <c r="A430" s="78" t="str">
        <f t="shared" si="273"/>
        <v/>
      </c>
      <c r="B430" s="78" t="str">
        <f>IF(E430&lt;=$F$9,VLOOKUP(KALKULATOR!A430,Robocze!$B$23:$C$102,2),"")</f>
        <v/>
      </c>
      <c r="C430" s="78" t="str">
        <f t="shared" si="241"/>
        <v/>
      </c>
      <c r="D430" s="79" t="str">
        <f t="shared" si="242"/>
        <v/>
      </c>
      <c r="E430" s="80" t="str">
        <f t="shared" si="243"/>
        <v/>
      </c>
      <c r="F430" s="81" t="str">
        <f t="shared" si="244"/>
        <v/>
      </c>
      <c r="G430" s="82" t="str">
        <f>IFERROR(IF(AND(F430&lt;=$F$9,$F$5=Robocze!$B$4,$E430&lt;=$F$9,MONTH($F$8)=MONTH(E430)),$F$4,0)+IF(AND(F430&lt;=$F$9,$F$5=Robocze!$B$3,E430&lt;=$F$9),KALKULATOR!$F$4/12,0),"")</f>
        <v/>
      </c>
      <c r="H430" s="82" t="str">
        <f t="shared" si="245"/>
        <v/>
      </c>
      <c r="I430" s="83" t="str">
        <f t="shared" si="246"/>
        <v/>
      </c>
      <c r="J430" s="82" t="str">
        <f t="shared" si="247"/>
        <v/>
      </c>
      <c r="K430" s="84" t="str">
        <f t="shared" si="248"/>
        <v/>
      </c>
      <c r="L430" s="82" t="str">
        <f t="shared" si="249"/>
        <v/>
      </c>
      <c r="M430" s="82" t="str">
        <f t="shared" si="250"/>
        <v/>
      </c>
      <c r="N430" s="82" t="str">
        <f t="shared" si="251"/>
        <v/>
      </c>
      <c r="O430" s="82" t="str">
        <f t="shared" si="252"/>
        <v/>
      </c>
      <c r="P430" s="82" t="str">
        <f t="shared" si="253"/>
        <v/>
      </c>
      <c r="Q430" s="82" t="str">
        <f t="shared" si="254"/>
        <v/>
      </c>
      <c r="R430" s="82"/>
      <c r="S430" s="85" t="str">
        <f t="shared" si="255"/>
        <v/>
      </c>
      <c r="T430" s="82" t="str">
        <f t="shared" si="256"/>
        <v/>
      </c>
      <c r="U430" s="82" t="str">
        <f t="shared" si="257"/>
        <v/>
      </c>
      <c r="V430" s="85" t="str">
        <f t="shared" si="258"/>
        <v/>
      </c>
      <c r="W430" s="82" t="str">
        <f t="shared" si="259"/>
        <v/>
      </c>
      <c r="X430" s="82" t="str">
        <f>IF(B430&lt;&gt;"",IF(MONTH(E430)=MONTH($F$13),SUMIF($C$22:C809,"="&amp;(C430-1),$G$22:G809),0)*S430,"")</f>
        <v/>
      </c>
      <c r="Y430" s="82" t="str">
        <f>IF(B430&lt;&gt;"",SUM($X$22:X430),"")</f>
        <v/>
      </c>
      <c r="Z430" s="82" t="str">
        <f t="shared" si="260"/>
        <v/>
      </c>
      <c r="AA430" s="82" t="str">
        <f t="shared" si="261"/>
        <v/>
      </c>
      <c r="AB430" s="82" t="str">
        <f t="shared" si="262"/>
        <v/>
      </c>
      <c r="AC430" s="82" t="str">
        <f t="shared" si="263"/>
        <v/>
      </c>
      <c r="AD430" s="82" t="str">
        <f>IFERROR($U430*(1-$V430)+SUM($W$22:$W430)+$AB430,"")</f>
        <v/>
      </c>
      <c r="AE430" s="73" t="b">
        <f t="shared" si="274"/>
        <v>1</v>
      </c>
      <c r="AF430" s="82" t="e">
        <f>IF(AND(AE430=TRUE,D430&gt;=65),$U430*(1-10%)+SUM($W$22:$W430)+$AB430,AD430)</f>
        <v>#VALUE!</v>
      </c>
      <c r="AG430" s="82" t="str">
        <f t="shared" si="264"/>
        <v/>
      </c>
      <c r="AH430" s="82" t="str">
        <f t="shared" si="265"/>
        <v/>
      </c>
      <c r="AI430" s="82" t="str">
        <f t="shared" si="266"/>
        <v/>
      </c>
      <c r="AJ430" s="82" t="str">
        <f t="shared" si="267"/>
        <v/>
      </c>
      <c r="AK430" s="73" t="b">
        <f t="shared" si="275"/>
        <v>1</v>
      </c>
      <c r="AL430" s="82" t="str">
        <f t="shared" si="268"/>
        <v/>
      </c>
      <c r="AM430" s="82" t="str">
        <f t="shared" si="269"/>
        <v/>
      </c>
      <c r="AN430" s="82" t="str">
        <f t="shared" si="270"/>
        <v/>
      </c>
      <c r="AO430" s="82" t="str">
        <f t="shared" si="271"/>
        <v/>
      </c>
      <c r="AP430" s="82" t="str">
        <f t="shared" si="272"/>
        <v/>
      </c>
    </row>
    <row r="431" spans="1:42" s="31" customFormat="1" x14ac:dyDescent="0.6">
      <c r="A431" s="70" t="str">
        <f t="shared" si="273"/>
        <v/>
      </c>
      <c r="B431" s="70" t="str">
        <f>IF(E431&lt;=$F$9,VLOOKUP(KALKULATOR!A431,Robocze!$B$23:$C$102,2),"")</f>
        <v/>
      </c>
      <c r="C431" s="70" t="str">
        <f t="shared" si="241"/>
        <v/>
      </c>
      <c r="D431" s="71" t="str">
        <f t="shared" si="242"/>
        <v/>
      </c>
      <c r="E431" s="72" t="str">
        <f t="shared" si="243"/>
        <v/>
      </c>
      <c r="F431" s="72" t="str">
        <f t="shared" si="244"/>
        <v/>
      </c>
      <c r="G431" s="73" t="str">
        <f>IFERROR(IF(AND(F431&lt;=$F$9,$F$5=Robocze!$B$4,$E431&lt;=$F$9,MONTH($F$8)=MONTH(E431)),$F$4,0)+IF(AND(F431&lt;=$F$9,$F$5=Robocze!$B$3,E431&lt;=$F$9),KALKULATOR!$F$4/12,0),"")</f>
        <v/>
      </c>
      <c r="H431" s="73" t="str">
        <f t="shared" si="245"/>
        <v/>
      </c>
      <c r="I431" s="74" t="str">
        <f t="shared" si="246"/>
        <v/>
      </c>
      <c r="J431" s="73" t="str">
        <f t="shared" si="247"/>
        <v/>
      </c>
      <c r="K431" s="75" t="str">
        <f t="shared" si="248"/>
        <v/>
      </c>
      <c r="L431" s="73" t="str">
        <f t="shared" si="249"/>
        <v/>
      </c>
      <c r="M431" s="73" t="str">
        <f t="shared" si="250"/>
        <v/>
      </c>
      <c r="N431" s="73" t="str">
        <f t="shared" si="251"/>
        <v/>
      </c>
      <c r="O431" s="73" t="str">
        <f t="shared" si="252"/>
        <v/>
      </c>
      <c r="P431" s="73" t="str">
        <f t="shared" si="253"/>
        <v/>
      </c>
      <c r="Q431" s="73" t="str">
        <f t="shared" si="254"/>
        <v/>
      </c>
      <c r="R431" s="73"/>
      <c r="S431" s="76" t="str">
        <f t="shared" si="255"/>
        <v/>
      </c>
      <c r="T431" s="73" t="str">
        <f t="shared" si="256"/>
        <v/>
      </c>
      <c r="U431" s="73" t="str">
        <f t="shared" si="257"/>
        <v/>
      </c>
      <c r="V431" s="76" t="str">
        <f t="shared" si="258"/>
        <v/>
      </c>
      <c r="W431" s="73" t="str">
        <f t="shared" si="259"/>
        <v/>
      </c>
      <c r="X431" s="73" t="str">
        <f>IF(B431&lt;&gt;"",IF(MONTH(E431)=MONTH($F$13),SUMIF($C$22:C810,"="&amp;(C431-1),$G$22:G810),0)*S431,"")</f>
        <v/>
      </c>
      <c r="Y431" s="73" t="str">
        <f>IF(B431&lt;&gt;"",SUM($X$22:X431),"")</f>
        <v/>
      </c>
      <c r="Z431" s="73" t="str">
        <f t="shared" si="260"/>
        <v/>
      </c>
      <c r="AA431" s="73" t="str">
        <f t="shared" si="261"/>
        <v/>
      </c>
      <c r="AB431" s="73" t="str">
        <f t="shared" si="262"/>
        <v/>
      </c>
      <c r="AC431" s="73" t="str">
        <f t="shared" si="263"/>
        <v/>
      </c>
      <c r="AD431" s="73" t="str">
        <f>IFERROR($U431*(1-$V431)+SUM($W$22:$W431)+$AB431,"")</f>
        <v/>
      </c>
      <c r="AE431" s="73" t="b">
        <f t="shared" si="274"/>
        <v>1</v>
      </c>
      <c r="AF431" s="73" t="e">
        <f>IF(AND(AE431=TRUE,D431&gt;=65),$U431*(1-10%)+SUM($W$22:$W431)+$AB431,AD431)</f>
        <v>#VALUE!</v>
      </c>
      <c r="AG431" s="73" t="str">
        <f t="shared" si="264"/>
        <v/>
      </c>
      <c r="AH431" s="73" t="str">
        <f t="shared" si="265"/>
        <v/>
      </c>
      <c r="AI431" s="73" t="str">
        <f t="shared" si="266"/>
        <v/>
      </c>
      <c r="AJ431" s="73" t="str">
        <f t="shared" si="267"/>
        <v/>
      </c>
      <c r="AK431" s="73" t="b">
        <f t="shared" si="275"/>
        <v>1</v>
      </c>
      <c r="AL431" s="73" t="str">
        <f t="shared" si="268"/>
        <v/>
      </c>
      <c r="AM431" s="73" t="str">
        <f t="shared" si="269"/>
        <v/>
      </c>
      <c r="AN431" s="73" t="str">
        <f t="shared" si="270"/>
        <v/>
      </c>
      <c r="AO431" s="73" t="str">
        <f t="shared" si="271"/>
        <v/>
      </c>
      <c r="AP431" s="73" t="str">
        <f t="shared" si="272"/>
        <v/>
      </c>
    </row>
    <row r="432" spans="1:42" s="31" customFormat="1" x14ac:dyDescent="0.6">
      <c r="A432" s="70" t="str">
        <f t="shared" si="273"/>
        <v/>
      </c>
      <c r="B432" s="70" t="str">
        <f>IF(E432&lt;=$F$9,VLOOKUP(KALKULATOR!A432,Robocze!$B$23:$C$102,2),"")</f>
        <v/>
      </c>
      <c r="C432" s="70" t="str">
        <f t="shared" si="241"/>
        <v/>
      </c>
      <c r="D432" s="71" t="str">
        <f t="shared" si="242"/>
        <v/>
      </c>
      <c r="E432" s="77" t="str">
        <f t="shared" si="243"/>
        <v/>
      </c>
      <c r="F432" s="72" t="str">
        <f t="shared" si="244"/>
        <v/>
      </c>
      <c r="G432" s="73" t="str">
        <f>IFERROR(IF(AND(F432&lt;=$F$9,$F$5=Robocze!$B$4,$E432&lt;=$F$9,MONTH($F$8)=MONTH(E432)),$F$4,0)+IF(AND(F432&lt;=$F$9,$F$5=Robocze!$B$3,E432&lt;=$F$9),KALKULATOR!$F$4/12,0),"")</f>
        <v/>
      </c>
      <c r="H432" s="73" t="str">
        <f t="shared" si="245"/>
        <v/>
      </c>
      <c r="I432" s="74" t="str">
        <f t="shared" si="246"/>
        <v/>
      </c>
      <c r="J432" s="73" t="str">
        <f t="shared" si="247"/>
        <v/>
      </c>
      <c r="K432" s="75" t="str">
        <f t="shared" si="248"/>
        <v/>
      </c>
      <c r="L432" s="73" t="str">
        <f t="shared" si="249"/>
        <v/>
      </c>
      <c r="M432" s="73" t="str">
        <f t="shared" si="250"/>
        <v/>
      </c>
      <c r="N432" s="73" t="str">
        <f t="shared" si="251"/>
        <v/>
      </c>
      <c r="O432" s="73" t="str">
        <f t="shared" si="252"/>
        <v/>
      </c>
      <c r="P432" s="73" t="str">
        <f t="shared" si="253"/>
        <v/>
      </c>
      <c r="Q432" s="73" t="str">
        <f t="shared" si="254"/>
        <v/>
      </c>
      <c r="R432" s="73"/>
      <c r="S432" s="76" t="str">
        <f t="shared" si="255"/>
        <v/>
      </c>
      <c r="T432" s="73" t="str">
        <f t="shared" si="256"/>
        <v/>
      </c>
      <c r="U432" s="73" t="str">
        <f t="shared" si="257"/>
        <v/>
      </c>
      <c r="V432" s="76" t="str">
        <f t="shared" si="258"/>
        <v/>
      </c>
      <c r="W432" s="73" t="str">
        <f t="shared" si="259"/>
        <v/>
      </c>
      <c r="X432" s="73" t="str">
        <f>IF(B432&lt;&gt;"",IF(MONTH(E432)=MONTH($F$13),SUMIF($C$22:C811,"="&amp;(C432-1),$G$22:G811),0)*S432,"")</f>
        <v/>
      </c>
      <c r="Y432" s="73" t="str">
        <f>IF(B432&lt;&gt;"",SUM($X$22:X432),"")</f>
        <v/>
      </c>
      <c r="Z432" s="73" t="str">
        <f t="shared" si="260"/>
        <v/>
      </c>
      <c r="AA432" s="73" t="str">
        <f t="shared" si="261"/>
        <v/>
      </c>
      <c r="AB432" s="73" t="str">
        <f t="shared" si="262"/>
        <v/>
      </c>
      <c r="AC432" s="73" t="str">
        <f t="shared" si="263"/>
        <v/>
      </c>
      <c r="AD432" s="73" t="str">
        <f>IFERROR($U432*(1-$V432)+SUM($W$22:$W432)+$AB432,"")</f>
        <v/>
      </c>
      <c r="AE432" s="73" t="b">
        <f t="shared" si="274"/>
        <v>1</v>
      </c>
      <c r="AF432" s="73" t="e">
        <f>IF(AND(AE432=TRUE,D432&gt;=65),$U432*(1-10%)+SUM($W$22:$W432)+$AB432,AD432)</f>
        <v>#VALUE!</v>
      </c>
      <c r="AG432" s="73" t="str">
        <f t="shared" si="264"/>
        <v/>
      </c>
      <c r="AH432" s="73" t="str">
        <f t="shared" si="265"/>
        <v/>
      </c>
      <c r="AI432" s="73" t="str">
        <f t="shared" si="266"/>
        <v/>
      </c>
      <c r="AJ432" s="73" t="str">
        <f t="shared" si="267"/>
        <v/>
      </c>
      <c r="AK432" s="73" t="b">
        <f t="shared" si="275"/>
        <v>1</v>
      </c>
      <c r="AL432" s="73" t="str">
        <f t="shared" si="268"/>
        <v/>
      </c>
      <c r="AM432" s="73" t="str">
        <f t="shared" si="269"/>
        <v/>
      </c>
      <c r="AN432" s="73" t="str">
        <f t="shared" si="270"/>
        <v/>
      </c>
      <c r="AO432" s="73" t="str">
        <f t="shared" si="271"/>
        <v/>
      </c>
      <c r="AP432" s="73" t="str">
        <f t="shared" si="272"/>
        <v/>
      </c>
    </row>
    <row r="433" spans="1:42" s="31" customFormat="1" x14ac:dyDescent="0.6">
      <c r="A433" s="70" t="str">
        <f t="shared" si="273"/>
        <v/>
      </c>
      <c r="B433" s="70" t="str">
        <f>IF(E433&lt;=$F$9,VLOOKUP(KALKULATOR!A433,Robocze!$B$23:$C$102,2),"")</f>
        <v/>
      </c>
      <c r="C433" s="70" t="str">
        <f t="shared" si="241"/>
        <v/>
      </c>
      <c r="D433" s="71" t="str">
        <f t="shared" si="242"/>
        <v/>
      </c>
      <c r="E433" s="77" t="str">
        <f t="shared" si="243"/>
        <v/>
      </c>
      <c r="F433" s="72" t="str">
        <f t="shared" si="244"/>
        <v/>
      </c>
      <c r="G433" s="73" t="str">
        <f>IFERROR(IF(AND(F433&lt;=$F$9,$F$5=Robocze!$B$4,$E433&lt;=$F$9,MONTH($F$8)=MONTH(E433)),$F$4,0)+IF(AND(F433&lt;=$F$9,$F$5=Robocze!$B$3,E433&lt;=$F$9),KALKULATOR!$F$4/12,0),"")</f>
        <v/>
      </c>
      <c r="H433" s="73" t="str">
        <f t="shared" si="245"/>
        <v/>
      </c>
      <c r="I433" s="74" t="str">
        <f t="shared" si="246"/>
        <v/>
      </c>
      <c r="J433" s="73" t="str">
        <f t="shared" si="247"/>
        <v/>
      </c>
      <c r="K433" s="75" t="str">
        <f t="shared" si="248"/>
        <v/>
      </c>
      <c r="L433" s="73" t="str">
        <f t="shared" si="249"/>
        <v/>
      </c>
      <c r="M433" s="73" t="str">
        <f t="shared" si="250"/>
        <v/>
      </c>
      <c r="N433" s="73" t="str">
        <f t="shared" si="251"/>
        <v/>
      </c>
      <c r="O433" s="73" t="str">
        <f t="shared" si="252"/>
        <v/>
      </c>
      <c r="P433" s="73" t="str">
        <f t="shared" si="253"/>
        <v/>
      </c>
      <c r="Q433" s="73" t="str">
        <f t="shared" si="254"/>
        <v/>
      </c>
      <c r="R433" s="73"/>
      <c r="S433" s="76" t="str">
        <f t="shared" si="255"/>
        <v/>
      </c>
      <c r="T433" s="73" t="str">
        <f t="shared" si="256"/>
        <v/>
      </c>
      <c r="U433" s="73" t="str">
        <f t="shared" si="257"/>
        <v/>
      </c>
      <c r="V433" s="76" t="str">
        <f t="shared" si="258"/>
        <v/>
      </c>
      <c r="W433" s="73" t="str">
        <f t="shared" si="259"/>
        <v/>
      </c>
      <c r="X433" s="73" t="str">
        <f>IF(B433&lt;&gt;"",IF(MONTH(E433)=MONTH($F$13),SUMIF($C$22:C812,"="&amp;(C433-1),$G$22:G812),0)*S433,"")</f>
        <v/>
      </c>
      <c r="Y433" s="73" t="str">
        <f>IF(B433&lt;&gt;"",SUM($X$22:X433),"")</f>
        <v/>
      </c>
      <c r="Z433" s="73" t="str">
        <f t="shared" si="260"/>
        <v/>
      </c>
      <c r="AA433" s="73" t="str">
        <f t="shared" si="261"/>
        <v/>
      </c>
      <c r="AB433" s="73" t="str">
        <f t="shared" si="262"/>
        <v/>
      </c>
      <c r="AC433" s="73" t="str">
        <f t="shared" si="263"/>
        <v/>
      </c>
      <c r="AD433" s="73" t="str">
        <f>IFERROR($U433*(1-$V433)+SUM($W$22:$W433)+$AB433,"")</f>
        <v/>
      </c>
      <c r="AE433" s="73" t="b">
        <f t="shared" si="274"/>
        <v>1</v>
      </c>
      <c r="AF433" s="73" t="e">
        <f>IF(AND(AE433=TRUE,D433&gt;=65),$U433*(1-10%)+SUM($W$22:$W433)+$AB433,AD433)</f>
        <v>#VALUE!</v>
      </c>
      <c r="AG433" s="73" t="str">
        <f t="shared" si="264"/>
        <v/>
      </c>
      <c r="AH433" s="73" t="str">
        <f t="shared" si="265"/>
        <v/>
      </c>
      <c r="AI433" s="73" t="str">
        <f t="shared" si="266"/>
        <v/>
      </c>
      <c r="AJ433" s="73" t="str">
        <f t="shared" si="267"/>
        <v/>
      </c>
      <c r="AK433" s="73" t="b">
        <f t="shared" si="275"/>
        <v>1</v>
      </c>
      <c r="AL433" s="73" t="str">
        <f t="shared" si="268"/>
        <v/>
      </c>
      <c r="AM433" s="73" t="str">
        <f t="shared" si="269"/>
        <v/>
      </c>
      <c r="AN433" s="73" t="str">
        <f t="shared" si="270"/>
        <v/>
      </c>
      <c r="AO433" s="73" t="str">
        <f t="shared" si="271"/>
        <v/>
      </c>
      <c r="AP433" s="73" t="str">
        <f t="shared" si="272"/>
        <v/>
      </c>
    </row>
    <row r="434" spans="1:42" s="31" customFormat="1" x14ac:dyDescent="0.6">
      <c r="A434" s="70" t="str">
        <f t="shared" si="273"/>
        <v/>
      </c>
      <c r="B434" s="70" t="str">
        <f>IF(E434&lt;=$F$9,VLOOKUP(KALKULATOR!A434,Robocze!$B$23:$C$102,2),"")</f>
        <v/>
      </c>
      <c r="C434" s="70" t="str">
        <f t="shared" si="241"/>
        <v/>
      </c>
      <c r="D434" s="71" t="str">
        <f t="shared" si="242"/>
        <v/>
      </c>
      <c r="E434" s="77" t="str">
        <f t="shared" si="243"/>
        <v/>
      </c>
      <c r="F434" s="72" t="str">
        <f t="shared" si="244"/>
        <v/>
      </c>
      <c r="G434" s="73" t="str">
        <f>IFERROR(IF(AND(F434&lt;=$F$9,$F$5=Robocze!$B$4,$E434&lt;=$F$9,MONTH($F$8)=MONTH(E434)),$F$4,0)+IF(AND(F434&lt;=$F$9,$F$5=Robocze!$B$3,E434&lt;=$F$9),KALKULATOR!$F$4/12,0),"")</f>
        <v/>
      </c>
      <c r="H434" s="73" t="str">
        <f t="shared" si="245"/>
        <v/>
      </c>
      <c r="I434" s="74" t="str">
        <f t="shared" si="246"/>
        <v/>
      </c>
      <c r="J434" s="73" t="str">
        <f t="shared" si="247"/>
        <v/>
      </c>
      <c r="K434" s="75" t="str">
        <f t="shared" si="248"/>
        <v/>
      </c>
      <c r="L434" s="73" t="str">
        <f t="shared" si="249"/>
        <v/>
      </c>
      <c r="M434" s="73" t="str">
        <f t="shared" si="250"/>
        <v/>
      </c>
      <c r="N434" s="73" t="str">
        <f t="shared" si="251"/>
        <v/>
      </c>
      <c r="O434" s="73" t="str">
        <f t="shared" si="252"/>
        <v/>
      </c>
      <c r="P434" s="73" t="str">
        <f t="shared" si="253"/>
        <v/>
      </c>
      <c r="Q434" s="73" t="str">
        <f t="shared" si="254"/>
        <v/>
      </c>
      <c r="R434" s="73"/>
      <c r="S434" s="76" t="str">
        <f t="shared" si="255"/>
        <v/>
      </c>
      <c r="T434" s="73" t="str">
        <f t="shared" si="256"/>
        <v/>
      </c>
      <c r="U434" s="73" t="str">
        <f t="shared" si="257"/>
        <v/>
      </c>
      <c r="V434" s="76" t="str">
        <f t="shared" si="258"/>
        <v/>
      </c>
      <c r="W434" s="73" t="str">
        <f t="shared" si="259"/>
        <v/>
      </c>
      <c r="X434" s="73" t="str">
        <f>IF(B434&lt;&gt;"",IF(MONTH(E434)=MONTH($F$13),SUMIF($C$22:C813,"="&amp;(C434-1),$G$22:G813),0)*S434,"")</f>
        <v/>
      </c>
      <c r="Y434" s="73" t="str">
        <f>IF(B434&lt;&gt;"",SUM($X$22:X434),"")</f>
        <v/>
      </c>
      <c r="Z434" s="73" t="str">
        <f t="shared" si="260"/>
        <v/>
      </c>
      <c r="AA434" s="73" t="str">
        <f t="shared" si="261"/>
        <v/>
      </c>
      <c r="AB434" s="73" t="str">
        <f t="shared" si="262"/>
        <v/>
      </c>
      <c r="AC434" s="73" t="str">
        <f t="shared" si="263"/>
        <v/>
      </c>
      <c r="AD434" s="73" t="str">
        <f>IFERROR($U434*(1-$V434)+SUM($W$22:$W434)+$AB434,"")</f>
        <v/>
      </c>
      <c r="AE434" s="73" t="b">
        <f t="shared" si="274"/>
        <v>1</v>
      </c>
      <c r="AF434" s="73" t="e">
        <f>IF(AND(AE434=TRUE,D434&gt;=65),$U434*(1-10%)+SUM($W$22:$W434)+$AB434,AD434)</f>
        <v>#VALUE!</v>
      </c>
      <c r="AG434" s="73" t="str">
        <f t="shared" si="264"/>
        <v/>
      </c>
      <c r="AH434" s="73" t="str">
        <f t="shared" si="265"/>
        <v/>
      </c>
      <c r="AI434" s="73" t="str">
        <f t="shared" si="266"/>
        <v/>
      </c>
      <c r="AJ434" s="73" t="str">
        <f t="shared" si="267"/>
        <v/>
      </c>
      <c r="AK434" s="73" t="b">
        <f t="shared" si="275"/>
        <v>1</v>
      </c>
      <c r="AL434" s="73" t="str">
        <f t="shared" si="268"/>
        <v/>
      </c>
      <c r="AM434" s="73" t="str">
        <f t="shared" si="269"/>
        <v/>
      </c>
      <c r="AN434" s="73" t="str">
        <f t="shared" si="270"/>
        <v/>
      </c>
      <c r="AO434" s="73" t="str">
        <f t="shared" si="271"/>
        <v/>
      </c>
      <c r="AP434" s="73" t="str">
        <f t="shared" si="272"/>
        <v/>
      </c>
    </row>
    <row r="435" spans="1:42" s="31" customFormat="1" x14ac:dyDescent="0.6">
      <c r="A435" s="70" t="str">
        <f t="shared" si="273"/>
        <v/>
      </c>
      <c r="B435" s="70" t="str">
        <f>IF(E435&lt;=$F$9,VLOOKUP(KALKULATOR!A435,Robocze!$B$23:$C$102,2),"")</f>
        <v/>
      </c>
      <c r="C435" s="70" t="str">
        <f t="shared" si="241"/>
        <v/>
      </c>
      <c r="D435" s="71" t="str">
        <f t="shared" si="242"/>
        <v/>
      </c>
      <c r="E435" s="77" t="str">
        <f t="shared" si="243"/>
        <v/>
      </c>
      <c r="F435" s="72" t="str">
        <f t="shared" si="244"/>
        <v/>
      </c>
      <c r="G435" s="73" t="str">
        <f>IFERROR(IF(AND(F435&lt;=$F$9,$F$5=Robocze!$B$4,$E435&lt;=$F$9,MONTH($F$8)=MONTH(E435)),$F$4,0)+IF(AND(F435&lt;=$F$9,$F$5=Robocze!$B$3,E435&lt;=$F$9),KALKULATOR!$F$4/12,0),"")</f>
        <v/>
      </c>
      <c r="H435" s="73" t="str">
        <f t="shared" si="245"/>
        <v/>
      </c>
      <c r="I435" s="74" t="str">
        <f t="shared" si="246"/>
        <v/>
      </c>
      <c r="J435" s="73" t="str">
        <f t="shared" si="247"/>
        <v/>
      </c>
      <c r="K435" s="75" t="str">
        <f t="shared" si="248"/>
        <v/>
      </c>
      <c r="L435" s="73" t="str">
        <f t="shared" si="249"/>
        <v/>
      </c>
      <c r="M435" s="73" t="str">
        <f t="shared" si="250"/>
        <v/>
      </c>
      <c r="N435" s="73" t="str">
        <f t="shared" si="251"/>
        <v/>
      </c>
      <c r="O435" s="73" t="str">
        <f t="shared" si="252"/>
        <v/>
      </c>
      <c r="P435" s="73" t="str">
        <f t="shared" si="253"/>
        <v/>
      </c>
      <c r="Q435" s="73" t="str">
        <f t="shared" si="254"/>
        <v/>
      </c>
      <c r="R435" s="73"/>
      <c r="S435" s="76" t="str">
        <f t="shared" si="255"/>
        <v/>
      </c>
      <c r="T435" s="73" t="str">
        <f t="shared" si="256"/>
        <v/>
      </c>
      <c r="U435" s="73" t="str">
        <f t="shared" si="257"/>
        <v/>
      </c>
      <c r="V435" s="76" t="str">
        <f t="shared" si="258"/>
        <v/>
      </c>
      <c r="W435" s="73" t="str">
        <f t="shared" si="259"/>
        <v/>
      </c>
      <c r="X435" s="73" t="str">
        <f>IF(B435&lt;&gt;"",IF(MONTH(E435)=MONTH($F$13),SUMIF($C$22:C814,"="&amp;(C435-1),$G$22:G814),0)*S435,"")</f>
        <v/>
      </c>
      <c r="Y435" s="73" t="str">
        <f>IF(B435&lt;&gt;"",SUM($X$22:X435),"")</f>
        <v/>
      </c>
      <c r="Z435" s="73" t="str">
        <f t="shared" si="260"/>
        <v/>
      </c>
      <c r="AA435" s="73" t="str">
        <f t="shared" si="261"/>
        <v/>
      </c>
      <c r="AB435" s="73" t="str">
        <f t="shared" si="262"/>
        <v/>
      </c>
      <c r="AC435" s="73" t="str">
        <f t="shared" si="263"/>
        <v/>
      </c>
      <c r="AD435" s="73" t="str">
        <f>IFERROR($U435*(1-$V435)+SUM($W$22:$W435)+$AB435,"")</f>
        <v/>
      </c>
      <c r="AE435" s="73" t="b">
        <f t="shared" si="274"/>
        <v>1</v>
      </c>
      <c r="AF435" s="73" t="e">
        <f>IF(AND(AE435=TRUE,D435&gt;=65),$U435*(1-10%)+SUM($W$22:$W435)+$AB435,AD435)</f>
        <v>#VALUE!</v>
      </c>
      <c r="AG435" s="73" t="str">
        <f t="shared" si="264"/>
        <v/>
      </c>
      <c r="AH435" s="73" t="str">
        <f t="shared" si="265"/>
        <v/>
      </c>
      <c r="AI435" s="73" t="str">
        <f t="shared" si="266"/>
        <v/>
      </c>
      <c r="AJ435" s="73" t="str">
        <f t="shared" si="267"/>
        <v/>
      </c>
      <c r="AK435" s="73" t="b">
        <f t="shared" si="275"/>
        <v>1</v>
      </c>
      <c r="AL435" s="73" t="str">
        <f t="shared" si="268"/>
        <v/>
      </c>
      <c r="AM435" s="73" t="str">
        <f t="shared" si="269"/>
        <v/>
      </c>
      <c r="AN435" s="73" t="str">
        <f t="shared" si="270"/>
        <v/>
      </c>
      <c r="AO435" s="73" t="str">
        <f t="shared" si="271"/>
        <v/>
      </c>
      <c r="AP435" s="73" t="str">
        <f t="shared" si="272"/>
        <v/>
      </c>
    </row>
    <row r="436" spans="1:42" s="31" customFormat="1" x14ac:dyDescent="0.6">
      <c r="A436" s="70" t="str">
        <f t="shared" si="273"/>
        <v/>
      </c>
      <c r="B436" s="70" t="str">
        <f>IF(E436&lt;=$F$9,VLOOKUP(KALKULATOR!A436,Robocze!$B$23:$C$102,2),"")</f>
        <v/>
      </c>
      <c r="C436" s="70" t="str">
        <f t="shared" si="241"/>
        <v/>
      </c>
      <c r="D436" s="71" t="str">
        <f t="shared" si="242"/>
        <v/>
      </c>
      <c r="E436" s="77" t="str">
        <f t="shared" si="243"/>
        <v/>
      </c>
      <c r="F436" s="72" t="str">
        <f t="shared" si="244"/>
        <v/>
      </c>
      <c r="G436" s="73" t="str">
        <f>IFERROR(IF(AND(F436&lt;=$F$9,$F$5=Robocze!$B$4,$E436&lt;=$F$9,MONTH($F$8)=MONTH(E436)),$F$4,0)+IF(AND(F436&lt;=$F$9,$F$5=Robocze!$B$3,E436&lt;=$F$9),KALKULATOR!$F$4/12,0),"")</f>
        <v/>
      </c>
      <c r="H436" s="73" t="str">
        <f t="shared" si="245"/>
        <v/>
      </c>
      <c r="I436" s="74" t="str">
        <f t="shared" si="246"/>
        <v/>
      </c>
      <c r="J436" s="73" t="str">
        <f t="shared" si="247"/>
        <v/>
      </c>
      <c r="K436" s="75" t="str">
        <f t="shared" si="248"/>
        <v/>
      </c>
      <c r="L436" s="73" t="str">
        <f t="shared" si="249"/>
        <v/>
      </c>
      <c r="M436" s="73" t="str">
        <f t="shared" si="250"/>
        <v/>
      </c>
      <c r="N436" s="73" t="str">
        <f t="shared" si="251"/>
        <v/>
      </c>
      <c r="O436" s="73" t="str">
        <f t="shared" si="252"/>
        <v/>
      </c>
      <c r="P436" s="73" t="str">
        <f t="shared" si="253"/>
        <v/>
      </c>
      <c r="Q436" s="73" t="str">
        <f t="shared" si="254"/>
        <v/>
      </c>
      <c r="R436" s="73"/>
      <c r="S436" s="76" t="str">
        <f t="shared" si="255"/>
        <v/>
      </c>
      <c r="T436" s="73" t="str">
        <f t="shared" si="256"/>
        <v/>
      </c>
      <c r="U436" s="73" t="str">
        <f t="shared" si="257"/>
        <v/>
      </c>
      <c r="V436" s="76" t="str">
        <f t="shared" si="258"/>
        <v/>
      </c>
      <c r="W436" s="73" t="str">
        <f t="shared" si="259"/>
        <v/>
      </c>
      <c r="X436" s="73" t="str">
        <f>IF(B436&lt;&gt;"",IF(MONTH(E436)=MONTH($F$13),SUMIF($C$22:C815,"="&amp;(C436-1),$G$22:G815),0)*S436,"")</f>
        <v/>
      </c>
      <c r="Y436" s="73" t="str">
        <f>IF(B436&lt;&gt;"",SUM($X$22:X436),"")</f>
        <v/>
      </c>
      <c r="Z436" s="73" t="str">
        <f t="shared" si="260"/>
        <v/>
      </c>
      <c r="AA436" s="73" t="str">
        <f t="shared" si="261"/>
        <v/>
      </c>
      <c r="AB436" s="73" t="str">
        <f t="shared" si="262"/>
        <v/>
      </c>
      <c r="AC436" s="73" t="str">
        <f t="shared" si="263"/>
        <v/>
      </c>
      <c r="AD436" s="73" t="str">
        <f>IFERROR($U436*(1-$V436)+SUM($W$22:$W436)+$AB436,"")</f>
        <v/>
      </c>
      <c r="AE436" s="73" t="b">
        <f t="shared" si="274"/>
        <v>1</v>
      </c>
      <c r="AF436" s="73" t="e">
        <f>IF(AND(AE436=TRUE,D436&gt;=65),$U436*(1-10%)+SUM($W$22:$W436)+$AB436,AD436)</f>
        <v>#VALUE!</v>
      </c>
      <c r="AG436" s="73" t="str">
        <f t="shared" si="264"/>
        <v/>
      </c>
      <c r="AH436" s="73" t="str">
        <f t="shared" si="265"/>
        <v/>
      </c>
      <c r="AI436" s="73" t="str">
        <f t="shared" si="266"/>
        <v/>
      </c>
      <c r="AJ436" s="73" t="str">
        <f t="shared" si="267"/>
        <v/>
      </c>
      <c r="AK436" s="73" t="b">
        <f t="shared" si="275"/>
        <v>1</v>
      </c>
      <c r="AL436" s="73" t="str">
        <f t="shared" si="268"/>
        <v/>
      </c>
      <c r="AM436" s="73" t="str">
        <f t="shared" si="269"/>
        <v/>
      </c>
      <c r="AN436" s="73" t="str">
        <f t="shared" si="270"/>
        <v/>
      </c>
      <c r="AO436" s="73" t="str">
        <f t="shared" si="271"/>
        <v/>
      </c>
      <c r="AP436" s="73" t="str">
        <f t="shared" si="272"/>
        <v/>
      </c>
    </row>
    <row r="437" spans="1:42" s="31" customFormat="1" x14ac:dyDescent="0.6">
      <c r="A437" s="70" t="str">
        <f t="shared" si="273"/>
        <v/>
      </c>
      <c r="B437" s="70" t="str">
        <f>IF(E437&lt;=$F$9,VLOOKUP(KALKULATOR!A437,Robocze!$B$23:$C$102,2),"")</f>
        <v/>
      </c>
      <c r="C437" s="70" t="str">
        <f t="shared" si="241"/>
        <v/>
      </c>
      <c r="D437" s="71" t="str">
        <f t="shared" si="242"/>
        <v/>
      </c>
      <c r="E437" s="77" t="str">
        <f t="shared" si="243"/>
        <v/>
      </c>
      <c r="F437" s="72" t="str">
        <f t="shared" si="244"/>
        <v/>
      </c>
      <c r="G437" s="73" t="str">
        <f>IFERROR(IF(AND(F437&lt;=$F$9,$F$5=Robocze!$B$4,$E437&lt;=$F$9,MONTH($F$8)=MONTH(E437)),$F$4,0)+IF(AND(F437&lt;=$F$9,$F$5=Robocze!$B$3,E437&lt;=$F$9),KALKULATOR!$F$4/12,0),"")</f>
        <v/>
      </c>
      <c r="H437" s="73" t="str">
        <f t="shared" si="245"/>
        <v/>
      </c>
      <c r="I437" s="74" t="str">
        <f t="shared" si="246"/>
        <v/>
      </c>
      <c r="J437" s="73" t="str">
        <f t="shared" si="247"/>
        <v/>
      </c>
      <c r="K437" s="75" t="str">
        <f t="shared" si="248"/>
        <v/>
      </c>
      <c r="L437" s="73" t="str">
        <f t="shared" si="249"/>
        <v/>
      </c>
      <c r="M437" s="73" t="str">
        <f t="shared" si="250"/>
        <v/>
      </c>
      <c r="N437" s="73" t="str">
        <f t="shared" si="251"/>
        <v/>
      </c>
      <c r="O437" s="73" t="str">
        <f t="shared" si="252"/>
        <v/>
      </c>
      <c r="P437" s="73" t="str">
        <f t="shared" si="253"/>
        <v/>
      </c>
      <c r="Q437" s="73" t="str">
        <f t="shared" si="254"/>
        <v/>
      </c>
      <c r="R437" s="73"/>
      <c r="S437" s="76" t="str">
        <f t="shared" si="255"/>
        <v/>
      </c>
      <c r="T437" s="73" t="str">
        <f t="shared" si="256"/>
        <v/>
      </c>
      <c r="U437" s="73" t="str">
        <f t="shared" si="257"/>
        <v/>
      </c>
      <c r="V437" s="76" t="str">
        <f t="shared" si="258"/>
        <v/>
      </c>
      <c r="W437" s="73" t="str">
        <f t="shared" si="259"/>
        <v/>
      </c>
      <c r="X437" s="73" t="str">
        <f>IF(B437&lt;&gt;"",IF(MONTH(E437)=MONTH($F$13),SUMIF($C$22:C816,"="&amp;(C437-1),$G$22:G816),0)*S437,"")</f>
        <v/>
      </c>
      <c r="Y437" s="73" t="str">
        <f>IF(B437&lt;&gt;"",SUM($X$22:X437),"")</f>
        <v/>
      </c>
      <c r="Z437" s="73" t="str">
        <f t="shared" si="260"/>
        <v/>
      </c>
      <c r="AA437" s="73" t="str">
        <f t="shared" si="261"/>
        <v/>
      </c>
      <c r="AB437" s="73" t="str">
        <f t="shared" si="262"/>
        <v/>
      </c>
      <c r="AC437" s="73" t="str">
        <f t="shared" si="263"/>
        <v/>
      </c>
      <c r="AD437" s="73" t="str">
        <f>IFERROR($U437*(1-$V437)+SUM($W$22:$W437)+$AB437,"")</f>
        <v/>
      </c>
      <c r="AE437" s="73" t="b">
        <f t="shared" si="274"/>
        <v>1</v>
      </c>
      <c r="AF437" s="73" t="e">
        <f>IF(AND(AE437=TRUE,D437&gt;=65),$U437*(1-10%)+SUM($W$22:$W437)+$AB437,AD437)</f>
        <v>#VALUE!</v>
      </c>
      <c r="AG437" s="73" t="str">
        <f t="shared" si="264"/>
        <v/>
      </c>
      <c r="AH437" s="73" t="str">
        <f t="shared" si="265"/>
        <v/>
      </c>
      <c r="AI437" s="73" t="str">
        <f t="shared" si="266"/>
        <v/>
      </c>
      <c r="AJ437" s="73" t="str">
        <f t="shared" si="267"/>
        <v/>
      </c>
      <c r="AK437" s="73" t="b">
        <f t="shared" si="275"/>
        <v>1</v>
      </c>
      <c r="AL437" s="73" t="str">
        <f t="shared" si="268"/>
        <v/>
      </c>
      <c r="AM437" s="73" t="str">
        <f t="shared" si="269"/>
        <v/>
      </c>
      <c r="AN437" s="73" t="str">
        <f t="shared" si="270"/>
        <v/>
      </c>
      <c r="AO437" s="73" t="str">
        <f t="shared" si="271"/>
        <v/>
      </c>
      <c r="AP437" s="73" t="str">
        <f t="shared" si="272"/>
        <v/>
      </c>
    </row>
    <row r="438" spans="1:42" s="31" customFormat="1" x14ac:dyDescent="0.6">
      <c r="A438" s="70" t="str">
        <f t="shared" si="273"/>
        <v/>
      </c>
      <c r="B438" s="70" t="str">
        <f>IF(E438&lt;=$F$9,VLOOKUP(KALKULATOR!A438,Robocze!$B$23:$C$102,2),"")</f>
        <v/>
      </c>
      <c r="C438" s="70" t="str">
        <f t="shared" si="241"/>
        <v/>
      </c>
      <c r="D438" s="71" t="str">
        <f t="shared" si="242"/>
        <v/>
      </c>
      <c r="E438" s="77" t="str">
        <f t="shared" si="243"/>
        <v/>
      </c>
      <c r="F438" s="72" t="str">
        <f t="shared" si="244"/>
        <v/>
      </c>
      <c r="G438" s="73" t="str">
        <f>IFERROR(IF(AND(F438&lt;=$F$9,$F$5=Robocze!$B$4,$E438&lt;=$F$9,MONTH($F$8)=MONTH(E438)),$F$4,0)+IF(AND(F438&lt;=$F$9,$F$5=Robocze!$B$3,E438&lt;=$F$9),KALKULATOR!$F$4/12,0),"")</f>
        <v/>
      </c>
      <c r="H438" s="73" t="str">
        <f t="shared" si="245"/>
        <v/>
      </c>
      <c r="I438" s="74" t="str">
        <f t="shared" si="246"/>
        <v/>
      </c>
      <c r="J438" s="73" t="str">
        <f t="shared" si="247"/>
        <v/>
      </c>
      <c r="K438" s="75" t="str">
        <f t="shared" si="248"/>
        <v/>
      </c>
      <c r="L438" s="73" t="str">
        <f t="shared" si="249"/>
        <v/>
      </c>
      <c r="M438" s="73" t="str">
        <f t="shared" si="250"/>
        <v/>
      </c>
      <c r="N438" s="73" t="str">
        <f t="shared" si="251"/>
        <v/>
      </c>
      <c r="O438" s="73" t="str">
        <f t="shared" si="252"/>
        <v/>
      </c>
      <c r="P438" s="73" t="str">
        <f t="shared" si="253"/>
        <v/>
      </c>
      <c r="Q438" s="73" t="str">
        <f t="shared" si="254"/>
        <v/>
      </c>
      <c r="R438" s="73"/>
      <c r="S438" s="76" t="str">
        <f t="shared" si="255"/>
        <v/>
      </c>
      <c r="T438" s="73" t="str">
        <f t="shared" si="256"/>
        <v/>
      </c>
      <c r="U438" s="73" t="str">
        <f t="shared" si="257"/>
        <v/>
      </c>
      <c r="V438" s="76" t="str">
        <f t="shared" si="258"/>
        <v/>
      </c>
      <c r="W438" s="73" t="str">
        <f t="shared" si="259"/>
        <v/>
      </c>
      <c r="X438" s="73" t="str">
        <f>IF(B438&lt;&gt;"",IF(MONTH(E438)=MONTH($F$13),SUMIF($C$22:C817,"="&amp;(C438-1),$G$22:G817),0)*S438,"")</f>
        <v/>
      </c>
      <c r="Y438" s="73" t="str">
        <f>IF(B438&lt;&gt;"",SUM($X$22:X438),"")</f>
        <v/>
      </c>
      <c r="Z438" s="73" t="str">
        <f t="shared" si="260"/>
        <v/>
      </c>
      <c r="AA438" s="73" t="str">
        <f t="shared" si="261"/>
        <v/>
      </c>
      <c r="AB438" s="73" t="str">
        <f t="shared" si="262"/>
        <v/>
      </c>
      <c r="AC438" s="73" t="str">
        <f t="shared" si="263"/>
        <v/>
      </c>
      <c r="AD438" s="73" t="str">
        <f>IFERROR($U438*(1-$V438)+SUM($W$22:$W438)+$AB438,"")</f>
        <v/>
      </c>
      <c r="AE438" s="73" t="b">
        <f t="shared" si="274"/>
        <v>1</v>
      </c>
      <c r="AF438" s="73" t="e">
        <f>IF(AND(AE438=TRUE,D438&gt;=65),$U438*(1-10%)+SUM($W$22:$W438)+$AB438,AD438)</f>
        <v>#VALUE!</v>
      </c>
      <c r="AG438" s="73" t="str">
        <f t="shared" si="264"/>
        <v/>
      </c>
      <c r="AH438" s="73" t="str">
        <f t="shared" si="265"/>
        <v/>
      </c>
      <c r="AI438" s="73" t="str">
        <f t="shared" si="266"/>
        <v/>
      </c>
      <c r="AJ438" s="73" t="str">
        <f t="shared" si="267"/>
        <v/>
      </c>
      <c r="AK438" s="73" t="b">
        <f t="shared" si="275"/>
        <v>1</v>
      </c>
      <c r="AL438" s="73" t="str">
        <f t="shared" si="268"/>
        <v/>
      </c>
      <c r="AM438" s="73" t="str">
        <f t="shared" si="269"/>
        <v/>
      </c>
      <c r="AN438" s="73" t="str">
        <f t="shared" si="270"/>
        <v/>
      </c>
      <c r="AO438" s="73" t="str">
        <f t="shared" si="271"/>
        <v/>
      </c>
      <c r="AP438" s="73" t="str">
        <f t="shared" si="272"/>
        <v/>
      </c>
    </row>
    <row r="439" spans="1:42" s="31" customFormat="1" x14ac:dyDescent="0.6">
      <c r="A439" s="70" t="str">
        <f t="shared" si="273"/>
        <v/>
      </c>
      <c r="B439" s="70" t="str">
        <f>IF(E439&lt;=$F$9,VLOOKUP(KALKULATOR!A439,Robocze!$B$23:$C$102,2),"")</f>
        <v/>
      </c>
      <c r="C439" s="70" t="str">
        <f t="shared" si="241"/>
        <v/>
      </c>
      <c r="D439" s="71" t="str">
        <f t="shared" si="242"/>
        <v/>
      </c>
      <c r="E439" s="77" t="str">
        <f t="shared" si="243"/>
        <v/>
      </c>
      <c r="F439" s="72" t="str">
        <f t="shared" si="244"/>
        <v/>
      </c>
      <c r="G439" s="73" t="str">
        <f>IFERROR(IF(AND(F439&lt;=$F$9,$F$5=Robocze!$B$4,$E439&lt;=$F$9,MONTH($F$8)=MONTH(E439)),$F$4,0)+IF(AND(F439&lt;=$F$9,$F$5=Robocze!$B$3,E439&lt;=$F$9),KALKULATOR!$F$4/12,0),"")</f>
        <v/>
      </c>
      <c r="H439" s="73" t="str">
        <f t="shared" si="245"/>
        <v/>
      </c>
      <c r="I439" s="74" t="str">
        <f t="shared" si="246"/>
        <v/>
      </c>
      <c r="J439" s="73" t="str">
        <f t="shared" si="247"/>
        <v/>
      </c>
      <c r="K439" s="75" t="str">
        <f t="shared" si="248"/>
        <v/>
      </c>
      <c r="L439" s="73" t="str">
        <f t="shared" si="249"/>
        <v/>
      </c>
      <c r="M439" s="73" t="str">
        <f t="shared" si="250"/>
        <v/>
      </c>
      <c r="N439" s="73" t="str">
        <f t="shared" si="251"/>
        <v/>
      </c>
      <c r="O439" s="73" t="str">
        <f t="shared" si="252"/>
        <v/>
      </c>
      <c r="P439" s="73" t="str">
        <f t="shared" si="253"/>
        <v/>
      </c>
      <c r="Q439" s="73" t="str">
        <f t="shared" si="254"/>
        <v/>
      </c>
      <c r="R439" s="73"/>
      <c r="S439" s="76" t="str">
        <f t="shared" si="255"/>
        <v/>
      </c>
      <c r="T439" s="73" t="str">
        <f t="shared" si="256"/>
        <v/>
      </c>
      <c r="U439" s="73" t="str">
        <f t="shared" si="257"/>
        <v/>
      </c>
      <c r="V439" s="76" t="str">
        <f t="shared" si="258"/>
        <v/>
      </c>
      <c r="W439" s="73" t="str">
        <f t="shared" si="259"/>
        <v/>
      </c>
      <c r="X439" s="73" t="str">
        <f>IF(B439&lt;&gt;"",IF(MONTH(E439)=MONTH($F$13),SUMIF($C$22:C818,"="&amp;(C439-1),$G$22:G818),0)*S439,"")</f>
        <v/>
      </c>
      <c r="Y439" s="73" t="str">
        <f>IF(B439&lt;&gt;"",SUM($X$22:X439),"")</f>
        <v/>
      </c>
      <c r="Z439" s="73" t="str">
        <f t="shared" si="260"/>
        <v/>
      </c>
      <c r="AA439" s="73" t="str">
        <f t="shared" si="261"/>
        <v/>
      </c>
      <c r="AB439" s="73" t="str">
        <f t="shared" si="262"/>
        <v/>
      </c>
      <c r="AC439" s="73" t="str">
        <f t="shared" si="263"/>
        <v/>
      </c>
      <c r="AD439" s="73" t="str">
        <f>IFERROR($U439*(1-$V439)+SUM($W$22:$W439)+$AB439,"")</f>
        <v/>
      </c>
      <c r="AE439" s="73" t="b">
        <f t="shared" si="274"/>
        <v>1</v>
      </c>
      <c r="AF439" s="73" t="e">
        <f>IF(AND(AE439=TRUE,D439&gt;=65),$U439*(1-10%)+SUM($W$22:$W439)+$AB439,AD439)</f>
        <v>#VALUE!</v>
      </c>
      <c r="AG439" s="73" t="str">
        <f t="shared" si="264"/>
        <v/>
      </c>
      <c r="AH439" s="73" t="str">
        <f t="shared" si="265"/>
        <v/>
      </c>
      <c r="AI439" s="73" t="str">
        <f t="shared" si="266"/>
        <v/>
      </c>
      <c r="AJ439" s="73" t="str">
        <f t="shared" si="267"/>
        <v/>
      </c>
      <c r="AK439" s="73" t="b">
        <f t="shared" si="275"/>
        <v>1</v>
      </c>
      <c r="AL439" s="73" t="str">
        <f t="shared" si="268"/>
        <v/>
      </c>
      <c r="AM439" s="73" t="str">
        <f t="shared" si="269"/>
        <v/>
      </c>
      <c r="AN439" s="73" t="str">
        <f t="shared" si="270"/>
        <v/>
      </c>
      <c r="AO439" s="73" t="str">
        <f t="shared" si="271"/>
        <v/>
      </c>
      <c r="AP439" s="73" t="str">
        <f t="shared" si="272"/>
        <v/>
      </c>
    </row>
    <row r="440" spans="1:42" s="31" customFormat="1" x14ac:dyDescent="0.6">
      <c r="A440" s="70" t="str">
        <f t="shared" si="273"/>
        <v/>
      </c>
      <c r="B440" s="70" t="str">
        <f>IF(E440&lt;=$F$9,VLOOKUP(KALKULATOR!A440,Robocze!$B$23:$C$102,2),"")</f>
        <v/>
      </c>
      <c r="C440" s="70" t="str">
        <f t="shared" si="241"/>
        <v/>
      </c>
      <c r="D440" s="71" t="str">
        <f t="shared" si="242"/>
        <v/>
      </c>
      <c r="E440" s="77" t="str">
        <f t="shared" si="243"/>
        <v/>
      </c>
      <c r="F440" s="72" t="str">
        <f t="shared" si="244"/>
        <v/>
      </c>
      <c r="G440" s="73" t="str">
        <f>IFERROR(IF(AND(F440&lt;=$F$9,$F$5=Robocze!$B$4,$E440&lt;=$F$9,MONTH($F$8)=MONTH(E440)),$F$4,0)+IF(AND(F440&lt;=$F$9,$F$5=Robocze!$B$3,E440&lt;=$F$9),KALKULATOR!$F$4/12,0),"")</f>
        <v/>
      </c>
      <c r="H440" s="73" t="str">
        <f t="shared" si="245"/>
        <v/>
      </c>
      <c r="I440" s="74" t="str">
        <f t="shared" si="246"/>
        <v/>
      </c>
      <c r="J440" s="73" t="str">
        <f t="shared" si="247"/>
        <v/>
      </c>
      <c r="K440" s="75" t="str">
        <f t="shared" si="248"/>
        <v/>
      </c>
      <c r="L440" s="73" t="str">
        <f t="shared" si="249"/>
        <v/>
      </c>
      <c r="M440" s="73" t="str">
        <f t="shared" si="250"/>
        <v/>
      </c>
      <c r="N440" s="73" t="str">
        <f t="shared" si="251"/>
        <v/>
      </c>
      <c r="O440" s="73" t="str">
        <f t="shared" si="252"/>
        <v/>
      </c>
      <c r="P440" s="73" t="str">
        <f t="shared" si="253"/>
        <v/>
      </c>
      <c r="Q440" s="73" t="str">
        <f t="shared" si="254"/>
        <v/>
      </c>
      <c r="R440" s="73"/>
      <c r="S440" s="76" t="str">
        <f t="shared" si="255"/>
        <v/>
      </c>
      <c r="T440" s="73" t="str">
        <f t="shared" si="256"/>
        <v/>
      </c>
      <c r="U440" s="73" t="str">
        <f t="shared" si="257"/>
        <v/>
      </c>
      <c r="V440" s="76" t="str">
        <f t="shared" si="258"/>
        <v/>
      </c>
      <c r="W440" s="73" t="str">
        <f t="shared" si="259"/>
        <v/>
      </c>
      <c r="X440" s="73" t="str">
        <f>IF(B440&lt;&gt;"",IF(MONTH(E440)=MONTH($F$13),SUMIF($C$22:C819,"="&amp;(C440-1),$G$22:G819),0)*S440,"")</f>
        <v/>
      </c>
      <c r="Y440" s="73" t="str">
        <f>IF(B440&lt;&gt;"",SUM($X$22:X440),"")</f>
        <v/>
      </c>
      <c r="Z440" s="73" t="str">
        <f t="shared" si="260"/>
        <v/>
      </c>
      <c r="AA440" s="73" t="str">
        <f t="shared" si="261"/>
        <v/>
      </c>
      <c r="AB440" s="73" t="str">
        <f t="shared" si="262"/>
        <v/>
      </c>
      <c r="AC440" s="73" t="str">
        <f t="shared" si="263"/>
        <v/>
      </c>
      <c r="AD440" s="73" t="str">
        <f>IFERROR($U440*(1-$V440)+SUM($W$22:$W440)+$AB440,"")</f>
        <v/>
      </c>
      <c r="AE440" s="73" t="b">
        <f t="shared" si="274"/>
        <v>1</v>
      </c>
      <c r="AF440" s="73" t="e">
        <f>IF(AND(AE440=TRUE,D440&gt;=65),$U440*(1-10%)+SUM($W$22:$W440)+$AB440,AD440)</f>
        <v>#VALUE!</v>
      </c>
      <c r="AG440" s="73" t="str">
        <f t="shared" si="264"/>
        <v/>
      </c>
      <c r="AH440" s="73" t="str">
        <f t="shared" si="265"/>
        <v/>
      </c>
      <c r="AI440" s="73" t="str">
        <f t="shared" si="266"/>
        <v/>
      </c>
      <c r="AJ440" s="73" t="str">
        <f t="shared" si="267"/>
        <v/>
      </c>
      <c r="AK440" s="73" t="b">
        <f t="shared" si="275"/>
        <v>1</v>
      </c>
      <c r="AL440" s="73" t="str">
        <f t="shared" si="268"/>
        <v/>
      </c>
      <c r="AM440" s="73" t="str">
        <f t="shared" si="269"/>
        <v/>
      </c>
      <c r="AN440" s="73" t="str">
        <f t="shared" si="270"/>
        <v/>
      </c>
      <c r="AO440" s="73" t="str">
        <f t="shared" si="271"/>
        <v/>
      </c>
      <c r="AP440" s="73" t="str">
        <f t="shared" si="272"/>
        <v/>
      </c>
    </row>
    <row r="441" spans="1:42" s="31" customFormat="1" x14ac:dyDescent="0.6">
      <c r="A441" s="70" t="str">
        <f t="shared" si="273"/>
        <v/>
      </c>
      <c r="B441" s="70" t="str">
        <f>IF(E441&lt;=$F$9,VLOOKUP(KALKULATOR!A441,Robocze!$B$23:$C$102,2),"")</f>
        <v/>
      </c>
      <c r="C441" s="70" t="str">
        <f t="shared" si="241"/>
        <v/>
      </c>
      <c r="D441" s="71" t="str">
        <f t="shared" si="242"/>
        <v/>
      </c>
      <c r="E441" s="77" t="str">
        <f t="shared" si="243"/>
        <v/>
      </c>
      <c r="F441" s="72" t="str">
        <f t="shared" si="244"/>
        <v/>
      </c>
      <c r="G441" s="73" t="str">
        <f>IFERROR(IF(AND(F441&lt;=$F$9,$F$5=Robocze!$B$4,$E441&lt;=$F$9,MONTH($F$8)=MONTH(E441)),$F$4,0)+IF(AND(F441&lt;=$F$9,$F$5=Robocze!$B$3,E441&lt;=$F$9),KALKULATOR!$F$4/12,0),"")</f>
        <v/>
      </c>
      <c r="H441" s="73" t="str">
        <f t="shared" si="245"/>
        <v/>
      </c>
      <c r="I441" s="74" t="str">
        <f t="shared" si="246"/>
        <v/>
      </c>
      <c r="J441" s="73" t="str">
        <f t="shared" si="247"/>
        <v/>
      </c>
      <c r="K441" s="75" t="str">
        <f t="shared" si="248"/>
        <v/>
      </c>
      <c r="L441" s="73" t="str">
        <f t="shared" si="249"/>
        <v/>
      </c>
      <c r="M441" s="73" t="str">
        <f t="shared" si="250"/>
        <v/>
      </c>
      <c r="N441" s="73" t="str">
        <f t="shared" si="251"/>
        <v/>
      </c>
      <c r="O441" s="73" t="str">
        <f t="shared" si="252"/>
        <v/>
      </c>
      <c r="P441" s="73" t="str">
        <f t="shared" si="253"/>
        <v/>
      </c>
      <c r="Q441" s="73" t="str">
        <f t="shared" si="254"/>
        <v/>
      </c>
      <c r="R441" s="73"/>
      <c r="S441" s="76" t="str">
        <f t="shared" si="255"/>
        <v/>
      </c>
      <c r="T441" s="73" t="str">
        <f t="shared" si="256"/>
        <v/>
      </c>
      <c r="U441" s="73" t="str">
        <f t="shared" si="257"/>
        <v/>
      </c>
      <c r="V441" s="76" t="str">
        <f t="shared" si="258"/>
        <v/>
      </c>
      <c r="W441" s="73" t="str">
        <f t="shared" si="259"/>
        <v/>
      </c>
      <c r="X441" s="73" t="str">
        <f>IF(B441&lt;&gt;"",IF(MONTH(E441)=MONTH($F$13),SUMIF($C$22:C820,"="&amp;(C441-1),$G$22:G820),0)*S441,"")</f>
        <v/>
      </c>
      <c r="Y441" s="73" t="str">
        <f>IF(B441&lt;&gt;"",SUM($X$22:X441),"")</f>
        <v/>
      </c>
      <c r="Z441" s="73" t="str">
        <f t="shared" si="260"/>
        <v/>
      </c>
      <c r="AA441" s="73" t="str">
        <f t="shared" si="261"/>
        <v/>
      </c>
      <c r="AB441" s="73" t="str">
        <f t="shared" si="262"/>
        <v/>
      </c>
      <c r="AC441" s="73" t="str">
        <f t="shared" si="263"/>
        <v/>
      </c>
      <c r="AD441" s="73" t="str">
        <f>IFERROR($U441*(1-$V441)+SUM($W$22:$W441)+$AB441,"")</f>
        <v/>
      </c>
      <c r="AE441" s="73" t="b">
        <f t="shared" si="274"/>
        <v>1</v>
      </c>
      <c r="AF441" s="73" t="e">
        <f>IF(AND(AE441=TRUE,D441&gt;=65),$U441*(1-10%)+SUM($W$22:$W441)+$AB441,AD441)</f>
        <v>#VALUE!</v>
      </c>
      <c r="AG441" s="73" t="str">
        <f t="shared" si="264"/>
        <v/>
      </c>
      <c r="AH441" s="73" t="str">
        <f t="shared" si="265"/>
        <v/>
      </c>
      <c r="AI441" s="73" t="str">
        <f t="shared" si="266"/>
        <v/>
      </c>
      <c r="AJ441" s="73" t="str">
        <f t="shared" si="267"/>
        <v/>
      </c>
      <c r="AK441" s="73" t="b">
        <f t="shared" si="275"/>
        <v>1</v>
      </c>
      <c r="AL441" s="73" t="str">
        <f t="shared" si="268"/>
        <v/>
      </c>
      <c r="AM441" s="73" t="str">
        <f t="shared" si="269"/>
        <v/>
      </c>
      <c r="AN441" s="73" t="str">
        <f t="shared" si="270"/>
        <v/>
      </c>
      <c r="AO441" s="73" t="str">
        <f t="shared" si="271"/>
        <v/>
      </c>
      <c r="AP441" s="73" t="str">
        <f t="shared" si="272"/>
        <v/>
      </c>
    </row>
    <row r="442" spans="1:42" s="69" customFormat="1" x14ac:dyDescent="0.6">
      <c r="A442" s="78" t="str">
        <f t="shared" si="273"/>
        <v/>
      </c>
      <c r="B442" s="78" t="str">
        <f>IF(E442&lt;=$F$9,VLOOKUP(KALKULATOR!A442,Robocze!$B$23:$C$102,2),"")</f>
        <v/>
      </c>
      <c r="C442" s="78" t="str">
        <f t="shared" si="241"/>
        <v/>
      </c>
      <c r="D442" s="79" t="str">
        <f t="shared" si="242"/>
        <v/>
      </c>
      <c r="E442" s="80" t="str">
        <f t="shared" si="243"/>
        <v/>
      </c>
      <c r="F442" s="81" t="str">
        <f t="shared" si="244"/>
        <v/>
      </c>
      <c r="G442" s="82" t="str">
        <f>IFERROR(IF(AND(F442&lt;=$F$9,$F$5=Robocze!$B$4,$E442&lt;=$F$9,MONTH($F$8)=MONTH(E442)),$F$4,0)+IF(AND(F442&lt;=$F$9,$F$5=Robocze!$B$3,E442&lt;=$F$9),KALKULATOR!$F$4/12,0),"")</f>
        <v/>
      </c>
      <c r="H442" s="82" t="str">
        <f t="shared" si="245"/>
        <v/>
      </c>
      <c r="I442" s="83" t="str">
        <f t="shared" si="246"/>
        <v/>
      </c>
      <c r="J442" s="82" t="str">
        <f t="shared" si="247"/>
        <v/>
      </c>
      <c r="K442" s="84" t="str">
        <f t="shared" si="248"/>
        <v/>
      </c>
      <c r="L442" s="82" t="str">
        <f t="shared" si="249"/>
        <v/>
      </c>
      <c r="M442" s="82" t="str">
        <f t="shared" si="250"/>
        <v/>
      </c>
      <c r="N442" s="82" t="str">
        <f t="shared" si="251"/>
        <v/>
      </c>
      <c r="O442" s="82" t="str">
        <f t="shared" si="252"/>
        <v/>
      </c>
      <c r="P442" s="82" t="str">
        <f t="shared" si="253"/>
        <v/>
      </c>
      <c r="Q442" s="82" t="str">
        <f t="shared" si="254"/>
        <v/>
      </c>
      <c r="R442" s="82"/>
      <c r="S442" s="85" t="str">
        <f t="shared" si="255"/>
        <v/>
      </c>
      <c r="T442" s="82" t="str">
        <f t="shared" si="256"/>
        <v/>
      </c>
      <c r="U442" s="82" t="str">
        <f t="shared" si="257"/>
        <v/>
      </c>
      <c r="V442" s="85" t="str">
        <f t="shared" si="258"/>
        <v/>
      </c>
      <c r="W442" s="82" t="str">
        <f t="shared" si="259"/>
        <v/>
      </c>
      <c r="X442" s="82" t="str">
        <f>IF(B442&lt;&gt;"",IF(MONTH(E442)=MONTH($F$13),SUMIF($C$22:C821,"="&amp;(C442-1),$G$22:G821),0)*S442,"")</f>
        <v/>
      </c>
      <c r="Y442" s="82" t="str">
        <f>IF(B442&lt;&gt;"",SUM($X$22:X442),"")</f>
        <v/>
      </c>
      <c r="Z442" s="82" t="str">
        <f t="shared" si="260"/>
        <v/>
      </c>
      <c r="AA442" s="82" t="str">
        <f t="shared" si="261"/>
        <v/>
      </c>
      <c r="AB442" s="82" t="str">
        <f t="shared" si="262"/>
        <v/>
      </c>
      <c r="AC442" s="82" t="str">
        <f t="shared" si="263"/>
        <v/>
      </c>
      <c r="AD442" s="82" t="str">
        <f>IFERROR($U442*(1-$V442)+SUM($W$22:$W442)+$AB442,"")</f>
        <v/>
      </c>
      <c r="AE442" s="73" t="b">
        <f t="shared" si="274"/>
        <v>1</v>
      </c>
      <c r="AF442" s="82" t="e">
        <f>IF(AND(AE442=TRUE,D442&gt;=65),$U442*(1-10%)+SUM($W$22:$W442)+$AB442,AD442)</f>
        <v>#VALUE!</v>
      </c>
      <c r="AG442" s="82" t="str">
        <f t="shared" si="264"/>
        <v/>
      </c>
      <c r="AH442" s="82" t="str">
        <f t="shared" si="265"/>
        <v/>
      </c>
      <c r="AI442" s="82" t="str">
        <f t="shared" si="266"/>
        <v/>
      </c>
      <c r="AJ442" s="82" t="str">
        <f t="shared" si="267"/>
        <v/>
      </c>
      <c r="AK442" s="73" t="b">
        <f t="shared" si="275"/>
        <v>1</v>
      </c>
      <c r="AL442" s="82" t="str">
        <f t="shared" si="268"/>
        <v/>
      </c>
      <c r="AM442" s="82" t="str">
        <f t="shared" si="269"/>
        <v/>
      </c>
      <c r="AN442" s="82" t="str">
        <f t="shared" si="270"/>
        <v/>
      </c>
      <c r="AO442" s="82" t="str">
        <f t="shared" si="271"/>
        <v/>
      </c>
      <c r="AP442" s="82" t="str">
        <f t="shared" si="272"/>
        <v/>
      </c>
    </row>
    <row r="443" spans="1:42" s="31" customFormat="1" x14ac:dyDescent="0.6">
      <c r="A443" s="70" t="str">
        <f t="shared" si="273"/>
        <v/>
      </c>
      <c r="B443" s="70" t="str">
        <f>IF(E443&lt;=$F$9,VLOOKUP(KALKULATOR!A443,Robocze!$B$23:$C$102,2),"")</f>
        <v/>
      </c>
      <c r="C443" s="70" t="str">
        <f t="shared" si="241"/>
        <v/>
      </c>
      <c r="D443" s="71" t="str">
        <f t="shared" si="242"/>
        <v/>
      </c>
      <c r="E443" s="72" t="str">
        <f t="shared" si="243"/>
        <v/>
      </c>
      <c r="F443" s="72" t="str">
        <f t="shared" si="244"/>
        <v/>
      </c>
      <c r="G443" s="73" t="str">
        <f>IFERROR(IF(AND(F443&lt;=$F$9,$F$5=Robocze!$B$4,$E443&lt;=$F$9,MONTH($F$8)=MONTH(E443)),$F$4,0)+IF(AND(F443&lt;=$F$9,$F$5=Robocze!$B$3,E443&lt;=$F$9),KALKULATOR!$F$4/12,0),"")</f>
        <v/>
      </c>
      <c r="H443" s="73" t="str">
        <f t="shared" si="245"/>
        <v/>
      </c>
      <c r="I443" s="74" t="str">
        <f t="shared" si="246"/>
        <v/>
      </c>
      <c r="J443" s="73" t="str">
        <f t="shared" si="247"/>
        <v/>
      </c>
      <c r="K443" s="75" t="str">
        <f t="shared" si="248"/>
        <v/>
      </c>
      <c r="L443" s="73" t="str">
        <f t="shared" si="249"/>
        <v/>
      </c>
      <c r="M443" s="73" t="str">
        <f t="shared" si="250"/>
        <v/>
      </c>
      <c r="N443" s="73" t="str">
        <f t="shared" si="251"/>
        <v/>
      </c>
      <c r="O443" s="73" t="str">
        <f t="shared" si="252"/>
        <v/>
      </c>
      <c r="P443" s="73" t="str">
        <f t="shared" si="253"/>
        <v/>
      </c>
      <c r="Q443" s="73" t="str">
        <f t="shared" si="254"/>
        <v/>
      </c>
      <c r="R443" s="73"/>
      <c r="S443" s="76" t="str">
        <f t="shared" si="255"/>
        <v/>
      </c>
      <c r="T443" s="73" t="str">
        <f t="shared" si="256"/>
        <v/>
      </c>
      <c r="U443" s="73" t="str">
        <f t="shared" si="257"/>
        <v/>
      </c>
      <c r="V443" s="76" t="str">
        <f t="shared" si="258"/>
        <v/>
      </c>
      <c r="W443" s="73" t="str">
        <f t="shared" si="259"/>
        <v/>
      </c>
      <c r="X443" s="73" t="str">
        <f>IF(B443&lt;&gt;"",IF(MONTH(E443)=MONTH($F$13),SUMIF($C$22:C822,"="&amp;(C443-1),$G$22:G822),0)*S443,"")</f>
        <v/>
      </c>
      <c r="Y443" s="73" t="str">
        <f>IF(B443&lt;&gt;"",SUM($X$22:X443),"")</f>
        <v/>
      </c>
      <c r="Z443" s="73" t="str">
        <f t="shared" si="260"/>
        <v/>
      </c>
      <c r="AA443" s="73" t="str">
        <f t="shared" si="261"/>
        <v/>
      </c>
      <c r="AB443" s="73" t="str">
        <f t="shared" si="262"/>
        <v/>
      </c>
      <c r="AC443" s="73" t="str">
        <f t="shared" si="263"/>
        <v/>
      </c>
      <c r="AD443" s="73" t="str">
        <f>IFERROR($U443*(1-$V443)+SUM($W$22:$W443)+$AB443,"")</f>
        <v/>
      </c>
      <c r="AE443" s="73" t="b">
        <f t="shared" si="274"/>
        <v>1</v>
      </c>
      <c r="AF443" s="73" t="e">
        <f>IF(AND(AE443=TRUE,D443&gt;=65),$U443*(1-10%)+SUM($W$22:$W443)+$AB443,AD443)</f>
        <v>#VALUE!</v>
      </c>
      <c r="AG443" s="73" t="str">
        <f t="shared" si="264"/>
        <v/>
      </c>
      <c r="AH443" s="73" t="str">
        <f t="shared" si="265"/>
        <v/>
      </c>
      <c r="AI443" s="73" t="str">
        <f t="shared" si="266"/>
        <v/>
      </c>
      <c r="AJ443" s="73" t="str">
        <f t="shared" si="267"/>
        <v/>
      </c>
      <c r="AK443" s="73" t="b">
        <f t="shared" si="275"/>
        <v>1</v>
      </c>
      <c r="AL443" s="73" t="str">
        <f t="shared" si="268"/>
        <v/>
      </c>
      <c r="AM443" s="73" t="str">
        <f t="shared" si="269"/>
        <v/>
      </c>
      <c r="AN443" s="73" t="str">
        <f t="shared" si="270"/>
        <v/>
      </c>
      <c r="AO443" s="73" t="str">
        <f t="shared" si="271"/>
        <v/>
      </c>
      <c r="AP443" s="73" t="str">
        <f t="shared" si="272"/>
        <v/>
      </c>
    </row>
    <row r="444" spans="1:42" s="31" customFormat="1" x14ac:dyDescent="0.6">
      <c r="A444" s="70" t="str">
        <f t="shared" si="273"/>
        <v/>
      </c>
      <c r="B444" s="70" t="str">
        <f>IF(E444&lt;=$F$9,VLOOKUP(KALKULATOR!A444,Robocze!$B$23:$C$102,2),"")</f>
        <v/>
      </c>
      <c r="C444" s="70" t="str">
        <f t="shared" si="241"/>
        <v/>
      </c>
      <c r="D444" s="71" t="str">
        <f t="shared" si="242"/>
        <v/>
      </c>
      <c r="E444" s="77" t="str">
        <f t="shared" si="243"/>
        <v/>
      </c>
      <c r="F444" s="72" t="str">
        <f t="shared" si="244"/>
        <v/>
      </c>
      <c r="G444" s="73" t="str">
        <f>IFERROR(IF(AND(F444&lt;=$F$9,$F$5=Robocze!$B$4,$E444&lt;=$F$9,MONTH($F$8)=MONTH(E444)),$F$4,0)+IF(AND(F444&lt;=$F$9,$F$5=Robocze!$B$3,E444&lt;=$F$9),KALKULATOR!$F$4/12,0),"")</f>
        <v/>
      </c>
      <c r="H444" s="73" t="str">
        <f t="shared" si="245"/>
        <v/>
      </c>
      <c r="I444" s="74" t="str">
        <f t="shared" si="246"/>
        <v/>
      </c>
      <c r="J444" s="73" t="str">
        <f t="shared" si="247"/>
        <v/>
      </c>
      <c r="K444" s="75" t="str">
        <f t="shared" si="248"/>
        <v/>
      </c>
      <c r="L444" s="73" t="str">
        <f t="shared" si="249"/>
        <v/>
      </c>
      <c r="M444" s="73" t="str">
        <f t="shared" si="250"/>
        <v/>
      </c>
      <c r="N444" s="73" t="str">
        <f t="shared" si="251"/>
        <v/>
      </c>
      <c r="O444" s="73" t="str">
        <f t="shared" si="252"/>
        <v/>
      </c>
      <c r="P444" s="73" t="str">
        <f t="shared" si="253"/>
        <v/>
      </c>
      <c r="Q444" s="73" t="str">
        <f t="shared" si="254"/>
        <v/>
      </c>
      <c r="R444" s="73"/>
      <c r="S444" s="76" t="str">
        <f t="shared" si="255"/>
        <v/>
      </c>
      <c r="T444" s="73" t="str">
        <f t="shared" si="256"/>
        <v/>
      </c>
      <c r="U444" s="73" t="str">
        <f t="shared" si="257"/>
        <v/>
      </c>
      <c r="V444" s="76" t="str">
        <f t="shared" si="258"/>
        <v/>
      </c>
      <c r="W444" s="73" t="str">
        <f t="shared" si="259"/>
        <v/>
      </c>
      <c r="X444" s="73" t="str">
        <f>IF(B444&lt;&gt;"",IF(MONTH(E444)=MONTH($F$13),SUMIF($C$22:C823,"="&amp;(C444-1),$G$22:G823),0)*S444,"")</f>
        <v/>
      </c>
      <c r="Y444" s="73" t="str">
        <f>IF(B444&lt;&gt;"",SUM($X$22:X444),"")</f>
        <v/>
      </c>
      <c r="Z444" s="73" t="str">
        <f t="shared" si="260"/>
        <v/>
      </c>
      <c r="AA444" s="73" t="str">
        <f t="shared" si="261"/>
        <v/>
      </c>
      <c r="AB444" s="73" t="str">
        <f t="shared" si="262"/>
        <v/>
      </c>
      <c r="AC444" s="73" t="str">
        <f t="shared" si="263"/>
        <v/>
      </c>
      <c r="AD444" s="73" t="str">
        <f>IFERROR($U444*(1-$V444)+SUM($W$22:$W444)+$AB444,"")</f>
        <v/>
      </c>
      <c r="AE444" s="73" t="b">
        <f t="shared" si="274"/>
        <v>1</v>
      </c>
      <c r="AF444" s="73" t="e">
        <f>IF(AND(AE444=TRUE,D444&gt;=65),$U444*(1-10%)+SUM($W$22:$W444)+$AB444,AD444)</f>
        <v>#VALUE!</v>
      </c>
      <c r="AG444" s="73" t="str">
        <f t="shared" si="264"/>
        <v/>
      </c>
      <c r="AH444" s="73" t="str">
        <f t="shared" si="265"/>
        <v/>
      </c>
      <c r="AI444" s="73" t="str">
        <f t="shared" si="266"/>
        <v/>
      </c>
      <c r="AJ444" s="73" t="str">
        <f t="shared" si="267"/>
        <v/>
      </c>
      <c r="AK444" s="73" t="b">
        <f t="shared" si="275"/>
        <v>1</v>
      </c>
      <c r="AL444" s="73" t="str">
        <f t="shared" si="268"/>
        <v/>
      </c>
      <c r="AM444" s="73" t="str">
        <f t="shared" si="269"/>
        <v/>
      </c>
      <c r="AN444" s="73" t="str">
        <f t="shared" si="270"/>
        <v/>
      </c>
      <c r="AO444" s="73" t="str">
        <f t="shared" si="271"/>
        <v/>
      </c>
      <c r="AP444" s="73" t="str">
        <f t="shared" si="272"/>
        <v/>
      </c>
    </row>
    <row r="445" spans="1:42" s="31" customFormat="1" x14ac:dyDescent="0.6">
      <c r="A445" s="70" t="str">
        <f t="shared" si="273"/>
        <v/>
      </c>
      <c r="B445" s="70" t="str">
        <f>IF(E445&lt;=$F$9,VLOOKUP(KALKULATOR!A445,Robocze!$B$23:$C$102,2),"")</f>
        <v/>
      </c>
      <c r="C445" s="70" t="str">
        <f t="shared" si="241"/>
        <v/>
      </c>
      <c r="D445" s="71" t="str">
        <f t="shared" si="242"/>
        <v/>
      </c>
      <c r="E445" s="77" t="str">
        <f t="shared" si="243"/>
        <v/>
      </c>
      <c r="F445" s="72" t="str">
        <f t="shared" si="244"/>
        <v/>
      </c>
      <c r="G445" s="73" t="str">
        <f>IFERROR(IF(AND(F445&lt;=$F$9,$F$5=Robocze!$B$4,$E445&lt;=$F$9,MONTH($F$8)=MONTH(E445)),$F$4,0)+IF(AND(F445&lt;=$F$9,$F$5=Robocze!$B$3,E445&lt;=$F$9),KALKULATOR!$F$4/12,0),"")</f>
        <v/>
      </c>
      <c r="H445" s="73" t="str">
        <f t="shared" si="245"/>
        <v/>
      </c>
      <c r="I445" s="74" t="str">
        <f t="shared" si="246"/>
        <v/>
      </c>
      <c r="J445" s="73" t="str">
        <f t="shared" si="247"/>
        <v/>
      </c>
      <c r="K445" s="75" t="str">
        <f t="shared" si="248"/>
        <v/>
      </c>
      <c r="L445" s="73" t="str">
        <f t="shared" si="249"/>
        <v/>
      </c>
      <c r="M445" s="73" t="str">
        <f t="shared" si="250"/>
        <v/>
      </c>
      <c r="N445" s="73" t="str">
        <f t="shared" si="251"/>
        <v/>
      </c>
      <c r="O445" s="73" t="str">
        <f t="shared" si="252"/>
        <v/>
      </c>
      <c r="P445" s="73" t="str">
        <f t="shared" si="253"/>
        <v/>
      </c>
      <c r="Q445" s="73" t="str">
        <f t="shared" si="254"/>
        <v/>
      </c>
      <c r="R445" s="73"/>
      <c r="S445" s="76" t="str">
        <f t="shared" si="255"/>
        <v/>
      </c>
      <c r="T445" s="73" t="str">
        <f t="shared" si="256"/>
        <v/>
      </c>
      <c r="U445" s="73" t="str">
        <f t="shared" si="257"/>
        <v/>
      </c>
      <c r="V445" s="76" t="str">
        <f t="shared" si="258"/>
        <v/>
      </c>
      <c r="W445" s="73" t="str">
        <f t="shared" si="259"/>
        <v/>
      </c>
      <c r="X445" s="73" t="str">
        <f>IF(B445&lt;&gt;"",IF(MONTH(E445)=MONTH($F$13),SUMIF($C$22:C824,"="&amp;(C445-1),$G$22:G824),0)*S445,"")</f>
        <v/>
      </c>
      <c r="Y445" s="73" t="str">
        <f>IF(B445&lt;&gt;"",SUM($X$22:X445),"")</f>
        <v/>
      </c>
      <c r="Z445" s="73" t="str">
        <f t="shared" si="260"/>
        <v/>
      </c>
      <c r="AA445" s="73" t="str">
        <f t="shared" si="261"/>
        <v/>
      </c>
      <c r="AB445" s="73" t="str">
        <f t="shared" si="262"/>
        <v/>
      </c>
      <c r="AC445" s="73" t="str">
        <f t="shared" si="263"/>
        <v/>
      </c>
      <c r="AD445" s="73" t="str">
        <f>IFERROR($U445*(1-$V445)+SUM($W$22:$W445)+$AB445,"")</f>
        <v/>
      </c>
      <c r="AE445" s="73" t="b">
        <f t="shared" si="274"/>
        <v>1</v>
      </c>
      <c r="AF445" s="73" t="e">
        <f>IF(AND(AE445=TRUE,D445&gt;=65),$U445*(1-10%)+SUM($W$22:$W445)+$AB445,AD445)</f>
        <v>#VALUE!</v>
      </c>
      <c r="AG445" s="73" t="str">
        <f t="shared" si="264"/>
        <v/>
      </c>
      <c r="AH445" s="73" t="str">
        <f t="shared" si="265"/>
        <v/>
      </c>
      <c r="AI445" s="73" t="str">
        <f t="shared" si="266"/>
        <v/>
      </c>
      <c r="AJ445" s="73" t="str">
        <f t="shared" si="267"/>
        <v/>
      </c>
      <c r="AK445" s="73" t="b">
        <f t="shared" si="275"/>
        <v>1</v>
      </c>
      <c r="AL445" s="73" t="str">
        <f t="shared" si="268"/>
        <v/>
      </c>
      <c r="AM445" s="73" t="str">
        <f t="shared" si="269"/>
        <v/>
      </c>
      <c r="AN445" s="73" t="str">
        <f t="shared" si="270"/>
        <v/>
      </c>
      <c r="AO445" s="73" t="str">
        <f t="shared" si="271"/>
        <v/>
      </c>
      <c r="AP445" s="73" t="str">
        <f t="shared" si="272"/>
        <v/>
      </c>
    </row>
    <row r="446" spans="1:42" s="31" customFormat="1" x14ac:dyDescent="0.6">
      <c r="A446" s="70" t="str">
        <f t="shared" si="273"/>
        <v/>
      </c>
      <c r="B446" s="70" t="str">
        <f>IF(E446&lt;=$F$9,VLOOKUP(KALKULATOR!A446,Robocze!$B$23:$C$102,2),"")</f>
        <v/>
      </c>
      <c r="C446" s="70" t="str">
        <f t="shared" ref="C446:C509" si="276">IF(B446="","",YEAR(E446))</f>
        <v/>
      </c>
      <c r="D446" s="71" t="str">
        <f t="shared" ref="D446:D509" si="277">IF(B446="","",D445+1/12)</f>
        <v/>
      </c>
      <c r="E446" s="77" t="str">
        <f t="shared" ref="E446:E509" si="278">IF(OR(B445="",E445&gt;$F$9,A446=""),"",EDATE(E445,1))</f>
        <v/>
      </c>
      <c r="F446" s="72" t="str">
        <f t="shared" ref="F446:F509" si="279">IFERROR(EOMONTH(E446,0),"")</f>
        <v/>
      </c>
      <c r="G446" s="73" t="str">
        <f>IFERROR(IF(AND(F446&lt;=$F$9,$F$5=Robocze!$B$4,$E446&lt;=$F$9,MONTH($F$8)=MONTH(E446)),$F$4,0)+IF(AND(F446&lt;=$F$9,$F$5=Robocze!$B$3,E446&lt;=$F$9),KALKULATOR!$F$4/12,0),"")</f>
        <v/>
      </c>
      <c r="H446" s="73" t="str">
        <f t="shared" ref="H446:H509" si="280">IFERROR(H445+G446,"")</f>
        <v/>
      </c>
      <c r="I446" s="74" t="str">
        <f t="shared" ref="I446:I509" si="281">IF(E446&lt;=$F$9,$F$2,"")</f>
        <v/>
      </c>
      <c r="J446" s="73" t="str">
        <f t="shared" ref="J446:J509" si="282">IFERROR(IF(MONTH($F$8)=MONTH(E446),$F$15,0),"")</f>
        <v/>
      </c>
      <c r="K446" s="75" t="str">
        <f t="shared" ref="K446:K509" si="283">IFERROR(IF(AND(MOD(A446,12)=0,A446&lt;&gt;""),A446/12,""),"")</f>
        <v/>
      </c>
      <c r="L446" s="73" t="str">
        <f t="shared" ref="L446:L509" si="284">H446</f>
        <v/>
      </c>
      <c r="M446" s="73" t="str">
        <f t="shared" ref="M446:M509" si="285">IFERROR(AF446,"")</f>
        <v/>
      </c>
      <c r="N446" s="73" t="str">
        <f t="shared" ref="N446:N509" si="286">IFERROR(AD446,"")</f>
        <v/>
      </c>
      <c r="O446" s="73" t="str">
        <f t="shared" ref="O446:O509" si="287">IFERROR(AL446,"")</f>
        <v/>
      </c>
      <c r="P446" s="73" t="str">
        <f t="shared" ref="P446:P509" si="288">AJ446</f>
        <v/>
      </c>
      <c r="Q446" s="73" t="str">
        <f t="shared" ref="Q446:Q509" si="289">AP446</f>
        <v/>
      </c>
      <c r="R446" s="73"/>
      <c r="S446" s="76" t="str">
        <f t="shared" ref="S446:S509" si="290">IF(B446&lt;&gt;"",$F$11,"")</f>
        <v/>
      </c>
      <c r="T446" s="73" t="str">
        <f t="shared" ref="T446:T509" si="291">IF(B446&lt;&gt;"",(U445-J446+G446)*(I446/12),"")</f>
        <v/>
      </c>
      <c r="U446" s="73" t="str">
        <f t="shared" ref="U446:U509" si="292">IF(B446&lt;&gt;"",U445+T446-J446+G446,"")</f>
        <v/>
      </c>
      <c r="V446" s="76" t="str">
        <f t="shared" ref="V446:V509" si="293">IF(B446&lt;&gt;"",$F$12,"")</f>
        <v/>
      </c>
      <c r="W446" s="73" t="str">
        <f t="shared" ref="W446:W509" si="294">IF(B446&lt;&gt;"",G446*S446,"")</f>
        <v/>
      </c>
      <c r="X446" s="73" t="str">
        <f>IF(B446&lt;&gt;"",IF(MONTH(E446)=MONTH($F$13),SUMIF($C$22:C825,"="&amp;(C446-1),$G$22:G825),0)*S446,"")</f>
        <v/>
      </c>
      <c r="Y446" s="73" t="str">
        <f>IF(B446&lt;&gt;"",SUM($X$22:X446),"")</f>
        <v/>
      </c>
      <c r="Z446" s="73" t="str">
        <f t="shared" ref="Z446:Z509" si="295">IF(B446&lt;&gt;"",(AC445+X446)*I446/12,"")</f>
        <v/>
      </c>
      <c r="AA446" s="73" t="str">
        <f t="shared" ref="AA446:AA509" si="296">IF(B446&lt;&gt;"",MAX(0,Z446*$F$14),"")</f>
        <v/>
      </c>
      <c r="AB446" s="73" t="str">
        <f t="shared" ref="AB446:AB509" si="297">IF(B446&lt;&gt;"",AB445+Z446-AA446,"")</f>
        <v/>
      </c>
      <c r="AC446" s="73" t="str">
        <f t="shared" ref="AC446:AC509" si="298">IF(B446&lt;&gt;"",AC445+Z446-AA446+X446,"")</f>
        <v/>
      </c>
      <c r="AD446" s="73" t="str">
        <f>IFERROR($U446*(1-$V446)+SUM($W$22:$W446)+$AB446,"")</f>
        <v/>
      </c>
      <c r="AE446" s="73" t="b">
        <f t="shared" si="274"/>
        <v>1</v>
      </c>
      <c r="AF446" s="73" t="e">
        <f>IF(AND(AE446=TRUE,D446&gt;=65),$U446*(1-10%)+SUM($W$22:$W446)+$AB446,AD446)</f>
        <v>#VALUE!</v>
      </c>
      <c r="AG446" s="73" t="str">
        <f t="shared" ref="AG446:AG509" si="299">IF(B446&lt;&gt;"",(AI445+G446)*I446/12-J446,"")</f>
        <v/>
      </c>
      <c r="AH446" s="73" t="str">
        <f t="shared" ref="AH446:AH509" si="300">IF(B446&lt;&gt;"",AH445+AG446,"")</f>
        <v/>
      </c>
      <c r="AI446" s="73" t="str">
        <f t="shared" ref="AI446:AI509" si="301">IF(B446&lt;&gt;"",H446+AH446,"")</f>
        <v/>
      </c>
      <c r="AJ446" s="73" t="str">
        <f t="shared" ref="AJ446:AJ509" si="302">IF(B446&lt;&gt;"",IF(AI446&gt;H446,AI446-AH446*$F$14,AI446),"")</f>
        <v/>
      </c>
      <c r="AK446" s="73" t="b">
        <f t="shared" si="275"/>
        <v>1</v>
      </c>
      <c r="AL446" s="73" t="str">
        <f t="shared" ref="AL446:AL509" si="303">IF(AK446=TRUE,AI446,AJ446)</f>
        <v/>
      </c>
      <c r="AM446" s="73" t="str">
        <f t="shared" ref="AM446:AM509" si="304">IF(B446&lt;&gt;"",(AP445+G446)*I446/12,"")</f>
        <v/>
      </c>
      <c r="AN446" s="73" t="str">
        <f t="shared" ref="AN446:AN509" si="305">IF(B446&lt;&gt;"",MAX(0,AM446*$F$14),"")</f>
        <v/>
      </c>
      <c r="AO446" s="73" t="str">
        <f t="shared" ref="AO446:AO509" si="306">IF(B446&lt;&gt;"",AP446-H446,"")</f>
        <v/>
      </c>
      <c r="AP446" s="73" t="str">
        <f t="shared" ref="AP446:AP509" si="307">IF(B446&lt;&gt;"",AP445+G446+AM446-AN446,"")</f>
        <v/>
      </c>
    </row>
    <row r="447" spans="1:42" s="31" customFormat="1" x14ac:dyDescent="0.6">
      <c r="A447" s="70" t="str">
        <f t="shared" si="273"/>
        <v/>
      </c>
      <c r="B447" s="70" t="str">
        <f>IF(E447&lt;=$F$9,VLOOKUP(KALKULATOR!A447,Robocze!$B$23:$C$102,2),"")</f>
        <v/>
      </c>
      <c r="C447" s="70" t="str">
        <f t="shared" si="276"/>
        <v/>
      </c>
      <c r="D447" s="71" t="str">
        <f t="shared" si="277"/>
        <v/>
      </c>
      <c r="E447" s="77" t="str">
        <f t="shared" si="278"/>
        <v/>
      </c>
      <c r="F447" s="72" t="str">
        <f t="shared" si="279"/>
        <v/>
      </c>
      <c r="G447" s="73" t="str">
        <f>IFERROR(IF(AND(F447&lt;=$F$9,$F$5=Robocze!$B$4,$E447&lt;=$F$9,MONTH($F$8)=MONTH(E447)),$F$4,0)+IF(AND(F447&lt;=$F$9,$F$5=Robocze!$B$3,E447&lt;=$F$9),KALKULATOR!$F$4/12,0),"")</f>
        <v/>
      </c>
      <c r="H447" s="73" t="str">
        <f t="shared" si="280"/>
        <v/>
      </c>
      <c r="I447" s="74" t="str">
        <f t="shared" si="281"/>
        <v/>
      </c>
      <c r="J447" s="73" t="str">
        <f t="shared" si="282"/>
        <v/>
      </c>
      <c r="K447" s="75" t="str">
        <f t="shared" si="283"/>
        <v/>
      </c>
      <c r="L447" s="73" t="str">
        <f t="shared" si="284"/>
        <v/>
      </c>
      <c r="M447" s="73" t="str">
        <f t="shared" si="285"/>
        <v/>
      </c>
      <c r="N447" s="73" t="str">
        <f t="shared" si="286"/>
        <v/>
      </c>
      <c r="O447" s="73" t="str">
        <f t="shared" si="287"/>
        <v/>
      </c>
      <c r="P447" s="73" t="str">
        <f t="shared" si="288"/>
        <v/>
      </c>
      <c r="Q447" s="73" t="str">
        <f t="shared" si="289"/>
        <v/>
      </c>
      <c r="R447" s="73"/>
      <c r="S447" s="76" t="str">
        <f t="shared" si="290"/>
        <v/>
      </c>
      <c r="T447" s="73" t="str">
        <f t="shared" si="291"/>
        <v/>
      </c>
      <c r="U447" s="73" t="str">
        <f t="shared" si="292"/>
        <v/>
      </c>
      <c r="V447" s="76" t="str">
        <f t="shared" si="293"/>
        <v/>
      </c>
      <c r="W447" s="73" t="str">
        <f t="shared" si="294"/>
        <v/>
      </c>
      <c r="X447" s="73" t="str">
        <f>IF(B447&lt;&gt;"",IF(MONTH(E447)=MONTH($F$13),SUMIF($C$22:C826,"="&amp;(C447-1),$G$22:G826),0)*S447,"")</f>
        <v/>
      </c>
      <c r="Y447" s="73" t="str">
        <f>IF(B447&lt;&gt;"",SUM($X$22:X447),"")</f>
        <v/>
      </c>
      <c r="Z447" s="73" t="str">
        <f t="shared" si="295"/>
        <v/>
      </c>
      <c r="AA447" s="73" t="str">
        <f t="shared" si="296"/>
        <v/>
      </c>
      <c r="AB447" s="73" t="str">
        <f t="shared" si="297"/>
        <v/>
      </c>
      <c r="AC447" s="73" t="str">
        <f t="shared" si="298"/>
        <v/>
      </c>
      <c r="AD447" s="73" t="str">
        <f>IFERROR($U447*(1-$V447)+SUM($W$22:$W447)+$AB447,"")</f>
        <v/>
      </c>
      <c r="AE447" s="73" t="b">
        <f t="shared" si="274"/>
        <v>1</v>
      </c>
      <c r="AF447" s="73" t="e">
        <f>IF(AND(AE447=TRUE,D447&gt;=65),$U447*(1-10%)+SUM($W$22:$W447)+$AB447,AD447)</f>
        <v>#VALUE!</v>
      </c>
      <c r="AG447" s="73" t="str">
        <f t="shared" si="299"/>
        <v/>
      </c>
      <c r="AH447" s="73" t="str">
        <f t="shared" si="300"/>
        <v/>
      </c>
      <c r="AI447" s="73" t="str">
        <f t="shared" si="301"/>
        <v/>
      </c>
      <c r="AJ447" s="73" t="str">
        <f t="shared" si="302"/>
        <v/>
      </c>
      <c r="AK447" s="73" t="b">
        <f t="shared" si="275"/>
        <v>1</v>
      </c>
      <c r="AL447" s="73" t="str">
        <f t="shared" si="303"/>
        <v/>
      </c>
      <c r="AM447" s="73" t="str">
        <f t="shared" si="304"/>
        <v/>
      </c>
      <c r="AN447" s="73" t="str">
        <f t="shared" si="305"/>
        <v/>
      </c>
      <c r="AO447" s="73" t="str">
        <f t="shared" si="306"/>
        <v/>
      </c>
      <c r="AP447" s="73" t="str">
        <f t="shared" si="307"/>
        <v/>
      </c>
    </row>
    <row r="448" spans="1:42" s="31" customFormat="1" x14ac:dyDescent="0.6">
      <c r="A448" s="70" t="str">
        <f t="shared" si="273"/>
        <v/>
      </c>
      <c r="B448" s="70" t="str">
        <f>IF(E448&lt;=$F$9,VLOOKUP(KALKULATOR!A448,Robocze!$B$23:$C$102,2),"")</f>
        <v/>
      </c>
      <c r="C448" s="70" t="str">
        <f t="shared" si="276"/>
        <v/>
      </c>
      <c r="D448" s="71" t="str">
        <f t="shared" si="277"/>
        <v/>
      </c>
      <c r="E448" s="77" t="str">
        <f t="shared" si="278"/>
        <v/>
      </c>
      <c r="F448" s="72" t="str">
        <f t="shared" si="279"/>
        <v/>
      </c>
      <c r="G448" s="73" t="str">
        <f>IFERROR(IF(AND(F448&lt;=$F$9,$F$5=Robocze!$B$4,$E448&lt;=$F$9,MONTH($F$8)=MONTH(E448)),$F$4,0)+IF(AND(F448&lt;=$F$9,$F$5=Robocze!$B$3,E448&lt;=$F$9),KALKULATOR!$F$4/12,0),"")</f>
        <v/>
      </c>
      <c r="H448" s="73" t="str">
        <f t="shared" si="280"/>
        <v/>
      </c>
      <c r="I448" s="74" t="str">
        <f t="shared" si="281"/>
        <v/>
      </c>
      <c r="J448" s="73" t="str">
        <f t="shared" si="282"/>
        <v/>
      </c>
      <c r="K448" s="75" t="str">
        <f t="shared" si="283"/>
        <v/>
      </c>
      <c r="L448" s="73" t="str">
        <f t="shared" si="284"/>
        <v/>
      </c>
      <c r="M448" s="73" t="str">
        <f t="shared" si="285"/>
        <v/>
      </c>
      <c r="N448" s="73" t="str">
        <f t="shared" si="286"/>
        <v/>
      </c>
      <c r="O448" s="73" t="str">
        <f t="shared" si="287"/>
        <v/>
      </c>
      <c r="P448" s="73" t="str">
        <f t="shared" si="288"/>
        <v/>
      </c>
      <c r="Q448" s="73" t="str">
        <f t="shared" si="289"/>
        <v/>
      </c>
      <c r="R448" s="73"/>
      <c r="S448" s="76" t="str">
        <f t="shared" si="290"/>
        <v/>
      </c>
      <c r="T448" s="73" t="str">
        <f t="shared" si="291"/>
        <v/>
      </c>
      <c r="U448" s="73" t="str">
        <f t="shared" si="292"/>
        <v/>
      </c>
      <c r="V448" s="76" t="str">
        <f t="shared" si="293"/>
        <v/>
      </c>
      <c r="W448" s="73" t="str">
        <f t="shared" si="294"/>
        <v/>
      </c>
      <c r="X448" s="73" t="str">
        <f>IF(B448&lt;&gt;"",IF(MONTH(E448)=MONTH($F$13),SUMIF($C$22:C827,"="&amp;(C448-1),$G$22:G827),0)*S448,"")</f>
        <v/>
      </c>
      <c r="Y448" s="73" t="str">
        <f>IF(B448&lt;&gt;"",SUM($X$22:X448),"")</f>
        <v/>
      </c>
      <c r="Z448" s="73" t="str">
        <f t="shared" si="295"/>
        <v/>
      </c>
      <c r="AA448" s="73" t="str">
        <f t="shared" si="296"/>
        <v/>
      </c>
      <c r="AB448" s="73" t="str">
        <f t="shared" si="297"/>
        <v/>
      </c>
      <c r="AC448" s="73" t="str">
        <f t="shared" si="298"/>
        <v/>
      </c>
      <c r="AD448" s="73" t="str">
        <f>IFERROR($U448*(1-$V448)+SUM($W$22:$W448)+$AB448,"")</f>
        <v/>
      </c>
      <c r="AE448" s="73" t="b">
        <f t="shared" si="274"/>
        <v>1</v>
      </c>
      <c r="AF448" s="73" t="e">
        <f>IF(AND(AE448=TRUE,D448&gt;=65),$U448*(1-10%)+SUM($W$22:$W448)+$AB448,AD448)</f>
        <v>#VALUE!</v>
      </c>
      <c r="AG448" s="73" t="str">
        <f t="shared" si="299"/>
        <v/>
      </c>
      <c r="AH448" s="73" t="str">
        <f t="shared" si="300"/>
        <v/>
      </c>
      <c r="AI448" s="73" t="str">
        <f t="shared" si="301"/>
        <v/>
      </c>
      <c r="AJ448" s="73" t="str">
        <f t="shared" si="302"/>
        <v/>
      </c>
      <c r="AK448" s="73" t="b">
        <f t="shared" si="275"/>
        <v>1</v>
      </c>
      <c r="AL448" s="73" t="str">
        <f t="shared" si="303"/>
        <v/>
      </c>
      <c r="AM448" s="73" t="str">
        <f t="shared" si="304"/>
        <v/>
      </c>
      <c r="AN448" s="73" t="str">
        <f t="shared" si="305"/>
        <v/>
      </c>
      <c r="AO448" s="73" t="str">
        <f t="shared" si="306"/>
        <v/>
      </c>
      <c r="AP448" s="73" t="str">
        <f t="shared" si="307"/>
        <v/>
      </c>
    </row>
    <row r="449" spans="1:42" s="31" customFormat="1" x14ac:dyDescent="0.6">
      <c r="A449" s="70" t="str">
        <f t="shared" si="273"/>
        <v/>
      </c>
      <c r="B449" s="70" t="str">
        <f>IF(E449&lt;=$F$9,VLOOKUP(KALKULATOR!A449,Robocze!$B$23:$C$102,2),"")</f>
        <v/>
      </c>
      <c r="C449" s="70" t="str">
        <f t="shared" si="276"/>
        <v/>
      </c>
      <c r="D449" s="71" t="str">
        <f t="shared" si="277"/>
        <v/>
      </c>
      <c r="E449" s="77" t="str">
        <f t="shared" si="278"/>
        <v/>
      </c>
      <c r="F449" s="72" t="str">
        <f t="shared" si="279"/>
        <v/>
      </c>
      <c r="G449" s="73" t="str">
        <f>IFERROR(IF(AND(F449&lt;=$F$9,$F$5=Robocze!$B$4,$E449&lt;=$F$9,MONTH($F$8)=MONTH(E449)),$F$4,0)+IF(AND(F449&lt;=$F$9,$F$5=Robocze!$B$3,E449&lt;=$F$9),KALKULATOR!$F$4/12,0),"")</f>
        <v/>
      </c>
      <c r="H449" s="73" t="str">
        <f t="shared" si="280"/>
        <v/>
      </c>
      <c r="I449" s="74" t="str">
        <f t="shared" si="281"/>
        <v/>
      </c>
      <c r="J449" s="73" t="str">
        <f t="shared" si="282"/>
        <v/>
      </c>
      <c r="K449" s="75" t="str">
        <f t="shared" si="283"/>
        <v/>
      </c>
      <c r="L449" s="73" t="str">
        <f t="shared" si="284"/>
        <v/>
      </c>
      <c r="M449" s="73" t="str">
        <f t="shared" si="285"/>
        <v/>
      </c>
      <c r="N449" s="73" t="str">
        <f t="shared" si="286"/>
        <v/>
      </c>
      <c r="O449" s="73" t="str">
        <f t="shared" si="287"/>
        <v/>
      </c>
      <c r="P449" s="73" t="str">
        <f t="shared" si="288"/>
        <v/>
      </c>
      <c r="Q449" s="73" t="str">
        <f t="shared" si="289"/>
        <v/>
      </c>
      <c r="R449" s="73"/>
      <c r="S449" s="76" t="str">
        <f t="shared" si="290"/>
        <v/>
      </c>
      <c r="T449" s="73" t="str">
        <f t="shared" si="291"/>
        <v/>
      </c>
      <c r="U449" s="73" t="str">
        <f t="shared" si="292"/>
        <v/>
      </c>
      <c r="V449" s="76" t="str">
        <f t="shared" si="293"/>
        <v/>
      </c>
      <c r="W449" s="73" t="str">
        <f t="shared" si="294"/>
        <v/>
      </c>
      <c r="X449" s="73" t="str">
        <f>IF(B449&lt;&gt;"",IF(MONTH(E449)=MONTH($F$13),SUMIF($C$22:C828,"="&amp;(C449-1),$G$22:G828),0)*S449,"")</f>
        <v/>
      </c>
      <c r="Y449" s="73" t="str">
        <f>IF(B449&lt;&gt;"",SUM($X$22:X449),"")</f>
        <v/>
      </c>
      <c r="Z449" s="73" t="str">
        <f t="shared" si="295"/>
        <v/>
      </c>
      <c r="AA449" s="73" t="str">
        <f t="shared" si="296"/>
        <v/>
      </c>
      <c r="AB449" s="73" t="str">
        <f t="shared" si="297"/>
        <v/>
      </c>
      <c r="AC449" s="73" t="str">
        <f t="shared" si="298"/>
        <v/>
      </c>
      <c r="AD449" s="73" t="str">
        <f>IFERROR($U449*(1-$V449)+SUM($W$22:$W449)+$AB449,"")</f>
        <v/>
      </c>
      <c r="AE449" s="73" t="b">
        <f t="shared" si="274"/>
        <v>1</v>
      </c>
      <c r="AF449" s="73" t="e">
        <f>IF(AND(AE449=TRUE,D449&gt;=65),$U449*(1-10%)+SUM($W$22:$W449)+$AB449,AD449)</f>
        <v>#VALUE!</v>
      </c>
      <c r="AG449" s="73" t="str">
        <f t="shared" si="299"/>
        <v/>
      </c>
      <c r="AH449" s="73" t="str">
        <f t="shared" si="300"/>
        <v/>
      </c>
      <c r="AI449" s="73" t="str">
        <f t="shared" si="301"/>
        <v/>
      </c>
      <c r="AJ449" s="73" t="str">
        <f t="shared" si="302"/>
        <v/>
      </c>
      <c r="AK449" s="73" t="b">
        <f t="shared" si="275"/>
        <v>1</v>
      </c>
      <c r="AL449" s="73" t="str">
        <f t="shared" si="303"/>
        <v/>
      </c>
      <c r="AM449" s="73" t="str">
        <f t="shared" si="304"/>
        <v/>
      </c>
      <c r="AN449" s="73" t="str">
        <f t="shared" si="305"/>
        <v/>
      </c>
      <c r="AO449" s="73" t="str">
        <f t="shared" si="306"/>
        <v/>
      </c>
      <c r="AP449" s="73" t="str">
        <f t="shared" si="307"/>
        <v/>
      </c>
    </row>
    <row r="450" spans="1:42" s="31" customFormat="1" x14ac:dyDescent="0.6">
      <c r="A450" s="70" t="str">
        <f t="shared" si="273"/>
        <v/>
      </c>
      <c r="B450" s="70" t="str">
        <f>IF(E450&lt;=$F$9,VLOOKUP(KALKULATOR!A450,Robocze!$B$23:$C$102,2),"")</f>
        <v/>
      </c>
      <c r="C450" s="70" t="str">
        <f t="shared" si="276"/>
        <v/>
      </c>
      <c r="D450" s="71" t="str">
        <f t="shared" si="277"/>
        <v/>
      </c>
      <c r="E450" s="77" t="str">
        <f t="shared" si="278"/>
        <v/>
      </c>
      <c r="F450" s="72" t="str">
        <f t="shared" si="279"/>
        <v/>
      </c>
      <c r="G450" s="73" t="str">
        <f>IFERROR(IF(AND(F450&lt;=$F$9,$F$5=Robocze!$B$4,$E450&lt;=$F$9,MONTH($F$8)=MONTH(E450)),$F$4,0)+IF(AND(F450&lt;=$F$9,$F$5=Robocze!$B$3,E450&lt;=$F$9),KALKULATOR!$F$4/12,0),"")</f>
        <v/>
      </c>
      <c r="H450" s="73" t="str">
        <f t="shared" si="280"/>
        <v/>
      </c>
      <c r="I450" s="74" t="str">
        <f t="shared" si="281"/>
        <v/>
      </c>
      <c r="J450" s="73" t="str">
        <f t="shared" si="282"/>
        <v/>
      </c>
      <c r="K450" s="75" t="str">
        <f t="shared" si="283"/>
        <v/>
      </c>
      <c r="L450" s="73" t="str">
        <f t="shared" si="284"/>
        <v/>
      </c>
      <c r="M450" s="73" t="str">
        <f t="shared" si="285"/>
        <v/>
      </c>
      <c r="N450" s="73" t="str">
        <f t="shared" si="286"/>
        <v/>
      </c>
      <c r="O450" s="73" t="str">
        <f t="shared" si="287"/>
        <v/>
      </c>
      <c r="P450" s="73" t="str">
        <f t="shared" si="288"/>
        <v/>
      </c>
      <c r="Q450" s="73" t="str">
        <f t="shared" si="289"/>
        <v/>
      </c>
      <c r="R450" s="73"/>
      <c r="S450" s="76" t="str">
        <f t="shared" si="290"/>
        <v/>
      </c>
      <c r="T450" s="73" t="str">
        <f t="shared" si="291"/>
        <v/>
      </c>
      <c r="U450" s="73" t="str">
        <f t="shared" si="292"/>
        <v/>
      </c>
      <c r="V450" s="76" t="str">
        <f t="shared" si="293"/>
        <v/>
      </c>
      <c r="W450" s="73" t="str">
        <f t="shared" si="294"/>
        <v/>
      </c>
      <c r="X450" s="73" t="str">
        <f>IF(B450&lt;&gt;"",IF(MONTH(E450)=MONTH($F$13),SUMIF($C$22:C829,"="&amp;(C450-1),$G$22:G829),0)*S450,"")</f>
        <v/>
      </c>
      <c r="Y450" s="73" t="str">
        <f>IF(B450&lt;&gt;"",SUM($X$22:X450),"")</f>
        <v/>
      </c>
      <c r="Z450" s="73" t="str">
        <f t="shared" si="295"/>
        <v/>
      </c>
      <c r="AA450" s="73" t="str">
        <f t="shared" si="296"/>
        <v/>
      </c>
      <c r="AB450" s="73" t="str">
        <f t="shared" si="297"/>
        <v/>
      </c>
      <c r="AC450" s="73" t="str">
        <f t="shared" si="298"/>
        <v/>
      </c>
      <c r="AD450" s="73" t="str">
        <f>IFERROR($U450*(1-$V450)+SUM($W$22:$W450)+$AB450,"")</f>
        <v/>
      </c>
      <c r="AE450" s="73" t="b">
        <f t="shared" si="274"/>
        <v>1</v>
      </c>
      <c r="AF450" s="73" t="e">
        <f>IF(AND(AE450=TRUE,D450&gt;=65),$U450*(1-10%)+SUM($W$22:$W450)+$AB450,AD450)</f>
        <v>#VALUE!</v>
      </c>
      <c r="AG450" s="73" t="str">
        <f t="shared" si="299"/>
        <v/>
      </c>
      <c r="AH450" s="73" t="str">
        <f t="shared" si="300"/>
        <v/>
      </c>
      <c r="AI450" s="73" t="str">
        <f t="shared" si="301"/>
        <v/>
      </c>
      <c r="AJ450" s="73" t="str">
        <f t="shared" si="302"/>
        <v/>
      </c>
      <c r="AK450" s="73" t="b">
        <f t="shared" si="275"/>
        <v>1</v>
      </c>
      <c r="AL450" s="73" t="str">
        <f t="shared" si="303"/>
        <v/>
      </c>
      <c r="AM450" s="73" t="str">
        <f t="shared" si="304"/>
        <v/>
      </c>
      <c r="AN450" s="73" t="str">
        <f t="shared" si="305"/>
        <v/>
      </c>
      <c r="AO450" s="73" t="str">
        <f t="shared" si="306"/>
        <v/>
      </c>
      <c r="AP450" s="73" t="str">
        <f t="shared" si="307"/>
        <v/>
      </c>
    </row>
    <row r="451" spans="1:42" s="31" customFormat="1" x14ac:dyDescent="0.6">
      <c r="A451" s="70" t="str">
        <f t="shared" si="273"/>
        <v/>
      </c>
      <c r="B451" s="70" t="str">
        <f>IF(E451&lt;=$F$9,VLOOKUP(KALKULATOR!A451,Robocze!$B$23:$C$102,2),"")</f>
        <v/>
      </c>
      <c r="C451" s="70" t="str">
        <f t="shared" si="276"/>
        <v/>
      </c>
      <c r="D451" s="71" t="str">
        <f t="shared" si="277"/>
        <v/>
      </c>
      <c r="E451" s="77" t="str">
        <f t="shared" si="278"/>
        <v/>
      </c>
      <c r="F451" s="72" t="str">
        <f t="shared" si="279"/>
        <v/>
      </c>
      <c r="G451" s="73" t="str">
        <f>IFERROR(IF(AND(F451&lt;=$F$9,$F$5=Robocze!$B$4,$E451&lt;=$F$9,MONTH($F$8)=MONTH(E451)),$F$4,0)+IF(AND(F451&lt;=$F$9,$F$5=Robocze!$B$3,E451&lt;=$F$9),KALKULATOR!$F$4/12,0),"")</f>
        <v/>
      </c>
      <c r="H451" s="73" t="str">
        <f t="shared" si="280"/>
        <v/>
      </c>
      <c r="I451" s="74" t="str">
        <f t="shared" si="281"/>
        <v/>
      </c>
      <c r="J451" s="73" t="str">
        <f t="shared" si="282"/>
        <v/>
      </c>
      <c r="K451" s="75" t="str">
        <f t="shared" si="283"/>
        <v/>
      </c>
      <c r="L451" s="73" t="str">
        <f t="shared" si="284"/>
        <v/>
      </c>
      <c r="M451" s="73" t="str">
        <f t="shared" si="285"/>
        <v/>
      </c>
      <c r="N451" s="73" t="str">
        <f t="shared" si="286"/>
        <v/>
      </c>
      <c r="O451" s="73" t="str">
        <f t="shared" si="287"/>
        <v/>
      </c>
      <c r="P451" s="73" t="str">
        <f t="shared" si="288"/>
        <v/>
      </c>
      <c r="Q451" s="73" t="str">
        <f t="shared" si="289"/>
        <v/>
      </c>
      <c r="R451" s="73"/>
      <c r="S451" s="76" t="str">
        <f t="shared" si="290"/>
        <v/>
      </c>
      <c r="T451" s="73" t="str">
        <f t="shared" si="291"/>
        <v/>
      </c>
      <c r="U451" s="73" t="str">
        <f t="shared" si="292"/>
        <v/>
      </c>
      <c r="V451" s="76" t="str">
        <f t="shared" si="293"/>
        <v/>
      </c>
      <c r="W451" s="73" t="str">
        <f t="shared" si="294"/>
        <v/>
      </c>
      <c r="X451" s="73" t="str">
        <f>IF(B451&lt;&gt;"",IF(MONTH(E451)=MONTH($F$13),SUMIF($C$22:C830,"="&amp;(C451-1),$G$22:G830),0)*S451,"")</f>
        <v/>
      </c>
      <c r="Y451" s="73" t="str">
        <f>IF(B451&lt;&gt;"",SUM($X$22:X451),"")</f>
        <v/>
      </c>
      <c r="Z451" s="73" t="str">
        <f t="shared" si="295"/>
        <v/>
      </c>
      <c r="AA451" s="73" t="str">
        <f t="shared" si="296"/>
        <v/>
      </c>
      <c r="AB451" s="73" t="str">
        <f t="shared" si="297"/>
        <v/>
      </c>
      <c r="AC451" s="73" t="str">
        <f t="shared" si="298"/>
        <v/>
      </c>
      <c r="AD451" s="73" t="str">
        <f>IFERROR($U451*(1-$V451)+SUM($W$22:$W451)+$AB451,"")</f>
        <v/>
      </c>
      <c r="AE451" s="73" t="b">
        <f t="shared" si="274"/>
        <v>1</v>
      </c>
      <c r="AF451" s="73" t="e">
        <f>IF(AND(AE451=TRUE,D451&gt;=65),$U451*(1-10%)+SUM($W$22:$W451)+$AB451,AD451)</f>
        <v>#VALUE!</v>
      </c>
      <c r="AG451" s="73" t="str">
        <f t="shared" si="299"/>
        <v/>
      </c>
      <c r="AH451" s="73" t="str">
        <f t="shared" si="300"/>
        <v/>
      </c>
      <c r="AI451" s="73" t="str">
        <f t="shared" si="301"/>
        <v/>
      </c>
      <c r="AJ451" s="73" t="str">
        <f t="shared" si="302"/>
        <v/>
      </c>
      <c r="AK451" s="73" t="b">
        <f t="shared" si="275"/>
        <v>1</v>
      </c>
      <c r="AL451" s="73" t="str">
        <f t="shared" si="303"/>
        <v/>
      </c>
      <c r="AM451" s="73" t="str">
        <f t="shared" si="304"/>
        <v/>
      </c>
      <c r="AN451" s="73" t="str">
        <f t="shared" si="305"/>
        <v/>
      </c>
      <c r="AO451" s="73" t="str">
        <f t="shared" si="306"/>
        <v/>
      </c>
      <c r="AP451" s="73" t="str">
        <f t="shared" si="307"/>
        <v/>
      </c>
    </row>
    <row r="452" spans="1:42" s="31" customFormat="1" x14ac:dyDescent="0.6">
      <c r="A452" s="70" t="str">
        <f t="shared" si="273"/>
        <v/>
      </c>
      <c r="B452" s="70" t="str">
        <f>IF(E452&lt;=$F$9,VLOOKUP(KALKULATOR!A452,Robocze!$B$23:$C$102,2),"")</f>
        <v/>
      </c>
      <c r="C452" s="70" t="str">
        <f t="shared" si="276"/>
        <v/>
      </c>
      <c r="D452" s="71" t="str">
        <f t="shared" si="277"/>
        <v/>
      </c>
      <c r="E452" s="77" t="str">
        <f t="shared" si="278"/>
        <v/>
      </c>
      <c r="F452" s="72" t="str">
        <f t="shared" si="279"/>
        <v/>
      </c>
      <c r="G452" s="73" t="str">
        <f>IFERROR(IF(AND(F452&lt;=$F$9,$F$5=Robocze!$B$4,$E452&lt;=$F$9,MONTH($F$8)=MONTH(E452)),$F$4,0)+IF(AND(F452&lt;=$F$9,$F$5=Robocze!$B$3,E452&lt;=$F$9),KALKULATOR!$F$4/12,0),"")</f>
        <v/>
      </c>
      <c r="H452" s="73" t="str">
        <f t="shared" si="280"/>
        <v/>
      </c>
      <c r="I452" s="74" t="str">
        <f t="shared" si="281"/>
        <v/>
      </c>
      <c r="J452" s="73" t="str">
        <f t="shared" si="282"/>
        <v/>
      </c>
      <c r="K452" s="75" t="str">
        <f t="shared" si="283"/>
        <v/>
      </c>
      <c r="L452" s="73" t="str">
        <f t="shared" si="284"/>
        <v/>
      </c>
      <c r="M452" s="73" t="str">
        <f t="shared" si="285"/>
        <v/>
      </c>
      <c r="N452" s="73" t="str">
        <f t="shared" si="286"/>
        <v/>
      </c>
      <c r="O452" s="73" t="str">
        <f t="shared" si="287"/>
        <v/>
      </c>
      <c r="P452" s="73" t="str">
        <f t="shared" si="288"/>
        <v/>
      </c>
      <c r="Q452" s="73" t="str">
        <f t="shared" si="289"/>
        <v/>
      </c>
      <c r="R452" s="73"/>
      <c r="S452" s="76" t="str">
        <f t="shared" si="290"/>
        <v/>
      </c>
      <c r="T452" s="73" t="str">
        <f t="shared" si="291"/>
        <v/>
      </c>
      <c r="U452" s="73" t="str">
        <f t="shared" si="292"/>
        <v/>
      </c>
      <c r="V452" s="76" t="str">
        <f t="shared" si="293"/>
        <v/>
      </c>
      <c r="W452" s="73" t="str">
        <f t="shared" si="294"/>
        <v/>
      </c>
      <c r="X452" s="73" t="str">
        <f>IF(B452&lt;&gt;"",IF(MONTH(E452)=MONTH($F$13),SUMIF($C$22:C831,"="&amp;(C452-1),$G$22:G831),0)*S452,"")</f>
        <v/>
      </c>
      <c r="Y452" s="73" t="str">
        <f>IF(B452&lt;&gt;"",SUM($X$22:X452),"")</f>
        <v/>
      </c>
      <c r="Z452" s="73" t="str">
        <f t="shared" si="295"/>
        <v/>
      </c>
      <c r="AA452" s="73" t="str">
        <f t="shared" si="296"/>
        <v/>
      </c>
      <c r="AB452" s="73" t="str">
        <f t="shared" si="297"/>
        <v/>
      </c>
      <c r="AC452" s="73" t="str">
        <f t="shared" si="298"/>
        <v/>
      </c>
      <c r="AD452" s="73" t="str">
        <f>IFERROR($U452*(1-$V452)+SUM($W$22:$W452)+$AB452,"")</f>
        <v/>
      </c>
      <c r="AE452" s="73" t="b">
        <f t="shared" si="274"/>
        <v>1</v>
      </c>
      <c r="AF452" s="73" t="e">
        <f>IF(AND(AE452=TRUE,D452&gt;=65),$U452*(1-10%)+SUM($W$22:$W452)+$AB452,AD452)</f>
        <v>#VALUE!</v>
      </c>
      <c r="AG452" s="73" t="str">
        <f t="shared" si="299"/>
        <v/>
      </c>
      <c r="AH452" s="73" t="str">
        <f t="shared" si="300"/>
        <v/>
      </c>
      <c r="AI452" s="73" t="str">
        <f t="shared" si="301"/>
        <v/>
      </c>
      <c r="AJ452" s="73" t="str">
        <f t="shared" si="302"/>
        <v/>
      </c>
      <c r="AK452" s="73" t="b">
        <f t="shared" si="275"/>
        <v>1</v>
      </c>
      <c r="AL452" s="73" t="str">
        <f t="shared" si="303"/>
        <v/>
      </c>
      <c r="AM452" s="73" t="str">
        <f t="shared" si="304"/>
        <v/>
      </c>
      <c r="AN452" s="73" t="str">
        <f t="shared" si="305"/>
        <v/>
      </c>
      <c r="AO452" s="73" t="str">
        <f t="shared" si="306"/>
        <v/>
      </c>
      <c r="AP452" s="73" t="str">
        <f t="shared" si="307"/>
        <v/>
      </c>
    </row>
    <row r="453" spans="1:42" s="31" customFormat="1" x14ac:dyDescent="0.6">
      <c r="A453" s="70" t="str">
        <f t="shared" si="273"/>
        <v/>
      </c>
      <c r="B453" s="70" t="str">
        <f>IF(E453&lt;=$F$9,VLOOKUP(KALKULATOR!A453,Robocze!$B$23:$C$102,2),"")</f>
        <v/>
      </c>
      <c r="C453" s="70" t="str">
        <f t="shared" si="276"/>
        <v/>
      </c>
      <c r="D453" s="71" t="str">
        <f t="shared" si="277"/>
        <v/>
      </c>
      <c r="E453" s="77" t="str">
        <f t="shared" si="278"/>
        <v/>
      </c>
      <c r="F453" s="72" t="str">
        <f t="shared" si="279"/>
        <v/>
      </c>
      <c r="G453" s="73" t="str">
        <f>IFERROR(IF(AND(F453&lt;=$F$9,$F$5=Robocze!$B$4,$E453&lt;=$F$9,MONTH($F$8)=MONTH(E453)),$F$4,0)+IF(AND(F453&lt;=$F$9,$F$5=Robocze!$B$3,E453&lt;=$F$9),KALKULATOR!$F$4/12,0),"")</f>
        <v/>
      </c>
      <c r="H453" s="73" t="str">
        <f t="shared" si="280"/>
        <v/>
      </c>
      <c r="I453" s="74" t="str">
        <f t="shared" si="281"/>
        <v/>
      </c>
      <c r="J453" s="73" t="str">
        <f t="shared" si="282"/>
        <v/>
      </c>
      <c r="K453" s="75" t="str">
        <f t="shared" si="283"/>
        <v/>
      </c>
      <c r="L453" s="73" t="str">
        <f t="shared" si="284"/>
        <v/>
      </c>
      <c r="M453" s="73" t="str">
        <f t="shared" si="285"/>
        <v/>
      </c>
      <c r="N453" s="73" t="str">
        <f t="shared" si="286"/>
        <v/>
      </c>
      <c r="O453" s="73" t="str">
        <f t="shared" si="287"/>
        <v/>
      </c>
      <c r="P453" s="73" t="str">
        <f t="shared" si="288"/>
        <v/>
      </c>
      <c r="Q453" s="73" t="str">
        <f t="shared" si="289"/>
        <v/>
      </c>
      <c r="R453" s="73"/>
      <c r="S453" s="76" t="str">
        <f t="shared" si="290"/>
        <v/>
      </c>
      <c r="T453" s="73" t="str">
        <f t="shared" si="291"/>
        <v/>
      </c>
      <c r="U453" s="73" t="str">
        <f t="shared" si="292"/>
        <v/>
      </c>
      <c r="V453" s="76" t="str">
        <f t="shared" si="293"/>
        <v/>
      </c>
      <c r="W453" s="73" t="str">
        <f t="shared" si="294"/>
        <v/>
      </c>
      <c r="X453" s="73" t="str">
        <f>IF(B453&lt;&gt;"",IF(MONTH(E453)=MONTH($F$13),SUMIF($C$22:C832,"="&amp;(C453-1),$G$22:G832),0)*S453,"")</f>
        <v/>
      </c>
      <c r="Y453" s="73" t="str">
        <f>IF(B453&lt;&gt;"",SUM($X$22:X453),"")</f>
        <v/>
      </c>
      <c r="Z453" s="73" t="str">
        <f t="shared" si="295"/>
        <v/>
      </c>
      <c r="AA453" s="73" t="str">
        <f t="shared" si="296"/>
        <v/>
      </c>
      <c r="AB453" s="73" t="str">
        <f t="shared" si="297"/>
        <v/>
      </c>
      <c r="AC453" s="73" t="str">
        <f t="shared" si="298"/>
        <v/>
      </c>
      <c r="AD453" s="73" t="str">
        <f>IFERROR($U453*(1-$V453)+SUM($W$22:$W453)+$AB453,"")</f>
        <v/>
      </c>
      <c r="AE453" s="73" t="b">
        <f t="shared" si="274"/>
        <v>1</v>
      </c>
      <c r="AF453" s="73" t="e">
        <f>IF(AND(AE453=TRUE,D453&gt;=65),$U453*(1-10%)+SUM($W$22:$W453)+$AB453,AD453)</f>
        <v>#VALUE!</v>
      </c>
      <c r="AG453" s="73" t="str">
        <f t="shared" si="299"/>
        <v/>
      </c>
      <c r="AH453" s="73" t="str">
        <f t="shared" si="300"/>
        <v/>
      </c>
      <c r="AI453" s="73" t="str">
        <f t="shared" si="301"/>
        <v/>
      </c>
      <c r="AJ453" s="73" t="str">
        <f t="shared" si="302"/>
        <v/>
      </c>
      <c r="AK453" s="73" t="b">
        <f t="shared" si="275"/>
        <v>1</v>
      </c>
      <c r="AL453" s="73" t="str">
        <f t="shared" si="303"/>
        <v/>
      </c>
      <c r="AM453" s="73" t="str">
        <f t="shared" si="304"/>
        <v/>
      </c>
      <c r="AN453" s="73" t="str">
        <f t="shared" si="305"/>
        <v/>
      </c>
      <c r="AO453" s="73" t="str">
        <f t="shared" si="306"/>
        <v/>
      </c>
      <c r="AP453" s="73" t="str">
        <f t="shared" si="307"/>
        <v/>
      </c>
    </row>
    <row r="454" spans="1:42" s="69" customFormat="1" x14ac:dyDescent="0.6">
      <c r="A454" s="78" t="str">
        <f t="shared" si="273"/>
        <v/>
      </c>
      <c r="B454" s="78" t="str">
        <f>IF(E454&lt;=$F$9,VLOOKUP(KALKULATOR!A454,Robocze!$B$23:$C$102,2),"")</f>
        <v/>
      </c>
      <c r="C454" s="78" t="str">
        <f t="shared" si="276"/>
        <v/>
      </c>
      <c r="D454" s="79" t="str">
        <f t="shared" si="277"/>
        <v/>
      </c>
      <c r="E454" s="80" t="str">
        <f t="shared" si="278"/>
        <v/>
      </c>
      <c r="F454" s="81" t="str">
        <f t="shared" si="279"/>
        <v/>
      </c>
      <c r="G454" s="82" t="str">
        <f>IFERROR(IF(AND(F454&lt;=$F$9,$F$5=Robocze!$B$4,$E454&lt;=$F$9,MONTH($F$8)=MONTH(E454)),$F$4,0)+IF(AND(F454&lt;=$F$9,$F$5=Robocze!$B$3,E454&lt;=$F$9),KALKULATOR!$F$4/12,0),"")</f>
        <v/>
      </c>
      <c r="H454" s="82" t="str">
        <f t="shared" si="280"/>
        <v/>
      </c>
      <c r="I454" s="83" t="str">
        <f t="shared" si="281"/>
        <v/>
      </c>
      <c r="J454" s="82" t="str">
        <f t="shared" si="282"/>
        <v/>
      </c>
      <c r="K454" s="84" t="str">
        <f t="shared" si="283"/>
        <v/>
      </c>
      <c r="L454" s="82" t="str">
        <f t="shared" si="284"/>
        <v/>
      </c>
      <c r="M454" s="82" t="str">
        <f t="shared" si="285"/>
        <v/>
      </c>
      <c r="N454" s="82" t="str">
        <f t="shared" si="286"/>
        <v/>
      </c>
      <c r="O454" s="82" t="str">
        <f t="shared" si="287"/>
        <v/>
      </c>
      <c r="P454" s="82" t="str">
        <f t="shared" si="288"/>
        <v/>
      </c>
      <c r="Q454" s="82" t="str">
        <f t="shared" si="289"/>
        <v/>
      </c>
      <c r="R454" s="82"/>
      <c r="S454" s="85" t="str">
        <f t="shared" si="290"/>
        <v/>
      </c>
      <c r="T454" s="82" t="str">
        <f t="shared" si="291"/>
        <v/>
      </c>
      <c r="U454" s="82" t="str">
        <f t="shared" si="292"/>
        <v/>
      </c>
      <c r="V454" s="85" t="str">
        <f t="shared" si="293"/>
        <v/>
      </c>
      <c r="W454" s="82" t="str">
        <f t="shared" si="294"/>
        <v/>
      </c>
      <c r="X454" s="82" t="str">
        <f>IF(B454&lt;&gt;"",IF(MONTH(E454)=MONTH($F$13),SUMIF($C$22:C833,"="&amp;(C454-1),$G$22:G833),0)*S454,"")</f>
        <v/>
      </c>
      <c r="Y454" s="82" t="str">
        <f>IF(B454&lt;&gt;"",SUM($X$22:X454),"")</f>
        <v/>
      </c>
      <c r="Z454" s="82" t="str">
        <f t="shared" si="295"/>
        <v/>
      </c>
      <c r="AA454" s="82" t="str">
        <f t="shared" si="296"/>
        <v/>
      </c>
      <c r="AB454" s="82" t="str">
        <f t="shared" si="297"/>
        <v/>
      </c>
      <c r="AC454" s="82" t="str">
        <f t="shared" si="298"/>
        <v/>
      </c>
      <c r="AD454" s="82" t="str">
        <f>IFERROR($U454*(1-$V454)+SUM($W$22:$W454)+$AB454,"")</f>
        <v/>
      </c>
      <c r="AE454" s="73" t="b">
        <f t="shared" si="274"/>
        <v>1</v>
      </c>
      <c r="AF454" s="82" t="e">
        <f>IF(AND(AE454=TRUE,D454&gt;=65),$U454*(1-10%)+SUM($W$22:$W454)+$AB454,AD454)</f>
        <v>#VALUE!</v>
      </c>
      <c r="AG454" s="82" t="str">
        <f t="shared" si="299"/>
        <v/>
      </c>
      <c r="AH454" s="82" t="str">
        <f t="shared" si="300"/>
        <v/>
      </c>
      <c r="AI454" s="82" t="str">
        <f t="shared" si="301"/>
        <v/>
      </c>
      <c r="AJ454" s="82" t="str">
        <f t="shared" si="302"/>
        <v/>
      </c>
      <c r="AK454" s="73" t="b">
        <f t="shared" si="275"/>
        <v>1</v>
      </c>
      <c r="AL454" s="82" t="str">
        <f t="shared" si="303"/>
        <v/>
      </c>
      <c r="AM454" s="82" t="str">
        <f t="shared" si="304"/>
        <v/>
      </c>
      <c r="AN454" s="82" t="str">
        <f t="shared" si="305"/>
        <v/>
      </c>
      <c r="AO454" s="82" t="str">
        <f t="shared" si="306"/>
        <v/>
      </c>
      <c r="AP454" s="82" t="str">
        <f t="shared" si="307"/>
        <v/>
      </c>
    </row>
    <row r="455" spans="1:42" s="69" customFormat="1" x14ac:dyDescent="0.6">
      <c r="A455" s="78" t="str">
        <f t="shared" si="273"/>
        <v/>
      </c>
      <c r="B455" s="78" t="str">
        <f>IF(E455&lt;=$F$9,VLOOKUP(KALKULATOR!A455,Robocze!$B$23:$C$102,2),"")</f>
        <v/>
      </c>
      <c r="C455" s="78" t="str">
        <f t="shared" si="276"/>
        <v/>
      </c>
      <c r="D455" s="79" t="str">
        <f t="shared" si="277"/>
        <v/>
      </c>
      <c r="E455" s="80" t="str">
        <f t="shared" si="278"/>
        <v/>
      </c>
      <c r="F455" s="81" t="str">
        <f t="shared" si="279"/>
        <v/>
      </c>
      <c r="G455" s="82" t="str">
        <f>IFERROR(IF(AND(F455&lt;=$F$9,$F$5=Robocze!$B$4,$E455&lt;=$F$9,MONTH($F$8)=MONTH(E455)),$F$4,0)+IF(AND(F455&lt;=$F$9,$F$5=Robocze!$B$3,E455&lt;=$F$9),KALKULATOR!$F$4/12,0),"")</f>
        <v/>
      </c>
      <c r="H455" s="82" t="str">
        <f t="shared" si="280"/>
        <v/>
      </c>
      <c r="I455" s="83" t="str">
        <f t="shared" si="281"/>
        <v/>
      </c>
      <c r="J455" s="82" t="str">
        <f t="shared" si="282"/>
        <v/>
      </c>
      <c r="K455" s="84" t="str">
        <f t="shared" si="283"/>
        <v/>
      </c>
      <c r="L455" s="82" t="str">
        <f t="shared" si="284"/>
        <v/>
      </c>
      <c r="M455" s="82" t="str">
        <f t="shared" si="285"/>
        <v/>
      </c>
      <c r="N455" s="82" t="str">
        <f t="shared" si="286"/>
        <v/>
      </c>
      <c r="O455" s="82" t="str">
        <f t="shared" si="287"/>
        <v/>
      </c>
      <c r="P455" s="82" t="str">
        <f t="shared" si="288"/>
        <v/>
      </c>
      <c r="Q455" s="82" t="str">
        <f t="shared" si="289"/>
        <v/>
      </c>
      <c r="R455" s="82"/>
      <c r="S455" s="85" t="str">
        <f t="shared" si="290"/>
        <v/>
      </c>
      <c r="T455" s="82" t="str">
        <f t="shared" si="291"/>
        <v/>
      </c>
      <c r="U455" s="82" t="str">
        <f t="shared" si="292"/>
        <v/>
      </c>
      <c r="V455" s="85" t="str">
        <f t="shared" si="293"/>
        <v/>
      </c>
      <c r="W455" s="82" t="str">
        <f t="shared" si="294"/>
        <v/>
      </c>
      <c r="X455" s="82" t="str">
        <f>IF(B455&lt;&gt;"",IF(MONTH(E455)=MONTH($F$13),SUMIF($C$22:C834,"="&amp;(C455-1),$G$22:G834),0)*S455,"")</f>
        <v/>
      </c>
      <c r="Y455" s="82" t="str">
        <f>IF(B455&lt;&gt;"",SUM($X$22:X455),"")</f>
        <v/>
      </c>
      <c r="Z455" s="82" t="str">
        <f t="shared" si="295"/>
        <v/>
      </c>
      <c r="AA455" s="82" t="str">
        <f t="shared" si="296"/>
        <v/>
      </c>
      <c r="AB455" s="82" t="str">
        <f t="shared" si="297"/>
        <v/>
      </c>
      <c r="AC455" s="82" t="str">
        <f t="shared" si="298"/>
        <v/>
      </c>
      <c r="AD455" s="82" t="str">
        <f>IFERROR($U455*(1-$V455)+SUM($W$22:$W455)+$AB455,"")</f>
        <v/>
      </c>
      <c r="AE455" s="73" t="b">
        <f t="shared" si="274"/>
        <v>1</v>
      </c>
      <c r="AF455" s="82" t="e">
        <f>IF(AND(AE455=TRUE,D455&gt;=65),$U455*(1-10%)+SUM($W$22:$W455)+$AB455,AD455)</f>
        <v>#VALUE!</v>
      </c>
      <c r="AG455" s="82" t="str">
        <f t="shared" si="299"/>
        <v/>
      </c>
      <c r="AH455" s="82" t="str">
        <f t="shared" si="300"/>
        <v/>
      </c>
      <c r="AI455" s="82" t="str">
        <f t="shared" si="301"/>
        <v/>
      </c>
      <c r="AJ455" s="82" t="str">
        <f t="shared" si="302"/>
        <v/>
      </c>
      <c r="AK455" s="73" t="b">
        <f t="shared" si="275"/>
        <v>1</v>
      </c>
      <c r="AL455" s="82" t="str">
        <f t="shared" si="303"/>
        <v/>
      </c>
      <c r="AM455" s="82" t="str">
        <f t="shared" si="304"/>
        <v/>
      </c>
      <c r="AN455" s="82" t="str">
        <f t="shared" si="305"/>
        <v/>
      </c>
      <c r="AO455" s="82" t="str">
        <f t="shared" si="306"/>
        <v/>
      </c>
      <c r="AP455" s="82" t="str">
        <f t="shared" si="307"/>
        <v/>
      </c>
    </row>
    <row r="456" spans="1:42" s="31" customFormat="1" x14ac:dyDescent="0.6">
      <c r="A456" s="70" t="str">
        <f t="shared" si="273"/>
        <v/>
      </c>
      <c r="B456" s="70" t="str">
        <f>IF(E456&lt;=$F$9,VLOOKUP(KALKULATOR!A456,Robocze!$B$23:$C$102,2),"")</f>
        <v/>
      </c>
      <c r="C456" s="70" t="str">
        <f t="shared" si="276"/>
        <v/>
      </c>
      <c r="D456" s="71" t="str">
        <f t="shared" si="277"/>
        <v/>
      </c>
      <c r="E456" s="72" t="str">
        <f t="shared" si="278"/>
        <v/>
      </c>
      <c r="F456" s="72" t="str">
        <f t="shared" si="279"/>
        <v/>
      </c>
      <c r="G456" s="73" t="str">
        <f>IFERROR(IF(AND(F456&lt;=$F$9,$F$5=Robocze!$B$4,$E456&lt;=$F$9,MONTH($F$8)=MONTH(E456)),$F$4,0)+IF(AND(F456&lt;=$F$9,$F$5=Robocze!$B$3,E456&lt;=$F$9),KALKULATOR!$F$4/12,0),"")</f>
        <v/>
      </c>
      <c r="H456" s="73" t="str">
        <f t="shared" si="280"/>
        <v/>
      </c>
      <c r="I456" s="74" t="str">
        <f t="shared" si="281"/>
        <v/>
      </c>
      <c r="J456" s="73" t="str">
        <f t="shared" si="282"/>
        <v/>
      </c>
      <c r="K456" s="75" t="str">
        <f t="shared" si="283"/>
        <v/>
      </c>
      <c r="L456" s="73" t="str">
        <f t="shared" si="284"/>
        <v/>
      </c>
      <c r="M456" s="73" t="str">
        <f t="shared" si="285"/>
        <v/>
      </c>
      <c r="N456" s="73" t="str">
        <f t="shared" si="286"/>
        <v/>
      </c>
      <c r="O456" s="73" t="str">
        <f t="shared" si="287"/>
        <v/>
      </c>
      <c r="P456" s="73" t="str">
        <f t="shared" si="288"/>
        <v/>
      </c>
      <c r="Q456" s="73" t="str">
        <f t="shared" si="289"/>
        <v/>
      </c>
      <c r="R456" s="73"/>
      <c r="S456" s="76" t="str">
        <f t="shared" si="290"/>
        <v/>
      </c>
      <c r="T456" s="73" t="str">
        <f t="shared" si="291"/>
        <v/>
      </c>
      <c r="U456" s="73" t="str">
        <f t="shared" si="292"/>
        <v/>
      </c>
      <c r="V456" s="76" t="str">
        <f t="shared" si="293"/>
        <v/>
      </c>
      <c r="W456" s="73" t="str">
        <f t="shared" si="294"/>
        <v/>
      </c>
      <c r="X456" s="73" t="str">
        <f>IF(B456&lt;&gt;"",IF(MONTH(E456)=MONTH($F$13),SUMIF($C$22:C835,"="&amp;(C456-1),$G$22:G835),0)*S456,"")</f>
        <v/>
      </c>
      <c r="Y456" s="73" t="str">
        <f>IF(B456&lt;&gt;"",SUM($X$22:X456),"")</f>
        <v/>
      </c>
      <c r="Z456" s="73" t="str">
        <f t="shared" si="295"/>
        <v/>
      </c>
      <c r="AA456" s="73" t="str">
        <f t="shared" si="296"/>
        <v/>
      </c>
      <c r="AB456" s="73" t="str">
        <f t="shared" si="297"/>
        <v/>
      </c>
      <c r="AC456" s="73" t="str">
        <f t="shared" si="298"/>
        <v/>
      </c>
      <c r="AD456" s="73" t="str">
        <f>IFERROR($U456*(1-$V456)+SUM($W$22:$W456)+$AB456,"")</f>
        <v/>
      </c>
      <c r="AE456" s="73" t="b">
        <f t="shared" si="274"/>
        <v>1</v>
      </c>
      <c r="AF456" s="73" t="e">
        <f>IF(AND(AE456=TRUE,D456&gt;=65),$U456*(1-10%)+SUM($W$22:$W456)+$AB456,AD456)</f>
        <v>#VALUE!</v>
      </c>
      <c r="AG456" s="73" t="str">
        <f t="shared" si="299"/>
        <v/>
      </c>
      <c r="AH456" s="73" t="str">
        <f t="shared" si="300"/>
        <v/>
      </c>
      <c r="AI456" s="73" t="str">
        <f t="shared" si="301"/>
        <v/>
      </c>
      <c r="AJ456" s="73" t="str">
        <f t="shared" si="302"/>
        <v/>
      </c>
      <c r="AK456" s="73" t="b">
        <f t="shared" si="275"/>
        <v>1</v>
      </c>
      <c r="AL456" s="73" t="str">
        <f t="shared" si="303"/>
        <v/>
      </c>
      <c r="AM456" s="73" t="str">
        <f t="shared" si="304"/>
        <v/>
      </c>
      <c r="AN456" s="73" t="str">
        <f t="shared" si="305"/>
        <v/>
      </c>
      <c r="AO456" s="73" t="str">
        <f t="shared" si="306"/>
        <v/>
      </c>
      <c r="AP456" s="73" t="str">
        <f t="shared" si="307"/>
        <v/>
      </c>
    </row>
    <row r="457" spans="1:42" s="31" customFormat="1" x14ac:dyDescent="0.6">
      <c r="A457" s="70" t="str">
        <f t="shared" si="273"/>
        <v/>
      </c>
      <c r="B457" s="70" t="str">
        <f>IF(E457&lt;=$F$9,VLOOKUP(KALKULATOR!A457,Robocze!$B$23:$C$102,2),"")</f>
        <v/>
      </c>
      <c r="C457" s="70" t="str">
        <f t="shared" si="276"/>
        <v/>
      </c>
      <c r="D457" s="71" t="str">
        <f t="shared" si="277"/>
        <v/>
      </c>
      <c r="E457" s="77" t="str">
        <f t="shared" si="278"/>
        <v/>
      </c>
      <c r="F457" s="72" t="str">
        <f t="shared" si="279"/>
        <v/>
      </c>
      <c r="G457" s="73" t="str">
        <f>IFERROR(IF(AND(F457&lt;=$F$9,$F$5=Robocze!$B$4,$E457&lt;=$F$9,MONTH($F$8)=MONTH(E457)),$F$4,0)+IF(AND(F457&lt;=$F$9,$F$5=Robocze!$B$3,E457&lt;=$F$9),KALKULATOR!$F$4/12,0),"")</f>
        <v/>
      </c>
      <c r="H457" s="73" t="str">
        <f t="shared" si="280"/>
        <v/>
      </c>
      <c r="I457" s="74" t="str">
        <f t="shared" si="281"/>
        <v/>
      </c>
      <c r="J457" s="73" t="str">
        <f t="shared" si="282"/>
        <v/>
      </c>
      <c r="K457" s="75" t="str">
        <f t="shared" si="283"/>
        <v/>
      </c>
      <c r="L457" s="73" t="str">
        <f t="shared" si="284"/>
        <v/>
      </c>
      <c r="M457" s="73" t="str">
        <f t="shared" si="285"/>
        <v/>
      </c>
      <c r="N457" s="73" t="str">
        <f t="shared" si="286"/>
        <v/>
      </c>
      <c r="O457" s="73" t="str">
        <f t="shared" si="287"/>
        <v/>
      </c>
      <c r="P457" s="73" t="str">
        <f t="shared" si="288"/>
        <v/>
      </c>
      <c r="Q457" s="73" t="str">
        <f t="shared" si="289"/>
        <v/>
      </c>
      <c r="R457" s="73"/>
      <c r="S457" s="76" t="str">
        <f t="shared" si="290"/>
        <v/>
      </c>
      <c r="T457" s="73" t="str">
        <f t="shared" si="291"/>
        <v/>
      </c>
      <c r="U457" s="73" t="str">
        <f t="shared" si="292"/>
        <v/>
      </c>
      <c r="V457" s="76" t="str">
        <f t="shared" si="293"/>
        <v/>
      </c>
      <c r="W457" s="73" t="str">
        <f t="shared" si="294"/>
        <v/>
      </c>
      <c r="X457" s="73" t="str">
        <f>IF(B457&lt;&gt;"",IF(MONTH(E457)=MONTH($F$13),SUMIF($C$22:C836,"="&amp;(C457-1),$G$22:G836),0)*S457,"")</f>
        <v/>
      </c>
      <c r="Y457" s="73" t="str">
        <f>IF(B457&lt;&gt;"",SUM($X$22:X457),"")</f>
        <v/>
      </c>
      <c r="Z457" s="73" t="str">
        <f t="shared" si="295"/>
        <v/>
      </c>
      <c r="AA457" s="73" t="str">
        <f t="shared" si="296"/>
        <v/>
      </c>
      <c r="AB457" s="73" t="str">
        <f t="shared" si="297"/>
        <v/>
      </c>
      <c r="AC457" s="73" t="str">
        <f t="shared" si="298"/>
        <v/>
      </c>
      <c r="AD457" s="73" t="str">
        <f>IFERROR($U457*(1-$V457)+SUM($W$22:$W457)+$AB457,"")</f>
        <v/>
      </c>
      <c r="AE457" s="73" t="b">
        <f t="shared" si="274"/>
        <v>1</v>
      </c>
      <c r="AF457" s="73" t="e">
        <f>IF(AND(AE457=TRUE,D457&gt;=65),$U457*(1-10%)+SUM($W$22:$W457)+$AB457,AD457)</f>
        <v>#VALUE!</v>
      </c>
      <c r="AG457" s="73" t="str">
        <f t="shared" si="299"/>
        <v/>
      </c>
      <c r="AH457" s="73" t="str">
        <f t="shared" si="300"/>
        <v/>
      </c>
      <c r="AI457" s="73" t="str">
        <f t="shared" si="301"/>
        <v/>
      </c>
      <c r="AJ457" s="73" t="str">
        <f t="shared" si="302"/>
        <v/>
      </c>
      <c r="AK457" s="73" t="b">
        <f t="shared" si="275"/>
        <v>1</v>
      </c>
      <c r="AL457" s="73" t="str">
        <f t="shared" si="303"/>
        <v/>
      </c>
      <c r="AM457" s="73" t="str">
        <f t="shared" si="304"/>
        <v/>
      </c>
      <c r="AN457" s="73" t="str">
        <f t="shared" si="305"/>
        <v/>
      </c>
      <c r="AO457" s="73" t="str">
        <f t="shared" si="306"/>
        <v/>
      </c>
      <c r="AP457" s="73" t="str">
        <f t="shared" si="307"/>
        <v/>
      </c>
    </row>
    <row r="458" spans="1:42" s="31" customFormat="1" x14ac:dyDescent="0.6">
      <c r="A458" s="70" t="str">
        <f t="shared" si="273"/>
        <v/>
      </c>
      <c r="B458" s="70" t="str">
        <f>IF(E458&lt;=$F$9,VLOOKUP(KALKULATOR!A458,Robocze!$B$23:$C$102,2),"")</f>
        <v/>
      </c>
      <c r="C458" s="70" t="str">
        <f t="shared" si="276"/>
        <v/>
      </c>
      <c r="D458" s="71" t="str">
        <f t="shared" si="277"/>
        <v/>
      </c>
      <c r="E458" s="77" t="str">
        <f t="shared" si="278"/>
        <v/>
      </c>
      <c r="F458" s="72" t="str">
        <f t="shared" si="279"/>
        <v/>
      </c>
      <c r="G458" s="73" t="str">
        <f>IFERROR(IF(AND(F458&lt;=$F$9,$F$5=Robocze!$B$4,$E458&lt;=$F$9,MONTH($F$8)=MONTH(E458)),$F$4,0)+IF(AND(F458&lt;=$F$9,$F$5=Robocze!$B$3,E458&lt;=$F$9),KALKULATOR!$F$4/12,0),"")</f>
        <v/>
      </c>
      <c r="H458" s="73" t="str">
        <f t="shared" si="280"/>
        <v/>
      </c>
      <c r="I458" s="74" t="str">
        <f t="shared" si="281"/>
        <v/>
      </c>
      <c r="J458" s="73" t="str">
        <f t="shared" si="282"/>
        <v/>
      </c>
      <c r="K458" s="75" t="str">
        <f t="shared" si="283"/>
        <v/>
      </c>
      <c r="L458" s="73" t="str">
        <f t="shared" si="284"/>
        <v/>
      </c>
      <c r="M458" s="73" t="str">
        <f t="shared" si="285"/>
        <v/>
      </c>
      <c r="N458" s="73" t="str">
        <f t="shared" si="286"/>
        <v/>
      </c>
      <c r="O458" s="73" t="str">
        <f t="shared" si="287"/>
        <v/>
      </c>
      <c r="P458" s="73" t="str">
        <f t="shared" si="288"/>
        <v/>
      </c>
      <c r="Q458" s="73" t="str">
        <f t="shared" si="289"/>
        <v/>
      </c>
      <c r="R458" s="73"/>
      <c r="S458" s="76" t="str">
        <f t="shared" si="290"/>
        <v/>
      </c>
      <c r="T458" s="73" t="str">
        <f t="shared" si="291"/>
        <v/>
      </c>
      <c r="U458" s="73" t="str">
        <f t="shared" si="292"/>
        <v/>
      </c>
      <c r="V458" s="76" t="str">
        <f t="shared" si="293"/>
        <v/>
      </c>
      <c r="W458" s="73" t="str">
        <f t="shared" si="294"/>
        <v/>
      </c>
      <c r="X458" s="73" t="str">
        <f>IF(B458&lt;&gt;"",IF(MONTH(E458)=MONTH($F$13),SUMIF($C$22:C837,"="&amp;(C458-1),$G$22:G837),0)*S458,"")</f>
        <v/>
      </c>
      <c r="Y458" s="73" t="str">
        <f>IF(B458&lt;&gt;"",SUM($X$22:X458),"")</f>
        <v/>
      </c>
      <c r="Z458" s="73" t="str">
        <f t="shared" si="295"/>
        <v/>
      </c>
      <c r="AA458" s="73" t="str">
        <f t="shared" si="296"/>
        <v/>
      </c>
      <c r="AB458" s="73" t="str">
        <f t="shared" si="297"/>
        <v/>
      </c>
      <c r="AC458" s="73" t="str">
        <f t="shared" si="298"/>
        <v/>
      </c>
      <c r="AD458" s="73" t="str">
        <f>IFERROR($U458*(1-$V458)+SUM($W$22:$W458)+$AB458,"")</f>
        <v/>
      </c>
      <c r="AE458" s="73" t="b">
        <f t="shared" si="274"/>
        <v>1</v>
      </c>
      <c r="AF458" s="73" t="e">
        <f>IF(AND(AE458=TRUE,D458&gt;=65),$U458*(1-10%)+SUM($W$22:$W458)+$AB458,AD458)</f>
        <v>#VALUE!</v>
      </c>
      <c r="AG458" s="73" t="str">
        <f t="shared" si="299"/>
        <v/>
      </c>
      <c r="AH458" s="73" t="str">
        <f t="shared" si="300"/>
        <v/>
      </c>
      <c r="AI458" s="73" t="str">
        <f t="shared" si="301"/>
        <v/>
      </c>
      <c r="AJ458" s="73" t="str">
        <f t="shared" si="302"/>
        <v/>
      </c>
      <c r="AK458" s="73" t="b">
        <f t="shared" si="275"/>
        <v>1</v>
      </c>
      <c r="AL458" s="73" t="str">
        <f t="shared" si="303"/>
        <v/>
      </c>
      <c r="AM458" s="73" t="str">
        <f t="shared" si="304"/>
        <v/>
      </c>
      <c r="AN458" s="73" t="str">
        <f t="shared" si="305"/>
        <v/>
      </c>
      <c r="AO458" s="73" t="str">
        <f t="shared" si="306"/>
        <v/>
      </c>
      <c r="AP458" s="73" t="str">
        <f t="shared" si="307"/>
        <v/>
      </c>
    </row>
    <row r="459" spans="1:42" s="31" customFormat="1" x14ac:dyDescent="0.6">
      <c r="A459" s="70" t="str">
        <f t="shared" si="273"/>
        <v/>
      </c>
      <c r="B459" s="70" t="str">
        <f>IF(E459&lt;=$F$9,VLOOKUP(KALKULATOR!A459,Robocze!$B$23:$C$102,2),"")</f>
        <v/>
      </c>
      <c r="C459" s="70" t="str">
        <f t="shared" si="276"/>
        <v/>
      </c>
      <c r="D459" s="71" t="str">
        <f t="shared" si="277"/>
        <v/>
      </c>
      <c r="E459" s="77" t="str">
        <f t="shared" si="278"/>
        <v/>
      </c>
      <c r="F459" s="72" t="str">
        <f t="shared" si="279"/>
        <v/>
      </c>
      <c r="G459" s="73" t="str">
        <f>IFERROR(IF(AND(F459&lt;=$F$9,$F$5=Robocze!$B$4,$E459&lt;=$F$9,MONTH($F$8)=MONTH(E459)),$F$4,0)+IF(AND(F459&lt;=$F$9,$F$5=Robocze!$B$3,E459&lt;=$F$9),KALKULATOR!$F$4/12,0),"")</f>
        <v/>
      </c>
      <c r="H459" s="73" t="str">
        <f t="shared" si="280"/>
        <v/>
      </c>
      <c r="I459" s="74" t="str">
        <f t="shared" si="281"/>
        <v/>
      </c>
      <c r="J459" s="73" t="str">
        <f t="shared" si="282"/>
        <v/>
      </c>
      <c r="K459" s="75" t="str">
        <f t="shared" si="283"/>
        <v/>
      </c>
      <c r="L459" s="73" t="str">
        <f t="shared" si="284"/>
        <v/>
      </c>
      <c r="M459" s="73" t="str">
        <f t="shared" si="285"/>
        <v/>
      </c>
      <c r="N459" s="73" t="str">
        <f t="shared" si="286"/>
        <v/>
      </c>
      <c r="O459" s="73" t="str">
        <f t="shared" si="287"/>
        <v/>
      </c>
      <c r="P459" s="73" t="str">
        <f t="shared" si="288"/>
        <v/>
      </c>
      <c r="Q459" s="73" t="str">
        <f t="shared" si="289"/>
        <v/>
      </c>
      <c r="R459" s="73"/>
      <c r="S459" s="76" t="str">
        <f t="shared" si="290"/>
        <v/>
      </c>
      <c r="T459" s="73" t="str">
        <f t="shared" si="291"/>
        <v/>
      </c>
      <c r="U459" s="73" t="str">
        <f t="shared" si="292"/>
        <v/>
      </c>
      <c r="V459" s="76" t="str">
        <f t="shared" si="293"/>
        <v/>
      </c>
      <c r="W459" s="73" t="str">
        <f t="shared" si="294"/>
        <v/>
      </c>
      <c r="X459" s="73" t="str">
        <f>IF(B459&lt;&gt;"",IF(MONTH(E459)=MONTH($F$13),SUMIF($C$22:C838,"="&amp;(C459-1),$G$22:G838),0)*S459,"")</f>
        <v/>
      </c>
      <c r="Y459" s="73" t="str">
        <f>IF(B459&lt;&gt;"",SUM($X$22:X459),"")</f>
        <v/>
      </c>
      <c r="Z459" s="73" t="str">
        <f t="shared" si="295"/>
        <v/>
      </c>
      <c r="AA459" s="73" t="str">
        <f t="shared" si="296"/>
        <v/>
      </c>
      <c r="AB459" s="73" t="str">
        <f t="shared" si="297"/>
        <v/>
      </c>
      <c r="AC459" s="73" t="str">
        <f t="shared" si="298"/>
        <v/>
      </c>
      <c r="AD459" s="73" t="str">
        <f>IFERROR($U459*(1-$V459)+SUM($W$22:$W459)+$AB459,"")</f>
        <v/>
      </c>
      <c r="AE459" s="73" t="b">
        <f t="shared" si="274"/>
        <v>1</v>
      </c>
      <c r="AF459" s="73" t="e">
        <f>IF(AND(AE459=TRUE,D459&gt;=65),$U459*(1-10%)+SUM($W$22:$W459)+$AB459,AD459)</f>
        <v>#VALUE!</v>
      </c>
      <c r="AG459" s="73" t="str">
        <f t="shared" si="299"/>
        <v/>
      </c>
      <c r="AH459" s="73" t="str">
        <f t="shared" si="300"/>
        <v/>
      </c>
      <c r="AI459" s="73" t="str">
        <f t="shared" si="301"/>
        <v/>
      </c>
      <c r="AJ459" s="73" t="str">
        <f t="shared" si="302"/>
        <v/>
      </c>
      <c r="AK459" s="73" t="b">
        <f t="shared" si="275"/>
        <v>1</v>
      </c>
      <c r="AL459" s="73" t="str">
        <f t="shared" si="303"/>
        <v/>
      </c>
      <c r="AM459" s="73" t="str">
        <f t="shared" si="304"/>
        <v/>
      </c>
      <c r="AN459" s="73" t="str">
        <f t="shared" si="305"/>
        <v/>
      </c>
      <c r="AO459" s="73" t="str">
        <f t="shared" si="306"/>
        <v/>
      </c>
      <c r="AP459" s="73" t="str">
        <f t="shared" si="307"/>
        <v/>
      </c>
    </row>
    <row r="460" spans="1:42" s="31" customFormat="1" x14ac:dyDescent="0.6">
      <c r="A460" s="70" t="str">
        <f t="shared" si="273"/>
        <v/>
      </c>
      <c r="B460" s="70" t="str">
        <f>IF(E460&lt;=$F$9,VLOOKUP(KALKULATOR!A460,Robocze!$B$23:$C$102,2),"")</f>
        <v/>
      </c>
      <c r="C460" s="70" t="str">
        <f t="shared" si="276"/>
        <v/>
      </c>
      <c r="D460" s="71" t="str">
        <f t="shared" si="277"/>
        <v/>
      </c>
      <c r="E460" s="77" t="str">
        <f t="shared" si="278"/>
        <v/>
      </c>
      <c r="F460" s="72" t="str">
        <f t="shared" si="279"/>
        <v/>
      </c>
      <c r="G460" s="73" t="str">
        <f>IFERROR(IF(AND(F460&lt;=$F$9,$F$5=Robocze!$B$4,$E460&lt;=$F$9,MONTH($F$8)=MONTH(E460)),$F$4,0)+IF(AND(F460&lt;=$F$9,$F$5=Robocze!$B$3,E460&lt;=$F$9),KALKULATOR!$F$4/12,0),"")</f>
        <v/>
      </c>
      <c r="H460" s="73" t="str">
        <f t="shared" si="280"/>
        <v/>
      </c>
      <c r="I460" s="74" t="str">
        <f t="shared" si="281"/>
        <v/>
      </c>
      <c r="J460" s="73" t="str">
        <f t="shared" si="282"/>
        <v/>
      </c>
      <c r="K460" s="75" t="str">
        <f t="shared" si="283"/>
        <v/>
      </c>
      <c r="L460" s="73" t="str">
        <f t="shared" si="284"/>
        <v/>
      </c>
      <c r="M460" s="73" t="str">
        <f t="shared" si="285"/>
        <v/>
      </c>
      <c r="N460" s="73" t="str">
        <f t="shared" si="286"/>
        <v/>
      </c>
      <c r="O460" s="73" t="str">
        <f t="shared" si="287"/>
        <v/>
      </c>
      <c r="P460" s="73" t="str">
        <f t="shared" si="288"/>
        <v/>
      </c>
      <c r="Q460" s="73" t="str">
        <f t="shared" si="289"/>
        <v/>
      </c>
      <c r="R460" s="73"/>
      <c r="S460" s="76" t="str">
        <f t="shared" si="290"/>
        <v/>
      </c>
      <c r="T460" s="73" t="str">
        <f t="shared" si="291"/>
        <v/>
      </c>
      <c r="U460" s="73" t="str">
        <f t="shared" si="292"/>
        <v/>
      </c>
      <c r="V460" s="76" t="str">
        <f t="shared" si="293"/>
        <v/>
      </c>
      <c r="W460" s="73" t="str">
        <f t="shared" si="294"/>
        <v/>
      </c>
      <c r="X460" s="73" t="str">
        <f>IF(B460&lt;&gt;"",IF(MONTH(E460)=MONTH($F$13),SUMIF($C$22:C839,"="&amp;(C460-1),$G$22:G839),0)*S460,"")</f>
        <v/>
      </c>
      <c r="Y460" s="73" t="str">
        <f>IF(B460&lt;&gt;"",SUM($X$22:X460),"")</f>
        <v/>
      </c>
      <c r="Z460" s="73" t="str">
        <f t="shared" si="295"/>
        <v/>
      </c>
      <c r="AA460" s="73" t="str">
        <f t="shared" si="296"/>
        <v/>
      </c>
      <c r="AB460" s="73" t="str">
        <f t="shared" si="297"/>
        <v/>
      </c>
      <c r="AC460" s="73" t="str">
        <f t="shared" si="298"/>
        <v/>
      </c>
      <c r="AD460" s="73" t="str">
        <f>IFERROR($U460*(1-$V460)+SUM($W$22:$W460)+$AB460,"")</f>
        <v/>
      </c>
      <c r="AE460" s="73" t="b">
        <f t="shared" si="274"/>
        <v>1</v>
      </c>
      <c r="AF460" s="73" t="e">
        <f>IF(AND(AE460=TRUE,D460&gt;=65),$U460*(1-10%)+SUM($W$22:$W460)+$AB460,AD460)</f>
        <v>#VALUE!</v>
      </c>
      <c r="AG460" s="73" t="str">
        <f t="shared" si="299"/>
        <v/>
      </c>
      <c r="AH460" s="73" t="str">
        <f t="shared" si="300"/>
        <v/>
      </c>
      <c r="AI460" s="73" t="str">
        <f t="shared" si="301"/>
        <v/>
      </c>
      <c r="AJ460" s="73" t="str">
        <f t="shared" si="302"/>
        <v/>
      </c>
      <c r="AK460" s="73" t="b">
        <f t="shared" si="275"/>
        <v>1</v>
      </c>
      <c r="AL460" s="73" t="str">
        <f t="shared" si="303"/>
        <v/>
      </c>
      <c r="AM460" s="73" t="str">
        <f t="shared" si="304"/>
        <v/>
      </c>
      <c r="AN460" s="73" t="str">
        <f t="shared" si="305"/>
        <v/>
      </c>
      <c r="AO460" s="73" t="str">
        <f t="shared" si="306"/>
        <v/>
      </c>
      <c r="AP460" s="73" t="str">
        <f t="shared" si="307"/>
        <v/>
      </c>
    </row>
    <row r="461" spans="1:42" s="31" customFormat="1" x14ac:dyDescent="0.6">
      <c r="A461" s="70" t="str">
        <f t="shared" si="273"/>
        <v/>
      </c>
      <c r="B461" s="70" t="str">
        <f>IF(E461&lt;=$F$9,VLOOKUP(KALKULATOR!A461,Robocze!$B$23:$C$102,2),"")</f>
        <v/>
      </c>
      <c r="C461" s="70" t="str">
        <f t="shared" si="276"/>
        <v/>
      </c>
      <c r="D461" s="71" t="str">
        <f t="shared" si="277"/>
        <v/>
      </c>
      <c r="E461" s="77" t="str">
        <f t="shared" si="278"/>
        <v/>
      </c>
      <c r="F461" s="72" t="str">
        <f t="shared" si="279"/>
        <v/>
      </c>
      <c r="G461" s="73" t="str">
        <f>IFERROR(IF(AND(F461&lt;=$F$9,$F$5=Robocze!$B$4,$E461&lt;=$F$9,MONTH($F$8)=MONTH(E461)),$F$4,0)+IF(AND(F461&lt;=$F$9,$F$5=Robocze!$B$3,E461&lt;=$F$9),KALKULATOR!$F$4/12,0),"")</f>
        <v/>
      </c>
      <c r="H461" s="73" t="str">
        <f t="shared" si="280"/>
        <v/>
      </c>
      <c r="I461" s="74" t="str">
        <f t="shared" si="281"/>
        <v/>
      </c>
      <c r="J461" s="73" t="str">
        <f t="shared" si="282"/>
        <v/>
      </c>
      <c r="K461" s="75" t="str">
        <f t="shared" si="283"/>
        <v/>
      </c>
      <c r="L461" s="73" t="str">
        <f t="shared" si="284"/>
        <v/>
      </c>
      <c r="M461" s="73" t="str">
        <f t="shared" si="285"/>
        <v/>
      </c>
      <c r="N461" s="73" t="str">
        <f t="shared" si="286"/>
        <v/>
      </c>
      <c r="O461" s="73" t="str">
        <f t="shared" si="287"/>
        <v/>
      </c>
      <c r="P461" s="73" t="str">
        <f t="shared" si="288"/>
        <v/>
      </c>
      <c r="Q461" s="73" t="str">
        <f t="shared" si="289"/>
        <v/>
      </c>
      <c r="R461" s="73"/>
      <c r="S461" s="76" t="str">
        <f t="shared" si="290"/>
        <v/>
      </c>
      <c r="T461" s="73" t="str">
        <f t="shared" si="291"/>
        <v/>
      </c>
      <c r="U461" s="73" t="str">
        <f t="shared" si="292"/>
        <v/>
      </c>
      <c r="V461" s="76" t="str">
        <f t="shared" si="293"/>
        <v/>
      </c>
      <c r="W461" s="73" t="str">
        <f t="shared" si="294"/>
        <v/>
      </c>
      <c r="X461" s="73" t="str">
        <f>IF(B461&lt;&gt;"",IF(MONTH(E461)=MONTH($F$13),SUMIF($C$22:C840,"="&amp;(C461-1),$G$22:G840),0)*S461,"")</f>
        <v/>
      </c>
      <c r="Y461" s="73" t="str">
        <f>IF(B461&lt;&gt;"",SUM($X$22:X461),"")</f>
        <v/>
      </c>
      <c r="Z461" s="73" t="str">
        <f t="shared" si="295"/>
        <v/>
      </c>
      <c r="AA461" s="73" t="str">
        <f t="shared" si="296"/>
        <v/>
      </c>
      <c r="AB461" s="73" t="str">
        <f t="shared" si="297"/>
        <v/>
      </c>
      <c r="AC461" s="73" t="str">
        <f t="shared" si="298"/>
        <v/>
      </c>
      <c r="AD461" s="73" t="str">
        <f>IFERROR($U461*(1-$V461)+SUM($W$22:$W461)+$AB461,"")</f>
        <v/>
      </c>
      <c r="AE461" s="73" t="b">
        <f t="shared" si="274"/>
        <v>1</v>
      </c>
      <c r="AF461" s="73" t="e">
        <f>IF(AND(AE461=TRUE,D461&gt;=65),$U461*(1-10%)+SUM($W$22:$W461)+$AB461,AD461)</f>
        <v>#VALUE!</v>
      </c>
      <c r="AG461" s="73" t="str">
        <f t="shared" si="299"/>
        <v/>
      </c>
      <c r="AH461" s="73" t="str">
        <f t="shared" si="300"/>
        <v/>
      </c>
      <c r="AI461" s="73" t="str">
        <f t="shared" si="301"/>
        <v/>
      </c>
      <c r="AJ461" s="73" t="str">
        <f t="shared" si="302"/>
        <v/>
      </c>
      <c r="AK461" s="73" t="b">
        <f t="shared" si="275"/>
        <v>1</v>
      </c>
      <c r="AL461" s="73" t="str">
        <f t="shared" si="303"/>
        <v/>
      </c>
      <c r="AM461" s="73" t="str">
        <f t="shared" si="304"/>
        <v/>
      </c>
      <c r="AN461" s="73" t="str">
        <f t="shared" si="305"/>
        <v/>
      </c>
      <c r="AO461" s="73" t="str">
        <f t="shared" si="306"/>
        <v/>
      </c>
      <c r="AP461" s="73" t="str">
        <f t="shared" si="307"/>
        <v/>
      </c>
    </row>
    <row r="462" spans="1:42" s="31" customFormat="1" x14ac:dyDescent="0.6">
      <c r="A462" s="70" t="str">
        <f t="shared" si="273"/>
        <v/>
      </c>
      <c r="B462" s="70" t="str">
        <f>IF(E462&lt;=$F$9,VLOOKUP(KALKULATOR!A462,Robocze!$B$23:$C$102,2),"")</f>
        <v/>
      </c>
      <c r="C462" s="70" t="str">
        <f t="shared" si="276"/>
        <v/>
      </c>
      <c r="D462" s="71" t="str">
        <f t="shared" si="277"/>
        <v/>
      </c>
      <c r="E462" s="77" t="str">
        <f t="shared" si="278"/>
        <v/>
      </c>
      <c r="F462" s="72" t="str">
        <f t="shared" si="279"/>
        <v/>
      </c>
      <c r="G462" s="73" t="str">
        <f>IFERROR(IF(AND(F462&lt;=$F$9,$F$5=Robocze!$B$4,$E462&lt;=$F$9,MONTH($F$8)=MONTH(E462)),$F$4,0)+IF(AND(F462&lt;=$F$9,$F$5=Robocze!$B$3,E462&lt;=$F$9),KALKULATOR!$F$4/12,0),"")</f>
        <v/>
      </c>
      <c r="H462" s="73" t="str">
        <f t="shared" si="280"/>
        <v/>
      </c>
      <c r="I462" s="74" t="str">
        <f t="shared" si="281"/>
        <v/>
      </c>
      <c r="J462" s="73" t="str">
        <f t="shared" si="282"/>
        <v/>
      </c>
      <c r="K462" s="75" t="str">
        <f t="shared" si="283"/>
        <v/>
      </c>
      <c r="L462" s="73" t="str">
        <f t="shared" si="284"/>
        <v/>
      </c>
      <c r="M462" s="73" t="str">
        <f t="shared" si="285"/>
        <v/>
      </c>
      <c r="N462" s="73" t="str">
        <f t="shared" si="286"/>
        <v/>
      </c>
      <c r="O462" s="73" t="str">
        <f t="shared" si="287"/>
        <v/>
      </c>
      <c r="P462" s="73" t="str">
        <f t="shared" si="288"/>
        <v/>
      </c>
      <c r="Q462" s="73" t="str">
        <f t="shared" si="289"/>
        <v/>
      </c>
      <c r="R462" s="73"/>
      <c r="S462" s="76" t="str">
        <f t="shared" si="290"/>
        <v/>
      </c>
      <c r="T462" s="73" t="str">
        <f t="shared" si="291"/>
        <v/>
      </c>
      <c r="U462" s="73" t="str">
        <f t="shared" si="292"/>
        <v/>
      </c>
      <c r="V462" s="76" t="str">
        <f t="shared" si="293"/>
        <v/>
      </c>
      <c r="W462" s="73" t="str">
        <f t="shared" si="294"/>
        <v/>
      </c>
      <c r="X462" s="73" t="str">
        <f>IF(B462&lt;&gt;"",IF(MONTH(E462)=MONTH($F$13),SUMIF($C$22:C841,"="&amp;(C462-1),$G$22:G841),0)*S462,"")</f>
        <v/>
      </c>
      <c r="Y462" s="73" t="str">
        <f>IF(B462&lt;&gt;"",SUM($X$22:X462),"")</f>
        <v/>
      </c>
      <c r="Z462" s="73" t="str">
        <f t="shared" si="295"/>
        <v/>
      </c>
      <c r="AA462" s="73" t="str">
        <f t="shared" si="296"/>
        <v/>
      </c>
      <c r="AB462" s="73" t="str">
        <f t="shared" si="297"/>
        <v/>
      </c>
      <c r="AC462" s="73" t="str">
        <f t="shared" si="298"/>
        <v/>
      </c>
      <c r="AD462" s="73" t="str">
        <f>IFERROR($U462*(1-$V462)+SUM($W$22:$W462)+$AB462,"")</f>
        <v/>
      </c>
      <c r="AE462" s="73" t="b">
        <f t="shared" si="274"/>
        <v>1</v>
      </c>
      <c r="AF462" s="73" t="e">
        <f>IF(AND(AE462=TRUE,D462&gt;=65),$U462*(1-10%)+SUM($W$22:$W462)+$AB462,AD462)</f>
        <v>#VALUE!</v>
      </c>
      <c r="AG462" s="73" t="str">
        <f t="shared" si="299"/>
        <v/>
      </c>
      <c r="AH462" s="73" t="str">
        <f t="shared" si="300"/>
        <v/>
      </c>
      <c r="AI462" s="73" t="str">
        <f t="shared" si="301"/>
        <v/>
      </c>
      <c r="AJ462" s="73" t="str">
        <f t="shared" si="302"/>
        <v/>
      </c>
      <c r="AK462" s="73" t="b">
        <f t="shared" si="275"/>
        <v>1</v>
      </c>
      <c r="AL462" s="73" t="str">
        <f t="shared" si="303"/>
        <v/>
      </c>
      <c r="AM462" s="73" t="str">
        <f t="shared" si="304"/>
        <v/>
      </c>
      <c r="AN462" s="73" t="str">
        <f t="shared" si="305"/>
        <v/>
      </c>
      <c r="AO462" s="73" t="str">
        <f t="shared" si="306"/>
        <v/>
      </c>
      <c r="AP462" s="73" t="str">
        <f t="shared" si="307"/>
        <v/>
      </c>
    </row>
    <row r="463" spans="1:42" s="31" customFormat="1" x14ac:dyDescent="0.6">
      <c r="A463" s="70" t="str">
        <f t="shared" si="273"/>
        <v/>
      </c>
      <c r="B463" s="70" t="str">
        <f>IF(E463&lt;=$F$9,VLOOKUP(KALKULATOR!A463,Robocze!$B$23:$C$102,2),"")</f>
        <v/>
      </c>
      <c r="C463" s="70" t="str">
        <f t="shared" si="276"/>
        <v/>
      </c>
      <c r="D463" s="71" t="str">
        <f t="shared" si="277"/>
        <v/>
      </c>
      <c r="E463" s="77" t="str">
        <f t="shared" si="278"/>
        <v/>
      </c>
      <c r="F463" s="72" t="str">
        <f t="shared" si="279"/>
        <v/>
      </c>
      <c r="G463" s="73" t="str">
        <f>IFERROR(IF(AND(F463&lt;=$F$9,$F$5=Robocze!$B$4,$E463&lt;=$F$9,MONTH($F$8)=MONTH(E463)),$F$4,0)+IF(AND(F463&lt;=$F$9,$F$5=Robocze!$B$3,E463&lt;=$F$9),KALKULATOR!$F$4/12,0),"")</f>
        <v/>
      </c>
      <c r="H463" s="73" t="str">
        <f t="shared" si="280"/>
        <v/>
      </c>
      <c r="I463" s="74" t="str">
        <f t="shared" si="281"/>
        <v/>
      </c>
      <c r="J463" s="73" t="str">
        <f t="shared" si="282"/>
        <v/>
      </c>
      <c r="K463" s="75" t="str">
        <f t="shared" si="283"/>
        <v/>
      </c>
      <c r="L463" s="73" t="str">
        <f t="shared" si="284"/>
        <v/>
      </c>
      <c r="M463" s="73" t="str">
        <f t="shared" si="285"/>
        <v/>
      </c>
      <c r="N463" s="73" t="str">
        <f t="shared" si="286"/>
        <v/>
      </c>
      <c r="O463" s="73" t="str">
        <f t="shared" si="287"/>
        <v/>
      </c>
      <c r="P463" s="73" t="str">
        <f t="shared" si="288"/>
        <v/>
      </c>
      <c r="Q463" s="73" t="str">
        <f t="shared" si="289"/>
        <v/>
      </c>
      <c r="R463" s="73"/>
      <c r="S463" s="76" t="str">
        <f t="shared" si="290"/>
        <v/>
      </c>
      <c r="T463" s="73" t="str">
        <f t="shared" si="291"/>
        <v/>
      </c>
      <c r="U463" s="73" t="str">
        <f t="shared" si="292"/>
        <v/>
      </c>
      <c r="V463" s="76" t="str">
        <f t="shared" si="293"/>
        <v/>
      </c>
      <c r="W463" s="73" t="str">
        <f t="shared" si="294"/>
        <v/>
      </c>
      <c r="X463" s="73" t="str">
        <f>IF(B463&lt;&gt;"",IF(MONTH(E463)=MONTH($F$13),SUMIF($C$22:C842,"="&amp;(C463-1),$G$22:G842),0)*S463,"")</f>
        <v/>
      </c>
      <c r="Y463" s="73" t="str">
        <f>IF(B463&lt;&gt;"",SUM($X$22:X463),"")</f>
        <v/>
      </c>
      <c r="Z463" s="73" t="str">
        <f t="shared" si="295"/>
        <v/>
      </c>
      <c r="AA463" s="73" t="str">
        <f t="shared" si="296"/>
        <v/>
      </c>
      <c r="AB463" s="73" t="str">
        <f t="shared" si="297"/>
        <v/>
      </c>
      <c r="AC463" s="73" t="str">
        <f t="shared" si="298"/>
        <v/>
      </c>
      <c r="AD463" s="73" t="str">
        <f>IFERROR($U463*(1-$V463)+SUM($W$22:$W463)+$AB463,"")</f>
        <v/>
      </c>
      <c r="AE463" s="73" t="b">
        <f t="shared" si="274"/>
        <v>1</v>
      </c>
      <c r="AF463" s="73" t="e">
        <f>IF(AND(AE463=TRUE,D463&gt;=65),$U463*(1-10%)+SUM($W$22:$W463)+$AB463,AD463)</f>
        <v>#VALUE!</v>
      </c>
      <c r="AG463" s="73" t="str">
        <f t="shared" si="299"/>
        <v/>
      </c>
      <c r="AH463" s="73" t="str">
        <f t="shared" si="300"/>
        <v/>
      </c>
      <c r="AI463" s="73" t="str">
        <f t="shared" si="301"/>
        <v/>
      </c>
      <c r="AJ463" s="73" t="str">
        <f t="shared" si="302"/>
        <v/>
      </c>
      <c r="AK463" s="73" t="b">
        <f t="shared" si="275"/>
        <v>1</v>
      </c>
      <c r="AL463" s="73" t="str">
        <f t="shared" si="303"/>
        <v/>
      </c>
      <c r="AM463" s="73" t="str">
        <f t="shared" si="304"/>
        <v/>
      </c>
      <c r="AN463" s="73" t="str">
        <f t="shared" si="305"/>
        <v/>
      </c>
      <c r="AO463" s="73" t="str">
        <f t="shared" si="306"/>
        <v/>
      </c>
      <c r="AP463" s="73" t="str">
        <f t="shared" si="307"/>
        <v/>
      </c>
    </row>
    <row r="464" spans="1:42" s="31" customFormat="1" x14ac:dyDescent="0.6">
      <c r="A464" s="70" t="str">
        <f t="shared" si="273"/>
        <v/>
      </c>
      <c r="B464" s="70" t="str">
        <f>IF(E464&lt;=$F$9,VLOOKUP(KALKULATOR!A464,Robocze!$B$23:$C$102,2),"")</f>
        <v/>
      </c>
      <c r="C464" s="70" t="str">
        <f t="shared" si="276"/>
        <v/>
      </c>
      <c r="D464" s="71" t="str">
        <f t="shared" si="277"/>
        <v/>
      </c>
      <c r="E464" s="77" t="str">
        <f t="shared" si="278"/>
        <v/>
      </c>
      <c r="F464" s="72" t="str">
        <f t="shared" si="279"/>
        <v/>
      </c>
      <c r="G464" s="73" t="str">
        <f>IFERROR(IF(AND(F464&lt;=$F$9,$F$5=Robocze!$B$4,$E464&lt;=$F$9,MONTH($F$8)=MONTH(E464)),$F$4,0)+IF(AND(F464&lt;=$F$9,$F$5=Robocze!$B$3,E464&lt;=$F$9),KALKULATOR!$F$4/12,0),"")</f>
        <v/>
      </c>
      <c r="H464" s="73" t="str">
        <f t="shared" si="280"/>
        <v/>
      </c>
      <c r="I464" s="74" t="str">
        <f t="shared" si="281"/>
        <v/>
      </c>
      <c r="J464" s="73" t="str">
        <f t="shared" si="282"/>
        <v/>
      </c>
      <c r="K464" s="75" t="str">
        <f t="shared" si="283"/>
        <v/>
      </c>
      <c r="L464" s="73" t="str">
        <f t="shared" si="284"/>
        <v/>
      </c>
      <c r="M464" s="73" t="str">
        <f t="shared" si="285"/>
        <v/>
      </c>
      <c r="N464" s="73" t="str">
        <f t="shared" si="286"/>
        <v/>
      </c>
      <c r="O464" s="73" t="str">
        <f t="shared" si="287"/>
        <v/>
      </c>
      <c r="P464" s="73" t="str">
        <f t="shared" si="288"/>
        <v/>
      </c>
      <c r="Q464" s="73" t="str">
        <f t="shared" si="289"/>
        <v/>
      </c>
      <c r="R464" s="73"/>
      <c r="S464" s="76" t="str">
        <f t="shared" si="290"/>
        <v/>
      </c>
      <c r="T464" s="73" t="str">
        <f t="shared" si="291"/>
        <v/>
      </c>
      <c r="U464" s="73" t="str">
        <f t="shared" si="292"/>
        <v/>
      </c>
      <c r="V464" s="76" t="str">
        <f t="shared" si="293"/>
        <v/>
      </c>
      <c r="W464" s="73" t="str">
        <f t="shared" si="294"/>
        <v/>
      </c>
      <c r="X464" s="73" t="str">
        <f>IF(B464&lt;&gt;"",IF(MONTH(E464)=MONTH($F$13),SUMIF($C$22:C843,"="&amp;(C464-1),$G$22:G843),0)*S464,"")</f>
        <v/>
      </c>
      <c r="Y464" s="73" t="str">
        <f>IF(B464&lt;&gt;"",SUM($X$22:X464),"")</f>
        <v/>
      </c>
      <c r="Z464" s="73" t="str">
        <f t="shared" si="295"/>
        <v/>
      </c>
      <c r="AA464" s="73" t="str">
        <f t="shared" si="296"/>
        <v/>
      </c>
      <c r="AB464" s="73" t="str">
        <f t="shared" si="297"/>
        <v/>
      </c>
      <c r="AC464" s="73" t="str">
        <f t="shared" si="298"/>
        <v/>
      </c>
      <c r="AD464" s="73" t="str">
        <f>IFERROR($U464*(1-$V464)+SUM($W$22:$W464)+$AB464,"")</f>
        <v/>
      </c>
      <c r="AE464" s="73" t="b">
        <f t="shared" si="274"/>
        <v>1</v>
      </c>
      <c r="AF464" s="73" t="e">
        <f>IF(AND(AE464=TRUE,D464&gt;=65),$U464*(1-10%)+SUM($W$22:$W464)+$AB464,AD464)</f>
        <v>#VALUE!</v>
      </c>
      <c r="AG464" s="73" t="str">
        <f t="shared" si="299"/>
        <v/>
      </c>
      <c r="AH464" s="73" t="str">
        <f t="shared" si="300"/>
        <v/>
      </c>
      <c r="AI464" s="73" t="str">
        <f t="shared" si="301"/>
        <v/>
      </c>
      <c r="AJ464" s="73" t="str">
        <f t="shared" si="302"/>
        <v/>
      </c>
      <c r="AK464" s="73" t="b">
        <f t="shared" si="275"/>
        <v>1</v>
      </c>
      <c r="AL464" s="73" t="str">
        <f t="shared" si="303"/>
        <v/>
      </c>
      <c r="AM464" s="73" t="str">
        <f t="shared" si="304"/>
        <v/>
      </c>
      <c r="AN464" s="73" t="str">
        <f t="shared" si="305"/>
        <v/>
      </c>
      <c r="AO464" s="73" t="str">
        <f t="shared" si="306"/>
        <v/>
      </c>
      <c r="AP464" s="73" t="str">
        <f t="shared" si="307"/>
        <v/>
      </c>
    </row>
    <row r="465" spans="1:42" s="31" customFormat="1" x14ac:dyDescent="0.6">
      <c r="A465" s="70" t="str">
        <f t="shared" si="273"/>
        <v/>
      </c>
      <c r="B465" s="70" t="str">
        <f>IF(E465&lt;=$F$9,VLOOKUP(KALKULATOR!A465,Robocze!$B$23:$C$102,2),"")</f>
        <v/>
      </c>
      <c r="C465" s="70" t="str">
        <f t="shared" si="276"/>
        <v/>
      </c>
      <c r="D465" s="71" t="str">
        <f t="shared" si="277"/>
        <v/>
      </c>
      <c r="E465" s="77" t="str">
        <f t="shared" si="278"/>
        <v/>
      </c>
      <c r="F465" s="72" t="str">
        <f t="shared" si="279"/>
        <v/>
      </c>
      <c r="G465" s="73" t="str">
        <f>IFERROR(IF(AND(F465&lt;=$F$9,$F$5=Robocze!$B$4,$E465&lt;=$F$9,MONTH($F$8)=MONTH(E465)),$F$4,0)+IF(AND(F465&lt;=$F$9,$F$5=Robocze!$B$3,E465&lt;=$F$9),KALKULATOR!$F$4/12,0),"")</f>
        <v/>
      </c>
      <c r="H465" s="73" t="str">
        <f t="shared" si="280"/>
        <v/>
      </c>
      <c r="I465" s="74" t="str">
        <f t="shared" si="281"/>
        <v/>
      </c>
      <c r="J465" s="73" t="str">
        <f t="shared" si="282"/>
        <v/>
      </c>
      <c r="K465" s="75" t="str">
        <f t="shared" si="283"/>
        <v/>
      </c>
      <c r="L465" s="73" t="str">
        <f t="shared" si="284"/>
        <v/>
      </c>
      <c r="M465" s="73" t="str">
        <f t="shared" si="285"/>
        <v/>
      </c>
      <c r="N465" s="73" t="str">
        <f t="shared" si="286"/>
        <v/>
      </c>
      <c r="O465" s="73" t="str">
        <f t="shared" si="287"/>
        <v/>
      </c>
      <c r="P465" s="73" t="str">
        <f t="shared" si="288"/>
        <v/>
      </c>
      <c r="Q465" s="73" t="str">
        <f t="shared" si="289"/>
        <v/>
      </c>
      <c r="R465" s="73"/>
      <c r="S465" s="76" t="str">
        <f t="shared" si="290"/>
        <v/>
      </c>
      <c r="T465" s="73" t="str">
        <f t="shared" si="291"/>
        <v/>
      </c>
      <c r="U465" s="73" t="str">
        <f t="shared" si="292"/>
        <v/>
      </c>
      <c r="V465" s="76" t="str">
        <f t="shared" si="293"/>
        <v/>
      </c>
      <c r="W465" s="73" t="str">
        <f t="shared" si="294"/>
        <v/>
      </c>
      <c r="X465" s="73" t="str">
        <f>IF(B465&lt;&gt;"",IF(MONTH(E465)=MONTH($F$13),SUMIF($C$22:C844,"="&amp;(C465-1),$G$22:G844),0)*S465,"")</f>
        <v/>
      </c>
      <c r="Y465" s="73" t="str">
        <f>IF(B465&lt;&gt;"",SUM($X$22:X465),"")</f>
        <v/>
      </c>
      <c r="Z465" s="73" t="str">
        <f t="shared" si="295"/>
        <v/>
      </c>
      <c r="AA465" s="73" t="str">
        <f t="shared" si="296"/>
        <v/>
      </c>
      <c r="AB465" s="73" t="str">
        <f t="shared" si="297"/>
        <v/>
      </c>
      <c r="AC465" s="73" t="str">
        <f t="shared" si="298"/>
        <v/>
      </c>
      <c r="AD465" s="73" t="str">
        <f>IFERROR($U465*(1-$V465)+SUM($W$22:$W465)+$AB465,"")</f>
        <v/>
      </c>
      <c r="AE465" s="73" t="b">
        <f t="shared" si="274"/>
        <v>1</v>
      </c>
      <c r="AF465" s="73" t="e">
        <f>IF(AND(AE465=TRUE,D465&gt;=65),$U465*(1-10%)+SUM($W$22:$W465)+$AB465,AD465)</f>
        <v>#VALUE!</v>
      </c>
      <c r="AG465" s="73" t="str">
        <f t="shared" si="299"/>
        <v/>
      </c>
      <c r="AH465" s="73" t="str">
        <f t="shared" si="300"/>
        <v/>
      </c>
      <c r="AI465" s="73" t="str">
        <f t="shared" si="301"/>
        <v/>
      </c>
      <c r="AJ465" s="73" t="str">
        <f t="shared" si="302"/>
        <v/>
      </c>
      <c r="AK465" s="73" t="b">
        <f t="shared" si="275"/>
        <v>1</v>
      </c>
      <c r="AL465" s="73" t="str">
        <f t="shared" si="303"/>
        <v/>
      </c>
      <c r="AM465" s="73" t="str">
        <f t="shared" si="304"/>
        <v/>
      </c>
      <c r="AN465" s="73" t="str">
        <f t="shared" si="305"/>
        <v/>
      </c>
      <c r="AO465" s="73" t="str">
        <f t="shared" si="306"/>
        <v/>
      </c>
      <c r="AP465" s="73" t="str">
        <f t="shared" si="307"/>
        <v/>
      </c>
    </row>
    <row r="466" spans="1:42" s="31" customFormat="1" x14ac:dyDescent="0.6">
      <c r="A466" s="70" t="str">
        <f t="shared" si="273"/>
        <v/>
      </c>
      <c r="B466" s="70" t="str">
        <f>IF(E466&lt;=$F$9,VLOOKUP(KALKULATOR!A466,Robocze!$B$23:$C$102,2),"")</f>
        <v/>
      </c>
      <c r="C466" s="70" t="str">
        <f t="shared" si="276"/>
        <v/>
      </c>
      <c r="D466" s="71" t="str">
        <f t="shared" si="277"/>
        <v/>
      </c>
      <c r="E466" s="77" t="str">
        <f t="shared" si="278"/>
        <v/>
      </c>
      <c r="F466" s="72" t="str">
        <f t="shared" si="279"/>
        <v/>
      </c>
      <c r="G466" s="73" t="str">
        <f>IFERROR(IF(AND(F466&lt;=$F$9,$F$5=Robocze!$B$4,$E466&lt;=$F$9,MONTH($F$8)=MONTH(E466)),$F$4,0)+IF(AND(F466&lt;=$F$9,$F$5=Robocze!$B$3,E466&lt;=$F$9),KALKULATOR!$F$4/12,0),"")</f>
        <v/>
      </c>
      <c r="H466" s="73" t="str">
        <f t="shared" si="280"/>
        <v/>
      </c>
      <c r="I466" s="74" t="str">
        <f t="shared" si="281"/>
        <v/>
      </c>
      <c r="J466" s="73" t="str">
        <f t="shared" si="282"/>
        <v/>
      </c>
      <c r="K466" s="75" t="str">
        <f t="shared" si="283"/>
        <v/>
      </c>
      <c r="L466" s="73" t="str">
        <f t="shared" si="284"/>
        <v/>
      </c>
      <c r="M466" s="73" t="str">
        <f t="shared" si="285"/>
        <v/>
      </c>
      <c r="N466" s="73" t="str">
        <f t="shared" si="286"/>
        <v/>
      </c>
      <c r="O466" s="73" t="str">
        <f t="shared" si="287"/>
        <v/>
      </c>
      <c r="P466" s="73" t="str">
        <f t="shared" si="288"/>
        <v/>
      </c>
      <c r="Q466" s="73" t="str">
        <f t="shared" si="289"/>
        <v/>
      </c>
      <c r="R466" s="73"/>
      <c r="S466" s="76" t="str">
        <f t="shared" si="290"/>
        <v/>
      </c>
      <c r="T466" s="73" t="str">
        <f t="shared" si="291"/>
        <v/>
      </c>
      <c r="U466" s="73" t="str">
        <f t="shared" si="292"/>
        <v/>
      </c>
      <c r="V466" s="76" t="str">
        <f t="shared" si="293"/>
        <v/>
      </c>
      <c r="W466" s="73" t="str">
        <f t="shared" si="294"/>
        <v/>
      </c>
      <c r="X466" s="73" t="str">
        <f>IF(B466&lt;&gt;"",IF(MONTH(E466)=MONTH($F$13),SUMIF($C$22:C845,"="&amp;(C466-1),$G$22:G845),0)*S466,"")</f>
        <v/>
      </c>
      <c r="Y466" s="73" t="str">
        <f>IF(B466&lt;&gt;"",SUM($X$22:X466),"")</f>
        <v/>
      </c>
      <c r="Z466" s="73" t="str">
        <f t="shared" si="295"/>
        <v/>
      </c>
      <c r="AA466" s="73" t="str">
        <f t="shared" si="296"/>
        <v/>
      </c>
      <c r="AB466" s="73" t="str">
        <f t="shared" si="297"/>
        <v/>
      </c>
      <c r="AC466" s="73" t="str">
        <f t="shared" si="298"/>
        <v/>
      </c>
      <c r="AD466" s="73" t="str">
        <f>IFERROR($U466*(1-$V466)+SUM($W$22:$W466)+$AB466,"")</f>
        <v/>
      </c>
      <c r="AE466" s="73" t="b">
        <f t="shared" si="274"/>
        <v>1</v>
      </c>
      <c r="AF466" s="73" t="e">
        <f>IF(AND(AE466=TRUE,D466&gt;=65),$U466*(1-10%)+SUM($W$22:$W466)+$AB466,AD466)</f>
        <v>#VALUE!</v>
      </c>
      <c r="AG466" s="73" t="str">
        <f t="shared" si="299"/>
        <v/>
      </c>
      <c r="AH466" s="73" t="str">
        <f t="shared" si="300"/>
        <v/>
      </c>
      <c r="AI466" s="73" t="str">
        <f t="shared" si="301"/>
        <v/>
      </c>
      <c r="AJ466" s="73" t="str">
        <f t="shared" si="302"/>
        <v/>
      </c>
      <c r="AK466" s="73" t="b">
        <f t="shared" si="275"/>
        <v>1</v>
      </c>
      <c r="AL466" s="73" t="str">
        <f t="shared" si="303"/>
        <v/>
      </c>
      <c r="AM466" s="73" t="str">
        <f t="shared" si="304"/>
        <v/>
      </c>
      <c r="AN466" s="73" t="str">
        <f t="shared" si="305"/>
        <v/>
      </c>
      <c r="AO466" s="73" t="str">
        <f t="shared" si="306"/>
        <v/>
      </c>
      <c r="AP466" s="73" t="str">
        <f t="shared" si="307"/>
        <v/>
      </c>
    </row>
    <row r="467" spans="1:42" s="69" customFormat="1" x14ac:dyDescent="0.6">
      <c r="A467" s="78" t="str">
        <f t="shared" si="273"/>
        <v/>
      </c>
      <c r="B467" s="78" t="str">
        <f>IF(E467&lt;=$F$9,VLOOKUP(KALKULATOR!A467,Robocze!$B$23:$C$102,2),"")</f>
        <v/>
      </c>
      <c r="C467" s="78" t="str">
        <f t="shared" si="276"/>
        <v/>
      </c>
      <c r="D467" s="79" t="str">
        <f t="shared" si="277"/>
        <v/>
      </c>
      <c r="E467" s="80" t="str">
        <f t="shared" si="278"/>
        <v/>
      </c>
      <c r="F467" s="81" t="str">
        <f t="shared" si="279"/>
        <v/>
      </c>
      <c r="G467" s="82" t="str">
        <f>IFERROR(IF(AND(F467&lt;=$F$9,$F$5=Robocze!$B$4,$E467&lt;=$F$9,MONTH($F$8)=MONTH(E467)),$F$4,0)+IF(AND(F467&lt;=$F$9,$F$5=Robocze!$B$3,E467&lt;=$F$9),KALKULATOR!$F$4/12,0),"")</f>
        <v/>
      </c>
      <c r="H467" s="82" t="str">
        <f t="shared" si="280"/>
        <v/>
      </c>
      <c r="I467" s="83" t="str">
        <f t="shared" si="281"/>
        <v/>
      </c>
      <c r="J467" s="82" t="str">
        <f t="shared" si="282"/>
        <v/>
      </c>
      <c r="K467" s="84" t="str">
        <f t="shared" si="283"/>
        <v/>
      </c>
      <c r="L467" s="82" t="str">
        <f t="shared" si="284"/>
        <v/>
      </c>
      <c r="M467" s="82" t="str">
        <f t="shared" si="285"/>
        <v/>
      </c>
      <c r="N467" s="82" t="str">
        <f t="shared" si="286"/>
        <v/>
      </c>
      <c r="O467" s="82" t="str">
        <f t="shared" si="287"/>
        <v/>
      </c>
      <c r="P467" s="82" t="str">
        <f t="shared" si="288"/>
        <v/>
      </c>
      <c r="Q467" s="82" t="str">
        <f t="shared" si="289"/>
        <v/>
      </c>
      <c r="R467" s="82"/>
      <c r="S467" s="85" t="str">
        <f t="shared" si="290"/>
        <v/>
      </c>
      <c r="T467" s="82" t="str">
        <f t="shared" si="291"/>
        <v/>
      </c>
      <c r="U467" s="82" t="str">
        <f t="shared" si="292"/>
        <v/>
      </c>
      <c r="V467" s="85" t="str">
        <f t="shared" si="293"/>
        <v/>
      </c>
      <c r="W467" s="82" t="str">
        <f t="shared" si="294"/>
        <v/>
      </c>
      <c r="X467" s="82" t="str">
        <f>IF(B467&lt;&gt;"",IF(MONTH(E467)=MONTH($F$13),SUMIF($C$22:C846,"="&amp;(C467-1),$G$22:G846),0)*S467,"")</f>
        <v/>
      </c>
      <c r="Y467" s="82" t="str">
        <f>IF(B467&lt;&gt;"",SUM($X$22:X467),"")</f>
        <v/>
      </c>
      <c r="Z467" s="82" t="str">
        <f t="shared" si="295"/>
        <v/>
      </c>
      <c r="AA467" s="82" t="str">
        <f t="shared" si="296"/>
        <v/>
      </c>
      <c r="AB467" s="82" t="str">
        <f t="shared" si="297"/>
        <v/>
      </c>
      <c r="AC467" s="82" t="str">
        <f t="shared" si="298"/>
        <v/>
      </c>
      <c r="AD467" s="82" t="str">
        <f>IFERROR($U467*(1-$V467)+SUM($W$22:$W467)+$AB467,"")</f>
        <v/>
      </c>
      <c r="AE467" s="73" t="b">
        <f t="shared" si="274"/>
        <v>1</v>
      </c>
      <c r="AF467" s="82" t="e">
        <f>IF(AND(AE467=TRUE,D467&gt;=65),$U467*(1-10%)+SUM($W$22:$W467)+$AB467,AD467)</f>
        <v>#VALUE!</v>
      </c>
      <c r="AG467" s="82" t="str">
        <f t="shared" si="299"/>
        <v/>
      </c>
      <c r="AH467" s="82" t="str">
        <f t="shared" si="300"/>
        <v/>
      </c>
      <c r="AI467" s="82" t="str">
        <f t="shared" si="301"/>
        <v/>
      </c>
      <c r="AJ467" s="82" t="str">
        <f t="shared" si="302"/>
        <v/>
      </c>
      <c r="AK467" s="73" t="b">
        <f t="shared" si="275"/>
        <v>1</v>
      </c>
      <c r="AL467" s="82" t="str">
        <f t="shared" si="303"/>
        <v/>
      </c>
      <c r="AM467" s="82" t="str">
        <f t="shared" si="304"/>
        <v/>
      </c>
      <c r="AN467" s="82" t="str">
        <f t="shared" si="305"/>
        <v/>
      </c>
      <c r="AO467" s="82" t="str">
        <f t="shared" si="306"/>
        <v/>
      </c>
      <c r="AP467" s="82" t="str">
        <f t="shared" si="307"/>
        <v/>
      </c>
    </row>
    <row r="468" spans="1:42" s="31" customFormat="1" x14ac:dyDescent="0.6">
      <c r="A468" s="70" t="str">
        <f t="shared" si="273"/>
        <v/>
      </c>
      <c r="B468" s="70" t="str">
        <f>IF(E468&lt;=$F$9,VLOOKUP(KALKULATOR!A468,Robocze!$B$23:$C$102,2),"")</f>
        <v/>
      </c>
      <c r="C468" s="70" t="str">
        <f t="shared" si="276"/>
        <v/>
      </c>
      <c r="D468" s="71" t="str">
        <f t="shared" si="277"/>
        <v/>
      </c>
      <c r="E468" s="72" t="str">
        <f t="shared" si="278"/>
        <v/>
      </c>
      <c r="F468" s="72" t="str">
        <f t="shared" si="279"/>
        <v/>
      </c>
      <c r="G468" s="73" t="str">
        <f>IFERROR(IF(AND(F468&lt;=$F$9,$F$5=Robocze!$B$4,$E468&lt;=$F$9,MONTH($F$8)=MONTH(E468)),$F$4,0)+IF(AND(F468&lt;=$F$9,$F$5=Robocze!$B$3,E468&lt;=$F$9),KALKULATOR!$F$4/12,0),"")</f>
        <v/>
      </c>
      <c r="H468" s="73" t="str">
        <f t="shared" si="280"/>
        <v/>
      </c>
      <c r="I468" s="74" t="str">
        <f t="shared" si="281"/>
        <v/>
      </c>
      <c r="J468" s="73" t="str">
        <f t="shared" si="282"/>
        <v/>
      </c>
      <c r="K468" s="75" t="str">
        <f t="shared" si="283"/>
        <v/>
      </c>
      <c r="L468" s="73" t="str">
        <f t="shared" si="284"/>
        <v/>
      </c>
      <c r="M468" s="73" t="str">
        <f t="shared" si="285"/>
        <v/>
      </c>
      <c r="N468" s="73" t="str">
        <f t="shared" si="286"/>
        <v/>
      </c>
      <c r="O468" s="73" t="str">
        <f t="shared" si="287"/>
        <v/>
      </c>
      <c r="P468" s="73" t="str">
        <f t="shared" si="288"/>
        <v/>
      </c>
      <c r="Q468" s="73" t="str">
        <f t="shared" si="289"/>
        <v/>
      </c>
      <c r="R468" s="73"/>
      <c r="S468" s="76" t="str">
        <f t="shared" si="290"/>
        <v/>
      </c>
      <c r="T468" s="73" t="str">
        <f t="shared" si="291"/>
        <v/>
      </c>
      <c r="U468" s="73" t="str">
        <f t="shared" si="292"/>
        <v/>
      </c>
      <c r="V468" s="76" t="str">
        <f t="shared" si="293"/>
        <v/>
      </c>
      <c r="W468" s="73" t="str">
        <f t="shared" si="294"/>
        <v/>
      </c>
      <c r="X468" s="73" t="str">
        <f>IF(B468&lt;&gt;"",IF(MONTH(E468)=MONTH($F$13),SUMIF($C$22:C847,"="&amp;(C468-1),$G$22:G847),0)*S468,"")</f>
        <v/>
      </c>
      <c r="Y468" s="73" t="str">
        <f>IF(B468&lt;&gt;"",SUM($X$22:X468),"")</f>
        <v/>
      </c>
      <c r="Z468" s="73" t="str">
        <f t="shared" si="295"/>
        <v/>
      </c>
      <c r="AA468" s="73" t="str">
        <f t="shared" si="296"/>
        <v/>
      </c>
      <c r="AB468" s="73" t="str">
        <f t="shared" si="297"/>
        <v/>
      </c>
      <c r="AC468" s="73" t="str">
        <f t="shared" si="298"/>
        <v/>
      </c>
      <c r="AD468" s="73" t="str">
        <f>IFERROR($U468*(1-$V468)+SUM($W$22:$W468)+$AB468,"")</f>
        <v/>
      </c>
      <c r="AE468" s="73" t="b">
        <f t="shared" si="274"/>
        <v>1</v>
      </c>
      <c r="AF468" s="73" t="e">
        <f>IF(AND(AE468=TRUE,D468&gt;=65),$U468*(1-10%)+SUM($W$22:$W468)+$AB468,AD468)</f>
        <v>#VALUE!</v>
      </c>
      <c r="AG468" s="73" t="str">
        <f t="shared" si="299"/>
        <v/>
      </c>
      <c r="AH468" s="73" t="str">
        <f t="shared" si="300"/>
        <v/>
      </c>
      <c r="AI468" s="73" t="str">
        <f t="shared" si="301"/>
        <v/>
      </c>
      <c r="AJ468" s="73" t="str">
        <f t="shared" si="302"/>
        <v/>
      </c>
      <c r="AK468" s="73" t="b">
        <f t="shared" si="275"/>
        <v>1</v>
      </c>
      <c r="AL468" s="73" t="str">
        <f t="shared" si="303"/>
        <v/>
      </c>
      <c r="AM468" s="73" t="str">
        <f t="shared" si="304"/>
        <v/>
      </c>
      <c r="AN468" s="73" t="str">
        <f t="shared" si="305"/>
        <v/>
      </c>
      <c r="AO468" s="73" t="str">
        <f t="shared" si="306"/>
        <v/>
      </c>
      <c r="AP468" s="73" t="str">
        <f t="shared" si="307"/>
        <v/>
      </c>
    </row>
    <row r="469" spans="1:42" s="31" customFormat="1" x14ac:dyDescent="0.6">
      <c r="A469" s="70" t="str">
        <f t="shared" si="273"/>
        <v/>
      </c>
      <c r="B469" s="70" t="str">
        <f>IF(E469&lt;=$F$9,VLOOKUP(KALKULATOR!A469,Robocze!$B$23:$C$102,2),"")</f>
        <v/>
      </c>
      <c r="C469" s="70" t="str">
        <f t="shared" si="276"/>
        <v/>
      </c>
      <c r="D469" s="71" t="str">
        <f t="shared" si="277"/>
        <v/>
      </c>
      <c r="E469" s="77" t="str">
        <f t="shared" si="278"/>
        <v/>
      </c>
      <c r="F469" s="72" t="str">
        <f t="shared" si="279"/>
        <v/>
      </c>
      <c r="G469" s="73" t="str">
        <f>IFERROR(IF(AND(F469&lt;=$F$9,$F$5=Robocze!$B$4,$E469&lt;=$F$9,MONTH($F$8)=MONTH(E469)),$F$4,0)+IF(AND(F469&lt;=$F$9,$F$5=Robocze!$B$3,E469&lt;=$F$9),KALKULATOR!$F$4/12,0),"")</f>
        <v/>
      </c>
      <c r="H469" s="73" t="str">
        <f t="shared" si="280"/>
        <v/>
      </c>
      <c r="I469" s="74" t="str">
        <f t="shared" si="281"/>
        <v/>
      </c>
      <c r="J469" s="73" t="str">
        <f t="shared" si="282"/>
        <v/>
      </c>
      <c r="K469" s="75" t="str">
        <f t="shared" si="283"/>
        <v/>
      </c>
      <c r="L469" s="73" t="str">
        <f t="shared" si="284"/>
        <v/>
      </c>
      <c r="M469" s="73" t="str">
        <f t="shared" si="285"/>
        <v/>
      </c>
      <c r="N469" s="73" t="str">
        <f t="shared" si="286"/>
        <v/>
      </c>
      <c r="O469" s="73" t="str">
        <f t="shared" si="287"/>
        <v/>
      </c>
      <c r="P469" s="73" t="str">
        <f t="shared" si="288"/>
        <v/>
      </c>
      <c r="Q469" s="73" t="str">
        <f t="shared" si="289"/>
        <v/>
      </c>
      <c r="R469" s="73"/>
      <c r="S469" s="76" t="str">
        <f t="shared" si="290"/>
        <v/>
      </c>
      <c r="T469" s="73" t="str">
        <f t="shared" si="291"/>
        <v/>
      </c>
      <c r="U469" s="73" t="str">
        <f t="shared" si="292"/>
        <v/>
      </c>
      <c r="V469" s="76" t="str">
        <f t="shared" si="293"/>
        <v/>
      </c>
      <c r="W469" s="73" t="str">
        <f t="shared" si="294"/>
        <v/>
      </c>
      <c r="X469" s="73" t="str">
        <f>IF(B469&lt;&gt;"",IF(MONTH(E469)=MONTH($F$13),SUMIF($C$22:C848,"="&amp;(C469-1),$G$22:G848),0)*S469,"")</f>
        <v/>
      </c>
      <c r="Y469" s="73" t="str">
        <f>IF(B469&lt;&gt;"",SUM($X$22:X469),"")</f>
        <v/>
      </c>
      <c r="Z469" s="73" t="str">
        <f t="shared" si="295"/>
        <v/>
      </c>
      <c r="AA469" s="73" t="str">
        <f t="shared" si="296"/>
        <v/>
      </c>
      <c r="AB469" s="73" t="str">
        <f t="shared" si="297"/>
        <v/>
      </c>
      <c r="AC469" s="73" t="str">
        <f t="shared" si="298"/>
        <v/>
      </c>
      <c r="AD469" s="73" t="str">
        <f>IFERROR($U469*(1-$V469)+SUM($W$22:$W469)+$AB469,"")</f>
        <v/>
      </c>
      <c r="AE469" s="73" t="b">
        <f t="shared" si="274"/>
        <v>1</v>
      </c>
      <c r="AF469" s="73" t="e">
        <f>IF(AND(AE469=TRUE,D469&gt;=65),$U469*(1-10%)+SUM($W$22:$W469)+$AB469,AD469)</f>
        <v>#VALUE!</v>
      </c>
      <c r="AG469" s="73" t="str">
        <f t="shared" si="299"/>
        <v/>
      </c>
      <c r="AH469" s="73" t="str">
        <f t="shared" si="300"/>
        <v/>
      </c>
      <c r="AI469" s="73" t="str">
        <f t="shared" si="301"/>
        <v/>
      </c>
      <c r="AJ469" s="73" t="str">
        <f t="shared" si="302"/>
        <v/>
      </c>
      <c r="AK469" s="73" t="b">
        <f t="shared" si="275"/>
        <v>1</v>
      </c>
      <c r="AL469" s="73" t="str">
        <f t="shared" si="303"/>
        <v/>
      </c>
      <c r="AM469" s="73" t="str">
        <f t="shared" si="304"/>
        <v/>
      </c>
      <c r="AN469" s="73" t="str">
        <f t="shared" si="305"/>
        <v/>
      </c>
      <c r="AO469" s="73" t="str">
        <f t="shared" si="306"/>
        <v/>
      </c>
      <c r="AP469" s="73" t="str">
        <f t="shared" si="307"/>
        <v/>
      </c>
    </row>
    <row r="470" spans="1:42" s="31" customFormat="1" x14ac:dyDescent="0.6">
      <c r="A470" s="70" t="str">
        <f t="shared" ref="A470:A533" si="308">IFERROR(IF((A469+1)&lt;=$F$7*12,A469+1,""),"")</f>
        <v/>
      </c>
      <c r="B470" s="70" t="str">
        <f>IF(E470&lt;=$F$9,VLOOKUP(KALKULATOR!A470,Robocze!$B$23:$C$102,2),"")</f>
        <v/>
      </c>
      <c r="C470" s="70" t="str">
        <f t="shared" si="276"/>
        <v/>
      </c>
      <c r="D470" s="71" t="str">
        <f t="shared" si="277"/>
        <v/>
      </c>
      <c r="E470" s="77" t="str">
        <f t="shared" si="278"/>
        <v/>
      </c>
      <c r="F470" s="72" t="str">
        <f t="shared" si="279"/>
        <v/>
      </c>
      <c r="G470" s="73" t="str">
        <f>IFERROR(IF(AND(F470&lt;=$F$9,$F$5=Robocze!$B$4,$E470&lt;=$F$9,MONTH($F$8)=MONTH(E470)),$F$4,0)+IF(AND(F470&lt;=$F$9,$F$5=Robocze!$B$3,E470&lt;=$F$9),KALKULATOR!$F$4/12,0),"")</f>
        <v/>
      </c>
      <c r="H470" s="73" t="str">
        <f t="shared" si="280"/>
        <v/>
      </c>
      <c r="I470" s="74" t="str">
        <f t="shared" si="281"/>
        <v/>
      </c>
      <c r="J470" s="73" t="str">
        <f t="shared" si="282"/>
        <v/>
      </c>
      <c r="K470" s="75" t="str">
        <f t="shared" si="283"/>
        <v/>
      </c>
      <c r="L470" s="73" t="str">
        <f t="shared" si="284"/>
        <v/>
      </c>
      <c r="M470" s="73" t="str">
        <f t="shared" si="285"/>
        <v/>
      </c>
      <c r="N470" s="73" t="str">
        <f t="shared" si="286"/>
        <v/>
      </c>
      <c r="O470" s="73" t="str">
        <f t="shared" si="287"/>
        <v/>
      </c>
      <c r="P470" s="73" t="str">
        <f t="shared" si="288"/>
        <v/>
      </c>
      <c r="Q470" s="73" t="str">
        <f t="shared" si="289"/>
        <v/>
      </c>
      <c r="R470" s="73"/>
      <c r="S470" s="76" t="str">
        <f t="shared" si="290"/>
        <v/>
      </c>
      <c r="T470" s="73" t="str">
        <f t="shared" si="291"/>
        <v/>
      </c>
      <c r="U470" s="73" t="str">
        <f t="shared" si="292"/>
        <v/>
      </c>
      <c r="V470" s="76" t="str">
        <f t="shared" si="293"/>
        <v/>
      </c>
      <c r="W470" s="73" t="str">
        <f t="shared" si="294"/>
        <v/>
      </c>
      <c r="X470" s="73" t="str">
        <f>IF(B470&lt;&gt;"",IF(MONTH(E470)=MONTH($F$13),SUMIF($C$22:C849,"="&amp;(C470-1),$G$22:G849),0)*S470,"")</f>
        <v/>
      </c>
      <c r="Y470" s="73" t="str">
        <f>IF(B470&lt;&gt;"",SUM($X$22:X470),"")</f>
        <v/>
      </c>
      <c r="Z470" s="73" t="str">
        <f t="shared" si="295"/>
        <v/>
      </c>
      <c r="AA470" s="73" t="str">
        <f t="shared" si="296"/>
        <v/>
      </c>
      <c r="AB470" s="73" t="str">
        <f t="shared" si="297"/>
        <v/>
      </c>
      <c r="AC470" s="73" t="str">
        <f t="shared" si="298"/>
        <v/>
      </c>
      <c r="AD470" s="73" t="str">
        <f>IFERROR($U470*(1-$V470)+SUM($W$22:$W470)+$AB470,"")</f>
        <v/>
      </c>
      <c r="AE470" s="73" t="b">
        <f t="shared" si="274"/>
        <v>1</v>
      </c>
      <c r="AF470" s="73" t="e">
        <f>IF(AND(AE470=TRUE,D470&gt;=65),$U470*(1-10%)+SUM($W$22:$W470)+$AB470,AD470)</f>
        <v>#VALUE!</v>
      </c>
      <c r="AG470" s="73" t="str">
        <f t="shared" si="299"/>
        <v/>
      </c>
      <c r="AH470" s="73" t="str">
        <f t="shared" si="300"/>
        <v/>
      </c>
      <c r="AI470" s="73" t="str">
        <f t="shared" si="301"/>
        <v/>
      </c>
      <c r="AJ470" s="73" t="str">
        <f t="shared" si="302"/>
        <v/>
      </c>
      <c r="AK470" s="73" t="b">
        <f t="shared" si="275"/>
        <v>1</v>
      </c>
      <c r="AL470" s="73" t="str">
        <f t="shared" si="303"/>
        <v/>
      </c>
      <c r="AM470" s="73" t="str">
        <f t="shared" si="304"/>
        <v/>
      </c>
      <c r="AN470" s="73" t="str">
        <f t="shared" si="305"/>
        <v/>
      </c>
      <c r="AO470" s="73" t="str">
        <f t="shared" si="306"/>
        <v/>
      </c>
      <c r="AP470" s="73" t="str">
        <f t="shared" si="307"/>
        <v/>
      </c>
    </row>
    <row r="471" spans="1:42" s="31" customFormat="1" x14ac:dyDescent="0.6">
      <c r="A471" s="70" t="str">
        <f t="shared" si="308"/>
        <v/>
      </c>
      <c r="B471" s="70" t="str">
        <f>IF(E471&lt;=$F$9,VLOOKUP(KALKULATOR!A471,Robocze!$B$23:$C$102,2),"")</f>
        <v/>
      </c>
      <c r="C471" s="70" t="str">
        <f t="shared" si="276"/>
        <v/>
      </c>
      <c r="D471" s="71" t="str">
        <f t="shared" si="277"/>
        <v/>
      </c>
      <c r="E471" s="77" t="str">
        <f t="shared" si="278"/>
        <v/>
      </c>
      <c r="F471" s="72" t="str">
        <f t="shared" si="279"/>
        <v/>
      </c>
      <c r="G471" s="73" t="str">
        <f>IFERROR(IF(AND(F471&lt;=$F$9,$F$5=Robocze!$B$4,$E471&lt;=$F$9,MONTH($F$8)=MONTH(E471)),$F$4,0)+IF(AND(F471&lt;=$F$9,$F$5=Robocze!$B$3,E471&lt;=$F$9),KALKULATOR!$F$4/12,0),"")</f>
        <v/>
      </c>
      <c r="H471" s="73" t="str">
        <f t="shared" si="280"/>
        <v/>
      </c>
      <c r="I471" s="74" t="str">
        <f t="shared" si="281"/>
        <v/>
      </c>
      <c r="J471" s="73" t="str">
        <f t="shared" si="282"/>
        <v/>
      </c>
      <c r="K471" s="75" t="str">
        <f t="shared" si="283"/>
        <v/>
      </c>
      <c r="L471" s="73" t="str">
        <f t="shared" si="284"/>
        <v/>
      </c>
      <c r="M471" s="73" t="str">
        <f t="shared" si="285"/>
        <v/>
      </c>
      <c r="N471" s="73" t="str">
        <f t="shared" si="286"/>
        <v/>
      </c>
      <c r="O471" s="73" t="str">
        <f t="shared" si="287"/>
        <v/>
      </c>
      <c r="P471" s="73" t="str">
        <f t="shared" si="288"/>
        <v/>
      </c>
      <c r="Q471" s="73" t="str">
        <f t="shared" si="289"/>
        <v/>
      </c>
      <c r="R471" s="73"/>
      <c r="S471" s="76" t="str">
        <f t="shared" si="290"/>
        <v/>
      </c>
      <c r="T471" s="73" t="str">
        <f t="shared" si="291"/>
        <v/>
      </c>
      <c r="U471" s="73" t="str">
        <f t="shared" si="292"/>
        <v/>
      </c>
      <c r="V471" s="76" t="str">
        <f t="shared" si="293"/>
        <v/>
      </c>
      <c r="W471" s="73" t="str">
        <f t="shared" si="294"/>
        <v/>
      </c>
      <c r="X471" s="73" t="str">
        <f>IF(B471&lt;&gt;"",IF(MONTH(E471)=MONTH($F$13),SUMIF($C$22:C850,"="&amp;(C471-1),$G$22:G850),0)*S471,"")</f>
        <v/>
      </c>
      <c r="Y471" s="73" t="str">
        <f>IF(B471&lt;&gt;"",SUM($X$22:X471),"")</f>
        <v/>
      </c>
      <c r="Z471" s="73" t="str">
        <f t="shared" si="295"/>
        <v/>
      </c>
      <c r="AA471" s="73" t="str">
        <f t="shared" si="296"/>
        <v/>
      </c>
      <c r="AB471" s="73" t="str">
        <f t="shared" si="297"/>
        <v/>
      </c>
      <c r="AC471" s="73" t="str">
        <f t="shared" si="298"/>
        <v/>
      </c>
      <c r="AD471" s="73" t="str">
        <f>IFERROR($U471*(1-$V471)+SUM($W$22:$W471)+$AB471,"")</f>
        <v/>
      </c>
      <c r="AE471" s="73" t="b">
        <f t="shared" ref="AE471:AE534" si="309">IFERROR(IF(AE470=TRUE,AE470,AND(YEAR(E471)-YEAR($F$8)&gt;=5,D471&gt;=65)),"")</f>
        <v>1</v>
      </c>
      <c r="AF471" s="73" t="e">
        <f>IF(AND(AE471=TRUE,D471&gt;=65),$U471*(1-10%)+SUM($W$22:$W471)+$AB471,AD471)</f>
        <v>#VALUE!</v>
      </c>
      <c r="AG471" s="73" t="str">
        <f t="shared" si="299"/>
        <v/>
      </c>
      <c r="AH471" s="73" t="str">
        <f t="shared" si="300"/>
        <v/>
      </c>
      <c r="AI471" s="73" t="str">
        <f t="shared" si="301"/>
        <v/>
      </c>
      <c r="AJ471" s="73" t="str">
        <f t="shared" si="302"/>
        <v/>
      </c>
      <c r="AK471" s="73" t="b">
        <f t="shared" ref="AK471:AK534" si="310">IFERROR(IF(AK470=TRUE,AK470,AND(YEAR(E471)-YEAR($F$8)&gt;=5,D471&gt;=55,OR(D471&gt;=60,D471&gt;=$F$10))),"")</f>
        <v>1</v>
      </c>
      <c r="AL471" s="73" t="str">
        <f t="shared" si="303"/>
        <v/>
      </c>
      <c r="AM471" s="73" t="str">
        <f t="shared" si="304"/>
        <v/>
      </c>
      <c r="AN471" s="73" t="str">
        <f t="shared" si="305"/>
        <v/>
      </c>
      <c r="AO471" s="73" t="str">
        <f t="shared" si="306"/>
        <v/>
      </c>
      <c r="AP471" s="73" t="str">
        <f t="shared" si="307"/>
        <v/>
      </c>
    </row>
    <row r="472" spans="1:42" s="31" customFormat="1" x14ac:dyDescent="0.6">
      <c r="A472" s="70" t="str">
        <f t="shared" si="308"/>
        <v/>
      </c>
      <c r="B472" s="70" t="str">
        <f>IF(E472&lt;=$F$9,VLOOKUP(KALKULATOR!A472,Robocze!$B$23:$C$102,2),"")</f>
        <v/>
      </c>
      <c r="C472" s="70" t="str">
        <f t="shared" si="276"/>
        <v/>
      </c>
      <c r="D472" s="71" t="str">
        <f t="shared" si="277"/>
        <v/>
      </c>
      <c r="E472" s="77" t="str">
        <f t="shared" si="278"/>
        <v/>
      </c>
      <c r="F472" s="72" t="str">
        <f t="shared" si="279"/>
        <v/>
      </c>
      <c r="G472" s="73" t="str">
        <f>IFERROR(IF(AND(F472&lt;=$F$9,$F$5=Robocze!$B$4,$E472&lt;=$F$9,MONTH($F$8)=MONTH(E472)),$F$4,0)+IF(AND(F472&lt;=$F$9,$F$5=Robocze!$B$3,E472&lt;=$F$9),KALKULATOR!$F$4/12,0),"")</f>
        <v/>
      </c>
      <c r="H472" s="73" t="str">
        <f t="shared" si="280"/>
        <v/>
      </c>
      <c r="I472" s="74" t="str">
        <f t="shared" si="281"/>
        <v/>
      </c>
      <c r="J472" s="73" t="str">
        <f t="shared" si="282"/>
        <v/>
      </c>
      <c r="K472" s="75" t="str">
        <f t="shared" si="283"/>
        <v/>
      </c>
      <c r="L472" s="73" t="str">
        <f t="shared" si="284"/>
        <v/>
      </c>
      <c r="M472" s="73" t="str">
        <f t="shared" si="285"/>
        <v/>
      </c>
      <c r="N472" s="73" t="str">
        <f t="shared" si="286"/>
        <v/>
      </c>
      <c r="O472" s="73" t="str">
        <f t="shared" si="287"/>
        <v/>
      </c>
      <c r="P472" s="73" t="str">
        <f t="shared" si="288"/>
        <v/>
      </c>
      <c r="Q472" s="73" t="str">
        <f t="shared" si="289"/>
        <v/>
      </c>
      <c r="R472" s="73"/>
      <c r="S472" s="76" t="str">
        <f t="shared" si="290"/>
        <v/>
      </c>
      <c r="T472" s="73" t="str">
        <f t="shared" si="291"/>
        <v/>
      </c>
      <c r="U472" s="73" t="str">
        <f t="shared" si="292"/>
        <v/>
      </c>
      <c r="V472" s="76" t="str">
        <f t="shared" si="293"/>
        <v/>
      </c>
      <c r="W472" s="73" t="str">
        <f t="shared" si="294"/>
        <v/>
      </c>
      <c r="X472" s="73" t="str">
        <f>IF(B472&lt;&gt;"",IF(MONTH(E472)=MONTH($F$13),SUMIF($C$22:C851,"="&amp;(C472-1),$G$22:G851),0)*S472,"")</f>
        <v/>
      </c>
      <c r="Y472" s="73" t="str">
        <f>IF(B472&lt;&gt;"",SUM($X$22:X472),"")</f>
        <v/>
      </c>
      <c r="Z472" s="73" t="str">
        <f t="shared" si="295"/>
        <v/>
      </c>
      <c r="AA472" s="73" t="str">
        <f t="shared" si="296"/>
        <v/>
      </c>
      <c r="AB472" s="73" t="str">
        <f t="shared" si="297"/>
        <v/>
      </c>
      <c r="AC472" s="73" t="str">
        <f t="shared" si="298"/>
        <v/>
      </c>
      <c r="AD472" s="73" t="str">
        <f>IFERROR($U472*(1-$V472)+SUM($W$22:$W472)+$AB472,"")</f>
        <v/>
      </c>
      <c r="AE472" s="73" t="b">
        <f t="shared" si="309"/>
        <v>1</v>
      </c>
      <c r="AF472" s="73" t="e">
        <f>IF(AND(AE472=TRUE,D472&gt;=65),$U472*(1-10%)+SUM($W$22:$W472)+$AB472,AD472)</f>
        <v>#VALUE!</v>
      </c>
      <c r="AG472" s="73" t="str">
        <f t="shared" si="299"/>
        <v/>
      </c>
      <c r="AH472" s="73" t="str">
        <f t="shared" si="300"/>
        <v/>
      </c>
      <c r="AI472" s="73" t="str">
        <f t="shared" si="301"/>
        <v/>
      </c>
      <c r="AJ472" s="73" t="str">
        <f t="shared" si="302"/>
        <v/>
      </c>
      <c r="AK472" s="73" t="b">
        <f t="shared" si="310"/>
        <v>1</v>
      </c>
      <c r="AL472" s="73" t="str">
        <f t="shared" si="303"/>
        <v/>
      </c>
      <c r="AM472" s="73" t="str">
        <f t="shared" si="304"/>
        <v/>
      </c>
      <c r="AN472" s="73" t="str">
        <f t="shared" si="305"/>
        <v/>
      </c>
      <c r="AO472" s="73" t="str">
        <f t="shared" si="306"/>
        <v/>
      </c>
      <c r="AP472" s="73" t="str">
        <f t="shared" si="307"/>
        <v/>
      </c>
    </row>
    <row r="473" spans="1:42" s="31" customFormat="1" x14ac:dyDescent="0.6">
      <c r="A473" s="70" t="str">
        <f t="shared" si="308"/>
        <v/>
      </c>
      <c r="B473" s="70" t="str">
        <f>IF(E473&lt;=$F$9,VLOOKUP(KALKULATOR!A473,Robocze!$B$23:$C$102,2),"")</f>
        <v/>
      </c>
      <c r="C473" s="70" t="str">
        <f t="shared" si="276"/>
        <v/>
      </c>
      <c r="D473" s="71" t="str">
        <f t="shared" si="277"/>
        <v/>
      </c>
      <c r="E473" s="77" t="str">
        <f t="shared" si="278"/>
        <v/>
      </c>
      <c r="F473" s="72" t="str">
        <f t="shared" si="279"/>
        <v/>
      </c>
      <c r="G473" s="73" t="str">
        <f>IFERROR(IF(AND(F473&lt;=$F$9,$F$5=Robocze!$B$4,$E473&lt;=$F$9,MONTH($F$8)=MONTH(E473)),$F$4,0)+IF(AND(F473&lt;=$F$9,$F$5=Robocze!$B$3,E473&lt;=$F$9),KALKULATOR!$F$4/12,0),"")</f>
        <v/>
      </c>
      <c r="H473" s="73" t="str">
        <f t="shared" si="280"/>
        <v/>
      </c>
      <c r="I473" s="74" t="str">
        <f t="shared" si="281"/>
        <v/>
      </c>
      <c r="J473" s="73" t="str">
        <f t="shared" si="282"/>
        <v/>
      </c>
      <c r="K473" s="75" t="str">
        <f t="shared" si="283"/>
        <v/>
      </c>
      <c r="L473" s="73" t="str">
        <f t="shared" si="284"/>
        <v/>
      </c>
      <c r="M473" s="73" t="str">
        <f t="shared" si="285"/>
        <v/>
      </c>
      <c r="N473" s="73" t="str">
        <f t="shared" si="286"/>
        <v/>
      </c>
      <c r="O473" s="73" t="str">
        <f t="shared" si="287"/>
        <v/>
      </c>
      <c r="P473" s="73" t="str">
        <f t="shared" si="288"/>
        <v/>
      </c>
      <c r="Q473" s="73" t="str">
        <f t="shared" si="289"/>
        <v/>
      </c>
      <c r="R473" s="73"/>
      <c r="S473" s="76" t="str">
        <f t="shared" si="290"/>
        <v/>
      </c>
      <c r="T473" s="73" t="str">
        <f t="shared" si="291"/>
        <v/>
      </c>
      <c r="U473" s="73" t="str">
        <f t="shared" si="292"/>
        <v/>
      </c>
      <c r="V473" s="76" t="str">
        <f t="shared" si="293"/>
        <v/>
      </c>
      <c r="W473" s="73" t="str">
        <f t="shared" si="294"/>
        <v/>
      </c>
      <c r="X473" s="73" t="str">
        <f>IF(B473&lt;&gt;"",IF(MONTH(E473)=MONTH($F$13),SUMIF($C$22:C852,"="&amp;(C473-1),$G$22:G852),0)*S473,"")</f>
        <v/>
      </c>
      <c r="Y473" s="73" t="str">
        <f>IF(B473&lt;&gt;"",SUM($X$22:X473),"")</f>
        <v/>
      </c>
      <c r="Z473" s="73" t="str">
        <f t="shared" si="295"/>
        <v/>
      </c>
      <c r="AA473" s="73" t="str">
        <f t="shared" si="296"/>
        <v/>
      </c>
      <c r="AB473" s="73" t="str">
        <f t="shared" si="297"/>
        <v/>
      </c>
      <c r="AC473" s="73" t="str">
        <f t="shared" si="298"/>
        <v/>
      </c>
      <c r="AD473" s="73" t="str">
        <f>IFERROR($U473*(1-$V473)+SUM($W$22:$W473)+$AB473,"")</f>
        <v/>
      </c>
      <c r="AE473" s="73" t="b">
        <f t="shared" si="309"/>
        <v>1</v>
      </c>
      <c r="AF473" s="73" t="e">
        <f>IF(AND(AE473=TRUE,D473&gt;=65),$U473*(1-10%)+SUM($W$22:$W473)+$AB473,AD473)</f>
        <v>#VALUE!</v>
      </c>
      <c r="AG473" s="73" t="str">
        <f t="shared" si="299"/>
        <v/>
      </c>
      <c r="AH473" s="73" t="str">
        <f t="shared" si="300"/>
        <v/>
      </c>
      <c r="AI473" s="73" t="str">
        <f t="shared" si="301"/>
        <v/>
      </c>
      <c r="AJ473" s="73" t="str">
        <f t="shared" si="302"/>
        <v/>
      </c>
      <c r="AK473" s="73" t="b">
        <f t="shared" si="310"/>
        <v>1</v>
      </c>
      <c r="AL473" s="73" t="str">
        <f t="shared" si="303"/>
        <v/>
      </c>
      <c r="AM473" s="73" t="str">
        <f t="shared" si="304"/>
        <v/>
      </c>
      <c r="AN473" s="73" t="str">
        <f t="shared" si="305"/>
        <v/>
      </c>
      <c r="AO473" s="73" t="str">
        <f t="shared" si="306"/>
        <v/>
      </c>
      <c r="AP473" s="73" t="str">
        <f t="shared" si="307"/>
        <v/>
      </c>
    </row>
    <row r="474" spans="1:42" s="31" customFormat="1" x14ac:dyDescent="0.6">
      <c r="A474" s="70" t="str">
        <f t="shared" si="308"/>
        <v/>
      </c>
      <c r="B474" s="70" t="str">
        <f>IF(E474&lt;=$F$9,VLOOKUP(KALKULATOR!A474,Robocze!$B$23:$C$102,2),"")</f>
        <v/>
      </c>
      <c r="C474" s="70" t="str">
        <f t="shared" si="276"/>
        <v/>
      </c>
      <c r="D474" s="71" t="str">
        <f t="shared" si="277"/>
        <v/>
      </c>
      <c r="E474" s="77" t="str">
        <f t="shared" si="278"/>
        <v/>
      </c>
      <c r="F474" s="72" t="str">
        <f t="shared" si="279"/>
        <v/>
      </c>
      <c r="G474" s="73" t="str">
        <f>IFERROR(IF(AND(F474&lt;=$F$9,$F$5=Robocze!$B$4,$E474&lt;=$F$9,MONTH($F$8)=MONTH(E474)),$F$4,0)+IF(AND(F474&lt;=$F$9,$F$5=Robocze!$B$3,E474&lt;=$F$9),KALKULATOR!$F$4/12,0),"")</f>
        <v/>
      </c>
      <c r="H474" s="73" t="str">
        <f t="shared" si="280"/>
        <v/>
      </c>
      <c r="I474" s="74" t="str">
        <f t="shared" si="281"/>
        <v/>
      </c>
      <c r="J474" s="73" t="str">
        <f t="shared" si="282"/>
        <v/>
      </c>
      <c r="K474" s="75" t="str">
        <f t="shared" si="283"/>
        <v/>
      </c>
      <c r="L474" s="73" t="str">
        <f t="shared" si="284"/>
        <v/>
      </c>
      <c r="M474" s="73" t="str">
        <f t="shared" si="285"/>
        <v/>
      </c>
      <c r="N474" s="73" t="str">
        <f t="shared" si="286"/>
        <v/>
      </c>
      <c r="O474" s="73" t="str">
        <f t="shared" si="287"/>
        <v/>
      </c>
      <c r="P474" s="73" t="str">
        <f t="shared" si="288"/>
        <v/>
      </c>
      <c r="Q474" s="73" t="str">
        <f t="shared" si="289"/>
        <v/>
      </c>
      <c r="R474" s="73"/>
      <c r="S474" s="76" t="str">
        <f t="shared" si="290"/>
        <v/>
      </c>
      <c r="T474" s="73" t="str">
        <f t="shared" si="291"/>
        <v/>
      </c>
      <c r="U474" s="73" t="str">
        <f t="shared" si="292"/>
        <v/>
      </c>
      <c r="V474" s="76" t="str">
        <f t="shared" si="293"/>
        <v/>
      </c>
      <c r="W474" s="73" t="str">
        <f t="shared" si="294"/>
        <v/>
      </c>
      <c r="X474" s="73" t="str">
        <f>IF(B474&lt;&gt;"",IF(MONTH(E474)=MONTH($F$13),SUMIF($C$22:C853,"="&amp;(C474-1),$G$22:G853),0)*S474,"")</f>
        <v/>
      </c>
      <c r="Y474" s="73" t="str">
        <f>IF(B474&lt;&gt;"",SUM($X$22:X474),"")</f>
        <v/>
      </c>
      <c r="Z474" s="73" t="str">
        <f t="shared" si="295"/>
        <v/>
      </c>
      <c r="AA474" s="73" t="str">
        <f t="shared" si="296"/>
        <v/>
      </c>
      <c r="AB474" s="73" t="str">
        <f t="shared" si="297"/>
        <v/>
      </c>
      <c r="AC474" s="73" t="str">
        <f t="shared" si="298"/>
        <v/>
      </c>
      <c r="AD474" s="73" t="str">
        <f>IFERROR($U474*(1-$V474)+SUM($W$22:$W474)+$AB474,"")</f>
        <v/>
      </c>
      <c r="AE474" s="73" t="b">
        <f t="shared" si="309"/>
        <v>1</v>
      </c>
      <c r="AF474" s="73" t="e">
        <f>IF(AND(AE474=TRUE,D474&gt;=65),$U474*(1-10%)+SUM($W$22:$W474)+$AB474,AD474)</f>
        <v>#VALUE!</v>
      </c>
      <c r="AG474" s="73" t="str">
        <f t="shared" si="299"/>
        <v/>
      </c>
      <c r="AH474" s="73" t="str">
        <f t="shared" si="300"/>
        <v/>
      </c>
      <c r="AI474" s="73" t="str">
        <f t="shared" si="301"/>
        <v/>
      </c>
      <c r="AJ474" s="73" t="str">
        <f t="shared" si="302"/>
        <v/>
      </c>
      <c r="AK474" s="73" t="b">
        <f t="shared" si="310"/>
        <v>1</v>
      </c>
      <c r="AL474" s="73" t="str">
        <f t="shared" si="303"/>
        <v/>
      </c>
      <c r="AM474" s="73" t="str">
        <f t="shared" si="304"/>
        <v/>
      </c>
      <c r="AN474" s="73" t="str">
        <f t="shared" si="305"/>
        <v/>
      </c>
      <c r="AO474" s="73" t="str">
        <f t="shared" si="306"/>
        <v/>
      </c>
      <c r="AP474" s="73" t="str">
        <f t="shared" si="307"/>
        <v/>
      </c>
    </row>
    <row r="475" spans="1:42" s="31" customFormat="1" x14ac:dyDescent="0.6">
      <c r="A475" s="70" t="str">
        <f t="shared" si="308"/>
        <v/>
      </c>
      <c r="B475" s="70" t="str">
        <f>IF(E475&lt;=$F$9,VLOOKUP(KALKULATOR!A475,Robocze!$B$23:$C$102,2),"")</f>
        <v/>
      </c>
      <c r="C475" s="70" t="str">
        <f t="shared" si="276"/>
        <v/>
      </c>
      <c r="D475" s="71" t="str">
        <f t="shared" si="277"/>
        <v/>
      </c>
      <c r="E475" s="77" t="str">
        <f t="shared" si="278"/>
        <v/>
      </c>
      <c r="F475" s="72" t="str">
        <f t="shared" si="279"/>
        <v/>
      </c>
      <c r="G475" s="73" t="str">
        <f>IFERROR(IF(AND(F475&lt;=$F$9,$F$5=Robocze!$B$4,$E475&lt;=$F$9,MONTH($F$8)=MONTH(E475)),$F$4,0)+IF(AND(F475&lt;=$F$9,$F$5=Robocze!$B$3,E475&lt;=$F$9),KALKULATOR!$F$4/12,0),"")</f>
        <v/>
      </c>
      <c r="H475" s="73" t="str">
        <f t="shared" si="280"/>
        <v/>
      </c>
      <c r="I475" s="74" t="str">
        <f t="shared" si="281"/>
        <v/>
      </c>
      <c r="J475" s="73" t="str">
        <f t="shared" si="282"/>
        <v/>
      </c>
      <c r="K475" s="75" t="str">
        <f t="shared" si="283"/>
        <v/>
      </c>
      <c r="L475" s="73" t="str">
        <f t="shared" si="284"/>
        <v/>
      </c>
      <c r="M475" s="73" t="str">
        <f t="shared" si="285"/>
        <v/>
      </c>
      <c r="N475" s="73" t="str">
        <f t="shared" si="286"/>
        <v/>
      </c>
      <c r="O475" s="73" t="str">
        <f t="shared" si="287"/>
        <v/>
      </c>
      <c r="P475" s="73" t="str">
        <f t="shared" si="288"/>
        <v/>
      </c>
      <c r="Q475" s="73" t="str">
        <f t="shared" si="289"/>
        <v/>
      </c>
      <c r="R475" s="73"/>
      <c r="S475" s="76" t="str">
        <f t="shared" si="290"/>
        <v/>
      </c>
      <c r="T475" s="73" t="str">
        <f t="shared" si="291"/>
        <v/>
      </c>
      <c r="U475" s="73" t="str">
        <f t="shared" si="292"/>
        <v/>
      </c>
      <c r="V475" s="76" t="str">
        <f t="shared" si="293"/>
        <v/>
      </c>
      <c r="W475" s="73" t="str">
        <f t="shared" si="294"/>
        <v/>
      </c>
      <c r="X475" s="73" t="str">
        <f>IF(B475&lt;&gt;"",IF(MONTH(E475)=MONTH($F$13),SUMIF($C$22:C854,"="&amp;(C475-1),$G$22:G854),0)*S475,"")</f>
        <v/>
      </c>
      <c r="Y475" s="73" t="str">
        <f>IF(B475&lt;&gt;"",SUM($X$22:X475),"")</f>
        <v/>
      </c>
      <c r="Z475" s="73" t="str">
        <f t="shared" si="295"/>
        <v/>
      </c>
      <c r="AA475" s="73" t="str">
        <f t="shared" si="296"/>
        <v/>
      </c>
      <c r="AB475" s="73" t="str">
        <f t="shared" si="297"/>
        <v/>
      </c>
      <c r="AC475" s="73" t="str">
        <f t="shared" si="298"/>
        <v/>
      </c>
      <c r="AD475" s="73" t="str">
        <f>IFERROR($U475*(1-$V475)+SUM($W$22:$W475)+$AB475,"")</f>
        <v/>
      </c>
      <c r="AE475" s="73" t="b">
        <f t="shared" si="309"/>
        <v>1</v>
      </c>
      <c r="AF475" s="73" t="e">
        <f>IF(AND(AE475=TRUE,D475&gt;=65),$U475*(1-10%)+SUM($W$22:$W475)+$AB475,AD475)</f>
        <v>#VALUE!</v>
      </c>
      <c r="AG475" s="73" t="str">
        <f t="shared" si="299"/>
        <v/>
      </c>
      <c r="AH475" s="73" t="str">
        <f t="shared" si="300"/>
        <v/>
      </c>
      <c r="AI475" s="73" t="str">
        <f t="shared" si="301"/>
        <v/>
      </c>
      <c r="AJ475" s="73" t="str">
        <f t="shared" si="302"/>
        <v/>
      </c>
      <c r="AK475" s="73" t="b">
        <f t="shared" si="310"/>
        <v>1</v>
      </c>
      <c r="AL475" s="73" t="str">
        <f t="shared" si="303"/>
        <v/>
      </c>
      <c r="AM475" s="73" t="str">
        <f t="shared" si="304"/>
        <v/>
      </c>
      <c r="AN475" s="73" t="str">
        <f t="shared" si="305"/>
        <v/>
      </c>
      <c r="AO475" s="73" t="str">
        <f t="shared" si="306"/>
        <v/>
      </c>
      <c r="AP475" s="73" t="str">
        <f t="shared" si="307"/>
        <v/>
      </c>
    </row>
    <row r="476" spans="1:42" s="31" customFormat="1" x14ac:dyDescent="0.6">
      <c r="A476" s="70" t="str">
        <f t="shared" si="308"/>
        <v/>
      </c>
      <c r="B476" s="70" t="str">
        <f>IF(E476&lt;=$F$9,VLOOKUP(KALKULATOR!A476,Robocze!$B$23:$C$102,2),"")</f>
        <v/>
      </c>
      <c r="C476" s="70" t="str">
        <f t="shared" si="276"/>
        <v/>
      </c>
      <c r="D476" s="71" t="str">
        <f t="shared" si="277"/>
        <v/>
      </c>
      <c r="E476" s="77" t="str">
        <f t="shared" si="278"/>
        <v/>
      </c>
      <c r="F476" s="72" t="str">
        <f t="shared" si="279"/>
        <v/>
      </c>
      <c r="G476" s="73" t="str">
        <f>IFERROR(IF(AND(F476&lt;=$F$9,$F$5=Robocze!$B$4,$E476&lt;=$F$9,MONTH($F$8)=MONTH(E476)),$F$4,0)+IF(AND(F476&lt;=$F$9,$F$5=Robocze!$B$3,E476&lt;=$F$9),KALKULATOR!$F$4/12,0),"")</f>
        <v/>
      </c>
      <c r="H476" s="73" t="str">
        <f t="shared" si="280"/>
        <v/>
      </c>
      <c r="I476" s="74" t="str">
        <f t="shared" si="281"/>
        <v/>
      </c>
      <c r="J476" s="73" t="str">
        <f t="shared" si="282"/>
        <v/>
      </c>
      <c r="K476" s="75" t="str">
        <f t="shared" si="283"/>
        <v/>
      </c>
      <c r="L476" s="73" t="str">
        <f t="shared" si="284"/>
        <v/>
      </c>
      <c r="M476" s="73" t="str">
        <f t="shared" si="285"/>
        <v/>
      </c>
      <c r="N476" s="73" t="str">
        <f t="shared" si="286"/>
        <v/>
      </c>
      <c r="O476" s="73" t="str">
        <f t="shared" si="287"/>
        <v/>
      </c>
      <c r="P476" s="73" t="str">
        <f t="shared" si="288"/>
        <v/>
      </c>
      <c r="Q476" s="73" t="str">
        <f t="shared" si="289"/>
        <v/>
      </c>
      <c r="R476" s="73"/>
      <c r="S476" s="76" t="str">
        <f t="shared" si="290"/>
        <v/>
      </c>
      <c r="T476" s="73" t="str">
        <f t="shared" si="291"/>
        <v/>
      </c>
      <c r="U476" s="73" t="str">
        <f t="shared" si="292"/>
        <v/>
      </c>
      <c r="V476" s="76" t="str">
        <f t="shared" si="293"/>
        <v/>
      </c>
      <c r="W476" s="73" t="str">
        <f t="shared" si="294"/>
        <v/>
      </c>
      <c r="X476" s="73" t="str">
        <f>IF(B476&lt;&gt;"",IF(MONTH(E476)=MONTH($F$13),SUMIF($C$22:C855,"="&amp;(C476-1),$G$22:G855),0)*S476,"")</f>
        <v/>
      </c>
      <c r="Y476" s="73" t="str">
        <f>IF(B476&lt;&gt;"",SUM($X$22:X476),"")</f>
        <v/>
      </c>
      <c r="Z476" s="73" t="str">
        <f t="shared" si="295"/>
        <v/>
      </c>
      <c r="AA476" s="73" t="str">
        <f t="shared" si="296"/>
        <v/>
      </c>
      <c r="AB476" s="73" t="str">
        <f t="shared" si="297"/>
        <v/>
      </c>
      <c r="AC476" s="73" t="str">
        <f t="shared" si="298"/>
        <v/>
      </c>
      <c r="AD476" s="73" t="str">
        <f>IFERROR($U476*(1-$V476)+SUM($W$22:$W476)+$AB476,"")</f>
        <v/>
      </c>
      <c r="AE476" s="73" t="b">
        <f t="shared" si="309"/>
        <v>1</v>
      </c>
      <c r="AF476" s="73" t="e">
        <f>IF(AND(AE476=TRUE,D476&gt;=65),$U476*(1-10%)+SUM($W$22:$W476)+$AB476,AD476)</f>
        <v>#VALUE!</v>
      </c>
      <c r="AG476" s="73" t="str">
        <f t="shared" si="299"/>
        <v/>
      </c>
      <c r="AH476" s="73" t="str">
        <f t="shared" si="300"/>
        <v/>
      </c>
      <c r="AI476" s="73" t="str">
        <f t="shared" si="301"/>
        <v/>
      </c>
      <c r="AJ476" s="73" t="str">
        <f t="shared" si="302"/>
        <v/>
      </c>
      <c r="AK476" s="73" t="b">
        <f t="shared" si="310"/>
        <v>1</v>
      </c>
      <c r="AL476" s="73" t="str">
        <f t="shared" si="303"/>
        <v/>
      </c>
      <c r="AM476" s="73" t="str">
        <f t="shared" si="304"/>
        <v/>
      </c>
      <c r="AN476" s="73" t="str">
        <f t="shared" si="305"/>
        <v/>
      </c>
      <c r="AO476" s="73" t="str">
        <f t="shared" si="306"/>
        <v/>
      </c>
      <c r="AP476" s="73" t="str">
        <f t="shared" si="307"/>
        <v/>
      </c>
    </row>
    <row r="477" spans="1:42" s="31" customFormat="1" x14ac:dyDescent="0.6">
      <c r="A477" s="70" t="str">
        <f t="shared" si="308"/>
        <v/>
      </c>
      <c r="B477" s="70" t="str">
        <f>IF(E477&lt;=$F$9,VLOOKUP(KALKULATOR!A477,Robocze!$B$23:$C$102,2),"")</f>
        <v/>
      </c>
      <c r="C477" s="70" t="str">
        <f t="shared" si="276"/>
        <v/>
      </c>
      <c r="D477" s="71" t="str">
        <f t="shared" si="277"/>
        <v/>
      </c>
      <c r="E477" s="77" t="str">
        <f t="shared" si="278"/>
        <v/>
      </c>
      <c r="F477" s="72" t="str">
        <f t="shared" si="279"/>
        <v/>
      </c>
      <c r="G477" s="73" t="str">
        <f>IFERROR(IF(AND(F477&lt;=$F$9,$F$5=Robocze!$B$4,$E477&lt;=$F$9,MONTH($F$8)=MONTH(E477)),$F$4,0)+IF(AND(F477&lt;=$F$9,$F$5=Robocze!$B$3,E477&lt;=$F$9),KALKULATOR!$F$4/12,0),"")</f>
        <v/>
      </c>
      <c r="H477" s="73" t="str">
        <f t="shared" si="280"/>
        <v/>
      </c>
      <c r="I477" s="74" t="str">
        <f t="shared" si="281"/>
        <v/>
      </c>
      <c r="J477" s="73" t="str">
        <f t="shared" si="282"/>
        <v/>
      </c>
      <c r="K477" s="75" t="str">
        <f t="shared" si="283"/>
        <v/>
      </c>
      <c r="L477" s="73" t="str">
        <f t="shared" si="284"/>
        <v/>
      </c>
      <c r="M477" s="73" t="str">
        <f t="shared" si="285"/>
        <v/>
      </c>
      <c r="N477" s="73" t="str">
        <f t="shared" si="286"/>
        <v/>
      </c>
      <c r="O477" s="73" t="str">
        <f t="shared" si="287"/>
        <v/>
      </c>
      <c r="P477" s="73" t="str">
        <f t="shared" si="288"/>
        <v/>
      </c>
      <c r="Q477" s="73" t="str">
        <f t="shared" si="289"/>
        <v/>
      </c>
      <c r="R477" s="73"/>
      <c r="S477" s="76" t="str">
        <f t="shared" si="290"/>
        <v/>
      </c>
      <c r="T477" s="73" t="str">
        <f t="shared" si="291"/>
        <v/>
      </c>
      <c r="U477" s="73" t="str">
        <f t="shared" si="292"/>
        <v/>
      </c>
      <c r="V477" s="76" t="str">
        <f t="shared" si="293"/>
        <v/>
      </c>
      <c r="W477" s="73" t="str">
        <f t="shared" si="294"/>
        <v/>
      </c>
      <c r="X477" s="73" t="str">
        <f>IF(B477&lt;&gt;"",IF(MONTH(E477)=MONTH($F$13),SUMIF($C$22:C856,"="&amp;(C477-1),$G$22:G856),0)*S477,"")</f>
        <v/>
      </c>
      <c r="Y477" s="73" t="str">
        <f>IF(B477&lt;&gt;"",SUM($X$22:X477),"")</f>
        <v/>
      </c>
      <c r="Z477" s="73" t="str">
        <f t="shared" si="295"/>
        <v/>
      </c>
      <c r="AA477" s="73" t="str">
        <f t="shared" si="296"/>
        <v/>
      </c>
      <c r="AB477" s="73" t="str">
        <f t="shared" si="297"/>
        <v/>
      </c>
      <c r="AC477" s="73" t="str">
        <f t="shared" si="298"/>
        <v/>
      </c>
      <c r="AD477" s="73" t="str">
        <f>IFERROR($U477*(1-$V477)+SUM($W$22:$W477)+$AB477,"")</f>
        <v/>
      </c>
      <c r="AE477" s="73" t="b">
        <f t="shared" si="309"/>
        <v>1</v>
      </c>
      <c r="AF477" s="73" t="e">
        <f>IF(AND(AE477=TRUE,D477&gt;=65),$U477*(1-10%)+SUM($W$22:$W477)+$AB477,AD477)</f>
        <v>#VALUE!</v>
      </c>
      <c r="AG477" s="73" t="str">
        <f t="shared" si="299"/>
        <v/>
      </c>
      <c r="AH477" s="73" t="str">
        <f t="shared" si="300"/>
        <v/>
      </c>
      <c r="AI477" s="73" t="str">
        <f t="shared" si="301"/>
        <v/>
      </c>
      <c r="AJ477" s="73" t="str">
        <f t="shared" si="302"/>
        <v/>
      </c>
      <c r="AK477" s="73" t="b">
        <f t="shared" si="310"/>
        <v>1</v>
      </c>
      <c r="AL477" s="73" t="str">
        <f t="shared" si="303"/>
        <v/>
      </c>
      <c r="AM477" s="73" t="str">
        <f t="shared" si="304"/>
        <v/>
      </c>
      <c r="AN477" s="73" t="str">
        <f t="shared" si="305"/>
        <v/>
      </c>
      <c r="AO477" s="73" t="str">
        <f t="shared" si="306"/>
        <v/>
      </c>
      <c r="AP477" s="73" t="str">
        <f t="shared" si="307"/>
        <v/>
      </c>
    </row>
    <row r="478" spans="1:42" s="31" customFormat="1" x14ac:dyDescent="0.6">
      <c r="A478" s="70" t="str">
        <f t="shared" si="308"/>
        <v/>
      </c>
      <c r="B478" s="70" t="str">
        <f>IF(E478&lt;=$F$9,VLOOKUP(KALKULATOR!A478,Robocze!$B$23:$C$102,2),"")</f>
        <v/>
      </c>
      <c r="C478" s="70" t="str">
        <f t="shared" si="276"/>
        <v/>
      </c>
      <c r="D478" s="71" t="str">
        <f t="shared" si="277"/>
        <v/>
      </c>
      <c r="E478" s="77" t="str">
        <f t="shared" si="278"/>
        <v/>
      </c>
      <c r="F478" s="72" t="str">
        <f t="shared" si="279"/>
        <v/>
      </c>
      <c r="G478" s="73" t="str">
        <f>IFERROR(IF(AND(F478&lt;=$F$9,$F$5=Robocze!$B$4,$E478&lt;=$F$9,MONTH($F$8)=MONTH(E478)),$F$4,0)+IF(AND(F478&lt;=$F$9,$F$5=Robocze!$B$3,E478&lt;=$F$9),KALKULATOR!$F$4/12,0),"")</f>
        <v/>
      </c>
      <c r="H478" s="73" t="str">
        <f t="shared" si="280"/>
        <v/>
      </c>
      <c r="I478" s="74" t="str">
        <f t="shared" si="281"/>
        <v/>
      </c>
      <c r="J478" s="73" t="str">
        <f t="shared" si="282"/>
        <v/>
      </c>
      <c r="K478" s="75" t="str">
        <f t="shared" si="283"/>
        <v/>
      </c>
      <c r="L478" s="73" t="str">
        <f t="shared" si="284"/>
        <v/>
      </c>
      <c r="M478" s="73" t="str">
        <f t="shared" si="285"/>
        <v/>
      </c>
      <c r="N478" s="73" t="str">
        <f t="shared" si="286"/>
        <v/>
      </c>
      <c r="O478" s="73" t="str">
        <f t="shared" si="287"/>
        <v/>
      </c>
      <c r="P478" s="73" t="str">
        <f t="shared" si="288"/>
        <v/>
      </c>
      <c r="Q478" s="73" t="str">
        <f t="shared" si="289"/>
        <v/>
      </c>
      <c r="R478" s="73"/>
      <c r="S478" s="76" t="str">
        <f t="shared" si="290"/>
        <v/>
      </c>
      <c r="T478" s="73" t="str">
        <f t="shared" si="291"/>
        <v/>
      </c>
      <c r="U478" s="73" t="str">
        <f t="shared" si="292"/>
        <v/>
      </c>
      <c r="V478" s="76" t="str">
        <f t="shared" si="293"/>
        <v/>
      </c>
      <c r="W478" s="73" t="str">
        <f t="shared" si="294"/>
        <v/>
      </c>
      <c r="X478" s="73" t="str">
        <f>IF(B478&lt;&gt;"",IF(MONTH(E478)=MONTH($F$13),SUMIF($C$22:C857,"="&amp;(C478-1),$G$22:G857),0)*S478,"")</f>
        <v/>
      </c>
      <c r="Y478" s="73" t="str">
        <f>IF(B478&lt;&gt;"",SUM($X$22:X478),"")</f>
        <v/>
      </c>
      <c r="Z478" s="73" t="str">
        <f t="shared" si="295"/>
        <v/>
      </c>
      <c r="AA478" s="73" t="str">
        <f t="shared" si="296"/>
        <v/>
      </c>
      <c r="AB478" s="73" t="str">
        <f t="shared" si="297"/>
        <v/>
      </c>
      <c r="AC478" s="73" t="str">
        <f t="shared" si="298"/>
        <v/>
      </c>
      <c r="AD478" s="73" t="str">
        <f>IFERROR($U478*(1-$V478)+SUM($W$22:$W478)+$AB478,"")</f>
        <v/>
      </c>
      <c r="AE478" s="73" t="b">
        <f t="shared" si="309"/>
        <v>1</v>
      </c>
      <c r="AF478" s="73" t="e">
        <f>IF(AND(AE478=TRUE,D478&gt;=65),$U478*(1-10%)+SUM($W$22:$W478)+$AB478,AD478)</f>
        <v>#VALUE!</v>
      </c>
      <c r="AG478" s="73" t="str">
        <f t="shared" si="299"/>
        <v/>
      </c>
      <c r="AH478" s="73" t="str">
        <f t="shared" si="300"/>
        <v/>
      </c>
      <c r="AI478" s="73" t="str">
        <f t="shared" si="301"/>
        <v/>
      </c>
      <c r="AJ478" s="73" t="str">
        <f t="shared" si="302"/>
        <v/>
      </c>
      <c r="AK478" s="73" t="b">
        <f t="shared" si="310"/>
        <v>1</v>
      </c>
      <c r="AL478" s="73" t="str">
        <f t="shared" si="303"/>
        <v/>
      </c>
      <c r="AM478" s="73" t="str">
        <f t="shared" si="304"/>
        <v/>
      </c>
      <c r="AN478" s="73" t="str">
        <f t="shared" si="305"/>
        <v/>
      </c>
      <c r="AO478" s="73" t="str">
        <f t="shared" si="306"/>
        <v/>
      </c>
      <c r="AP478" s="73" t="str">
        <f t="shared" si="307"/>
        <v/>
      </c>
    </row>
    <row r="479" spans="1:42" s="69" customFormat="1" x14ac:dyDescent="0.6">
      <c r="A479" s="78" t="str">
        <f t="shared" si="308"/>
        <v/>
      </c>
      <c r="B479" s="78" t="str">
        <f>IF(E479&lt;=$F$9,VLOOKUP(KALKULATOR!A479,Robocze!$B$23:$C$102,2),"")</f>
        <v/>
      </c>
      <c r="C479" s="78" t="str">
        <f t="shared" si="276"/>
        <v/>
      </c>
      <c r="D479" s="79" t="str">
        <f t="shared" si="277"/>
        <v/>
      </c>
      <c r="E479" s="80" t="str">
        <f t="shared" si="278"/>
        <v/>
      </c>
      <c r="F479" s="81" t="str">
        <f t="shared" si="279"/>
        <v/>
      </c>
      <c r="G479" s="82" t="str">
        <f>IFERROR(IF(AND(F479&lt;=$F$9,$F$5=Robocze!$B$4,$E479&lt;=$F$9,MONTH($F$8)=MONTH(E479)),$F$4,0)+IF(AND(F479&lt;=$F$9,$F$5=Robocze!$B$3,E479&lt;=$F$9),KALKULATOR!$F$4/12,0),"")</f>
        <v/>
      </c>
      <c r="H479" s="82" t="str">
        <f t="shared" si="280"/>
        <v/>
      </c>
      <c r="I479" s="83" t="str">
        <f t="shared" si="281"/>
        <v/>
      </c>
      <c r="J479" s="82" t="str">
        <f t="shared" si="282"/>
        <v/>
      </c>
      <c r="K479" s="84" t="str">
        <f t="shared" si="283"/>
        <v/>
      </c>
      <c r="L479" s="82" t="str">
        <f t="shared" si="284"/>
        <v/>
      </c>
      <c r="M479" s="82" t="str">
        <f t="shared" si="285"/>
        <v/>
      </c>
      <c r="N479" s="82" t="str">
        <f t="shared" si="286"/>
        <v/>
      </c>
      <c r="O479" s="82" t="str">
        <f t="shared" si="287"/>
        <v/>
      </c>
      <c r="P479" s="82" t="str">
        <f t="shared" si="288"/>
        <v/>
      </c>
      <c r="Q479" s="82" t="str">
        <f t="shared" si="289"/>
        <v/>
      </c>
      <c r="R479" s="82"/>
      <c r="S479" s="85" t="str">
        <f t="shared" si="290"/>
        <v/>
      </c>
      <c r="T479" s="82" t="str">
        <f t="shared" si="291"/>
        <v/>
      </c>
      <c r="U479" s="82" t="str">
        <f t="shared" si="292"/>
        <v/>
      </c>
      <c r="V479" s="85" t="str">
        <f t="shared" si="293"/>
        <v/>
      </c>
      <c r="W479" s="82" t="str">
        <f t="shared" si="294"/>
        <v/>
      </c>
      <c r="X479" s="82" t="str">
        <f>IF(B479&lt;&gt;"",IF(MONTH(E479)=MONTH($F$13),SUMIF($C$22:C858,"="&amp;(C479-1),$G$22:G858),0)*S479,"")</f>
        <v/>
      </c>
      <c r="Y479" s="82" t="str">
        <f>IF(B479&lt;&gt;"",SUM($X$22:X479),"")</f>
        <v/>
      </c>
      <c r="Z479" s="82" t="str">
        <f t="shared" si="295"/>
        <v/>
      </c>
      <c r="AA479" s="82" t="str">
        <f t="shared" si="296"/>
        <v/>
      </c>
      <c r="AB479" s="82" t="str">
        <f t="shared" si="297"/>
        <v/>
      </c>
      <c r="AC479" s="82" t="str">
        <f t="shared" si="298"/>
        <v/>
      </c>
      <c r="AD479" s="82" t="str">
        <f>IFERROR($U479*(1-$V479)+SUM($W$22:$W479)+$AB479,"")</f>
        <v/>
      </c>
      <c r="AE479" s="73" t="b">
        <f t="shared" si="309"/>
        <v>1</v>
      </c>
      <c r="AF479" s="82" t="e">
        <f>IF(AND(AE479=TRUE,D479&gt;=65),$U479*(1-10%)+SUM($W$22:$W479)+$AB479,AD479)</f>
        <v>#VALUE!</v>
      </c>
      <c r="AG479" s="82" t="str">
        <f t="shared" si="299"/>
        <v/>
      </c>
      <c r="AH479" s="82" t="str">
        <f t="shared" si="300"/>
        <v/>
      </c>
      <c r="AI479" s="82" t="str">
        <f t="shared" si="301"/>
        <v/>
      </c>
      <c r="AJ479" s="82" t="str">
        <f t="shared" si="302"/>
        <v/>
      </c>
      <c r="AK479" s="73" t="b">
        <f t="shared" si="310"/>
        <v>1</v>
      </c>
      <c r="AL479" s="82" t="str">
        <f t="shared" si="303"/>
        <v/>
      </c>
      <c r="AM479" s="82" t="str">
        <f t="shared" si="304"/>
        <v/>
      </c>
      <c r="AN479" s="82" t="str">
        <f t="shared" si="305"/>
        <v/>
      </c>
      <c r="AO479" s="82" t="str">
        <f t="shared" si="306"/>
        <v/>
      </c>
      <c r="AP479" s="82" t="str">
        <f t="shared" si="307"/>
        <v/>
      </c>
    </row>
    <row r="480" spans="1:42" s="31" customFormat="1" x14ac:dyDescent="0.6">
      <c r="A480" s="70" t="str">
        <f t="shared" si="308"/>
        <v/>
      </c>
      <c r="B480" s="70" t="str">
        <f>IF(E480&lt;=$F$9,VLOOKUP(KALKULATOR!A480,Robocze!$B$23:$C$102,2),"")</f>
        <v/>
      </c>
      <c r="C480" s="70" t="str">
        <f t="shared" si="276"/>
        <v/>
      </c>
      <c r="D480" s="71" t="str">
        <f t="shared" si="277"/>
        <v/>
      </c>
      <c r="E480" s="72" t="str">
        <f t="shared" si="278"/>
        <v/>
      </c>
      <c r="F480" s="72" t="str">
        <f t="shared" si="279"/>
        <v/>
      </c>
      <c r="G480" s="73" t="str">
        <f>IFERROR(IF(AND(F480&lt;=$F$9,$F$5=Robocze!$B$4,$E480&lt;=$F$9,MONTH($F$8)=MONTH(E480)),$F$4,0)+IF(AND(F480&lt;=$F$9,$F$5=Robocze!$B$3,E480&lt;=$F$9),KALKULATOR!$F$4/12,0),"")</f>
        <v/>
      </c>
      <c r="H480" s="73" t="str">
        <f t="shared" si="280"/>
        <v/>
      </c>
      <c r="I480" s="74" t="str">
        <f t="shared" si="281"/>
        <v/>
      </c>
      <c r="J480" s="73" t="str">
        <f t="shared" si="282"/>
        <v/>
      </c>
      <c r="K480" s="75" t="str">
        <f t="shared" si="283"/>
        <v/>
      </c>
      <c r="L480" s="73" t="str">
        <f t="shared" si="284"/>
        <v/>
      </c>
      <c r="M480" s="73" t="str">
        <f t="shared" si="285"/>
        <v/>
      </c>
      <c r="N480" s="73" t="str">
        <f t="shared" si="286"/>
        <v/>
      </c>
      <c r="O480" s="73" t="str">
        <f t="shared" si="287"/>
        <v/>
      </c>
      <c r="P480" s="73" t="str">
        <f t="shared" si="288"/>
        <v/>
      </c>
      <c r="Q480" s="73" t="str">
        <f t="shared" si="289"/>
        <v/>
      </c>
      <c r="R480" s="73"/>
      <c r="S480" s="76" t="str">
        <f t="shared" si="290"/>
        <v/>
      </c>
      <c r="T480" s="73" t="str">
        <f t="shared" si="291"/>
        <v/>
      </c>
      <c r="U480" s="73" t="str">
        <f t="shared" si="292"/>
        <v/>
      </c>
      <c r="V480" s="76" t="str">
        <f t="shared" si="293"/>
        <v/>
      </c>
      <c r="W480" s="73" t="str">
        <f t="shared" si="294"/>
        <v/>
      </c>
      <c r="X480" s="73" t="str">
        <f>IF(B480&lt;&gt;"",IF(MONTH(E480)=MONTH($F$13),SUMIF($C$22:C859,"="&amp;(C480-1),$G$22:G859),0)*S480,"")</f>
        <v/>
      </c>
      <c r="Y480" s="73" t="str">
        <f>IF(B480&lt;&gt;"",SUM($X$22:X480),"")</f>
        <v/>
      </c>
      <c r="Z480" s="73" t="str">
        <f t="shared" si="295"/>
        <v/>
      </c>
      <c r="AA480" s="73" t="str">
        <f t="shared" si="296"/>
        <v/>
      </c>
      <c r="AB480" s="73" t="str">
        <f t="shared" si="297"/>
        <v/>
      </c>
      <c r="AC480" s="73" t="str">
        <f t="shared" si="298"/>
        <v/>
      </c>
      <c r="AD480" s="73" t="str">
        <f>IFERROR($U480*(1-$V480)+SUM($W$22:$W480)+$AB480,"")</f>
        <v/>
      </c>
      <c r="AE480" s="73" t="b">
        <f t="shared" si="309"/>
        <v>1</v>
      </c>
      <c r="AF480" s="73" t="e">
        <f>IF(AND(AE480=TRUE,D480&gt;=65),$U480*(1-10%)+SUM($W$22:$W480)+$AB480,AD480)</f>
        <v>#VALUE!</v>
      </c>
      <c r="AG480" s="73" t="str">
        <f t="shared" si="299"/>
        <v/>
      </c>
      <c r="AH480" s="73" t="str">
        <f t="shared" si="300"/>
        <v/>
      </c>
      <c r="AI480" s="73" t="str">
        <f t="shared" si="301"/>
        <v/>
      </c>
      <c r="AJ480" s="73" t="str">
        <f t="shared" si="302"/>
        <v/>
      </c>
      <c r="AK480" s="73" t="b">
        <f t="shared" si="310"/>
        <v>1</v>
      </c>
      <c r="AL480" s="73" t="str">
        <f t="shared" si="303"/>
        <v/>
      </c>
      <c r="AM480" s="73" t="str">
        <f t="shared" si="304"/>
        <v/>
      </c>
      <c r="AN480" s="73" t="str">
        <f t="shared" si="305"/>
        <v/>
      </c>
      <c r="AO480" s="73" t="str">
        <f t="shared" si="306"/>
        <v/>
      </c>
      <c r="AP480" s="73" t="str">
        <f t="shared" si="307"/>
        <v/>
      </c>
    </row>
    <row r="481" spans="1:42" s="31" customFormat="1" x14ac:dyDescent="0.6">
      <c r="A481" s="70" t="str">
        <f t="shared" si="308"/>
        <v/>
      </c>
      <c r="B481" s="70" t="str">
        <f>IF(E481&lt;=$F$9,VLOOKUP(KALKULATOR!A481,Robocze!$B$23:$C$102,2),"")</f>
        <v/>
      </c>
      <c r="C481" s="70" t="str">
        <f t="shared" si="276"/>
        <v/>
      </c>
      <c r="D481" s="71" t="str">
        <f t="shared" si="277"/>
        <v/>
      </c>
      <c r="E481" s="77" t="str">
        <f t="shared" si="278"/>
        <v/>
      </c>
      <c r="F481" s="72" t="str">
        <f t="shared" si="279"/>
        <v/>
      </c>
      <c r="G481" s="73" t="str">
        <f>IFERROR(IF(AND(F481&lt;=$F$9,$F$5=Robocze!$B$4,$E481&lt;=$F$9,MONTH($F$8)=MONTH(E481)),$F$4,0)+IF(AND(F481&lt;=$F$9,$F$5=Robocze!$B$3,E481&lt;=$F$9),KALKULATOR!$F$4/12,0),"")</f>
        <v/>
      </c>
      <c r="H481" s="73" t="str">
        <f t="shared" si="280"/>
        <v/>
      </c>
      <c r="I481" s="74" t="str">
        <f t="shared" si="281"/>
        <v/>
      </c>
      <c r="J481" s="73" t="str">
        <f t="shared" si="282"/>
        <v/>
      </c>
      <c r="K481" s="75" t="str">
        <f t="shared" si="283"/>
        <v/>
      </c>
      <c r="L481" s="73" t="str">
        <f t="shared" si="284"/>
        <v/>
      </c>
      <c r="M481" s="73" t="str">
        <f t="shared" si="285"/>
        <v/>
      </c>
      <c r="N481" s="73" t="str">
        <f t="shared" si="286"/>
        <v/>
      </c>
      <c r="O481" s="73" t="str">
        <f t="shared" si="287"/>
        <v/>
      </c>
      <c r="P481" s="73" t="str">
        <f t="shared" si="288"/>
        <v/>
      </c>
      <c r="Q481" s="73" t="str">
        <f t="shared" si="289"/>
        <v/>
      </c>
      <c r="R481" s="73"/>
      <c r="S481" s="76" t="str">
        <f t="shared" si="290"/>
        <v/>
      </c>
      <c r="T481" s="73" t="str">
        <f t="shared" si="291"/>
        <v/>
      </c>
      <c r="U481" s="73" t="str">
        <f t="shared" si="292"/>
        <v/>
      </c>
      <c r="V481" s="76" t="str">
        <f t="shared" si="293"/>
        <v/>
      </c>
      <c r="W481" s="73" t="str">
        <f t="shared" si="294"/>
        <v/>
      </c>
      <c r="X481" s="73" t="str">
        <f>IF(B481&lt;&gt;"",IF(MONTH(E481)=MONTH($F$13),SUMIF($C$22:C860,"="&amp;(C481-1),$G$22:G860),0)*S481,"")</f>
        <v/>
      </c>
      <c r="Y481" s="73" t="str">
        <f>IF(B481&lt;&gt;"",SUM($X$22:X481),"")</f>
        <v/>
      </c>
      <c r="Z481" s="73" t="str">
        <f t="shared" si="295"/>
        <v/>
      </c>
      <c r="AA481" s="73" t="str">
        <f t="shared" si="296"/>
        <v/>
      </c>
      <c r="AB481" s="73" t="str">
        <f t="shared" si="297"/>
        <v/>
      </c>
      <c r="AC481" s="73" t="str">
        <f t="shared" si="298"/>
        <v/>
      </c>
      <c r="AD481" s="73" t="str">
        <f>IFERROR($U481*(1-$V481)+SUM($W$22:$W481)+$AB481,"")</f>
        <v/>
      </c>
      <c r="AE481" s="73" t="b">
        <f t="shared" si="309"/>
        <v>1</v>
      </c>
      <c r="AF481" s="73" t="e">
        <f>IF(AND(AE481=TRUE,D481&gt;=65),$U481*(1-10%)+SUM($W$22:$W481)+$AB481,AD481)</f>
        <v>#VALUE!</v>
      </c>
      <c r="AG481" s="73" t="str">
        <f t="shared" si="299"/>
        <v/>
      </c>
      <c r="AH481" s="73" t="str">
        <f t="shared" si="300"/>
        <v/>
      </c>
      <c r="AI481" s="73" t="str">
        <f t="shared" si="301"/>
        <v/>
      </c>
      <c r="AJ481" s="73" t="str">
        <f t="shared" si="302"/>
        <v/>
      </c>
      <c r="AK481" s="73" t="b">
        <f t="shared" si="310"/>
        <v>1</v>
      </c>
      <c r="AL481" s="73" t="str">
        <f t="shared" si="303"/>
        <v/>
      </c>
      <c r="AM481" s="73" t="str">
        <f t="shared" si="304"/>
        <v/>
      </c>
      <c r="AN481" s="73" t="str">
        <f t="shared" si="305"/>
        <v/>
      </c>
      <c r="AO481" s="73" t="str">
        <f t="shared" si="306"/>
        <v/>
      </c>
      <c r="AP481" s="73" t="str">
        <f t="shared" si="307"/>
        <v/>
      </c>
    </row>
    <row r="482" spans="1:42" s="31" customFormat="1" x14ac:dyDescent="0.6">
      <c r="A482" s="70" t="str">
        <f t="shared" si="308"/>
        <v/>
      </c>
      <c r="B482" s="70" t="str">
        <f>IF(E482&lt;=$F$9,VLOOKUP(KALKULATOR!A482,Robocze!$B$23:$C$102,2),"")</f>
        <v/>
      </c>
      <c r="C482" s="70" t="str">
        <f t="shared" si="276"/>
        <v/>
      </c>
      <c r="D482" s="71" t="str">
        <f t="shared" si="277"/>
        <v/>
      </c>
      <c r="E482" s="77" t="str">
        <f t="shared" si="278"/>
        <v/>
      </c>
      <c r="F482" s="72" t="str">
        <f t="shared" si="279"/>
        <v/>
      </c>
      <c r="G482" s="73" t="str">
        <f>IFERROR(IF(AND(F482&lt;=$F$9,$F$5=Robocze!$B$4,$E482&lt;=$F$9,MONTH($F$8)=MONTH(E482)),$F$4,0)+IF(AND(F482&lt;=$F$9,$F$5=Robocze!$B$3,E482&lt;=$F$9),KALKULATOR!$F$4/12,0),"")</f>
        <v/>
      </c>
      <c r="H482" s="73" t="str">
        <f t="shared" si="280"/>
        <v/>
      </c>
      <c r="I482" s="74" t="str">
        <f t="shared" si="281"/>
        <v/>
      </c>
      <c r="J482" s="73" t="str">
        <f t="shared" si="282"/>
        <v/>
      </c>
      <c r="K482" s="75" t="str">
        <f t="shared" si="283"/>
        <v/>
      </c>
      <c r="L482" s="73" t="str">
        <f t="shared" si="284"/>
        <v/>
      </c>
      <c r="M482" s="73" t="str">
        <f t="shared" si="285"/>
        <v/>
      </c>
      <c r="N482" s="73" t="str">
        <f t="shared" si="286"/>
        <v/>
      </c>
      <c r="O482" s="73" t="str">
        <f t="shared" si="287"/>
        <v/>
      </c>
      <c r="P482" s="73" t="str">
        <f t="shared" si="288"/>
        <v/>
      </c>
      <c r="Q482" s="73" t="str">
        <f t="shared" si="289"/>
        <v/>
      </c>
      <c r="R482" s="73"/>
      <c r="S482" s="76" t="str">
        <f t="shared" si="290"/>
        <v/>
      </c>
      <c r="T482" s="73" t="str">
        <f t="shared" si="291"/>
        <v/>
      </c>
      <c r="U482" s="73" t="str">
        <f t="shared" si="292"/>
        <v/>
      </c>
      <c r="V482" s="76" t="str">
        <f t="shared" si="293"/>
        <v/>
      </c>
      <c r="W482" s="73" t="str">
        <f t="shared" si="294"/>
        <v/>
      </c>
      <c r="X482" s="73" t="str">
        <f>IF(B482&lt;&gt;"",IF(MONTH(E482)=MONTH($F$13),SUMIF($C$22:C861,"="&amp;(C482-1),$G$22:G861),0)*S482,"")</f>
        <v/>
      </c>
      <c r="Y482" s="73" t="str">
        <f>IF(B482&lt;&gt;"",SUM($X$22:X482),"")</f>
        <v/>
      </c>
      <c r="Z482" s="73" t="str">
        <f t="shared" si="295"/>
        <v/>
      </c>
      <c r="AA482" s="73" t="str">
        <f t="shared" si="296"/>
        <v/>
      </c>
      <c r="AB482" s="73" t="str">
        <f t="shared" si="297"/>
        <v/>
      </c>
      <c r="AC482" s="73" t="str">
        <f t="shared" si="298"/>
        <v/>
      </c>
      <c r="AD482" s="73" t="str">
        <f>IFERROR($U482*(1-$V482)+SUM($W$22:$W482)+$AB482,"")</f>
        <v/>
      </c>
      <c r="AE482" s="73" t="b">
        <f t="shared" si="309"/>
        <v>1</v>
      </c>
      <c r="AF482" s="73" t="e">
        <f>IF(AND(AE482=TRUE,D482&gt;=65),$U482*(1-10%)+SUM($W$22:$W482)+$AB482,AD482)</f>
        <v>#VALUE!</v>
      </c>
      <c r="AG482" s="73" t="str">
        <f t="shared" si="299"/>
        <v/>
      </c>
      <c r="AH482" s="73" t="str">
        <f t="shared" si="300"/>
        <v/>
      </c>
      <c r="AI482" s="73" t="str">
        <f t="shared" si="301"/>
        <v/>
      </c>
      <c r="AJ482" s="73" t="str">
        <f t="shared" si="302"/>
        <v/>
      </c>
      <c r="AK482" s="73" t="b">
        <f t="shared" si="310"/>
        <v>1</v>
      </c>
      <c r="AL482" s="73" t="str">
        <f t="shared" si="303"/>
        <v/>
      </c>
      <c r="AM482" s="73" t="str">
        <f t="shared" si="304"/>
        <v/>
      </c>
      <c r="AN482" s="73" t="str">
        <f t="shared" si="305"/>
        <v/>
      </c>
      <c r="AO482" s="73" t="str">
        <f t="shared" si="306"/>
        <v/>
      </c>
      <c r="AP482" s="73" t="str">
        <f t="shared" si="307"/>
        <v/>
      </c>
    </row>
    <row r="483" spans="1:42" s="31" customFormat="1" x14ac:dyDescent="0.6">
      <c r="A483" s="70" t="str">
        <f t="shared" si="308"/>
        <v/>
      </c>
      <c r="B483" s="70" t="str">
        <f>IF(E483&lt;=$F$9,VLOOKUP(KALKULATOR!A483,Robocze!$B$23:$C$102,2),"")</f>
        <v/>
      </c>
      <c r="C483" s="70" t="str">
        <f t="shared" si="276"/>
        <v/>
      </c>
      <c r="D483" s="71" t="str">
        <f t="shared" si="277"/>
        <v/>
      </c>
      <c r="E483" s="77" t="str">
        <f t="shared" si="278"/>
        <v/>
      </c>
      <c r="F483" s="72" t="str">
        <f t="shared" si="279"/>
        <v/>
      </c>
      <c r="G483" s="73" t="str">
        <f>IFERROR(IF(AND(F483&lt;=$F$9,$F$5=Robocze!$B$4,$E483&lt;=$F$9,MONTH($F$8)=MONTH(E483)),$F$4,0)+IF(AND(F483&lt;=$F$9,$F$5=Robocze!$B$3,E483&lt;=$F$9),KALKULATOR!$F$4/12,0),"")</f>
        <v/>
      </c>
      <c r="H483" s="73" t="str">
        <f t="shared" si="280"/>
        <v/>
      </c>
      <c r="I483" s="74" t="str">
        <f t="shared" si="281"/>
        <v/>
      </c>
      <c r="J483" s="73" t="str">
        <f t="shared" si="282"/>
        <v/>
      </c>
      <c r="K483" s="75" t="str">
        <f t="shared" si="283"/>
        <v/>
      </c>
      <c r="L483" s="73" t="str">
        <f t="shared" si="284"/>
        <v/>
      </c>
      <c r="M483" s="73" t="str">
        <f t="shared" si="285"/>
        <v/>
      </c>
      <c r="N483" s="73" t="str">
        <f t="shared" si="286"/>
        <v/>
      </c>
      <c r="O483" s="73" t="str">
        <f t="shared" si="287"/>
        <v/>
      </c>
      <c r="P483" s="73" t="str">
        <f t="shared" si="288"/>
        <v/>
      </c>
      <c r="Q483" s="73" t="str">
        <f t="shared" si="289"/>
        <v/>
      </c>
      <c r="R483" s="73"/>
      <c r="S483" s="76" t="str">
        <f t="shared" si="290"/>
        <v/>
      </c>
      <c r="T483" s="73" t="str">
        <f t="shared" si="291"/>
        <v/>
      </c>
      <c r="U483" s="73" t="str">
        <f t="shared" si="292"/>
        <v/>
      </c>
      <c r="V483" s="76" t="str">
        <f t="shared" si="293"/>
        <v/>
      </c>
      <c r="W483" s="73" t="str">
        <f t="shared" si="294"/>
        <v/>
      </c>
      <c r="X483" s="73" t="str">
        <f>IF(B483&lt;&gt;"",IF(MONTH(E483)=MONTH($F$13),SUMIF($C$22:C862,"="&amp;(C483-1),$G$22:G862),0)*S483,"")</f>
        <v/>
      </c>
      <c r="Y483" s="73" t="str">
        <f>IF(B483&lt;&gt;"",SUM($X$22:X483),"")</f>
        <v/>
      </c>
      <c r="Z483" s="73" t="str">
        <f t="shared" si="295"/>
        <v/>
      </c>
      <c r="AA483" s="73" t="str">
        <f t="shared" si="296"/>
        <v/>
      </c>
      <c r="AB483" s="73" t="str">
        <f t="shared" si="297"/>
        <v/>
      </c>
      <c r="AC483" s="73" t="str">
        <f t="shared" si="298"/>
        <v/>
      </c>
      <c r="AD483" s="73" t="str">
        <f>IFERROR($U483*(1-$V483)+SUM($W$22:$W483)+$AB483,"")</f>
        <v/>
      </c>
      <c r="AE483" s="73" t="b">
        <f t="shared" si="309"/>
        <v>1</v>
      </c>
      <c r="AF483" s="73" t="e">
        <f>IF(AND(AE483=TRUE,D483&gt;=65),$U483*(1-10%)+SUM($W$22:$W483)+$AB483,AD483)</f>
        <v>#VALUE!</v>
      </c>
      <c r="AG483" s="73" t="str">
        <f t="shared" si="299"/>
        <v/>
      </c>
      <c r="AH483" s="73" t="str">
        <f t="shared" si="300"/>
        <v/>
      </c>
      <c r="AI483" s="73" t="str">
        <f t="shared" si="301"/>
        <v/>
      </c>
      <c r="AJ483" s="73" t="str">
        <f t="shared" si="302"/>
        <v/>
      </c>
      <c r="AK483" s="73" t="b">
        <f t="shared" si="310"/>
        <v>1</v>
      </c>
      <c r="AL483" s="73" t="str">
        <f t="shared" si="303"/>
        <v/>
      </c>
      <c r="AM483" s="73" t="str">
        <f t="shared" si="304"/>
        <v/>
      </c>
      <c r="AN483" s="73" t="str">
        <f t="shared" si="305"/>
        <v/>
      </c>
      <c r="AO483" s="73" t="str">
        <f t="shared" si="306"/>
        <v/>
      </c>
      <c r="AP483" s="73" t="str">
        <f t="shared" si="307"/>
        <v/>
      </c>
    </row>
    <row r="484" spans="1:42" s="31" customFormat="1" x14ac:dyDescent="0.6">
      <c r="A484" s="70" t="str">
        <f t="shared" si="308"/>
        <v/>
      </c>
      <c r="B484" s="70" t="str">
        <f>IF(E484&lt;=$F$9,VLOOKUP(KALKULATOR!A484,Robocze!$B$23:$C$102,2),"")</f>
        <v/>
      </c>
      <c r="C484" s="70" t="str">
        <f t="shared" si="276"/>
        <v/>
      </c>
      <c r="D484" s="71" t="str">
        <f t="shared" si="277"/>
        <v/>
      </c>
      <c r="E484" s="77" t="str">
        <f t="shared" si="278"/>
        <v/>
      </c>
      <c r="F484" s="72" t="str">
        <f t="shared" si="279"/>
        <v/>
      </c>
      <c r="G484" s="73" t="str">
        <f>IFERROR(IF(AND(F484&lt;=$F$9,$F$5=Robocze!$B$4,$E484&lt;=$F$9,MONTH($F$8)=MONTH(E484)),$F$4,0)+IF(AND(F484&lt;=$F$9,$F$5=Robocze!$B$3,E484&lt;=$F$9),KALKULATOR!$F$4/12,0),"")</f>
        <v/>
      </c>
      <c r="H484" s="73" t="str">
        <f t="shared" si="280"/>
        <v/>
      </c>
      <c r="I484" s="74" t="str">
        <f t="shared" si="281"/>
        <v/>
      </c>
      <c r="J484" s="73" t="str">
        <f t="shared" si="282"/>
        <v/>
      </c>
      <c r="K484" s="75" t="str">
        <f t="shared" si="283"/>
        <v/>
      </c>
      <c r="L484" s="73" t="str">
        <f t="shared" si="284"/>
        <v/>
      </c>
      <c r="M484" s="73" t="str">
        <f t="shared" si="285"/>
        <v/>
      </c>
      <c r="N484" s="73" t="str">
        <f t="shared" si="286"/>
        <v/>
      </c>
      <c r="O484" s="73" t="str">
        <f t="shared" si="287"/>
        <v/>
      </c>
      <c r="P484" s="73" t="str">
        <f t="shared" si="288"/>
        <v/>
      </c>
      <c r="Q484" s="73" t="str">
        <f t="shared" si="289"/>
        <v/>
      </c>
      <c r="R484" s="73"/>
      <c r="S484" s="76" t="str">
        <f t="shared" si="290"/>
        <v/>
      </c>
      <c r="T484" s="73" t="str">
        <f t="shared" si="291"/>
        <v/>
      </c>
      <c r="U484" s="73" t="str">
        <f t="shared" si="292"/>
        <v/>
      </c>
      <c r="V484" s="76" t="str">
        <f t="shared" si="293"/>
        <v/>
      </c>
      <c r="W484" s="73" t="str">
        <f t="shared" si="294"/>
        <v/>
      </c>
      <c r="X484" s="73" t="str">
        <f>IF(B484&lt;&gt;"",IF(MONTH(E484)=MONTH($F$13),SUMIF($C$22:C863,"="&amp;(C484-1),$G$22:G863),0)*S484,"")</f>
        <v/>
      </c>
      <c r="Y484" s="73" t="str">
        <f>IF(B484&lt;&gt;"",SUM($X$22:X484),"")</f>
        <v/>
      </c>
      <c r="Z484" s="73" t="str">
        <f t="shared" si="295"/>
        <v/>
      </c>
      <c r="AA484" s="73" t="str">
        <f t="shared" si="296"/>
        <v/>
      </c>
      <c r="AB484" s="73" t="str">
        <f t="shared" si="297"/>
        <v/>
      </c>
      <c r="AC484" s="73" t="str">
        <f t="shared" si="298"/>
        <v/>
      </c>
      <c r="AD484" s="73" t="str">
        <f>IFERROR($U484*(1-$V484)+SUM($W$22:$W484)+$AB484,"")</f>
        <v/>
      </c>
      <c r="AE484" s="73" t="b">
        <f t="shared" si="309"/>
        <v>1</v>
      </c>
      <c r="AF484" s="73" t="e">
        <f>IF(AND(AE484=TRUE,D484&gt;=65),$U484*(1-10%)+SUM($W$22:$W484)+$AB484,AD484)</f>
        <v>#VALUE!</v>
      </c>
      <c r="AG484" s="73" t="str">
        <f t="shared" si="299"/>
        <v/>
      </c>
      <c r="AH484" s="73" t="str">
        <f t="shared" si="300"/>
        <v/>
      </c>
      <c r="AI484" s="73" t="str">
        <f t="shared" si="301"/>
        <v/>
      </c>
      <c r="AJ484" s="73" t="str">
        <f t="shared" si="302"/>
        <v/>
      </c>
      <c r="AK484" s="73" t="b">
        <f t="shared" si="310"/>
        <v>1</v>
      </c>
      <c r="AL484" s="73" t="str">
        <f t="shared" si="303"/>
        <v/>
      </c>
      <c r="AM484" s="73" t="str">
        <f t="shared" si="304"/>
        <v/>
      </c>
      <c r="AN484" s="73" t="str">
        <f t="shared" si="305"/>
        <v/>
      </c>
      <c r="AO484" s="73" t="str">
        <f t="shared" si="306"/>
        <v/>
      </c>
      <c r="AP484" s="73" t="str">
        <f t="shared" si="307"/>
        <v/>
      </c>
    </row>
    <row r="485" spans="1:42" s="31" customFormat="1" x14ac:dyDescent="0.6">
      <c r="A485" s="70" t="str">
        <f t="shared" si="308"/>
        <v/>
      </c>
      <c r="B485" s="70" t="str">
        <f>IF(E485&lt;=$F$9,VLOOKUP(KALKULATOR!A485,Robocze!$B$23:$C$102,2),"")</f>
        <v/>
      </c>
      <c r="C485" s="70" t="str">
        <f t="shared" si="276"/>
        <v/>
      </c>
      <c r="D485" s="71" t="str">
        <f t="shared" si="277"/>
        <v/>
      </c>
      <c r="E485" s="77" t="str">
        <f t="shared" si="278"/>
        <v/>
      </c>
      <c r="F485" s="72" t="str">
        <f t="shared" si="279"/>
        <v/>
      </c>
      <c r="G485" s="73" t="str">
        <f>IFERROR(IF(AND(F485&lt;=$F$9,$F$5=Robocze!$B$4,$E485&lt;=$F$9,MONTH($F$8)=MONTH(E485)),$F$4,0)+IF(AND(F485&lt;=$F$9,$F$5=Robocze!$B$3,E485&lt;=$F$9),KALKULATOR!$F$4/12,0),"")</f>
        <v/>
      </c>
      <c r="H485" s="73" t="str">
        <f t="shared" si="280"/>
        <v/>
      </c>
      <c r="I485" s="74" t="str">
        <f t="shared" si="281"/>
        <v/>
      </c>
      <c r="J485" s="73" t="str">
        <f t="shared" si="282"/>
        <v/>
      </c>
      <c r="K485" s="75" t="str">
        <f t="shared" si="283"/>
        <v/>
      </c>
      <c r="L485" s="73" t="str">
        <f t="shared" si="284"/>
        <v/>
      </c>
      <c r="M485" s="73" t="str">
        <f t="shared" si="285"/>
        <v/>
      </c>
      <c r="N485" s="73" t="str">
        <f t="shared" si="286"/>
        <v/>
      </c>
      <c r="O485" s="73" t="str">
        <f t="shared" si="287"/>
        <v/>
      </c>
      <c r="P485" s="73" t="str">
        <f t="shared" si="288"/>
        <v/>
      </c>
      <c r="Q485" s="73" t="str">
        <f t="shared" si="289"/>
        <v/>
      </c>
      <c r="R485" s="73"/>
      <c r="S485" s="76" t="str">
        <f t="shared" si="290"/>
        <v/>
      </c>
      <c r="T485" s="73" t="str">
        <f t="shared" si="291"/>
        <v/>
      </c>
      <c r="U485" s="73" t="str">
        <f t="shared" si="292"/>
        <v/>
      </c>
      <c r="V485" s="76" t="str">
        <f t="shared" si="293"/>
        <v/>
      </c>
      <c r="W485" s="73" t="str">
        <f t="shared" si="294"/>
        <v/>
      </c>
      <c r="X485" s="73" t="str">
        <f>IF(B485&lt;&gt;"",IF(MONTH(E485)=MONTH($F$13),SUMIF($C$22:C864,"="&amp;(C485-1),$G$22:G864),0)*S485,"")</f>
        <v/>
      </c>
      <c r="Y485" s="73" t="str">
        <f>IF(B485&lt;&gt;"",SUM($X$22:X485),"")</f>
        <v/>
      </c>
      <c r="Z485" s="73" t="str">
        <f t="shared" si="295"/>
        <v/>
      </c>
      <c r="AA485" s="73" t="str">
        <f t="shared" si="296"/>
        <v/>
      </c>
      <c r="AB485" s="73" t="str">
        <f t="shared" si="297"/>
        <v/>
      </c>
      <c r="AC485" s="73" t="str">
        <f t="shared" si="298"/>
        <v/>
      </c>
      <c r="AD485" s="73" t="str">
        <f>IFERROR($U485*(1-$V485)+SUM($W$22:$W485)+$AB485,"")</f>
        <v/>
      </c>
      <c r="AE485" s="73" t="b">
        <f t="shared" si="309"/>
        <v>1</v>
      </c>
      <c r="AF485" s="73" t="e">
        <f>IF(AND(AE485=TRUE,D485&gt;=65),$U485*(1-10%)+SUM($W$22:$W485)+$AB485,AD485)</f>
        <v>#VALUE!</v>
      </c>
      <c r="AG485" s="73" t="str">
        <f t="shared" si="299"/>
        <v/>
      </c>
      <c r="AH485" s="73" t="str">
        <f t="shared" si="300"/>
        <v/>
      </c>
      <c r="AI485" s="73" t="str">
        <f t="shared" si="301"/>
        <v/>
      </c>
      <c r="AJ485" s="73" t="str">
        <f t="shared" si="302"/>
        <v/>
      </c>
      <c r="AK485" s="73" t="b">
        <f t="shared" si="310"/>
        <v>1</v>
      </c>
      <c r="AL485" s="73" t="str">
        <f t="shared" si="303"/>
        <v/>
      </c>
      <c r="AM485" s="73" t="str">
        <f t="shared" si="304"/>
        <v/>
      </c>
      <c r="AN485" s="73" t="str">
        <f t="shared" si="305"/>
        <v/>
      </c>
      <c r="AO485" s="73" t="str">
        <f t="shared" si="306"/>
        <v/>
      </c>
      <c r="AP485" s="73" t="str">
        <f t="shared" si="307"/>
        <v/>
      </c>
    </row>
    <row r="486" spans="1:42" s="31" customFormat="1" x14ac:dyDescent="0.6">
      <c r="A486" s="70" t="str">
        <f t="shared" si="308"/>
        <v/>
      </c>
      <c r="B486" s="70" t="str">
        <f>IF(E486&lt;=$F$9,VLOOKUP(KALKULATOR!A486,Robocze!$B$23:$C$102,2),"")</f>
        <v/>
      </c>
      <c r="C486" s="70" t="str">
        <f t="shared" si="276"/>
        <v/>
      </c>
      <c r="D486" s="71" t="str">
        <f t="shared" si="277"/>
        <v/>
      </c>
      <c r="E486" s="77" t="str">
        <f t="shared" si="278"/>
        <v/>
      </c>
      <c r="F486" s="72" t="str">
        <f t="shared" si="279"/>
        <v/>
      </c>
      <c r="G486" s="73" t="str">
        <f>IFERROR(IF(AND(F486&lt;=$F$9,$F$5=Robocze!$B$4,$E486&lt;=$F$9,MONTH($F$8)=MONTH(E486)),$F$4,0)+IF(AND(F486&lt;=$F$9,$F$5=Robocze!$B$3,E486&lt;=$F$9),KALKULATOR!$F$4/12,0),"")</f>
        <v/>
      </c>
      <c r="H486" s="73" t="str">
        <f t="shared" si="280"/>
        <v/>
      </c>
      <c r="I486" s="74" t="str">
        <f t="shared" si="281"/>
        <v/>
      </c>
      <c r="J486" s="73" t="str">
        <f t="shared" si="282"/>
        <v/>
      </c>
      <c r="K486" s="75" t="str">
        <f t="shared" si="283"/>
        <v/>
      </c>
      <c r="L486" s="73" t="str">
        <f t="shared" si="284"/>
        <v/>
      </c>
      <c r="M486" s="73" t="str">
        <f t="shared" si="285"/>
        <v/>
      </c>
      <c r="N486" s="73" t="str">
        <f t="shared" si="286"/>
        <v/>
      </c>
      <c r="O486" s="73" t="str">
        <f t="shared" si="287"/>
        <v/>
      </c>
      <c r="P486" s="73" t="str">
        <f t="shared" si="288"/>
        <v/>
      </c>
      <c r="Q486" s="73" t="str">
        <f t="shared" si="289"/>
        <v/>
      </c>
      <c r="R486" s="73"/>
      <c r="S486" s="76" t="str">
        <f t="shared" si="290"/>
        <v/>
      </c>
      <c r="T486" s="73" t="str">
        <f t="shared" si="291"/>
        <v/>
      </c>
      <c r="U486" s="73" t="str">
        <f t="shared" si="292"/>
        <v/>
      </c>
      <c r="V486" s="76" t="str">
        <f t="shared" si="293"/>
        <v/>
      </c>
      <c r="W486" s="73" t="str">
        <f t="shared" si="294"/>
        <v/>
      </c>
      <c r="X486" s="73" t="str">
        <f>IF(B486&lt;&gt;"",IF(MONTH(E486)=MONTH($F$13),SUMIF($C$22:C865,"="&amp;(C486-1),$G$22:G865),0)*S486,"")</f>
        <v/>
      </c>
      <c r="Y486" s="73" t="str">
        <f>IF(B486&lt;&gt;"",SUM($X$22:X486),"")</f>
        <v/>
      </c>
      <c r="Z486" s="73" t="str">
        <f t="shared" si="295"/>
        <v/>
      </c>
      <c r="AA486" s="73" t="str">
        <f t="shared" si="296"/>
        <v/>
      </c>
      <c r="AB486" s="73" t="str">
        <f t="shared" si="297"/>
        <v/>
      </c>
      <c r="AC486" s="73" t="str">
        <f t="shared" si="298"/>
        <v/>
      </c>
      <c r="AD486" s="73" t="str">
        <f>IFERROR($U486*(1-$V486)+SUM($W$22:$W486)+$AB486,"")</f>
        <v/>
      </c>
      <c r="AE486" s="73" t="b">
        <f t="shared" si="309"/>
        <v>1</v>
      </c>
      <c r="AF486" s="73" t="e">
        <f>IF(AND(AE486=TRUE,D486&gt;=65),$U486*(1-10%)+SUM($W$22:$W486)+$AB486,AD486)</f>
        <v>#VALUE!</v>
      </c>
      <c r="AG486" s="73" t="str">
        <f t="shared" si="299"/>
        <v/>
      </c>
      <c r="AH486" s="73" t="str">
        <f t="shared" si="300"/>
        <v/>
      </c>
      <c r="AI486" s="73" t="str">
        <f t="shared" si="301"/>
        <v/>
      </c>
      <c r="AJ486" s="73" t="str">
        <f t="shared" si="302"/>
        <v/>
      </c>
      <c r="AK486" s="73" t="b">
        <f t="shared" si="310"/>
        <v>1</v>
      </c>
      <c r="AL486" s="73" t="str">
        <f t="shared" si="303"/>
        <v/>
      </c>
      <c r="AM486" s="73" t="str">
        <f t="shared" si="304"/>
        <v/>
      </c>
      <c r="AN486" s="73" t="str">
        <f t="shared" si="305"/>
        <v/>
      </c>
      <c r="AO486" s="73" t="str">
        <f t="shared" si="306"/>
        <v/>
      </c>
      <c r="AP486" s="73" t="str">
        <f t="shared" si="307"/>
        <v/>
      </c>
    </row>
    <row r="487" spans="1:42" s="31" customFormat="1" x14ac:dyDescent="0.6">
      <c r="A487" s="70" t="str">
        <f t="shared" si="308"/>
        <v/>
      </c>
      <c r="B487" s="70" t="str">
        <f>IF(E487&lt;=$F$9,VLOOKUP(KALKULATOR!A487,Robocze!$B$23:$C$102,2),"")</f>
        <v/>
      </c>
      <c r="C487" s="70" t="str">
        <f t="shared" si="276"/>
        <v/>
      </c>
      <c r="D487" s="71" t="str">
        <f t="shared" si="277"/>
        <v/>
      </c>
      <c r="E487" s="77" t="str">
        <f t="shared" si="278"/>
        <v/>
      </c>
      <c r="F487" s="72" t="str">
        <f t="shared" si="279"/>
        <v/>
      </c>
      <c r="G487" s="73" t="str">
        <f>IFERROR(IF(AND(F487&lt;=$F$9,$F$5=Robocze!$B$4,$E487&lt;=$F$9,MONTH($F$8)=MONTH(E487)),$F$4,0)+IF(AND(F487&lt;=$F$9,$F$5=Robocze!$B$3,E487&lt;=$F$9),KALKULATOR!$F$4/12,0),"")</f>
        <v/>
      </c>
      <c r="H487" s="73" t="str">
        <f t="shared" si="280"/>
        <v/>
      </c>
      <c r="I487" s="74" t="str">
        <f t="shared" si="281"/>
        <v/>
      </c>
      <c r="J487" s="73" t="str">
        <f t="shared" si="282"/>
        <v/>
      </c>
      <c r="K487" s="75" t="str">
        <f t="shared" si="283"/>
        <v/>
      </c>
      <c r="L487" s="73" t="str">
        <f t="shared" si="284"/>
        <v/>
      </c>
      <c r="M487" s="73" t="str">
        <f t="shared" si="285"/>
        <v/>
      </c>
      <c r="N487" s="73" t="str">
        <f t="shared" si="286"/>
        <v/>
      </c>
      <c r="O487" s="73" t="str">
        <f t="shared" si="287"/>
        <v/>
      </c>
      <c r="P487" s="73" t="str">
        <f t="shared" si="288"/>
        <v/>
      </c>
      <c r="Q487" s="73" t="str">
        <f t="shared" si="289"/>
        <v/>
      </c>
      <c r="R487" s="73"/>
      <c r="S487" s="76" t="str">
        <f t="shared" si="290"/>
        <v/>
      </c>
      <c r="T487" s="73" t="str">
        <f t="shared" si="291"/>
        <v/>
      </c>
      <c r="U487" s="73" t="str">
        <f t="shared" si="292"/>
        <v/>
      </c>
      <c r="V487" s="76" t="str">
        <f t="shared" si="293"/>
        <v/>
      </c>
      <c r="W487" s="73" t="str">
        <f t="shared" si="294"/>
        <v/>
      </c>
      <c r="X487" s="73" t="str">
        <f>IF(B487&lt;&gt;"",IF(MONTH(E487)=MONTH($F$13),SUMIF($C$22:C866,"="&amp;(C487-1),$G$22:G866),0)*S487,"")</f>
        <v/>
      </c>
      <c r="Y487" s="73" t="str">
        <f>IF(B487&lt;&gt;"",SUM($X$22:X487),"")</f>
        <v/>
      </c>
      <c r="Z487" s="73" t="str">
        <f t="shared" si="295"/>
        <v/>
      </c>
      <c r="AA487" s="73" t="str">
        <f t="shared" si="296"/>
        <v/>
      </c>
      <c r="AB487" s="73" t="str">
        <f t="shared" si="297"/>
        <v/>
      </c>
      <c r="AC487" s="73" t="str">
        <f t="shared" si="298"/>
        <v/>
      </c>
      <c r="AD487" s="73" t="str">
        <f>IFERROR($U487*(1-$V487)+SUM($W$22:$W487)+$AB487,"")</f>
        <v/>
      </c>
      <c r="AE487" s="73" t="b">
        <f t="shared" si="309"/>
        <v>1</v>
      </c>
      <c r="AF487" s="73" t="e">
        <f>IF(AND(AE487=TRUE,D487&gt;=65),$U487*(1-10%)+SUM($W$22:$W487)+$AB487,AD487)</f>
        <v>#VALUE!</v>
      </c>
      <c r="AG487" s="73" t="str">
        <f t="shared" si="299"/>
        <v/>
      </c>
      <c r="AH487" s="73" t="str">
        <f t="shared" si="300"/>
        <v/>
      </c>
      <c r="AI487" s="73" t="str">
        <f t="shared" si="301"/>
        <v/>
      </c>
      <c r="AJ487" s="73" t="str">
        <f t="shared" si="302"/>
        <v/>
      </c>
      <c r="AK487" s="73" t="b">
        <f t="shared" si="310"/>
        <v>1</v>
      </c>
      <c r="AL487" s="73" t="str">
        <f t="shared" si="303"/>
        <v/>
      </c>
      <c r="AM487" s="73" t="str">
        <f t="shared" si="304"/>
        <v/>
      </c>
      <c r="AN487" s="73" t="str">
        <f t="shared" si="305"/>
        <v/>
      </c>
      <c r="AO487" s="73" t="str">
        <f t="shared" si="306"/>
        <v/>
      </c>
      <c r="AP487" s="73" t="str">
        <f t="shared" si="307"/>
        <v/>
      </c>
    </row>
    <row r="488" spans="1:42" s="31" customFormat="1" x14ac:dyDescent="0.6">
      <c r="A488" s="70" t="str">
        <f t="shared" si="308"/>
        <v/>
      </c>
      <c r="B488" s="70" t="str">
        <f>IF(E488&lt;=$F$9,VLOOKUP(KALKULATOR!A488,Robocze!$B$23:$C$102,2),"")</f>
        <v/>
      </c>
      <c r="C488" s="70" t="str">
        <f t="shared" si="276"/>
        <v/>
      </c>
      <c r="D488" s="71" t="str">
        <f t="shared" si="277"/>
        <v/>
      </c>
      <c r="E488" s="77" t="str">
        <f t="shared" si="278"/>
        <v/>
      </c>
      <c r="F488" s="72" t="str">
        <f t="shared" si="279"/>
        <v/>
      </c>
      <c r="G488" s="73" t="str">
        <f>IFERROR(IF(AND(F488&lt;=$F$9,$F$5=Robocze!$B$4,$E488&lt;=$F$9,MONTH($F$8)=MONTH(E488)),$F$4,0)+IF(AND(F488&lt;=$F$9,$F$5=Robocze!$B$3,E488&lt;=$F$9),KALKULATOR!$F$4/12,0),"")</f>
        <v/>
      </c>
      <c r="H488" s="73" t="str">
        <f t="shared" si="280"/>
        <v/>
      </c>
      <c r="I488" s="74" t="str">
        <f t="shared" si="281"/>
        <v/>
      </c>
      <c r="J488" s="73" t="str">
        <f t="shared" si="282"/>
        <v/>
      </c>
      <c r="K488" s="75" t="str">
        <f t="shared" si="283"/>
        <v/>
      </c>
      <c r="L488" s="73" t="str">
        <f t="shared" si="284"/>
        <v/>
      </c>
      <c r="M488" s="73" t="str">
        <f t="shared" si="285"/>
        <v/>
      </c>
      <c r="N488" s="73" t="str">
        <f t="shared" si="286"/>
        <v/>
      </c>
      <c r="O488" s="73" t="str">
        <f t="shared" si="287"/>
        <v/>
      </c>
      <c r="P488" s="73" t="str">
        <f t="shared" si="288"/>
        <v/>
      </c>
      <c r="Q488" s="73" t="str">
        <f t="shared" si="289"/>
        <v/>
      </c>
      <c r="R488" s="73"/>
      <c r="S488" s="76" t="str">
        <f t="shared" si="290"/>
        <v/>
      </c>
      <c r="T488" s="73" t="str">
        <f t="shared" si="291"/>
        <v/>
      </c>
      <c r="U488" s="73" t="str">
        <f t="shared" si="292"/>
        <v/>
      </c>
      <c r="V488" s="76" t="str">
        <f t="shared" si="293"/>
        <v/>
      </c>
      <c r="W488" s="73" t="str">
        <f t="shared" si="294"/>
        <v/>
      </c>
      <c r="X488" s="73" t="str">
        <f>IF(B488&lt;&gt;"",IF(MONTH(E488)=MONTH($F$13),SUMIF($C$22:C867,"="&amp;(C488-1),$G$22:G867),0)*S488,"")</f>
        <v/>
      </c>
      <c r="Y488" s="73" t="str">
        <f>IF(B488&lt;&gt;"",SUM($X$22:X488),"")</f>
        <v/>
      </c>
      <c r="Z488" s="73" t="str">
        <f t="shared" si="295"/>
        <v/>
      </c>
      <c r="AA488" s="73" t="str">
        <f t="shared" si="296"/>
        <v/>
      </c>
      <c r="AB488" s="73" t="str">
        <f t="shared" si="297"/>
        <v/>
      </c>
      <c r="AC488" s="73" t="str">
        <f t="shared" si="298"/>
        <v/>
      </c>
      <c r="AD488" s="73" t="str">
        <f>IFERROR($U488*(1-$V488)+SUM($W$22:$W488)+$AB488,"")</f>
        <v/>
      </c>
      <c r="AE488" s="73" t="b">
        <f t="shared" si="309"/>
        <v>1</v>
      </c>
      <c r="AF488" s="73" t="e">
        <f>IF(AND(AE488=TRUE,D488&gt;=65),$U488*(1-10%)+SUM($W$22:$W488)+$AB488,AD488)</f>
        <v>#VALUE!</v>
      </c>
      <c r="AG488" s="73" t="str">
        <f t="shared" si="299"/>
        <v/>
      </c>
      <c r="AH488" s="73" t="str">
        <f t="shared" si="300"/>
        <v/>
      </c>
      <c r="AI488" s="73" t="str">
        <f t="shared" si="301"/>
        <v/>
      </c>
      <c r="AJ488" s="73" t="str">
        <f t="shared" si="302"/>
        <v/>
      </c>
      <c r="AK488" s="73" t="b">
        <f t="shared" si="310"/>
        <v>1</v>
      </c>
      <c r="AL488" s="73" t="str">
        <f t="shared" si="303"/>
        <v/>
      </c>
      <c r="AM488" s="73" t="str">
        <f t="shared" si="304"/>
        <v/>
      </c>
      <c r="AN488" s="73" t="str">
        <f t="shared" si="305"/>
        <v/>
      </c>
      <c r="AO488" s="73" t="str">
        <f t="shared" si="306"/>
        <v/>
      </c>
      <c r="AP488" s="73" t="str">
        <f t="shared" si="307"/>
        <v/>
      </c>
    </row>
    <row r="489" spans="1:42" s="31" customFormat="1" x14ac:dyDescent="0.6">
      <c r="A489" s="70" t="str">
        <f t="shared" si="308"/>
        <v/>
      </c>
      <c r="B489" s="70" t="str">
        <f>IF(E489&lt;=$F$9,VLOOKUP(KALKULATOR!A489,Robocze!$B$23:$C$102,2),"")</f>
        <v/>
      </c>
      <c r="C489" s="70" t="str">
        <f t="shared" si="276"/>
        <v/>
      </c>
      <c r="D489" s="71" t="str">
        <f t="shared" si="277"/>
        <v/>
      </c>
      <c r="E489" s="77" t="str">
        <f t="shared" si="278"/>
        <v/>
      </c>
      <c r="F489" s="72" t="str">
        <f t="shared" si="279"/>
        <v/>
      </c>
      <c r="G489" s="73" t="str">
        <f>IFERROR(IF(AND(F489&lt;=$F$9,$F$5=Robocze!$B$4,$E489&lt;=$F$9,MONTH($F$8)=MONTH(E489)),$F$4,0)+IF(AND(F489&lt;=$F$9,$F$5=Robocze!$B$3,E489&lt;=$F$9),KALKULATOR!$F$4/12,0),"")</f>
        <v/>
      </c>
      <c r="H489" s="73" t="str">
        <f t="shared" si="280"/>
        <v/>
      </c>
      <c r="I489" s="74" t="str">
        <f t="shared" si="281"/>
        <v/>
      </c>
      <c r="J489" s="73" t="str">
        <f t="shared" si="282"/>
        <v/>
      </c>
      <c r="K489" s="75" t="str">
        <f t="shared" si="283"/>
        <v/>
      </c>
      <c r="L489" s="73" t="str">
        <f t="shared" si="284"/>
        <v/>
      </c>
      <c r="M489" s="73" t="str">
        <f t="shared" si="285"/>
        <v/>
      </c>
      <c r="N489" s="73" t="str">
        <f t="shared" si="286"/>
        <v/>
      </c>
      <c r="O489" s="73" t="str">
        <f t="shared" si="287"/>
        <v/>
      </c>
      <c r="P489" s="73" t="str">
        <f t="shared" si="288"/>
        <v/>
      </c>
      <c r="Q489" s="73" t="str">
        <f t="shared" si="289"/>
        <v/>
      </c>
      <c r="R489" s="73"/>
      <c r="S489" s="76" t="str">
        <f t="shared" si="290"/>
        <v/>
      </c>
      <c r="T489" s="73" t="str">
        <f t="shared" si="291"/>
        <v/>
      </c>
      <c r="U489" s="73" t="str">
        <f t="shared" si="292"/>
        <v/>
      </c>
      <c r="V489" s="76" t="str">
        <f t="shared" si="293"/>
        <v/>
      </c>
      <c r="W489" s="73" t="str">
        <f t="shared" si="294"/>
        <v/>
      </c>
      <c r="X489" s="73" t="str">
        <f>IF(B489&lt;&gt;"",IF(MONTH(E489)=MONTH($F$13),SUMIF($C$22:C868,"="&amp;(C489-1),$G$22:G868),0)*S489,"")</f>
        <v/>
      </c>
      <c r="Y489" s="73" t="str">
        <f>IF(B489&lt;&gt;"",SUM($X$22:X489),"")</f>
        <v/>
      </c>
      <c r="Z489" s="73" t="str">
        <f t="shared" si="295"/>
        <v/>
      </c>
      <c r="AA489" s="73" t="str">
        <f t="shared" si="296"/>
        <v/>
      </c>
      <c r="AB489" s="73" t="str">
        <f t="shared" si="297"/>
        <v/>
      </c>
      <c r="AC489" s="73" t="str">
        <f t="shared" si="298"/>
        <v/>
      </c>
      <c r="AD489" s="73" t="str">
        <f>IFERROR($U489*(1-$V489)+SUM($W$22:$W489)+$AB489,"")</f>
        <v/>
      </c>
      <c r="AE489" s="73" t="b">
        <f t="shared" si="309"/>
        <v>1</v>
      </c>
      <c r="AF489" s="73" t="e">
        <f>IF(AND(AE489=TRUE,D489&gt;=65),$U489*(1-10%)+SUM($W$22:$W489)+$AB489,AD489)</f>
        <v>#VALUE!</v>
      </c>
      <c r="AG489" s="73" t="str">
        <f t="shared" si="299"/>
        <v/>
      </c>
      <c r="AH489" s="73" t="str">
        <f t="shared" si="300"/>
        <v/>
      </c>
      <c r="AI489" s="73" t="str">
        <f t="shared" si="301"/>
        <v/>
      </c>
      <c r="AJ489" s="73" t="str">
        <f t="shared" si="302"/>
        <v/>
      </c>
      <c r="AK489" s="73" t="b">
        <f t="shared" si="310"/>
        <v>1</v>
      </c>
      <c r="AL489" s="73" t="str">
        <f t="shared" si="303"/>
        <v/>
      </c>
      <c r="AM489" s="73" t="str">
        <f t="shared" si="304"/>
        <v/>
      </c>
      <c r="AN489" s="73" t="str">
        <f t="shared" si="305"/>
        <v/>
      </c>
      <c r="AO489" s="73" t="str">
        <f t="shared" si="306"/>
        <v/>
      </c>
      <c r="AP489" s="73" t="str">
        <f t="shared" si="307"/>
        <v/>
      </c>
    </row>
    <row r="490" spans="1:42" s="31" customFormat="1" x14ac:dyDescent="0.6">
      <c r="A490" s="70" t="str">
        <f t="shared" si="308"/>
        <v/>
      </c>
      <c r="B490" s="70" t="str">
        <f>IF(E490&lt;=$F$9,VLOOKUP(KALKULATOR!A490,Robocze!$B$23:$C$102,2),"")</f>
        <v/>
      </c>
      <c r="C490" s="70" t="str">
        <f t="shared" si="276"/>
        <v/>
      </c>
      <c r="D490" s="71" t="str">
        <f t="shared" si="277"/>
        <v/>
      </c>
      <c r="E490" s="77" t="str">
        <f t="shared" si="278"/>
        <v/>
      </c>
      <c r="F490" s="72" t="str">
        <f t="shared" si="279"/>
        <v/>
      </c>
      <c r="G490" s="73" t="str">
        <f>IFERROR(IF(AND(F490&lt;=$F$9,$F$5=Robocze!$B$4,$E490&lt;=$F$9,MONTH($F$8)=MONTH(E490)),$F$4,0)+IF(AND(F490&lt;=$F$9,$F$5=Robocze!$B$3,E490&lt;=$F$9),KALKULATOR!$F$4/12,0),"")</f>
        <v/>
      </c>
      <c r="H490" s="73" t="str">
        <f t="shared" si="280"/>
        <v/>
      </c>
      <c r="I490" s="74" t="str">
        <f t="shared" si="281"/>
        <v/>
      </c>
      <c r="J490" s="73" t="str">
        <f t="shared" si="282"/>
        <v/>
      </c>
      <c r="K490" s="75" t="str">
        <f t="shared" si="283"/>
        <v/>
      </c>
      <c r="L490" s="73" t="str">
        <f t="shared" si="284"/>
        <v/>
      </c>
      <c r="M490" s="73" t="str">
        <f t="shared" si="285"/>
        <v/>
      </c>
      <c r="N490" s="73" t="str">
        <f t="shared" si="286"/>
        <v/>
      </c>
      <c r="O490" s="73" t="str">
        <f t="shared" si="287"/>
        <v/>
      </c>
      <c r="P490" s="73" t="str">
        <f t="shared" si="288"/>
        <v/>
      </c>
      <c r="Q490" s="73" t="str">
        <f t="shared" si="289"/>
        <v/>
      </c>
      <c r="R490" s="73"/>
      <c r="S490" s="76" t="str">
        <f t="shared" si="290"/>
        <v/>
      </c>
      <c r="T490" s="73" t="str">
        <f t="shared" si="291"/>
        <v/>
      </c>
      <c r="U490" s="73" t="str">
        <f t="shared" si="292"/>
        <v/>
      </c>
      <c r="V490" s="76" t="str">
        <f t="shared" si="293"/>
        <v/>
      </c>
      <c r="W490" s="73" t="str">
        <f t="shared" si="294"/>
        <v/>
      </c>
      <c r="X490" s="73" t="str">
        <f>IF(B490&lt;&gt;"",IF(MONTH(E490)=MONTH($F$13),SUMIF($C$22:C869,"="&amp;(C490-1),$G$22:G869),0)*S490,"")</f>
        <v/>
      </c>
      <c r="Y490" s="73" t="str">
        <f>IF(B490&lt;&gt;"",SUM($X$22:X490),"")</f>
        <v/>
      </c>
      <c r="Z490" s="73" t="str">
        <f t="shared" si="295"/>
        <v/>
      </c>
      <c r="AA490" s="73" t="str">
        <f t="shared" si="296"/>
        <v/>
      </c>
      <c r="AB490" s="73" t="str">
        <f t="shared" si="297"/>
        <v/>
      </c>
      <c r="AC490" s="73" t="str">
        <f t="shared" si="298"/>
        <v/>
      </c>
      <c r="AD490" s="73" t="str">
        <f>IFERROR($U490*(1-$V490)+SUM($W$22:$W490)+$AB490,"")</f>
        <v/>
      </c>
      <c r="AE490" s="73" t="b">
        <f t="shared" si="309"/>
        <v>1</v>
      </c>
      <c r="AF490" s="73" t="e">
        <f>IF(AND(AE490=TRUE,D490&gt;=65),$U490*(1-10%)+SUM($W$22:$W490)+$AB490,AD490)</f>
        <v>#VALUE!</v>
      </c>
      <c r="AG490" s="73" t="str">
        <f t="shared" si="299"/>
        <v/>
      </c>
      <c r="AH490" s="73" t="str">
        <f t="shared" si="300"/>
        <v/>
      </c>
      <c r="AI490" s="73" t="str">
        <f t="shared" si="301"/>
        <v/>
      </c>
      <c r="AJ490" s="73" t="str">
        <f t="shared" si="302"/>
        <v/>
      </c>
      <c r="AK490" s="73" t="b">
        <f t="shared" si="310"/>
        <v>1</v>
      </c>
      <c r="AL490" s="73" t="str">
        <f t="shared" si="303"/>
        <v/>
      </c>
      <c r="AM490" s="73" t="str">
        <f t="shared" si="304"/>
        <v/>
      </c>
      <c r="AN490" s="73" t="str">
        <f t="shared" si="305"/>
        <v/>
      </c>
      <c r="AO490" s="73" t="str">
        <f t="shared" si="306"/>
        <v/>
      </c>
      <c r="AP490" s="73" t="str">
        <f t="shared" si="307"/>
        <v/>
      </c>
    </row>
    <row r="491" spans="1:42" s="69" customFormat="1" x14ac:dyDescent="0.6">
      <c r="A491" s="78" t="str">
        <f t="shared" si="308"/>
        <v/>
      </c>
      <c r="B491" s="78" t="str">
        <f>IF(E491&lt;=$F$9,VLOOKUP(KALKULATOR!A491,Robocze!$B$23:$C$102,2),"")</f>
        <v/>
      </c>
      <c r="C491" s="78" t="str">
        <f t="shared" si="276"/>
        <v/>
      </c>
      <c r="D491" s="79" t="str">
        <f t="shared" si="277"/>
        <v/>
      </c>
      <c r="E491" s="80" t="str">
        <f t="shared" si="278"/>
        <v/>
      </c>
      <c r="F491" s="81" t="str">
        <f t="shared" si="279"/>
        <v/>
      </c>
      <c r="G491" s="82" t="str">
        <f>IFERROR(IF(AND(F491&lt;=$F$9,$F$5=Robocze!$B$4,$E491&lt;=$F$9,MONTH($F$8)=MONTH(E491)),$F$4,0)+IF(AND(F491&lt;=$F$9,$F$5=Robocze!$B$3,E491&lt;=$F$9),KALKULATOR!$F$4/12,0),"")</f>
        <v/>
      </c>
      <c r="H491" s="82" t="str">
        <f t="shared" si="280"/>
        <v/>
      </c>
      <c r="I491" s="83" t="str">
        <f t="shared" si="281"/>
        <v/>
      </c>
      <c r="J491" s="82" t="str">
        <f t="shared" si="282"/>
        <v/>
      </c>
      <c r="K491" s="84" t="str">
        <f t="shared" si="283"/>
        <v/>
      </c>
      <c r="L491" s="82" t="str">
        <f t="shared" si="284"/>
        <v/>
      </c>
      <c r="M491" s="82" t="str">
        <f t="shared" si="285"/>
        <v/>
      </c>
      <c r="N491" s="82" t="str">
        <f t="shared" si="286"/>
        <v/>
      </c>
      <c r="O491" s="82" t="str">
        <f t="shared" si="287"/>
        <v/>
      </c>
      <c r="P491" s="82" t="str">
        <f t="shared" si="288"/>
        <v/>
      </c>
      <c r="Q491" s="82" t="str">
        <f t="shared" si="289"/>
        <v/>
      </c>
      <c r="R491" s="82"/>
      <c r="S491" s="85" t="str">
        <f t="shared" si="290"/>
        <v/>
      </c>
      <c r="T491" s="82" t="str">
        <f t="shared" si="291"/>
        <v/>
      </c>
      <c r="U491" s="82" t="str">
        <f t="shared" si="292"/>
        <v/>
      </c>
      <c r="V491" s="85" t="str">
        <f t="shared" si="293"/>
        <v/>
      </c>
      <c r="W491" s="82" t="str">
        <f t="shared" si="294"/>
        <v/>
      </c>
      <c r="X491" s="82" t="str">
        <f>IF(B491&lt;&gt;"",IF(MONTH(E491)=MONTH($F$13),SUMIF($C$22:C870,"="&amp;(C491-1),$G$22:G870),0)*S491,"")</f>
        <v/>
      </c>
      <c r="Y491" s="82" t="str">
        <f>IF(B491&lt;&gt;"",SUM($X$22:X491),"")</f>
        <v/>
      </c>
      <c r="Z491" s="82" t="str">
        <f t="shared" si="295"/>
        <v/>
      </c>
      <c r="AA491" s="82" t="str">
        <f t="shared" si="296"/>
        <v/>
      </c>
      <c r="AB491" s="82" t="str">
        <f t="shared" si="297"/>
        <v/>
      </c>
      <c r="AC491" s="82" t="str">
        <f t="shared" si="298"/>
        <v/>
      </c>
      <c r="AD491" s="82" t="str">
        <f>IFERROR($U491*(1-$V491)+SUM($W$22:$W491)+$AB491,"")</f>
        <v/>
      </c>
      <c r="AE491" s="73" t="b">
        <f t="shared" si="309"/>
        <v>1</v>
      </c>
      <c r="AF491" s="82" t="e">
        <f>IF(AND(AE491=TRUE,D491&gt;=65),$U491*(1-10%)+SUM($W$22:$W491)+$AB491,AD491)</f>
        <v>#VALUE!</v>
      </c>
      <c r="AG491" s="82" t="str">
        <f t="shared" si="299"/>
        <v/>
      </c>
      <c r="AH491" s="82" t="str">
        <f t="shared" si="300"/>
        <v/>
      </c>
      <c r="AI491" s="82" t="str">
        <f t="shared" si="301"/>
        <v/>
      </c>
      <c r="AJ491" s="82" t="str">
        <f t="shared" si="302"/>
        <v/>
      </c>
      <c r="AK491" s="73" t="b">
        <f t="shared" si="310"/>
        <v>1</v>
      </c>
      <c r="AL491" s="82" t="str">
        <f t="shared" si="303"/>
        <v/>
      </c>
      <c r="AM491" s="82" t="str">
        <f t="shared" si="304"/>
        <v/>
      </c>
      <c r="AN491" s="82" t="str">
        <f t="shared" si="305"/>
        <v/>
      </c>
      <c r="AO491" s="82" t="str">
        <f t="shared" si="306"/>
        <v/>
      </c>
      <c r="AP491" s="82" t="str">
        <f t="shared" si="307"/>
        <v/>
      </c>
    </row>
    <row r="492" spans="1:42" s="69" customFormat="1" x14ac:dyDescent="0.6">
      <c r="A492" s="78" t="str">
        <f t="shared" si="308"/>
        <v/>
      </c>
      <c r="B492" s="78" t="str">
        <f>IF(E492&lt;=$F$9,VLOOKUP(KALKULATOR!A492,Robocze!$B$23:$C$102,2),"")</f>
        <v/>
      </c>
      <c r="C492" s="78" t="str">
        <f t="shared" si="276"/>
        <v/>
      </c>
      <c r="D492" s="79" t="str">
        <f t="shared" si="277"/>
        <v/>
      </c>
      <c r="E492" s="80" t="str">
        <f t="shared" si="278"/>
        <v/>
      </c>
      <c r="F492" s="81" t="str">
        <f t="shared" si="279"/>
        <v/>
      </c>
      <c r="G492" s="82" t="str">
        <f>IFERROR(IF(AND(F492&lt;=$F$9,$F$5=Robocze!$B$4,$E492&lt;=$F$9,MONTH($F$8)=MONTH(E492)),$F$4,0)+IF(AND(F492&lt;=$F$9,$F$5=Robocze!$B$3,E492&lt;=$F$9),KALKULATOR!$F$4/12,0),"")</f>
        <v/>
      </c>
      <c r="H492" s="82" t="str">
        <f t="shared" si="280"/>
        <v/>
      </c>
      <c r="I492" s="83" t="str">
        <f t="shared" si="281"/>
        <v/>
      </c>
      <c r="J492" s="82" t="str">
        <f t="shared" si="282"/>
        <v/>
      </c>
      <c r="K492" s="84" t="str">
        <f t="shared" si="283"/>
        <v/>
      </c>
      <c r="L492" s="82" t="str">
        <f t="shared" si="284"/>
        <v/>
      </c>
      <c r="M492" s="82" t="str">
        <f t="shared" si="285"/>
        <v/>
      </c>
      <c r="N492" s="82" t="str">
        <f t="shared" si="286"/>
        <v/>
      </c>
      <c r="O492" s="82" t="str">
        <f t="shared" si="287"/>
        <v/>
      </c>
      <c r="P492" s="82" t="str">
        <f t="shared" si="288"/>
        <v/>
      </c>
      <c r="Q492" s="82" t="str">
        <f t="shared" si="289"/>
        <v/>
      </c>
      <c r="R492" s="82"/>
      <c r="S492" s="85" t="str">
        <f t="shared" si="290"/>
        <v/>
      </c>
      <c r="T492" s="82" t="str">
        <f t="shared" si="291"/>
        <v/>
      </c>
      <c r="U492" s="82" t="str">
        <f t="shared" si="292"/>
        <v/>
      </c>
      <c r="V492" s="85" t="str">
        <f t="shared" si="293"/>
        <v/>
      </c>
      <c r="W492" s="82" t="str">
        <f t="shared" si="294"/>
        <v/>
      </c>
      <c r="X492" s="82" t="str">
        <f>IF(B492&lt;&gt;"",IF(MONTH(E492)=MONTH($F$13),SUMIF($C$22:C871,"="&amp;(C492-1),$G$22:G871),0)*S492,"")</f>
        <v/>
      </c>
      <c r="Y492" s="82" t="str">
        <f>IF(B492&lt;&gt;"",SUM($X$22:X492),"")</f>
        <v/>
      </c>
      <c r="Z492" s="82" t="str">
        <f t="shared" si="295"/>
        <v/>
      </c>
      <c r="AA492" s="82" t="str">
        <f t="shared" si="296"/>
        <v/>
      </c>
      <c r="AB492" s="82" t="str">
        <f t="shared" si="297"/>
        <v/>
      </c>
      <c r="AC492" s="82" t="str">
        <f t="shared" si="298"/>
        <v/>
      </c>
      <c r="AD492" s="82" t="str">
        <f>IFERROR($U492*(1-$V492)+SUM($W$22:$W492)+$AB492,"")</f>
        <v/>
      </c>
      <c r="AE492" s="73" t="b">
        <f t="shared" si="309"/>
        <v>1</v>
      </c>
      <c r="AF492" s="82" t="e">
        <f>IF(AND(AE492=TRUE,D492&gt;=65),$U492*(1-10%)+SUM($W$22:$W492)+$AB492,AD492)</f>
        <v>#VALUE!</v>
      </c>
      <c r="AG492" s="82" t="str">
        <f t="shared" si="299"/>
        <v/>
      </c>
      <c r="AH492" s="82" t="str">
        <f t="shared" si="300"/>
        <v/>
      </c>
      <c r="AI492" s="82" t="str">
        <f t="shared" si="301"/>
        <v/>
      </c>
      <c r="AJ492" s="82" t="str">
        <f t="shared" si="302"/>
        <v/>
      </c>
      <c r="AK492" s="73" t="b">
        <f t="shared" si="310"/>
        <v>1</v>
      </c>
      <c r="AL492" s="82" t="str">
        <f t="shared" si="303"/>
        <v/>
      </c>
      <c r="AM492" s="82" t="str">
        <f t="shared" si="304"/>
        <v/>
      </c>
      <c r="AN492" s="82" t="str">
        <f t="shared" si="305"/>
        <v/>
      </c>
      <c r="AO492" s="82" t="str">
        <f t="shared" si="306"/>
        <v/>
      </c>
      <c r="AP492" s="82" t="str">
        <f t="shared" si="307"/>
        <v/>
      </c>
    </row>
    <row r="493" spans="1:42" s="31" customFormat="1" x14ac:dyDescent="0.6">
      <c r="A493" s="70" t="str">
        <f t="shared" si="308"/>
        <v/>
      </c>
      <c r="B493" s="70" t="str">
        <f>IF(E493&lt;=$F$9,VLOOKUP(KALKULATOR!A493,Robocze!$B$23:$C$102,2),"")</f>
        <v/>
      </c>
      <c r="C493" s="70" t="str">
        <f t="shared" si="276"/>
        <v/>
      </c>
      <c r="D493" s="71" t="str">
        <f t="shared" si="277"/>
        <v/>
      </c>
      <c r="E493" s="72" t="str">
        <f t="shared" si="278"/>
        <v/>
      </c>
      <c r="F493" s="72" t="str">
        <f t="shared" si="279"/>
        <v/>
      </c>
      <c r="G493" s="73" t="str">
        <f>IFERROR(IF(AND(F493&lt;=$F$9,$F$5=Robocze!$B$4,$E493&lt;=$F$9,MONTH($F$8)=MONTH(E493)),$F$4,0)+IF(AND(F493&lt;=$F$9,$F$5=Robocze!$B$3,E493&lt;=$F$9),KALKULATOR!$F$4/12,0),"")</f>
        <v/>
      </c>
      <c r="H493" s="73" t="str">
        <f t="shared" si="280"/>
        <v/>
      </c>
      <c r="I493" s="74" t="str">
        <f t="shared" si="281"/>
        <v/>
      </c>
      <c r="J493" s="73" t="str">
        <f t="shared" si="282"/>
        <v/>
      </c>
      <c r="K493" s="75" t="str">
        <f t="shared" si="283"/>
        <v/>
      </c>
      <c r="L493" s="73" t="str">
        <f t="shared" si="284"/>
        <v/>
      </c>
      <c r="M493" s="73" t="str">
        <f t="shared" si="285"/>
        <v/>
      </c>
      <c r="N493" s="73" t="str">
        <f t="shared" si="286"/>
        <v/>
      </c>
      <c r="O493" s="73" t="str">
        <f t="shared" si="287"/>
        <v/>
      </c>
      <c r="P493" s="73" t="str">
        <f t="shared" si="288"/>
        <v/>
      </c>
      <c r="Q493" s="73" t="str">
        <f t="shared" si="289"/>
        <v/>
      </c>
      <c r="R493" s="73"/>
      <c r="S493" s="76" t="str">
        <f t="shared" si="290"/>
        <v/>
      </c>
      <c r="T493" s="73" t="str">
        <f t="shared" si="291"/>
        <v/>
      </c>
      <c r="U493" s="73" t="str">
        <f t="shared" si="292"/>
        <v/>
      </c>
      <c r="V493" s="76" t="str">
        <f t="shared" si="293"/>
        <v/>
      </c>
      <c r="W493" s="73" t="str">
        <f t="shared" si="294"/>
        <v/>
      </c>
      <c r="X493" s="73" t="str">
        <f>IF(B493&lt;&gt;"",IF(MONTH(E493)=MONTH($F$13),SUMIF($C$22:C872,"="&amp;(C493-1),$G$22:G872),0)*S493,"")</f>
        <v/>
      </c>
      <c r="Y493" s="73" t="str">
        <f>IF(B493&lt;&gt;"",SUM($X$22:X493),"")</f>
        <v/>
      </c>
      <c r="Z493" s="73" t="str">
        <f t="shared" si="295"/>
        <v/>
      </c>
      <c r="AA493" s="73" t="str">
        <f t="shared" si="296"/>
        <v/>
      </c>
      <c r="AB493" s="73" t="str">
        <f t="shared" si="297"/>
        <v/>
      </c>
      <c r="AC493" s="73" t="str">
        <f t="shared" si="298"/>
        <v/>
      </c>
      <c r="AD493" s="73" t="str">
        <f>IFERROR($U493*(1-$V493)+SUM($W$22:$W493)+$AB493,"")</f>
        <v/>
      </c>
      <c r="AE493" s="73" t="b">
        <f t="shared" si="309"/>
        <v>1</v>
      </c>
      <c r="AF493" s="73" t="e">
        <f>IF(AND(AE493=TRUE,D493&gt;=65),$U493*(1-10%)+SUM($W$22:$W493)+$AB493,AD493)</f>
        <v>#VALUE!</v>
      </c>
      <c r="AG493" s="73" t="str">
        <f t="shared" si="299"/>
        <v/>
      </c>
      <c r="AH493" s="73" t="str">
        <f t="shared" si="300"/>
        <v/>
      </c>
      <c r="AI493" s="73" t="str">
        <f t="shared" si="301"/>
        <v/>
      </c>
      <c r="AJ493" s="73" t="str">
        <f t="shared" si="302"/>
        <v/>
      </c>
      <c r="AK493" s="73" t="b">
        <f t="shared" si="310"/>
        <v>1</v>
      </c>
      <c r="AL493" s="73" t="str">
        <f t="shared" si="303"/>
        <v/>
      </c>
      <c r="AM493" s="73" t="str">
        <f t="shared" si="304"/>
        <v/>
      </c>
      <c r="AN493" s="73" t="str">
        <f t="shared" si="305"/>
        <v/>
      </c>
      <c r="AO493" s="73" t="str">
        <f t="shared" si="306"/>
        <v/>
      </c>
      <c r="AP493" s="73" t="str">
        <f t="shared" si="307"/>
        <v/>
      </c>
    </row>
    <row r="494" spans="1:42" s="31" customFormat="1" x14ac:dyDescent="0.6">
      <c r="A494" s="70" t="str">
        <f t="shared" si="308"/>
        <v/>
      </c>
      <c r="B494" s="70" t="str">
        <f>IF(E494&lt;=$F$9,VLOOKUP(KALKULATOR!A494,Robocze!$B$23:$C$102,2),"")</f>
        <v/>
      </c>
      <c r="C494" s="70" t="str">
        <f t="shared" si="276"/>
        <v/>
      </c>
      <c r="D494" s="71" t="str">
        <f t="shared" si="277"/>
        <v/>
      </c>
      <c r="E494" s="77" t="str">
        <f t="shared" si="278"/>
        <v/>
      </c>
      <c r="F494" s="72" t="str">
        <f t="shared" si="279"/>
        <v/>
      </c>
      <c r="G494" s="73" t="str">
        <f>IFERROR(IF(AND(F494&lt;=$F$9,$F$5=Robocze!$B$4,$E494&lt;=$F$9,MONTH($F$8)=MONTH(E494)),$F$4,0)+IF(AND(F494&lt;=$F$9,$F$5=Robocze!$B$3,E494&lt;=$F$9),KALKULATOR!$F$4/12,0),"")</f>
        <v/>
      </c>
      <c r="H494" s="73" t="str">
        <f t="shared" si="280"/>
        <v/>
      </c>
      <c r="I494" s="74" t="str">
        <f t="shared" si="281"/>
        <v/>
      </c>
      <c r="J494" s="73" t="str">
        <f t="shared" si="282"/>
        <v/>
      </c>
      <c r="K494" s="75" t="str">
        <f t="shared" si="283"/>
        <v/>
      </c>
      <c r="L494" s="73" t="str">
        <f t="shared" si="284"/>
        <v/>
      </c>
      <c r="M494" s="73" t="str">
        <f t="shared" si="285"/>
        <v/>
      </c>
      <c r="N494" s="73" t="str">
        <f t="shared" si="286"/>
        <v/>
      </c>
      <c r="O494" s="73" t="str">
        <f t="shared" si="287"/>
        <v/>
      </c>
      <c r="P494" s="73" t="str">
        <f t="shared" si="288"/>
        <v/>
      </c>
      <c r="Q494" s="73" t="str">
        <f t="shared" si="289"/>
        <v/>
      </c>
      <c r="R494" s="73"/>
      <c r="S494" s="76" t="str">
        <f t="shared" si="290"/>
        <v/>
      </c>
      <c r="T494" s="73" t="str">
        <f t="shared" si="291"/>
        <v/>
      </c>
      <c r="U494" s="73" t="str">
        <f t="shared" si="292"/>
        <v/>
      </c>
      <c r="V494" s="76" t="str">
        <f t="shared" si="293"/>
        <v/>
      </c>
      <c r="W494" s="73" t="str">
        <f t="shared" si="294"/>
        <v/>
      </c>
      <c r="X494" s="73" t="str">
        <f>IF(B494&lt;&gt;"",IF(MONTH(E494)=MONTH($F$13),SUMIF($C$22:C873,"="&amp;(C494-1),$G$22:G873),0)*S494,"")</f>
        <v/>
      </c>
      <c r="Y494" s="73" t="str">
        <f>IF(B494&lt;&gt;"",SUM($X$22:X494),"")</f>
        <v/>
      </c>
      <c r="Z494" s="73" t="str">
        <f t="shared" si="295"/>
        <v/>
      </c>
      <c r="AA494" s="73" t="str">
        <f t="shared" si="296"/>
        <v/>
      </c>
      <c r="AB494" s="73" t="str">
        <f t="shared" si="297"/>
        <v/>
      </c>
      <c r="AC494" s="73" t="str">
        <f t="shared" si="298"/>
        <v/>
      </c>
      <c r="AD494" s="73" t="str">
        <f>IFERROR($U494*(1-$V494)+SUM($W$22:$W494)+$AB494,"")</f>
        <v/>
      </c>
      <c r="AE494" s="73" t="b">
        <f t="shared" si="309"/>
        <v>1</v>
      </c>
      <c r="AF494" s="73" t="e">
        <f>IF(AND(AE494=TRUE,D494&gt;=65),$U494*(1-10%)+SUM($W$22:$W494)+$AB494,AD494)</f>
        <v>#VALUE!</v>
      </c>
      <c r="AG494" s="73" t="str">
        <f t="shared" si="299"/>
        <v/>
      </c>
      <c r="AH494" s="73" t="str">
        <f t="shared" si="300"/>
        <v/>
      </c>
      <c r="AI494" s="73" t="str">
        <f t="shared" si="301"/>
        <v/>
      </c>
      <c r="AJ494" s="73" t="str">
        <f t="shared" si="302"/>
        <v/>
      </c>
      <c r="AK494" s="73" t="b">
        <f t="shared" si="310"/>
        <v>1</v>
      </c>
      <c r="AL494" s="73" t="str">
        <f t="shared" si="303"/>
        <v/>
      </c>
      <c r="AM494" s="73" t="str">
        <f t="shared" si="304"/>
        <v/>
      </c>
      <c r="AN494" s="73" t="str">
        <f t="shared" si="305"/>
        <v/>
      </c>
      <c r="AO494" s="73" t="str">
        <f t="shared" si="306"/>
        <v/>
      </c>
      <c r="AP494" s="73" t="str">
        <f t="shared" si="307"/>
        <v/>
      </c>
    </row>
    <row r="495" spans="1:42" s="31" customFormat="1" x14ac:dyDescent="0.6">
      <c r="A495" s="70" t="str">
        <f t="shared" si="308"/>
        <v/>
      </c>
      <c r="B495" s="70" t="str">
        <f>IF(E495&lt;=$F$9,VLOOKUP(KALKULATOR!A495,Robocze!$B$23:$C$102,2),"")</f>
        <v/>
      </c>
      <c r="C495" s="70" t="str">
        <f t="shared" si="276"/>
        <v/>
      </c>
      <c r="D495" s="71" t="str">
        <f t="shared" si="277"/>
        <v/>
      </c>
      <c r="E495" s="77" t="str">
        <f t="shared" si="278"/>
        <v/>
      </c>
      <c r="F495" s="72" t="str">
        <f t="shared" si="279"/>
        <v/>
      </c>
      <c r="G495" s="73" t="str">
        <f>IFERROR(IF(AND(F495&lt;=$F$9,$F$5=Robocze!$B$4,$E495&lt;=$F$9,MONTH($F$8)=MONTH(E495)),$F$4,0)+IF(AND(F495&lt;=$F$9,$F$5=Robocze!$B$3,E495&lt;=$F$9),KALKULATOR!$F$4/12,0),"")</f>
        <v/>
      </c>
      <c r="H495" s="73" t="str">
        <f t="shared" si="280"/>
        <v/>
      </c>
      <c r="I495" s="74" t="str">
        <f t="shared" si="281"/>
        <v/>
      </c>
      <c r="J495" s="73" t="str">
        <f t="shared" si="282"/>
        <v/>
      </c>
      <c r="K495" s="75" t="str">
        <f t="shared" si="283"/>
        <v/>
      </c>
      <c r="L495" s="73" t="str">
        <f t="shared" si="284"/>
        <v/>
      </c>
      <c r="M495" s="73" t="str">
        <f t="shared" si="285"/>
        <v/>
      </c>
      <c r="N495" s="73" t="str">
        <f t="shared" si="286"/>
        <v/>
      </c>
      <c r="O495" s="73" t="str">
        <f t="shared" si="287"/>
        <v/>
      </c>
      <c r="P495" s="73" t="str">
        <f t="shared" si="288"/>
        <v/>
      </c>
      <c r="Q495" s="73" t="str">
        <f t="shared" si="289"/>
        <v/>
      </c>
      <c r="R495" s="73"/>
      <c r="S495" s="76" t="str">
        <f t="shared" si="290"/>
        <v/>
      </c>
      <c r="T495" s="73" t="str">
        <f t="shared" si="291"/>
        <v/>
      </c>
      <c r="U495" s="73" t="str">
        <f t="shared" si="292"/>
        <v/>
      </c>
      <c r="V495" s="76" t="str">
        <f t="shared" si="293"/>
        <v/>
      </c>
      <c r="W495" s="73" t="str">
        <f t="shared" si="294"/>
        <v/>
      </c>
      <c r="X495" s="73" t="str">
        <f>IF(B495&lt;&gt;"",IF(MONTH(E495)=MONTH($F$13),SUMIF($C$22:C874,"="&amp;(C495-1),$G$22:G874),0)*S495,"")</f>
        <v/>
      </c>
      <c r="Y495" s="73" t="str">
        <f>IF(B495&lt;&gt;"",SUM($X$22:X495),"")</f>
        <v/>
      </c>
      <c r="Z495" s="73" t="str">
        <f t="shared" si="295"/>
        <v/>
      </c>
      <c r="AA495" s="73" t="str">
        <f t="shared" si="296"/>
        <v/>
      </c>
      <c r="AB495" s="73" t="str">
        <f t="shared" si="297"/>
        <v/>
      </c>
      <c r="AC495" s="73" t="str">
        <f t="shared" si="298"/>
        <v/>
      </c>
      <c r="AD495" s="73" t="str">
        <f>IFERROR($U495*(1-$V495)+SUM($W$22:$W495)+$AB495,"")</f>
        <v/>
      </c>
      <c r="AE495" s="73" t="b">
        <f t="shared" si="309"/>
        <v>1</v>
      </c>
      <c r="AF495" s="73" t="e">
        <f>IF(AND(AE495=TRUE,D495&gt;=65),$U495*(1-10%)+SUM($W$22:$W495)+$AB495,AD495)</f>
        <v>#VALUE!</v>
      </c>
      <c r="AG495" s="73" t="str">
        <f t="shared" si="299"/>
        <v/>
      </c>
      <c r="AH495" s="73" t="str">
        <f t="shared" si="300"/>
        <v/>
      </c>
      <c r="AI495" s="73" t="str">
        <f t="shared" si="301"/>
        <v/>
      </c>
      <c r="AJ495" s="73" t="str">
        <f t="shared" si="302"/>
        <v/>
      </c>
      <c r="AK495" s="73" t="b">
        <f t="shared" si="310"/>
        <v>1</v>
      </c>
      <c r="AL495" s="73" t="str">
        <f t="shared" si="303"/>
        <v/>
      </c>
      <c r="AM495" s="73" t="str">
        <f t="shared" si="304"/>
        <v/>
      </c>
      <c r="AN495" s="73" t="str">
        <f t="shared" si="305"/>
        <v/>
      </c>
      <c r="AO495" s="73" t="str">
        <f t="shared" si="306"/>
        <v/>
      </c>
      <c r="AP495" s="73" t="str">
        <f t="shared" si="307"/>
        <v/>
      </c>
    </row>
    <row r="496" spans="1:42" s="31" customFormat="1" x14ac:dyDescent="0.6">
      <c r="A496" s="70" t="str">
        <f t="shared" si="308"/>
        <v/>
      </c>
      <c r="B496" s="70" t="str">
        <f>IF(E496&lt;=$F$9,VLOOKUP(KALKULATOR!A496,Robocze!$B$23:$C$102,2),"")</f>
        <v/>
      </c>
      <c r="C496" s="70" t="str">
        <f t="shared" si="276"/>
        <v/>
      </c>
      <c r="D496" s="71" t="str">
        <f t="shared" si="277"/>
        <v/>
      </c>
      <c r="E496" s="77" t="str">
        <f t="shared" si="278"/>
        <v/>
      </c>
      <c r="F496" s="72" t="str">
        <f t="shared" si="279"/>
        <v/>
      </c>
      <c r="G496" s="73" t="str">
        <f>IFERROR(IF(AND(F496&lt;=$F$9,$F$5=Robocze!$B$4,$E496&lt;=$F$9,MONTH($F$8)=MONTH(E496)),$F$4,0)+IF(AND(F496&lt;=$F$9,$F$5=Robocze!$B$3,E496&lt;=$F$9),KALKULATOR!$F$4/12,0),"")</f>
        <v/>
      </c>
      <c r="H496" s="73" t="str">
        <f t="shared" si="280"/>
        <v/>
      </c>
      <c r="I496" s="74" t="str">
        <f t="shared" si="281"/>
        <v/>
      </c>
      <c r="J496" s="73" t="str">
        <f t="shared" si="282"/>
        <v/>
      </c>
      <c r="K496" s="75" t="str">
        <f t="shared" si="283"/>
        <v/>
      </c>
      <c r="L496" s="73" t="str">
        <f t="shared" si="284"/>
        <v/>
      </c>
      <c r="M496" s="73" t="str">
        <f t="shared" si="285"/>
        <v/>
      </c>
      <c r="N496" s="73" t="str">
        <f t="shared" si="286"/>
        <v/>
      </c>
      <c r="O496" s="73" t="str">
        <f t="shared" si="287"/>
        <v/>
      </c>
      <c r="P496" s="73" t="str">
        <f t="shared" si="288"/>
        <v/>
      </c>
      <c r="Q496" s="73" t="str">
        <f t="shared" si="289"/>
        <v/>
      </c>
      <c r="R496" s="73"/>
      <c r="S496" s="76" t="str">
        <f t="shared" si="290"/>
        <v/>
      </c>
      <c r="T496" s="73" t="str">
        <f t="shared" si="291"/>
        <v/>
      </c>
      <c r="U496" s="73" t="str">
        <f t="shared" si="292"/>
        <v/>
      </c>
      <c r="V496" s="76" t="str">
        <f t="shared" si="293"/>
        <v/>
      </c>
      <c r="W496" s="73" t="str">
        <f t="shared" si="294"/>
        <v/>
      </c>
      <c r="X496" s="73" t="str">
        <f>IF(B496&lt;&gt;"",IF(MONTH(E496)=MONTH($F$13),SUMIF($C$22:C875,"="&amp;(C496-1),$G$22:G875),0)*S496,"")</f>
        <v/>
      </c>
      <c r="Y496" s="73" t="str">
        <f>IF(B496&lt;&gt;"",SUM($X$22:X496),"")</f>
        <v/>
      </c>
      <c r="Z496" s="73" t="str">
        <f t="shared" si="295"/>
        <v/>
      </c>
      <c r="AA496" s="73" t="str">
        <f t="shared" si="296"/>
        <v/>
      </c>
      <c r="AB496" s="73" t="str">
        <f t="shared" si="297"/>
        <v/>
      </c>
      <c r="AC496" s="73" t="str">
        <f t="shared" si="298"/>
        <v/>
      </c>
      <c r="AD496" s="73" t="str">
        <f>IFERROR($U496*(1-$V496)+SUM($W$22:$W496)+$AB496,"")</f>
        <v/>
      </c>
      <c r="AE496" s="73" t="b">
        <f t="shared" si="309"/>
        <v>1</v>
      </c>
      <c r="AF496" s="73" t="e">
        <f>IF(AND(AE496=TRUE,D496&gt;=65),$U496*(1-10%)+SUM($W$22:$W496)+$AB496,AD496)</f>
        <v>#VALUE!</v>
      </c>
      <c r="AG496" s="73" t="str">
        <f t="shared" si="299"/>
        <v/>
      </c>
      <c r="AH496" s="73" t="str">
        <f t="shared" si="300"/>
        <v/>
      </c>
      <c r="AI496" s="73" t="str">
        <f t="shared" si="301"/>
        <v/>
      </c>
      <c r="AJ496" s="73" t="str">
        <f t="shared" si="302"/>
        <v/>
      </c>
      <c r="AK496" s="73" t="b">
        <f t="shared" si="310"/>
        <v>1</v>
      </c>
      <c r="AL496" s="73" t="str">
        <f t="shared" si="303"/>
        <v/>
      </c>
      <c r="AM496" s="73" t="str">
        <f t="shared" si="304"/>
        <v/>
      </c>
      <c r="AN496" s="73" t="str">
        <f t="shared" si="305"/>
        <v/>
      </c>
      <c r="AO496" s="73" t="str">
        <f t="shared" si="306"/>
        <v/>
      </c>
      <c r="AP496" s="73" t="str">
        <f t="shared" si="307"/>
        <v/>
      </c>
    </row>
    <row r="497" spans="1:42" s="31" customFormat="1" x14ac:dyDescent="0.6">
      <c r="A497" s="70" t="str">
        <f t="shared" si="308"/>
        <v/>
      </c>
      <c r="B497" s="70" t="str">
        <f>IF(E497&lt;=$F$9,VLOOKUP(KALKULATOR!A497,Robocze!$B$23:$C$102,2),"")</f>
        <v/>
      </c>
      <c r="C497" s="70" t="str">
        <f t="shared" si="276"/>
        <v/>
      </c>
      <c r="D497" s="71" t="str">
        <f t="shared" si="277"/>
        <v/>
      </c>
      <c r="E497" s="77" t="str">
        <f t="shared" si="278"/>
        <v/>
      </c>
      <c r="F497" s="72" t="str">
        <f t="shared" si="279"/>
        <v/>
      </c>
      <c r="G497" s="73" t="str">
        <f>IFERROR(IF(AND(F497&lt;=$F$9,$F$5=Robocze!$B$4,$E497&lt;=$F$9,MONTH($F$8)=MONTH(E497)),$F$4,0)+IF(AND(F497&lt;=$F$9,$F$5=Robocze!$B$3,E497&lt;=$F$9),KALKULATOR!$F$4/12,0),"")</f>
        <v/>
      </c>
      <c r="H497" s="73" t="str">
        <f t="shared" si="280"/>
        <v/>
      </c>
      <c r="I497" s="74" t="str">
        <f t="shared" si="281"/>
        <v/>
      </c>
      <c r="J497" s="73" t="str">
        <f t="shared" si="282"/>
        <v/>
      </c>
      <c r="K497" s="75" t="str">
        <f t="shared" si="283"/>
        <v/>
      </c>
      <c r="L497" s="73" t="str">
        <f t="shared" si="284"/>
        <v/>
      </c>
      <c r="M497" s="73" t="str">
        <f t="shared" si="285"/>
        <v/>
      </c>
      <c r="N497" s="73" t="str">
        <f t="shared" si="286"/>
        <v/>
      </c>
      <c r="O497" s="73" t="str">
        <f t="shared" si="287"/>
        <v/>
      </c>
      <c r="P497" s="73" t="str">
        <f t="shared" si="288"/>
        <v/>
      </c>
      <c r="Q497" s="73" t="str">
        <f t="shared" si="289"/>
        <v/>
      </c>
      <c r="R497" s="73"/>
      <c r="S497" s="76" t="str">
        <f t="shared" si="290"/>
        <v/>
      </c>
      <c r="T497" s="73" t="str">
        <f t="shared" si="291"/>
        <v/>
      </c>
      <c r="U497" s="73" t="str">
        <f t="shared" si="292"/>
        <v/>
      </c>
      <c r="V497" s="76" t="str">
        <f t="shared" si="293"/>
        <v/>
      </c>
      <c r="W497" s="73" t="str">
        <f t="shared" si="294"/>
        <v/>
      </c>
      <c r="X497" s="73" t="str">
        <f>IF(B497&lt;&gt;"",IF(MONTH(E497)=MONTH($F$13),SUMIF($C$22:C876,"="&amp;(C497-1),$G$22:G876),0)*S497,"")</f>
        <v/>
      </c>
      <c r="Y497" s="73" t="str">
        <f>IF(B497&lt;&gt;"",SUM($X$22:X497),"")</f>
        <v/>
      </c>
      <c r="Z497" s="73" t="str">
        <f t="shared" si="295"/>
        <v/>
      </c>
      <c r="AA497" s="73" t="str">
        <f t="shared" si="296"/>
        <v/>
      </c>
      <c r="AB497" s="73" t="str">
        <f t="shared" si="297"/>
        <v/>
      </c>
      <c r="AC497" s="73" t="str">
        <f t="shared" si="298"/>
        <v/>
      </c>
      <c r="AD497" s="73" t="str">
        <f>IFERROR($U497*(1-$V497)+SUM($W$22:$W497)+$AB497,"")</f>
        <v/>
      </c>
      <c r="AE497" s="73" t="b">
        <f t="shared" si="309"/>
        <v>1</v>
      </c>
      <c r="AF497" s="73" t="e">
        <f>IF(AND(AE497=TRUE,D497&gt;=65),$U497*(1-10%)+SUM($W$22:$W497)+$AB497,AD497)</f>
        <v>#VALUE!</v>
      </c>
      <c r="AG497" s="73" t="str">
        <f t="shared" si="299"/>
        <v/>
      </c>
      <c r="AH497" s="73" t="str">
        <f t="shared" si="300"/>
        <v/>
      </c>
      <c r="AI497" s="73" t="str">
        <f t="shared" si="301"/>
        <v/>
      </c>
      <c r="AJ497" s="73" t="str">
        <f t="shared" si="302"/>
        <v/>
      </c>
      <c r="AK497" s="73" t="b">
        <f t="shared" si="310"/>
        <v>1</v>
      </c>
      <c r="AL497" s="73" t="str">
        <f t="shared" si="303"/>
        <v/>
      </c>
      <c r="AM497" s="73" t="str">
        <f t="shared" si="304"/>
        <v/>
      </c>
      <c r="AN497" s="73" t="str">
        <f t="shared" si="305"/>
        <v/>
      </c>
      <c r="AO497" s="73" t="str">
        <f t="shared" si="306"/>
        <v/>
      </c>
      <c r="AP497" s="73" t="str">
        <f t="shared" si="307"/>
        <v/>
      </c>
    </row>
    <row r="498" spans="1:42" s="31" customFormat="1" x14ac:dyDescent="0.6">
      <c r="A498" s="70" t="str">
        <f t="shared" si="308"/>
        <v/>
      </c>
      <c r="B498" s="70" t="str">
        <f>IF(E498&lt;=$F$9,VLOOKUP(KALKULATOR!A498,Robocze!$B$23:$C$102,2),"")</f>
        <v/>
      </c>
      <c r="C498" s="70" t="str">
        <f t="shared" si="276"/>
        <v/>
      </c>
      <c r="D498" s="71" t="str">
        <f t="shared" si="277"/>
        <v/>
      </c>
      <c r="E498" s="77" t="str">
        <f t="shared" si="278"/>
        <v/>
      </c>
      <c r="F498" s="72" t="str">
        <f t="shared" si="279"/>
        <v/>
      </c>
      <c r="G498" s="73" t="str">
        <f>IFERROR(IF(AND(F498&lt;=$F$9,$F$5=Robocze!$B$4,$E498&lt;=$F$9,MONTH($F$8)=MONTH(E498)),$F$4,0)+IF(AND(F498&lt;=$F$9,$F$5=Robocze!$B$3,E498&lt;=$F$9),KALKULATOR!$F$4/12,0),"")</f>
        <v/>
      </c>
      <c r="H498" s="73" t="str">
        <f t="shared" si="280"/>
        <v/>
      </c>
      <c r="I498" s="74" t="str">
        <f t="shared" si="281"/>
        <v/>
      </c>
      <c r="J498" s="73" t="str">
        <f t="shared" si="282"/>
        <v/>
      </c>
      <c r="K498" s="75" t="str">
        <f t="shared" si="283"/>
        <v/>
      </c>
      <c r="L498" s="73" t="str">
        <f t="shared" si="284"/>
        <v/>
      </c>
      <c r="M498" s="73" t="str">
        <f t="shared" si="285"/>
        <v/>
      </c>
      <c r="N498" s="73" t="str">
        <f t="shared" si="286"/>
        <v/>
      </c>
      <c r="O498" s="73" t="str">
        <f t="shared" si="287"/>
        <v/>
      </c>
      <c r="P498" s="73" t="str">
        <f t="shared" si="288"/>
        <v/>
      </c>
      <c r="Q498" s="73" t="str">
        <f t="shared" si="289"/>
        <v/>
      </c>
      <c r="R498" s="73"/>
      <c r="S498" s="76" t="str">
        <f t="shared" si="290"/>
        <v/>
      </c>
      <c r="T498" s="73" t="str">
        <f t="shared" si="291"/>
        <v/>
      </c>
      <c r="U498" s="73" t="str">
        <f t="shared" si="292"/>
        <v/>
      </c>
      <c r="V498" s="76" t="str">
        <f t="shared" si="293"/>
        <v/>
      </c>
      <c r="W498" s="73" t="str">
        <f t="shared" si="294"/>
        <v/>
      </c>
      <c r="X498" s="73" t="str">
        <f>IF(B498&lt;&gt;"",IF(MONTH(E498)=MONTH($F$13),SUMIF($C$22:C877,"="&amp;(C498-1),$G$22:G877),0)*S498,"")</f>
        <v/>
      </c>
      <c r="Y498" s="73" t="str">
        <f>IF(B498&lt;&gt;"",SUM($X$22:X498),"")</f>
        <v/>
      </c>
      <c r="Z498" s="73" t="str">
        <f t="shared" si="295"/>
        <v/>
      </c>
      <c r="AA498" s="73" t="str">
        <f t="shared" si="296"/>
        <v/>
      </c>
      <c r="AB498" s="73" t="str">
        <f t="shared" si="297"/>
        <v/>
      </c>
      <c r="AC498" s="73" t="str">
        <f t="shared" si="298"/>
        <v/>
      </c>
      <c r="AD498" s="73" t="str">
        <f>IFERROR($U498*(1-$V498)+SUM($W$22:$W498)+$AB498,"")</f>
        <v/>
      </c>
      <c r="AE498" s="73" t="b">
        <f t="shared" si="309"/>
        <v>1</v>
      </c>
      <c r="AF498" s="73" t="e">
        <f>IF(AND(AE498=TRUE,D498&gt;=65),$U498*(1-10%)+SUM($W$22:$W498)+$AB498,AD498)</f>
        <v>#VALUE!</v>
      </c>
      <c r="AG498" s="73" t="str">
        <f t="shared" si="299"/>
        <v/>
      </c>
      <c r="AH498" s="73" t="str">
        <f t="shared" si="300"/>
        <v/>
      </c>
      <c r="AI498" s="73" t="str">
        <f t="shared" si="301"/>
        <v/>
      </c>
      <c r="AJ498" s="73" t="str">
        <f t="shared" si="302"/>
        <v/>
      </c>
      <c r="AK498" s="73" t="b">
        <f t="shared" si="310"/>
        <v>1</v>
      </c>
      <c r="AL498" s="73" t="str">
        <f t="shared" si="303"/>
        <v/>
      </c>
      <c r="AM498" s="73" t="str">
        <f t="shared" si="304"/>
        <v/>
      </c>
      <c r="AN498" s="73" t="str">
        <f t="shared" si="305"/>
        <v/>
      </c>
      <c r="AO498" s="73" t="str">
        <f t="shared" si="306"/>
        <v/>
      </c>
      <c r="AP498" s="73" t="str">
        <f t="shared" si="307"/>
        <v/>
      </c>
    </row>
    <row r="499" spans="1:42" s="31" customFormat="1" x14ac:dyDescent="0.6">
      <c r="A499" s="70" t="str">
        <f t="shared" si="308"/>
        <v/>
      </c>
      <c r="B499" s="70" t="str">
        <f>IF(E499&lt;=$F$9,VLOOKUP(KALKULATOR!A499,Robocze!$B$23:$C$102,2),"")</f>
        <v/>
      </c>
      <c r="C499" s="70" t="str">
        <f t="shared" si="276"/>
        <v/>
      </c>
      <c r="D499" s="71" t="str">
        <f t="shared" si="277"/>
        <v/>
      </c>
      <c r="E499" s="77" t="str">
        <f t="shared" si="278"/>
        <v/>
      </c>
      <c r="F499" s="72" t="str">
        <f t="shared" si="279"/>
        <v/>
      </c>
      <c r="G499" s="73" t="str">
        <f>IFERROR(IF(AND(F499&lt;=$F$9,$F$5=Robocze!$B$4,$E499&lt;=$F$9,MONTH($F$8)=MONTH(E499)),$F$4,0)+IF(AND(F499&lt;=$F$9,$F$5=Robocze!$B$3,E499&lt;=$F$9),KALKULATOR!$F$4/12,0),"")</f>
        <v/>
      </c>
      <c r="H499" s="73" t="str">
        <f t="shared" si="280"/>
        <v/>
      </c>
      <c r="I499" s="74" t="str">
        <f t="shared" si="281"/>
        <v/>
      </c>
      <c r="J499" s="73" t="str">
        <f t="shared" si="282"/>
        <v/>
      </c>
      <c r="K499" s="75" t="str">
        <f t="shared" si="283"/>
        <v/>
      </c>
      <c r="L499" s="73" t="str">
        <f t="shared" si="284"/>
        <v/>
      </c>
      <c r="M499" s="73" t="str">
        <f t="shared" si="285"/>
        <v/>
      </c>
      <c r="N499" s="73" t="str">
        <f t="shared" si="286"/>
        <v/>
      </c>
      <c r="O499" s="73" t="str">
        <f t="shared" si="287"/>
        <v/>
      </c>
      <c r="P499" s="73" t="str">
        <f t="shared" si="288"/>
        <v/>
      </c>
      <c r="Q499" s="73" t="str">
        <f t="shared" si="289"/>
        <v/>
      </c>
      <c r="R499" s="73"/>
      <c r="S499" s="76" t="str">
        <f t="shared" si="290"/>
        <v/>
      </c>
      <c r="T499" s="73" t="str">
        <f t="shared" si="291"/>
        <v/>
      </c>
      <c r="U499" s="73" t="str">
        <f t="shared" si="292"/>
        <v/>
      </c>
      <c r="V499" s="76" t="str">
        <f t="shared" si="293"/>
        <v/>
      </c>
      <c r="W499" s="73" t="str">
        <f t="shared" si="294"/>
        <v/>
      </c>
      <c r="X499" s="73" t="str">
        <f>IF(B499&lt;&gt;"",IF(MONTH(E499)=MONTH($F$13),SUMIF($C$22:C878,"="&amp;(C499-1),$G$22:G878),0)*S499,"")</f>
        <v/>
      </c>
      <c r="Y499" s="73" t="str">
        <f>IF(B499&lt;&gt;"",SUM($X$22:X499),"")</f>
        <v/>
      </c>
      <c r="Z499" s="73" t="str">
        <f t="shared" si="295"/>
        <v/>
      </c>
      <c r="AA499" s="73" t="str">
        <f t="shared" si="296"/>
        <v/>
      </c>
      <c r="AB499" s="73" t="str">
        <f t="shared" si="297"/>
        <v/>
      </c>
      <c r="AC499" s="73" t="str">
        <f t="shared" si="298"/>
        <v/>
      </c>
      <c r="AD499" s="73" t="str">
        <f>IFERROR($U499*(1-$V499)+SUM($W$22:$W499)+$AB499,"")</f>
        <v/>
      </c>
      <c r="AE499" s="73" t="b">
        <f t="shared" si="309"/>
        <v>1</v>
      </c>
      <c r="AF499" s="73" t="e">
        <f>IF(AND(AE499=TRUE,D499&gt;=65),$U499*(1-10%)+SUM($W$22:$W499)+$AB499,AD499)</f>
        <v>#VALUE!</v>
      </c>
      <c r="AG499" s="73" t="str">
        <f t="shared" si="299"/>
        <v/>
      </c>
      <c r="AH499" s="73" t="str">
        <f t="shared" si="300"/>
        <v/>
      </c>
      <c r="AI499" s="73" t="str">
        <f t="shared" si="301"/>
        <v/>
      </c>
      <c r="AJ499" s="73" t="str">
        <f t="shared" si="302"/>
        <v/>
      </c>
      <c r="AK499" s="73" t="b">
        <f t="shared" si="310"/>
        <v>1</v>
      </c>
      <c r="AL499" s="73" t="str">
        <f t="shared" si="303"/>
        <v/>
      </c>
      <c r="AM499" s="73" t="str">
        <f t="shared" si="304"/>
        <v/>
      </c>
      <c r="AN499" s="73" t="str">
        <f t="shared" si="305"/>
        <v/>
      </c>
      <c r="AO499" s="73" t="str">
        <f t="shared" si="306"/>
        <v/>
      </c>
      <c r="AP499" s="73" t="str">
        <f t="shared" si="307"/>
        <v/>
      </c>
    </row>
    <row r="500" spans="1:42" s="31" customFormat="1" x14ac:dyDescent="0.6">
      <c r="A500" s="70" t="str">
        <f t="shared" si="308"/>
        <v/>
      </c>
      <c r="B500" s="70" t="str">
        <f>IF(E500&lt;=$F$9,VLOOKUP(KALKULATOR!A500,Robocze!$B$23:$C$102,2),"")</f>
        <v/>
      </c>
      <c r="C500" s="70" t="str">
        <f t="shared" si="276"/>
        <v/>
      </c>
      <c r="D500" s="71" t="str">
        <f t="shared" si="277"/>
        <v/>
      </c>
      <c r="E500" s="77" t="str">
        <f t="shared" si="278"/>
        <v/>
      </c>
      <c r="F500" s="72" t="str">
        <f t="shared" si="279"/>
        <v/>
      </c>
      <c r="G500" s="73" t="str">
        <f>IFERROR(IF(AND(F500&lt;=$F$9,$F$5=Robocze!$B$4,$E500&lt;=$F$9,MONTH($F$8)=MONTH(E500)),$F$4,0)+IF(AND(F500&lt;=$F$9,$F$5=Robocze!$B$3,E500&lt;=$F$9),KALKULATOR!$F$4/12,0),"")</f>
        <v/>
      </c>
      <c r="H500" s="73" t="str">
        <f t="shared" si="280"/>
        <v/>
      </c>
      <c r="I500" s="74" t="str">
        <f t="shared" si="281"/>
        <v/>
      </c>
      <c r="J500" s="73" t="str">
        <f t="shared" si="282"/>
        <v/>
      </c>
      <c r="K500" s="75" t="str">
        <f t="shared" si="283"/>
        <v/>
      </c>
      <c r="L500" s="73" t="str">
        <f t="shared" si="284"/>
        <v/>
      </c>
      <c r="M500" s="73" t="str">
        <f t="shared" si="285"/>
        <v/>
      </c>
      <c r="N500" s="73" t="str">
        <f t="shared" si="286"/>
        <v/>
      </c>
      <c r="O500" s="73" t="str">
        <f t="shared" si="287"/>
        <v/>
      </c>
      <c r="P500" s="73" t="str">
        <f t="shared" si="288"/>
        <v/>
      </c>
      <c r="Q500" s="73" t="str">
        <f t="shared" si="289"/>
        <v/>
      </c>
      <c r="R500" s="73"/>
      <c r="S500" s="76" t="str">
        <f t="shared" si="290"/>
        <v/>
      </c>
      <c r="T500" s="73" t="str">
        <f t="shared" si="291"/>
        <v/>
      </c>
      <c r="U500" s="73" t="str">
        <f t="shared" si="292"/>
        <v/>
      </c>
      <c r="V500" s="76" t="str">
        <f t="shared" si="293"/>
        <v/>
      </c>
      <c r="W500" s="73" t="str">
        <f t="shared" si="294"/>
        <v/>
      </c>
      <c r="X500" s="73" t="str">
        <f>IF(B500&lt;&gt;"",IF(MONTH(E500)=MONTH($F$13),SUMIF($C$22:C879,"="&amp;(C500-1),$G$22:G879),0)*S500,"")</f>
        <v/>
      </c>
      <c r="Y500" s="73" t="str">
        <f>IF(B500&lt;&gt;"",SUM($X$22:X500),"")</f>
        <v/>
      </c>
      <c r="Z500" s="73" t="str">
        <f t="shared" si="295"/>
        <v/>
      </c>
      <c r="AA500" s="73" t="str">
        <f t="shared" si="296"/>
        <v/>
      </c>
      <c r="AB500" s="73" t="str">
        <f t="shared" si="297"/>
        <v/>
      </c>
      <c r="AC500" s="73" t="str">
        <f t="shared" si="298"/>
        <v/>
      </c>
      <c r="AD500" s="73" t="str">
        <f>IFERROR($U500*(1-$V500)+SUM($W$22:$W500)+$AB500,"")</f>
        <v/>
      </c>
      <c r="AE500" s="73" t="b">
        <f t="shared" si="309"/>
        <v>1</v>
      </c>
      <c r="AF500" s="73" t="e">
        <f>IF(AND(AE500=TRUE,D500&gt;=65),$U500*(1-10%)+SUM($W$22:$W500)+$AB500,AD500)</f>
        <v>#VALUE!</v>
      </c>
      <c r="AG500" s="73" t="str">
        <f t="shared" si="299"/>
        <v/>
      </c>
      <c r="AH500" s="73" t="str">
        <f t="shared" si="300"/>
        <v/>
      </c>
      <c r="AI500" s="73" t="str">
        <f t="shared" si="301"/>
        <v/>
      </c>
      <c r="AJ500" s="73" t="str">
        <f t="shared" si="302"/>
        <v/>
      </c>
      <c r="AK500" s="73" t="b">
        <f t="shared" si="310"/>
        <v>1</v>
      </c>
      <c r="AL500" s="73" t="str">
        <f t="shared" si="303"/>
        <v/>
      </c>
      <c r="AM500" s="73" t="str">
        <f t="shared" si="304"/>
        <v/>
      </c>
      <c r="AN500" s="73" t="str">
        <f t="shared" si="305"/>
        <v/>
      </c>
      <c r="AO500" s="73" t="str">
        <f t="shared" si="306"/>
        <v/>
      </c>
      <c r="AP500" s="73" t="str">
        <f t="shared" si="307"/>
        <v/>
      </c>
    </row>
    <row r="501" spans="1:42" s="31" customFormat="1" x14ac:dyDescent="0.6">
      <c r="A501" s="70" t="str">
        <f t="shared" si="308"/>
        <v/>
      </c>
      <c r="B501" s="70" t="str">
        <f>IF(E501&lt;=$F$9,VLOOKUP(KALKULATOR!A501,Robocze!$B$23:$C$102,2),"")</f>
        <v/>
      </c>
      <c r="C501" s="70" t="str">
        <f t="shared" si="276"/>
        <v/>
      </c>
      <c r="D501" s="71" t="str">
        <f t="shared" si="277"/>
        <v/>
      </c>
      <c r="E501" s="77" t="str">
        <f t="shared" si="278"/>
        <v/>
      </c>
      <c r="F501" s="72" t="str">
        <f t="shared" si="279"/>
        <v/>
      </c>
      <c r="G501" s="73" t="str">
        <f>IFERROR(IF(AND(F501&lt;=$F$9,$F$5=Robocze!$B$4,$E501&lt;=$F$9,MONTH($F$8)=MONTH(E501)),$F$4,0)+IF(AND(F501&lt;=$F$9,$F$5=Robocze!$B$3,E501&lt;=$F$9),KALKULATOR!$F$4/12,0),"")</f>
        <v/>
      </c>
      <c r="H501" s="73" t="str">
        <f t="shared" si="280"/>
        <v/>
      </c>
      <c r="I501" s="74" t="str">
        <f t="shared" si="281"/>
        <v/>
      </c>
      <c r="J501" s="73" t="str">
        <f t="shared" si="282"/>
        <v/>
      </c>
      <c r="K501" s="75" t="str">
        <f t="shared" si="283"/>
        <v/>
      </c>
      <c r="L501" s="73" t="str">
        <f t="shared" si="284"/>
        <v/>
      </c>
      <c r="M501" s="73" t="str">
        <f t="shared" si="285"/>
        <v/>
      </c>
      <c r="N501" s="73" t="str">
        <f t="shared" si="286"/>
        <v/>
      </c>
      <c r="O501" s="73" t="str">
        <f t="shared" si="287"/>
        <v/>
      </c>
      <c r="P501" s="73" t="str">
        <f t="shared" si="288"/>
        <v/>
      </c>
      <c r="Q501" s="73" t="str">
        <f t="shared" si="289"/>
        <v/>
      </c>
      <c r="R501" s="73"/>
      <c r="S501" s="76" t="str">
        <f t="shared" si="290"/>
        <v/>
      </c>
      <c r="T501" s="73" t="str">
        <f t="shared" si="291"/>
        <v/>
      </c>
      <c r="U501" s="73" t="str">
        <f t="shared" si="292"/>
        <v/>
      </c>
      <c r="V501" s="76" t="str">
        <f t="shared" si="293"/>
        <v/>
      </c>
      <c r="W501" s="73" t="str">
        <f t="shared" si="294"/>
        <v/>
      </c>
      <c r="X501" s="73" t="str">
        <f>IF(B501&lt;&gt;"",IF(MONTH(E501)=MONTH($F$13),SUMIF($C$22:C880,"="&amp;(C501-1),$G$22:G880),0)*S501,"")</f>
        <v/>
      </c>
      <c r="Y501" s="73" t="str">
        <f>IF(B501&lt;&gt;"",SUM($X$22:X501),"")</f>
        <v/>
      </c>
      <c r="Z501" s="73" t="str">
        <f t="shared" si="295"/>
        <v/>
      </c>
      <c r="AA501" s="73" t="str">
        <f t="shared" si="296"/>
        <v/>
      </c>
      <c r="AB501" s="73" t="str">
        <f t="shared" si="297"/>
        <v/>
      </c>
      <c r="AC501" s="73" t="str">
        <f t="shared" si="298"/>
        <v/>
      </c>
      <c r="AD501" s="73" t="str">
        <f>IFERROR($U501*(1-$V501)+SUM($W$22:$W501)+$AB501,"")</f>
        <v/>
      </c>
      <c r="AE501" s="73" t="b">
        <f t="shared" si="309"/>
        <v>1</v>
      </c>
      <c r="AF501" s="73" t="e">
        <f>IF(AND(AE501=TRUE,D501&gt;=65),$U501*(1-10%)+SUM($W$22:$W501)+$AB501,AD501)</f>
        <v>#VALUE!</v>
      </c>
      <c r="AG501" s="73" t="str">
        <f t="shared" si="299"/>
        <v/>
      </c>
      <c r="AH501" s="73" t="str">
        <f t="shared" si="300"/>
        <v/>
      </c>
      <c r="AI501" s="73" t="str">
        <f t="shared" si="301"/>
        <v/>
      </c>
      <c r="AJ501" s="73" t="str">
        <f t="shared" si="302"/>
        <v/>
      </c>
      <c r="AK501" s="73" t="b">
        <f t="shared" si="310"/>
        <v>1</v>
      </c>
      <c r="AL501" s="73" t="str">
        <f t="shared" si="303"/>
        <v/>
      </c>
      <c r="AM501" s="73" t="str">
        <f t="shared" si="304"/>
        <v/>
      </c>
      <c r="AN501" s="73" t="str">
        <f t="shared" si="305"/>
        <v/>
      </c>
      <c r="AO501" s="73" t="str">
        <f t="shared" si="306"/>
        <v/>
      </c>
      <c r="AP501" s="73" t="str">
        <f t="shared" si="307"/>
        <v/>
      </c>
    </row>
    <row r="502" spans="1:42" s="31" customFormat="1" x14ac:dyDescent="0.6">
      <c r="A502" s="70" t="str">
        <f t="shared" si="308"/>
        <v/>
      </c>
      <c r="B502" s="70" t="str">
        <f>IF(E502&lt;=$F$9,VLOOKUP(KALKULATOR!A502,Robocze!$B$23:$C$102,2),"")</f>
        <v/>
      </c>
      <c r="C502" s="70" t="str">
        <f t="shared" si="276"/>
        <v/>
      </c>
      <c r="D502" s="71" t="str">
        <f t="shared" si="277"/>
        <v/>
      </c>
      <c r="E502" s="77" t="str">
        <f t="shared" si="278"/>
        <v/>
      </c>
      <c r="F502" s="72" t="str">
        <f t="shared" si="279"/>
        <v/>
      </c>
      <c r="G502" s="73" t="str">
        <f>IFERROR(IF(AND(F502&lt;=$F$9,$F$5=Robocze!$B$4,$E502&lt;=$F$9,MONTH($F$8)=MONTH(E502)),$F$4,0)+IF(AND(F502&lt;=$F$9,$F$5=Robocze!$B$3,E502&lt;=$F$9),KALKULATOR!$F$4/12,0),"")</f>
        <v/>
      </c>
      <c r="H502" s="73" t="str">
        <f t="shared" si="280"/>
        <v/>
      </c>
      <c r="I502" s="74" t="str">
        <f t="shared" si="281"/>
        <v/>
      </c>
      <c r="J502" s="73" t="str">
        <f t="shared" si="282"/>
        <v/>
      </c>
      <c r="K502" s="75" t="str">
        <f t="shared" si="283"/>
        <v/>
      </c>
      <c r="L502" s="73" t="str">
        <f t="shared" si="284"/>
        <v/>
      </c>
      <c r="M502" s="73" t="str">
        <f t="shared" si="285"/>
        <v/>
      </c>
      <c r="N502" s="73" t="str">
        <f t="shared" si="286"/>
        <v/>
      </c>
      <c r="O502" s="73" t="str">
        <f t="shared" si="287"/>
        <v/>
      </c>
      <c r="P502" s="73" t="str">
        <f t="shared" si="288"/>
        <v/>
      </c>
      <c r="Q502" s="73" t="str">
        <f t="shared" si="289"/>
        <v/>
      </c>
      <c r="R502" s="73"/>
      <c r="S502" s="76" t="str">
        <f t="shared" si="290"/>
        <v/>
      </c>
      <c r="T502" s="73" t="str">
        <f t="shared" si="291"/>
        <v/>
      </c>
      <c r="U502" s="73" t="str">
        <f t="shared" si="292"/>
        <v/>
      </c>
      <c r="V502" s="76" t="str">
        <f t="shared" si="293"/>
        <v/>
      </c>
      <c r="W502" s="73" t="str">
        <f t="shared" si="294"/>
        <v/>
      </c>
      <c r="X502" s="73" t="str">
        <f>IF(B502&lt;&gt;"",IF(MONTH(E502)=MONTH($F$13),SUMIF($C$22:C881,"="&amp;(C502-1),$G$22:G881),0)*S502,"")</f>
        <v/>
      </c>
      <c r="Y502" s="73" t="str">
        <f>IF(B502&lt;&gt;"",SUM($X$22:X502),"")</f>
        <v/>
      </c>
      <c r="Z502" s="73" t="str">
        <f t="shared" si="295"/>
        <v/>
      </c>
      <c r="AA502" s="73" t="str">
        <f t="shared" si="296"/>
        <v/>
      </c>
      <c r="AB502" s="73" t="str">
        <f t="shared" si="297"/>
        <v/>
      </c>
      <c r="AC502" s="73" t="str">
        <f t="shared" si="298"/>
        <v/>
      </c>
      <c r="AD502" s="73" t="str">
        <f>IFERROR($U502*(1-$V502)+SUM($W$22:$W502)+$AB502,"")</f>
        <v/>
      </c>
      <c r="AE502" s="73" t="b">
        <f t="shared" si="309"/>
        <v>1</v>
      </c>
      <c r="AF502" s="73" t="e">
        <f>IF(AND(AE502=TRUE,D502&gt;=65),$U502*(1-10%)+SUM($W$22:$W502)+$AB502,AD502)</f>
        <v>#VALUE!</v>
      </c>
      <c r="AG502" s="73" t="str">
        <f t="shared" si="299"/>
        <v/>
      </c>
      <c r="AH502" s="73" t="str">
        <f t="shared" si="300"/>
        <v/>
      </c>
      <c r="AI502" s="73" t="str">
        <f t="shared" si="301"/>
        <v/>
      </c>
      <c r="AJ502" s="73" t="str">
        <f t="shared" si="302"/>
        <v/>
      </c>
      <c r="AK502" s="73" t="b">
        <f t="shared" si="310"/>
        <v>1</v>
      </c>
      <c r="AL502" s="73" t="str">
        <f t="shared" si="303"/>
        <v/>
      </c>
      <c r="AM502" s="73" t="str">
        <f t="shared" si="304"/>
        <v/>
      </c>
      <c r="AN502" s="73" t="str">
        <f t="shared" si="305"/>
        <v/>
      </c>
      <c r="AO502" s="73" t="str">
        <f t="shared" si="306"/>
        <v/>
      </c>
      <c r="AP502" s="73" t="str">
        <f t="shared" si="307"/>
        <v/>
      </c>
    </row>
    <row r="503" spans="1:42" s="31" customFormat="1" x14ac:dyDescent="0.6">
      <c r="A503" s="70" t="str">
        <f t="shared" si="308"/>
        <v/>
      </c>
      <c r="B503" s="70" t="str">
        <f>IF(E503&lt;=$F$9,VLOOKUP(KALKULATOR!A503,Robocze!$B$23:$C$102,2),"")</f>
        <v/>
      </c>
      <c r="C503" s="70" t="str">
        <f t="shared" si="276"/>
        <v/>
      </c>
      <c r="D503" s="71" t="str">
        <f t="shared" si="277"/>
        <v/>
      </c>
      <c r="E503" s="77" t="str">
        <f t="shared" si="278"/>
        <v/>
      </c>
      <c r="F503" s="72" t="str">
        <f t="shared" si="279"/>
        <v/>
      </c>
      <c r="G503" s="73" t="str">
        <f>IFERROR(IF(AND(F503&lt;=$F$9,$F$5=Robocze!$B$4,$E503&lt;=$F$9,MONTH($F$8)=MONTH(E503)),$F$4,0)+IF(AND(F503&lt;=$F$9,$F$5=Robocze!$B$3,E503&lt;=$F$9),KALKULATOR!$F$4/12,0),"")</f>
        <v/>
      </c>
      <c r="H503" s="73" t="str">
        <f t="shared" si="280"/>
        <v/>
      </c>
      <c r="I503" s="74" t="str">
        <f t="shared" si="281"/>
        <v/>
      </c>
      <c r="J503" s="73" t="str">
        <f t="shared" si="282"/>
        <v/>
      </c>
      <c r="K503" s="75" t="str">
        <f t="shared" si="283"/>
        <v/>
      </c>
      <c r="L503" s="73" t="str">
        <f t="shared" si="284"/>
        <v/>
      </c>
      <c r="M503" s="73" t="str">
        <f t="shared" si="285"/>
        <v/>
      </c>
      <c r="N503" s="73" t="str">
        <f t="shared" si="286"/>
        <v/>
      </c>
      <c r="O503" s="73" t="str">
        <f t="shared" si="287"/>
        <v/>
      </c>
      <c r="P503" s="73" t="str">
        <f t="shared" si="288"/>
        <v/>
      </c>
      <c r="Q503" s="73" t="str">
        <f t="shared" si="289"/>
        <v/>
      </c>
      <c r="R503" s="73"/>
      <c r="S503" s="76" t="str">
        <f t="shared" si="290"/>
        <v/>
      </c>
      <c r="T503" s="73" t="str">
        <f t="shared" si="291"/>
        <v/>
      </c>
      <c r="U503" s="73" t="str">
        <f t="shared" si="292"/>
        <v/>
      </c>
      <c r="V503" s="76" t="str">
        <f t="shared" si="293"/>
        <v/>
      </c>
      <c r="W503" s="73" t="str">
        <f t="shared" si="294"/>
        <v/>
      </c>
      <c r="X503" s="73" t="str">
        <f>IF(B503&lt;&gt;"",IF(MONTH(E503)=MONTH($F$13),SUMIF($C$22:C882,"="&amp;(C503-1),$G$22:G882),0)*S503,"")</f>
        <v/>
      </c>
      <c r="Y503" s="73" t="str">
        <f>IF(B503&lt;&gt;"",SUM($X$22:X503),"")</f>
        <v/>
      </c>
      <c r="Z503" s="73" t="str">
        <f t="shared" si="295"/>
        <v/>
      </c>
      <c r="AA503" s="73" t="str">
        <f t="shared" si="296"/>
        <v/>
      </c>
      <c r="AB503" s="73" t="str">
        <f t="shared" si="297"/>
        <v/>
      </c>
      <c r="AC503" s="73" t="str">
        <f t="shared" si="298"/>
        <v/>
      </c>
      <c r="AD503" s="73" t="str">
        <f>IFERROR($U503*(1-$V503)+SUM($W$22:$W503)+$AB503,"")</f>
        <v/>
      </c>
      <c r="AE503" s="73" t="b">
        <f t="shared" si="309"/>
        <v>1</v>
      </c>
      <c r="AF503" s="73" t="e">
        <f>IF(AND(AE503=TRUE,D503&gt;=65),$U503*(1-10%)+SUM($W$22:$W503)+$AB503,AD503)</f>
        <v>#VALUE!</v>
      </c>
      <c r="AG503" s="73" t="str">
        <f t="shared" si="299"/>
        <v/>
      </c>
      <c r="AH503" s="73" t="str">
        <f t="shared" si="300"/>
        <v/>
      </c>
      <c r="AI503" s="73" t="str">
        <f t="shared" si="301"/>
        <v/>
      </c>
      <c r="AJ503" s="73" t="str">
        <f t="shared" si="302"/>
        <v/>
      </c>
      <c r="AK503" s="73" t="b">
        <f t="shared" si="310"/>
        <v>1</v>
      </c>
      <c r="AL503" s="73" t="str">
        <f t="shared" si="303"/>
        <v/>
      </c>
      <c r="AM503" s="73" t="str">
        <f t="shared" si="304"/>
        <v/>
      </c>
      <c r="AN503" s="73" t="str">
        <f t="shared" si="305"/>
        <v/>
      </c>
      <c r="AO503" s="73" t="str">
        <f t="shared" si="306"/>
        <v/>
      </c>
      <c r="AP503" s="73" t="str">
        <f t="shared" si="307"/>
        <v/>
      </c>
    </row>
    <row r="504" spans="1:42" s="69" customFormat="1" x14ac:dyDescent="0.6">
      <c r="A504" s="78" t="str">
        <f t="shared" si="308"/>
        <v/>
      </c>
      <c r="B504" s="78" t="str">
        <f>IF(E504&lt;=$F$9,VLOOKUP(KALKULATOR!A504,Robocze!$B$23:$C$102,2),"")</f>
        <v/>
      </c>
      <c r="C504" s="78" t="str">
        <f t="shared" si="276"/>
        <v/>
      </c>
      <c r="D504" s="79" t="str">
        <f t="shared" si="277"/>
        <v/>
      </c>
      <c r="E504" s="80" t="str">
        <f t="shared" si="278"/>
        <v/>
      </c>
      <c r="F504" s="81" t="str">
        <f t="shared" si="279"/>
        <v/>
      </c>
      <c r="G504" s="82" t="str">
        <f>IFERROR(IF(AND(F504&lt;=$F$9,$F$5=Robocze!$B$4,$E504&lt;=$F$9,MONTH($F$8)=MONTH(E504)),$F$4,0)+IF(AND(F504&lt;=$F$9,$F$5=Robocze!$B$3,E504&lt;=$F$9),KALKULATOR!$F$4/12,0),"")</f>
        <v/>
      </c>
      <c r="H504" s="82" t="str">
        <f t="shared" si="280"/>
        <v/>
      </c>
      <c r="I504" s="83" t="str">
        <f t="shared" si="281"/>
        <v/>
      </c>
      <c r="J504" s="82" t="str">
        <f t="shared" si="282"/>
        <v/>
      </c>
      <c r="K504" s="84" t="str">
        <f t="shared" si="283"/>
        <v/>
      </c>
      <c r="L504" s="82" t="str">
        <f t="shared" si="284"/>
        <v/>
      </c>
      <c r="M504" s="82" t="str">
        <f t="shared" si="285"/>
        <v/>
      </c>
      <c r="N504" s="82" t="str">
        <f t="shared" si="286"/>
        <v/>
      </c>
      <c r="O504" s="82" t="str">
        <f t="shared" si="287"/>
        <v/>
      </c>
      <c r="P504" s="82" t="str">
        <f t="shared" si="288"/>
        <v/>
      </c>
      <c r="Q504" s="82" t="str">
        <f t="shared" si="289"/>
        <v/>
      </c>
      <c r="R504" s="82"/>
      <c r="S504" s="85" t="str">
        <f t="shared" si="290"/>
        <v/>
      </c>
      <c r="T504" s="82" t="str">
        <f t="shared" si="291"/>
        <v/>
      </c>
      <c r="U504" s="82" t="str">
        <f t="shared" si="292"/>
        <v/>
      </c>
      <c r="V504" s="85" t="str">
        <f t="shared" si="293"/>
        <v/>
      </c>
      <c r="W504" s="82" t="str">
        <f t="shared" si="294"/>
        <v/>
      </c>
      <c r="X504" s="82" t="str">
        <f>IF(B504&lt;&gt;"",IF(MONTH(E504)=MONTH($F$13),SUMIF($C$22:C883,"="&amp;(C504-1),$G$22:G883),0)*S504,"")</f>
        <v/>
      </c>
      <c r="Y504" s="82" t="str">
        <f>IF(B504&lt;&gt;"",SUM($X$22:X504),"")</f>
        <v/>
      </c>
      <c r="Z504" s="82" t="str">
        <f t="shared" si="295"/>
        <v/>
      </c>
      <c r="AA504" s="82" t="str">
        <f t="shared" si="296"/>
        <v/>
      </c>
      <c r="AB504" s="82" t="str">
        <f t="shared" si="297"/>
        <v/>
      </c>
      <c r="AC504" s="82" t="str">
        <f t="shared" si="298"/>
        <v/>
      </c>
      <c r="AD504" s="82" t="str">
        <f>IFERROR($U504*(1-$V504)+SUM($W$22:$W504)+$AB504,"")</f>
        <v/>
      </c>
      <c r="AE504" s="73" t="b">
        <f t="shared" si="309"/>
        <v>1</v>
      </c>
      <c r="AF504" s="82" t="e">
        <f>IF(AND(AE504=TRUE,D504&gt;=65),$U504*(1-10%)+SUM($W$22:$W504)+$AB504,AD504)</f>
        <v>#VALUE!</v>
      </c>
      <c r="AG504" s="82" t="str">
        <f t="shared" si="299"/>
        <v/>
      </c>
      <c r="AH504" s="82" t="str">
        <f t="shared" si="300"/>
        <v/>
      </c>
      <c r="AI504" s="82" t="str">
        <f t="shared" si="301"/>
        <v/>
      </c>
      <c r="AJ504" s="82" t="str">
        <f t="shared" si="302"/>
        <v/>
      </c>
      <c r="AK504" s="73" t="b">
        <f t="shared" si="310"/>
        <v>1</v>
      </c>
      <c r="AL504" s="82" t="str">
        <f t="shared" si="303"/>
        <v/>
      </c>
      <c r="AM504" s="82" t="str">
        <f t="shared" si="304"/>
        <v/>
      </c>
      <c r="AN504" s="82" t="str">
        <f t="shared" si="305"/>
        <v/>
      </c>
      <c r="AO504" s="82" t="str">
        <f t="shared" si="306"/>
        <v/>
      </c>
      <c r="AP504" s="82" t="str">
        <f t="shared" si="307"/>
        <v/>
      </c>
    </row>
    <row r="505" spans="1:42" s="31" customFormat="1" x14ac:dyDescent="0.6">
      <c r="A505" s="70" t="str">
        <f t="shared" si="308"/>
        <v/>
      </c>
      <c r="B505" s="70" t="str">
        <f>IF(E505&lt;=$F$9,VLOOKUP(KALKULATOR!A505,Robocze!$B$23:$C$102,2),"")</f>
        <v/>
      </c>
      <c r="C505" s="70" t="str">
        <f t="shared" si="276"/>
        <v/>
      </c>
      <c r="D505" s="71" t="str">
        <f t="shared" si="277"/>
        <v/>
      </c>
      <c r="E505" s="72" t="str">
        <f t="shared" si="278"/>
        <v/>
      </c>
      <c r="F505" s="72" t="str">
        <f t="shared" si="279"/>
        <v/>
      </c>
      <c r="G505" s="73" t="str">
        <f>IFERROR(IF(AND(F505&lt;=$F$9,$F$5=Robocze!$B$4,$E505&lt;=$F$9,MONTH($F$8)=MONTH(E505)),$F$4,0)+IF(AND(F505&lt;=$F$9,$F$5=Robocze!$B$3,E505&lt;=$F$9),KALKULATOR!$F$4/12,0),"")</f>
        <v/>
      </c>
      <c r="H505" s="73" t="str">
        <f t="shared" si="280"/>
        <v/>
      </c>
      <c r="I505" s="74" t="str">
        <f t="shared" si="281"/>
        <v/>
      </c>
      <c r="J505" s="73" t="str">
        <f t="shared" si="282"/>
        <v/>
      </c>
      <c r="K505" s="75" t="str">
        <f t="shared" si="283"/>
        <v/>
      </c>
      <c r="L505" s="73" t="str">
        <f t="shared" si="284"/>
        <v/>
      </c>
      <c r="M505" s="73" t="str">
        <f t="shared" si="285"/>
        <v/>
      </c>
      <c r="N505" s="73" t="str">
        <f t="shared" si="286"/>
        <v/>
      </c>
      <c r="O505" s="73" t="str">
        <f t="shared" si="287"/>
        <v/>
      </c>
      <c r="P505" s="73" t="str">
        <f t="shared" si="288"/>
        <v/>
      </c>
      <c r="Q505" s="73" t="str">
        <f t="shared" si="289"/>
        <v/>
      </c>
      <c r="R505" s="73"/>
      <c r="S505" s="76" t="str">
        <f t="shared" si="290"/>
        <v/>
      </c>
      <c r="T505" s="73" t="str">
        <f t="shared" si="291"/>
        <v/>
      </c>
      <c r="U505" s="73" t="str">
        <f t="shared" si="292"/>
        <v/>
      </c>
      <c r="V505" s="76" t="str">
        <f t="shared" si="293"/>
        <v/>
      </c>
      <c r="W505" s="73" t="str">
        <f t="shared" si="294"/>
        <v/>
      </c>
      <c r="X505" s="73" t="str">
        <f>IF(B505&lt;&gt;"",IF(MONTH(E505)=MONTH($F$13),SUMIF($C$22:C884,"="&amp;(C505-1),$G$22:G884),0)*S505,"")</f>
        <v/>
      </c>
      <c r="Y505" s="73" t="str">
        <f>IF(B505&lt;&gt;"",SUM($X$22:X505),"")</f>
        <v/>
      </c>
      <c r="Z505" s="73" t="str">
        <f t="shared" si="295"/>
        <v/>
      </c>
      <c r="AA505" s="73" t="str">
        <f t="shared" si="296"/>
        <v/>
      </c>
      <c r="AB505" s="73" t="str">
        <f t="shared" si="297"/>
        <v/>
      </c>
      <c r="AC505" s="73" t="str">
        <f t="shared" si="298"/>
        <v/>
      </c>
      <c r="AD505" s="73" t="str">
        <f>IFERROR($U505*(1-$V505)+SUM($W$22:$W505)+$AB505,"")</f>
        <v/>
      </c>
      <c r="AE505" s="73" t="b">
        <f t="shared" si="309"/>
        <v>1</v>
      </c>
      <c r="AF505" s="73" t="e">
        <f>IF(AND(AE505=TRUE,D505&gt;=65),$U505*(1-10%)+SUM($W$22:$W505)+$AB505,AD505)</f>
        <v>#VALUE!</v>
      </c>
      <c r="AG505" s="73" t="str">
        <f t="shared" si="299"/>
        <v/>
      </c>
      <c r="AH505" s="73" t="str">
        <f t="shared" si="300"/>
        <v/>
      </c>
      <c r="AI505" s="73" t="str">
        <f t="shared" si="301"/>
        <v/>
      </c>
      <c r="AJ505" s="73" t="str">
        <f t="shared" si="302"/>
        <v/>
      </c>
      <c r="AK505" s="73" t="b">
        <f t="shared" si="310"/>
        <v>1</v>
      </c>
      <c r="AL505" s="73" t="str">
        <f t="shared" si="303"/>
        <v/>
      </c>
      <c r="AM505" s="73" t="str">
        <f t="shared" si="304"/>
        <v/>
      </c>
      <c r="AN505" s="73" t="str">
        <f t="shared" si="305"/>
        <v/>
      </c>
      <c r="AO505" s="73" t="str">
        <f t="shared" si="306"/>
        <v/>
      </c>
      <c r="AP505" s="73" t="str">
        <f t="shared" si="307"/>
        <v/>
      </c>
    </row>
    <row r="506" spans="1:42" s="31" customFormat="1" x14ac:dyDescent="0.6">
      <c r="A506" s="70" t="str">
        <f t="shared" si="308"/>
        <v/>
      </c>
      <c r="B506" s="70" t="str">
        <f>IF(E506&lt;=$F$9,VLOOKUP(KALKULATOR!A506,Robocze!$B$23:$C$102,2),"")</f>
        <v/>
      </c>
      <c r="C506" s="70" t="str">
        <f t="shared" si="276"/>
        <v/>
      </c>
      <c r="D506" s="71" t="str">
        <f t="shared" si="277"/>
        <v/>
      </c>
      <c r="E506" s="77" t="str">
        <f t="shared" si="278"/>
        <v/>
      </c>
      <c r="F506" s="72" t="str">
        <f t="shared" si="279"/>
        <v/>
      </c>
      <c r="G506" s="73" t="str">
        <f>IFERROR(IF(AND(F506&lt;=$F$9,$F$5=Robocze!$B$4,$E506&lt;=$F$9,MONTH($F$8)=MONTH(E506)),$F$4,0)+IF(AND(F506&lt;=$F$9,$F$5=Robocze!$B$3,E506&lt;=$F$9),KALKULATOR!$F$4/12,0),"")</f>
        <v/>
      </c>
      <c r="H506" s="73" t="str">
        <f t="shared" si="280"/>
        <v/>
      </c>
      <c r="I506" s="74" t="str">
        <f t="shared" si="281"/>
        <v/>
      </c>
      <c r="J506" s="73" t="str">
        <f t="shared" si="282"/>
        <v/>
      </c>
      <c r="K506" s="75" t="str">
        <f t="shared" si="283"/>
        <v/>
      </c>
      <c r="L506" s="73" t="str">
        <f t="shared" si="284"/>
        <v/>
      </c>
      <c r="M506" s="73" t="str">
        <f t="shared" si="285"/>
        <v/>
      </c>
      <c r="N506" s="73" t="str">
        <f t="shared" si="286"/>
        <v/>
      </c>
      <c r="O506" s="73" t="str">
        <f t="shared" si="287"/>
        <v/>
      </c>
      <c r="P506" s="73" t="str">
        <f t="shared" si="288"/>
        <v/>
      </c>
      <c r="Q506" s="73" t="str">
        <f t="shared" si="289"/>
        <v/>
      </c>
      <c r="R506" s="73"/>
      <c r="S506" s="76" t="str">
        <f t="shared" si="290"/>
        <v/>
      </c>
      <c r="T506" s="73" t="str">
        <f t="shared" si="291"/>
        <v/>
      </c>
      <c r="U506" s="73" t="str">
        <f t="shared" si="292"/>
        <v/>
      </c>
      <c r="V506" s="76" t="str">
        <f t="shared" si="293"/>
        <v/>
      </c>
      <c r="W506" s="73" t="str">
        <f t="shared" si="294"/>
        <v/>
      </c>
      <c r="X506" s="73" t="str">
        <f>IF(B506&lt;&gt;"",IF(MONTH(E506)=MONTH($F$13),SUMIF($C$22:C885,"="&amp;(C506-1),$G$22:G885),0)*S506,"")</f>
        <v/>
      </c>
      <c r="Y506" s="73" t="str">
        <f>IF(B506&lt;&gt;"",SUM($X$22:X506),"")</f>
        <v/>
      </c>
      <c r="Z506" s="73" t="str">
        <f t="shared" si="295"/>
        <v/>
      </c>
      <c r="AA506" s="73" t="str">
        <f t="shared" si="296"/>
        <v/>
      </c>
      <c r="AB506" s="73" t="str">
        <f t="shared" si="297"/>
        <v/>
      </c>
      <c r="AC506" s="73" t="str">
        <f t="shared" si="298"/>
        <v/>
      </c>
      <c r="AD506" s="73" t="str">
        <f>IFERROR($U506*(1-$V506)+SUM($W$22:$W506)+$AB506,"")</f>
        <v/>
      </c>
      <c r="AE506" s="73" t="b">
        <f t="shared" si="309"/>
        <v>1</v>
      </c>
      <c r="AF506" s="73" t="e">
        <f>IF(AND(AE506=TRUE,D506&gt;=65),$U506*(1-10%)+SUM($W$22:$W506)+$AB506,AD506)</f>
        <v>#VALUE!</v>
      </c>
      <c r="AG506" s="73" t="str">
        <f t="shared" si="299"/>
        <v/>
      </c>
      <c r="AH506" s="73" t="str">
        <f t="shared" si="300"/>
        <v/>
      </c>
      <c r="AI506" s="73" t="str">
        <f t="shared" si="301"/>
        <v/>
      </c>
      <c r="AJ506" s="73" t="str">
        <f t="shared" si="302"/>
        <v/>
      </c>
      <c r="AK506" s="73" t="b">
        <f t="shared" si="310"/>
        <v>1</v>
      </c>
      <c r="AL506" s="73" t="str">
        <f t="shared" si="303"/>
        <v/>
      </c>
      <c r="AM506" s="73" t="str">
        <f t="shared" si="304"/>
        <v/>
      </c>
      <c r="AN506" s="73" t="str">
        <f t="shared" si="305"/>
        <v/>
      </c>
      <c r="AO506" s="73" t="str">
        <f t="shared" si="306"/>
        <v/>
      </c>
      <c r="AP506" s="73" t="str">
        <f t="shared" si="307"/>
        <v/>
      </c>
    </row>
    <row r="507" spans="1:42" s="31" customFormat="1" x14ac:dyDescent="0.6">
      <c r="A507" s="70" t="str">
        <f t="shared" si="308"/>
        <v/>
      </c>
      <c r="B507" s="70" t="str">
        <f>IF(E507&lt;=$F$9,VLOOKUP(KALKULATOR!A507,Robocze!$B$23:$C$102,2),"")</f>
        <v/>
      </c>
      <c r="C507" s="70" t="str">
        <f t="shared" si="276"/>
        <v/>
      </c>
      <c r="D507" s="71" t="str">
        <f t="shared" si="277"/>
        <v/>
      </c>
      <c r="E507" s="77" t="str">
        <f t="shared" si="278"/>
        <v/>
      </c>
      <c r="F507" s="72" t="str">
        <f t="shared" si="279"/>
        <v/>
      </c>
      <c r="G507" s="73" t="str">
        <f>IFERROR(IF(AND(F507&lt;=$F$9,$F$5=Robocze!$B$4,$E507&lt;=$F$9,MONTH($F$8)=MONTH(E507)),$F$4,0)+IF(AND(F507&lt;=$F$9,$F$5=Robocze!$B$3,E507&lt;=$F$9),KALKULATOR!$F$4/12,0),"")</f>
        <v/>
      </c>
      <c r="H507" s="73" t="str">
        <f t="shared" si="280"/>
        <v/>
      </c>
      <c r="I507" s="74" t="str">
        <f t="shared" si="281"/>
        <v/>
      </c>
      <c r="J507" s="73" t="str">
        <f t="shared" si="282"/>
        <v/>
      </c>
      <c r="K507" s="75" t="str">
        <f t="shared" si="283"/>
        <v/>
      </c>
      <c r="L507" s="73" t="str">
        <f t="shared" si="284"/>
        <v/>
      </c>
      <c r="M507" s="73" t="str">
        <f t="shared" si="285"/>
        <v/>
      </c>
      <c r="N507" s="73" t="str">
        <f t="shared" si="286"/>
        <v/>
      </c>
      <c r="O507" s="73" t="str">
        <f t="shared" si="287"/>
        <v/>
      </c>
      <c r="P507" s="73" t="str">
        <f t="shared" si="288"/>
        <v/>
      </c>
      <c r="Q507" s="73" t="str">
        <f t="shared" si="289"/>
        <v/>
      </c>
      <c r="R507" s="73"/>
      <c r="S507" s="76" t="str">
        <f t="shared" si="290"/>
        <v/>
      </c>
      <c r="T507" s="73" t="str">
        <f t="shared" si="291"/>
        <v/>
      </c>
      <c r="U507" s="73" t="str">
        <f t="shared" si="292"/>
        <v/>
      </c>
      <c r="V507" s="76" t="str">
        <f t="shared" si="293"/>
        <v/>
      </c>
      <c r="W507" s="73" t="str">
        <f t="shared" si="294"/>
        <v/>
      </c>
      <c r="X507" s="73" t="str">
        <f>IF(B507&lt;&gt;"",IF(MONTH(E507)=MONTH($F$13),SUMIF($C$22:C886,"="&amp;(C507-1),$G$22:G886),0)*S507,"")</f>
        <v/>
      </c>
      <c r="Y507" s="73" t="str">
        <f>IF(B507&lt;&gt;"",SUM($X$22:X507),"")</f>
        <v/>
      </c>
      <c r="Z507" s="73" t="str">
        <f t="shared" si="295"/>
        <v/>
      </c>
      <c r="AA507" s="73" t="str">
        <f t="shared" si="296"/>
        <v/>
      </c>
      <c r="AB507" s="73" t="str">
        <f t="shared" si="297"/>
        <v/>
      </c>
      <c r="AC507" s="73" t="str">
        <f t="shared" si="298"/>
        <v/>
      </c>
      <c r="AD507" s="73" t="str">
        <f>IFERROR($U507*(1-$V507)+SUM($W$22:$W507)+$AB507,"")</f>
        <v/>
      </c>
      <c r="AE507" s="73" t="b">
        <f t="shared" si="309"/>
        <v>1</v>
      </c>
      <c r="AF507" s="73" t="e">
        <f>IF(AND(AE507=TRUE,D507&gt;=65),$U507*(1-10%)+SUM($W$22:$W507)+$AB507,AD507)</f>
        <v>#VALUE!</v>
      </c>
      <c r="AG507" s="73" t="str">
        <f t="shared" si="299"/>
        <v/>
      </c>
      <c r="AH507" s="73" t="str">
        <f t="shared" si="300"/>
        <v/>
      </c>
      <c r="AI507" s="73" t="str">
        <f t="shared" si="301"/>
        <v/>
      </c>
      <c r="AJ507" s="73" t="str">
        <f t="shared" si="302"/>
        <v/>
      </c>
      <c r="AK507" s="73" t="b">
        <f t="shared" si="310"/>
        <v>1</v>
      </c>
      <c r="AL507" s="73" t="str">
        <f t="shared" si="303"/>
        <v/>
      </c>
      <c r="AM507" s="73" t="str">
        <f t="shared" si="304"/>
        <v/>
      </c>
      <c r="AN507" s="73" t="str">
        <f t="shared" si="305"/>
        <v/>
      </c>
      <c r="AO507" s="73" t="str">
        <f t="shared" si="306"/>
        <v/>
      </c>
      <c r="AP507" s="73" t="str">
        <f t="shared" si="307"/>
        <v/>
      </c>
    </row>
    <row r="508" spans="1:42" s="31" customFormat="1" x14ac:dyDescent="0.6">
      <c r="A508" s="70" t="str">
        <f t="shared" si="308"/>
        <v/>
      </c>
      <c r="B508" s="70" t="str">
        <f>IF(E508&lt;=$F$9,VLOOKUP(KALKULATOR!A508,Robocze!$B$23:$C$102,2),"")</f>
        <v/>
      </c>
      <c r="C508" s="70" t="str">
        <f t="shared" si="276"/>
        <v/>
      </c>
      <c r="D508" s="71" t="str">
        <f t="shared" si="277"/>
        <v/>
      </c>
      <c r="E508" s="77" t="str">
        <f t="shared" si="278"/>
        <v/>
      </c>
      <c r="F508" s="72" t="str">
        <f t="shared" si="279"/>
        <v/>
      </c>
      <c r="G508" s="73" t="str">
        <f>IFERROR(IF(AND(F508&lt;=$F$9,$F$5=Robocze!$B$4,$E508&lt;=$F$9,MONTH($F$8)=MONTH(E508)),$F$4,0)+IF(AND(F508&lt;=$F$9,$F$5=Robocze!$B$3,E508&lt;=$F$9),KALKULATOR!$F$4/12,0),"")</f>
        <v/>
      </c>
      <c r="H508" s="73" t="str">
        <f t="shared" si="280"/>
        <v/>
      </c>
      <c r="I508" s="74" t="str">
        <f t="shared" si="281"/>
        <v/>
      </c>
      <c r="J508" s="73" t="str">
        <f t="shared" si="282"/>
        <v/>
      </c>
      <c r="K508" s="75" t="str">
        <f t="shared" si="283"/>
        <v/>
      </c>
      <c r="L508" s="73" t="str">
        <f t="shared" si="284"/>
        <v/>
      </c>
      <c r="M508" s="73" t="str">
        <f t="shared" si="285"/>
        <v/>
      </c>
      <c r="N508" s="73" t="str">
        <f t="shared" si="286"/>
        <v/>
      </c>
      <c r="O508" s="73" t="str">
        <f t="shared" si="287"/>
        <v/>
      </c>
      <c r="P508" s="73" t="str">
        <f t="shared" si="288"/>
        <v/>
      </c>
      <c r="Q508" s="73" t="str">
        <f t="shared" si="289"/>
        <v/>
      </c>
      <c r="R508" s="73"/>
      <c r="S508" s="76" t="str">
        <f t="shared" si="290"/>
        <v/>
      </c>
      <c r="T508" s="73" t="str">
        <f t="shared" si="291"/>
        <v/>
      </c>
      <c r="U508" s="73" t="str">
        <f t="shared" si="292"/>
        <v/>
      </c>
      <c r="V508" s="76" t="str">
        <f t="shared" si="293"/>
        <v/>
      </c>
      <c r="W508" s="73" t="str">
        <f t="shared" si="294"/>
        <v/>
      </c>
      <c r="X508" s="73" t="str">
        <f>IF(B508&lt;&gt;"",IF(MONTH(E508)=MONTH($F$13),SUMIF($C$22:C887,"="&amp;(C508-1),$G$22:G887),0)*S508,"")</f>
        <v/>
      </c>
      <c r="Y508" s="73" t="str">
        <f>IF(B508&lt;&gt;"",SUM($X$22:X508),"")</f>
        <v/>
      </c>
      <c r="Z508" s="73" t="str">
        <f t="shared" si="295"/>
        <v/>
      </c>
      <c r="AA508" s="73" t="str">
        <f t="shared" si="296"/>
        <v/>
      </c>
      <c r="AB508" s="73" t="str">
        <f t="shared" si="297"/>
        <v/>
      </c>
      <c r="AC508" s="73" t="str">
        <f t="shared" si="298"/>
        <v/>
      </c>
      <c r="AD508" s="73" t="str">
        <f>IFERROR($U508*(1-$V508)+SUM($W$22:$W508)+$AB508,"")</f>
        <v/>
      </c>
      <c r="AE508" s="73" t="b">
        <f t="shared" si="309"/>
        <v>1</v>
      </c>
      <c r="AF508" s="73" t="e">
        <f>IF(AND(AE508=TRUE,D508&gt;=65),$U508*(1-10%)+SUM($W$22:$W508)+$AB508,AD508)</f>
        <v>#VALUE!</v>
      </c>
      <c r="AG508" s="73" t="str">
        <f t="shared" si="299"/>
        <v/>
      </c>
      <c r="AH508" s="73" t="str">
        <f t="shared" si="300"/>
        <v/>
      </c>
      <c r="AI508" s="73" t="str">
        <f t="shared" si="301"/>
        <v/>
      </c>
      <c r="AJ508" s="73" t="str">
        <f t="shared" si="302"/>
        <v/>
      </c>
      <c r="AK508" s="73" t="b">
        <f t="shared" si="310"/>
        <v>1</v>
      </c>
      <c r="AL508" s="73" t="str">
        <f t="shared" si="303"/>
        <v/>
      </c>
      <c r="AM508" s="73" t="str">
        <f t="shared" si="304"/>
        <v/>
      </c>
      <c r="AN508" s="73" t="str">
        <f t="shared" si="305"/>
        <v/>
      </c>
      <c r="AO508" s="73" t="str">
        <f t="shared" si="306"/>
        <v/>
      </c>
      <c r="AP508" s="73" t="str">
        <f t="shared" si="307"/>
        <v/>
      </c>
    </row>
    <row r="509" spans="1:42" s="31" customFormat="1" x14ac:dyDescent="0.6">
      <c r="A509" s="70" t="str">
        <f t="shared" si="308"/>
        <v/>
      </c>
      <c r="B509" s="70" t="str">
        <f>IF(E509&lt;=$F$9,VLOOKUP(KALKULATOR!A509,Robocze!$B$23:$C$102,2),"")</f>
        <v/>
      </c>
      <c r="C509" s="70" t="str">
        <f t="shared" si="276"/>
        <v/>
      </c>
      <c r="D509" s="71" t="str">
        <f t="shared" si="277"/>
        <v/>
      </c>
      <c r="E509" s="77" t="str">
        <f t="shared" si="278"/>
        <v/>
      </c>
      <c r="F509" s="72" t="str">
        <f t="shared" si="279"/>
        <v/>
      </c>
      <c r="G509" s="73" t="str">
        <f>IFERROR(IF(AND(F509&lt;=$F$9,$F$5=Robocze!$B$4,$E509&lt;=$F$9,MONTH($F$8)=MONTH(E509)),$F$4,0)+IF(AND(F509&lt;=$F$9,$F$5=Robocze!$B$3,E509&lt;=$F$9),KALKULATOR!$F$4/12,0),"")</f>
        <v/>
      </c>
      <c r="H509" s="73" t="str">
        <f t="shared" si="280"/>
        <v/>
      </c>
      <c r="I509" s="74" t="str">
        <f t="shared" si="281"/>
        <v/>
      </c>
      <c r="J509" s="73" t="str">
        <f t="shared" si="282"/>
        <v/>
      </c>
      <c r="K509" s="75" t="str">
        <f t="shared" si="283"/>
        <v/>
      </c>
      <c r="L509" s="73" t="str">
        <f t="shared" si="284"/>
        <v/>
      </c>
      <c r="M509" s="73" t="str">
        <f t="shared" si="285"/>
        <v/>
      </c>
      <c r="N509" s="73" t="str">
        <f t="shared" si="286"/>
        <v/>
      </c>
      <c r="O509" s="73" t="str">
        <f t="shared" si="287"/>
        <v/>
      </c>
      <c r="P509" s="73" t="str">
        <f t="shared" si="288"/>
        <v/>
      </c>
      <c r="Q509" s="73" t="str">
        <f t="shared" si="289"/>
        <v/>
      </c>
      <c r="R509" s="73"/>
      <c r="S509" s="76" t="str">
        <f t="shared" si="290"/>
        <v/>
      </c>
      <c r="T509" s="73" t="str">
        <f t="shared" si="291"/>
        <v/>
      </c>
      <c r="U509" s="73" t="str">
        <f t="shared" si="292"/>
        <v/>
      </c>
      <c r="V509" s="76" t="str">
        <f t="shared" si="293"/>
        <v/>
      </c>
      <c r="W509" s="73" t="str">
        <f t="shared" si="294"/>
        <v/>
      </c>
      <c r="X509" s="73" t="str">
        <f>IF(B509&lt;&gt;"",IF(MONTH(E509)=MONTH($F$13),SUMIF($C$22:C888,"="&amp;(C509-1),$G$22:G888),0)*S509,"")</f>
        <v/>
      </c>
      <c r="Y509" s="73" t="str">
        <f>IF(B509&lt;&gt;"",SUM($X$22:X509),"")</f>
        <v/>
      </c>
      <c r="Z509" s="73" t="str">
        <f t="shared" si="295"/>
        <v/>
      </c>
      <c r="AA509" s="73" t="str">
        <f t="shared" si="296"/>
        <v/>
      </c>
      <c r="AB509" s="73" t="str">
        <f t="shared" si="297"/>
        <v/>
      </c>
      <c r="AC509" s="73" t="str">
        <f t="shared" si="298"/>
        <v/>
      </c>
      <c r="AD509" s="73" t="str">
        <f>IFERROR($U509*(1-$V509)+SUM($W$22:$W509)+$AB509,"")</f>
        <v/>
      </c>
      <c r="AE509" s="73" t="b">
        <f t="shared" si="309"/>
        <v>1</v>
      </c>
      <c r="AF509" s="73" t="e">
        <f>IF(AND(AE509=TRUE,D509&gt;=65),$U509*(1-10%)+SUM($W$22:$W509)+$AB509,AD509)</f>
        <v>#VALUE!</v>
      </c>
      <c r="AG509" s="73" t="str">
        <f t="shared" si="299"/>
        <v/>
      </c>
      <c r="AH509" s="73" t="str">
        <f t="shared" si="300"/>
        <v/>
      </c>
      <c r="AI509" s="73" t="str">
        <f t="shared" si="301"/>
        <v/>
      </c>
      <c r="AJ509" s="73" t="str">
        <f t="shared" si="302"/>
        <v/>
      </c>
      <c r="AK509" s="73" t="b">
        <f t="shared" si="310"/>
        <v>1</v>
      </c>
      <c r="AL509" s="73" t="str">
        <f t="shared" si="303"/>
        <v/>
      </c>
      <c r="AM509" s="73" t="str">
        <f t="shared" si="304"/>
        <v/>
      </c>
      <c r="AN509" s="73" t="str">
        <f t="shared" si="305"/>
        <v/>
      </c>
      <c r="AO509" s="73" t="str">
        <f t="shared" si="306"/>
        <v/>
      </c>
      <c r="AP509" s="73" t="str">
        <f t="shared" si="307"/>
        <v/>
      </c>
    </row>
    <row r="510" spans="1:42" s="31" customFormat="1" x14ac:dyDescent="0.6">
      <c r="A510" s="70" t="str">
        <f t="shared" si="308"/>
        <v/>
      </c>
      <c r="B510" s="70" t="str">
        <f>IF(E510&lt;=$F$9,VLOOKUP(KALKULATOR!A510,Robocze!$B$23:$C$102,2),"")</f>
        <v/>
      </c>
      <c r="C510" s="70" t="str">
        <f t="shared" ref="C510:C573" si="311">IF(B510="","",YEAR(E510))</f>
        <v/>
      </c>
      <c r="D510" s="71" t="str">
        <f t="shared" ref="D510:D573" si="312">IF(B510="","",D509+1/12)</f>
        <v/>
      </c>
      <c r="E510" s="77" t="str">
        <f t="shared" ref="E510:E573" si="313">IF(OR(B509="",E509&gt;$F$9,A510=""),"",EDATE(E509,1))</f>
        <v/>
      </c>
      <c r="F510" s="72" t="str">
        <f t="shared" ref="F510:F573" si="314">IFERROR(EOMONTH(E510,0),"")</f>
        <v/>
      </c>
      <c r="G510" s="73" t="str">
        <f>IFERROR(IF(AND(F510&lt;=$F$9,$F$5=Robocze!$B$4,$E510&lt;=$F$9,MONTH($F$8)=MONTH(E510)),$F$4,0)+IF(AND(F510&lt;=$F$9,$F$5=Robocze!$B$3,E510&lt;=$F$9),KALKULATOR!$F$4/12,0),"")</f>
        <v/>
      </c>
      <c r="H510" s="73" t="str">
        <f t="shared" ref="H510:H573" si="315">IFERROR(H509+G510,"")</f>
        <v/>
      </c>
      <c r="I510" s="74" t="str">
        <f t="shared" ref="I510:I573" si="316">IF(E510&lt;=$F$9,$F$2,"")</f>
        <v/>
      </c>
      <c r="J510" s="73" t="str">
        <f t="shared" ref="J510:J573" si="317">IFERROR(IF(MONTH($F$8)=MONTH(E510),$F$15,0),"")</f>
        <v/>
      </c>
      <c r="K510" s="75" t="str">
        <f t="shared" ref="K510:K573" si="318">IFERROR(IF(AND(MOD(A510,12)=0,A510&lt;&gt;""),A510/12,""),"")</f>
        <v/>
      </c>
      <c r="L510" s="73" t="str">
        <f t="shared" ref="L510:L573" si="319">H510</f>
        <v/>
      </c>
      <c r="M510" s="73" t="str">
        <f t="shared" ref="M510:M573" si="320">IFERROR(AF510,"")</f>
        <v/>
      </c>
      <c r="N510" s="73" t="str">
        <f t="shared" ref="N510:N573" si="321">IFERROR(AD510,"")</f>
        <v/>
      </c>
      <c r="O510" s="73" t="str">
        <f t="shared" ref="O510:O573" si="322">IFERROR(AL510,"")</f>
        <v/>
      </c>
      <c r="P510" s="73" t="str">
        <f t="shared" ref="P510:P573" si="323">AJ510</f>
        <v/>
      </c>
      <c r="Q510" s="73" t="str">
        <f t="shared" ref="Q510:Q573" si="324">AP510</f>
        <v/>
      </c>
      <c r="R510" s="73"/>
      <c r="S510" s="76" t="str">
        <f t="shared" ref="S510:S573" si="325">IF(B510&lt;&gt;"",$F$11,"")</f>
        <v/>
      </c>
      <c r="T510" s="73" t="str">
        <f t="shared" ref="T510:T573" si="326">IF(B510&lt;&gt;"",(U509-J510+G510)*(I510/12),"")</f>
        <v/>
      </c>
      <c r="U510" s="73" t="str">
        <f t="shared" ref="U510:U573" si="327">IF(B510&lt;&gt;"",U509+T510-J510+G510,"")</f>
        <v/>
      </c>
      <c r="V510" s="76" t="str">
        <f t="shared" ref="V510:V573" si="328">IF(B510&lt;&gt;"",$F$12,"")</f>
        <v/>
      </c>
      <c r="W510" s="73" t="str">
        <f t="shared" ref="W510:W573" si="329">IF(B510&lt;&gt;"",G510*S510,"")</f>
        <v/>
      </c>
      <c r="X510" s="73" t="str">
        <f>IF(B510&lt;&gt;"",IF(MONTH(E510)=MONTH($F$13),SUMIF($C$22:C889,"="&amp;(C510-1),$G$22:G889),0)*S510,"")</f>
        <v/>
      </c>
      <c r="Y510" s="73" t="str">
        <f>IF(B510&lt;&gt;"",SUM($X$22:X510),"")</f>
        <v/>
      </c>
      <c r="Z510" s="73" t="str">
        <f t="shared" ref="Z510:Z573" si="330">IF(B510&lt;&gt;"",(AC509+X510)*I510/12,"")</f>
        <v/>
      </c>
      <c r="AA510" s="73" t="str">
        <f t="shared" ref="AA510:AA573" si="331">IF(B510&lt;&gt;"",MAX(0,Z510*$F$14),"")</f>
        <v/>
      </c>
      <c r="AB510" s="73" t="str">
        <f t="shared" ref="AB510:AB573" si="332">IF(B510&lt;&gt;"",AB509+Z510-AA510,"")</f>
        <v/>
      </c>
      <c r="AC510" s="73" t="str">
        <f t="shared" ref="AC510:AC573" si="333">IF(B510&lt;&gt;"",AC509+Z510-AA510+X510,"")</f>
        <v/>
      </c>
      <c r="AD510" s="73" t="str">
        <f>IFERROR($U510*(1-$V510)+SUM($W$22:$W510)+$AB510,"")</f>
        <v/>
      </c>
      <c r="AE510" s="73" t="b">
        <f t="shared" si="309"/>
        <v>1</v>
      </c>
      <c r="AF510" s="73" t="e">
        <f>IF(AND(AE510=TRUE,D510&gt;=65),$U510*(1-10%)+SUM($W$22:$W510)+$AB510,AD510)</f>
        <v>#VALUE!</v>
      </c>
      <c r="AG510" s="73" t="str">
        <f t="shared" ref="AG510:AG573" si="334">IF(B510&lt;&gt;"",(AI509+G510)*I510/12-J510,"")</f>
        <v/>
      </c>
      <c r="AH510" s="73" t="str">
        <f t="shared" ref="AH510:AH573" si="335">IF(B510&lt;&gt;"",AH509+AG510,"")</f>
        <v/>
      </c>
      <c r="AI510" s="73" t="str">
        <f t="shared" ref="AI510:AI573" si="336">IF(B510&lt;&gt;"",H510+AH510,"")</f>
        <v/>
      </c>
      <c r="AJ510" s="73" t="str">
        <f t="shared" ref="AJ510:AJ573" si="337">IF(B510&lt;&gt;"",IF(AI510&gt;H510,AI510-AH510*$F$14,AI510),"")</f>
        <v/>
      </c>
      <c r="AK510" s="73" t="b">
        <f t="shared" si="310"/>
        <v>1</v>
      </c>
      <c r="AL510" s="73" t="str">
        <f t="shared" ref="AL510:AL573" si="338">IF(AK510=TRUE,AI510,AJ510)</f>
        <v/>
      </c>
      <c r="AM510" s="73" t="str">
        <f t="shared" ref="AM510:AM573" si="339">IF(B510&lt;&gt;"",(AP509+G510)*I510/12,"")</f>
        <v/>
      </c>
      <c r="AN510" s="73" t="str">
        <f t="shared" ref="AN510:AN573" si="340">IF(B510&lt;&gt;"",MAX(0,AM510*$F$14),"")</f>
        <v/>
      </c>
      <c r="AO510" s="73" t="str">
        <f t="shared" ref="AO510:AO573" si="341">IF(B510&lt;&gt;"",AP510-H510,"")</f>
        <v/>
      </c>
      <c r="AP510" s="73" t="str">
        <f t="shared" ref="AP510:AP573" si="342">IF(B510&lt;&gt;"",AP509+G510+AM510-AN510,"")</f>
        <v/>
      </c>
    </row>
    <row r="511" spans="1:42" s="31" customFormat="1" x14ac:dyDescent="0.6">
      <c r="A511" s="70" t="str">
        <f t="shared" si="308"/>
        <v/>
      </c>
      <c r="B511" s="70" t="str">
        <f>IF(E511&lt;=$F$9,VLOOKUP(KALKULATOR!A511,Robocze!$B$23:$C$102,2),"")</f>
        <v/>
      </c>
      <c r="C511" s="70" t="str">
        <f t="shared" si="311"/>
        <v/>
      </c>
      <c r="D511" s="71" t="str">
        <f t="shared" si="312"/>
        <v/>
      </c>
      <c r="E511" s="77" t="str">
        <f t="shared" si="313"/>
        <v/>
      </c>
      <c r="F511" s="72" t="str">
        <f t="shared" si="314"/>
        <v/>
      </c>
      <c r="G511" s="73" t="str">
        <f>IFERROR(IF(AND(F511&lt;=$F$9,$F$5=Robocze!$B$4,$E511&lt;=$F$9,MONTH($F$8)=MONTH(E511)),$F$4,0)+IF(AND(F511&lt;=$F$9,$F$5=Robocze!$B$3,E511&lt;=$F$9),KALKULATOR!$F$4/12,0),"")</f>
        <v/>
      </c>
      <c r="H511" s="73" t="str">
        <f t="shared" si="315"/>
        <v/>
      </c>
      <c r="I511" s="74" t="str">
        <f t="shared" si="316"/>
        <v/>
      </c>
      <c r="J511" s="73" t="str">
        <f t="shared" si="317"/>
        <v/>
      </c>
      <c r="K511" s="75" t="str">
        <f t="shared" si="318"/>
        <v/>
      </c>
      <c r="L511" s="73" t="str">
        <f t="shared" si="319"/>
        <v/>
      </c>
      <c r="M511" s="73" t="str">
        <f t="shared" si="320"/>
        <v/>
      </c>
      <c r="N511" s="73" t="str">
        <f t="shared" si="321"/>
        <v/>
      </c>
      <c r="O511" s="73" t="str">
        <f t="shared" si="322"/>
        <v/>
      </c>
      <c r="P511" s="73" t="str">
        <f t="shared" si="323"/>
        <v/>
      </c>
      <c r="Q511" s="73" t="str">
        <f t="shared" si="324"/>
        <v/>
      </c>
      <c r="R511" s="73"/>
      <c r="S511" s="76" t="str">
        <f t="shared" si="325"/>
        <v/>
      </c>
      <c r="T511" s="73" t="str">
        <f t="shared" si="326"/>
        <v/>
      </c>
      <c r="U511" s="73" t="str">
        <f t="shared" si="327"/>
        <v/>
      </c>
      <c r="V511" s="76" t="str">
        <f t="shared" si="328"/>
        <v/>
      </c>
      <c r="W511" s="73" t="str">
        <f t="shared" si="329"/>
        <v/>
      </c>
      <c r="X511" s="73" t="str">
        <f>IF(B511&lt;&gt;"",IF(MONTH(E511)=MONTH($F$13),SUMIF($C$22:C890,"="&amp;(C511-1),$G$22:G890),0)*S511,"")</f>
        <v/>
      </c>
      <c r="Y511" s="73" t="str">
        <f>IF(B511&lt;&gt;"",SUM($X$22:X511),"")</f>
        <v/>
      </c>
      <c r="Z511" s="73" t="str">
        <f t="shared" si="330"/>
        <v/>
      </c>
      <c r="AA511" s="73" t="str">
        <f t="shared" si="331"/>
        <v/>
      </c>
      <c r="AB511" s="73" t="str">
        <f t="shared" si="332"/>
        <v/>
      </c>
      <c r="AC511" s="73" t="str">
        <f t="shared" si="333"/>
        <v/>
      </c>
      <c r="AD511" s="73" t="str">
        <f>IFERROR($U511*(1-$V511)+SUM($W$22:$W511)+$AB511,"")</f>
        <v/>
      </c>
      <c r="AE511" s="73" t="b">
        <f t="shared" si="309"/>
        <v>1</v>
      </c>
      <c r="AF511" s="73" t="e">
        <f>IF(AND(AE511=TRUE,D511&gt;=65),$U511*(1-10%)+SUM($W$22:$W511)+$AB511,AD511)</f>
        <v>#VALUE!</v>
      </c>
      <c r="AG511" s="73" t="str">
        <f t="shared" si="334"/>
        <v/>
      </c>
      <c r="AH511" s="73" t="str">
        <f t="shared" si="335"/>
        <v/>
      </c>
      <c r="AI511" s="73" t="str">
        <f t="shared" si="336"/>
        <v/>
      </c>
      <c r="AJ511" s="73" t="str">
        <f t="shared" si="337"/>
        <v/>
      </c>
      <c r="AK511" s="73" t="b">
        <f t="shared" si="310"/>
        <v>1</v>
      </c>
      <c r="AL511" s="73" t="str">
        <f t="shared" si="338"/>
        <v/>
      </c>
      <c r="AM511" s="73" t="str">
        <f t="shared" si="339"/>
        <v/>
      </c>
      <c r="AN511" s="73" t="str">
        <f t="shared" si="340"/>
        <v/>
      </c>
      <c r="AO511" s="73" t="str">
        <f t="shared" si="341"/>
        <v/>
      </c>
      <c r="AP511" s="73" t="str">
        <f t="shared" si="342"/>
        <v/>
      </c>
    </row>
    <row r="512" spans="1:42" s="31" customFormat="1" x14ac:dyDescent="0.6">
      <c r="A512" s="70" t="str">
        <f t="shared" si="308"/>
        <v/>
      </c>
      <c r="B512" s="70" t="str">
        <f>IF(E512&lt;=$F$9,VLOOKUP(KALKULATOR!A512,Robocze!$B$23:$C$102,2),"")</f>
        <v/>
      </c>
      <c r="C512" s="70" t="str">
        <f t="shared" si="311"/>
        <v/>
      </c>
      <c r="D512" s="71" t="str">
        <f t="shared" si="312"/>
        <v/>
      </c>
      <c r="E512" s="77" t="str">
        <f t="shared" si="313"/>
        <v/>
      </c>
      <c r="F512" s="72" t="str">
        <f t="shared" si="314"/>
        <v/>
      </c>
      <c r="G512" s="73" t="str">
        <f>IFERROR(IF(AND(F512&lt;=$F$9,$F$5=Robocze!$B$4,$E512&lt;=$F$9,MONTH($F$8)=MONTH(E512)),$F$4,0)+IF(AND(F512&lt;=$F$9,$F$5=Robocze!$B$3,E512&lt;=$F$9),KALKULATOR!$F$4/12,0),"")</f>
        <v/>
      </c>
      <c r="H512" s="73" t="str">
        <f t="shared" si="315"/>
        <v/>
      </c>
      <c r="I512" s="74" t="str">
        <f t="shared" si="316"/>
        <v/>
      </c>
      <c r="J512" s="73" t="str">
        <f t="shared" si="317"/>
        <v/>
      </c>
      <c r="K512" s="75" t="str">
        <f t="shared" si="318"/>
        <v/>
      </c>
      <c r="L512" s="73" t="str">
        <f t="shared" si="319"/>
        <v/>
      </c>
      <c r="M512" s="73" t="str">
        <f t="shared" si="320"/>
        <v/>
      </c>
      <c r="N512" s="73" t="str">
        <f t="shared" si="321"/>
        <v/>
      </c>
      <c r="O512" s="73" t="str">
        <f t="shared" si="322"/>
        <v/>
      </c>
      <c r="P512" s="73" t="str">
        <f t="shared" si="323"/>
        <v/>
      </c>
      <c r="Q512" s="73" t="str">
        <f t="shared" si="324"/>
        <v/>
      </c>
      <c r="R512" s="73"/>
      <c r="S512" s="76" t="str">
        <f t="shared" si="325"/>
        <v/>
      </c>
      <c r="T512" s="73" t="str">
        <f t="shared" si="326"/>
        <v/>
      </c>
      <c r="U512" s="73" t="str">
        <f t="shared" si="327"/>
        <v/>
      </c>
      <c r="V512" s="76" t="str">
        <f t="shared" si="328"/>
        <v/>
      </c>
      <c r="W512" s="73" t="str">
        <f t="shared" si="329"/>
        <v/>
      </c>
      <c r="X512" s="73" t="str">
        <f>IF(B512&lt;&gt;"",IF(MONTH(E512)=MONTH($F$13),SUMIF($C$22:C891,"="&amp;(C512-1),$G$22:G891),0)*S512,"")</f>
        <v/>
      </c>
      <c r="Y512" s="73" t="str">
        <f>IF(B512&lt;&gt;"",SUM($X$22:X512),"")</f>
        <v/>
      </c>
      <c r="Z512" s="73" t="str">
        <f t="shared" si="330"/>
        <v/>
      </c>
      <c r="AA512" s="73" t="str">
        <f t="shared" si="331"/>
        <v/>
      </c>
      <c r="AB512" s="73" t="str">
        <f t="shared" si="332"/>
        <v/>
      </c>
      <c r="AC512" s="73" t="str">
        <f t="shared" si="333"/>
        <v/>
      </c>
      <c r="AD512" s="73" t="str">
        <f>IFERROR($U512*(1-$V512)+SUM($W$22:$W512)+$AB512,"")</f>
        <v/>
      </c>
      <c r="AE512" s="73" t="b">
        <f t="shared" si="309"/>
        <v>1</v>
      </c>
      <c r="AF512" s="73" t="e">
        <f>IF(AND(AE512=TRUE,D512&gt;=65),$U512*(1-10%)+SUM($W$22:$W512)+$AB512,AD512)</f>
        <v>#VALUE!</v>
      </c>
      <c r="AG512" s="73" t="str">
        <f t="shared" si="334"/>
        <v/>
      </c>
      <c r="AH512" s="73" t="str">
        <f t="shared" si="335"/>
        <v/>
      </c>
      <c r="AI512" s="73" t="str">
        <f t="shared" si="336"/>
        <v/>
      </c>
      <c r="AJ512" s="73" t="str">
        <f t="shared" si="337"/>
        <v/>
      </c>
      <c r="AK512" s="73" t="b">
        <f t="shared" si="310"/>
        <v>1</v>
      </c>
      <c r="AL512" s="73" t="str">
        <f t="shared" si="338"/>
        <v/>
      </c>
      <c r="AM512" s="73" t="str">
        <f t="shared" si="339"/>
        <v/>
      </c>
      <c r="AN512" s="73" t="str">
        <f t="shared" si="340"/>
        <v/>
      </c>
      <c r="AO512" s="73" t="str">
        <f t="shared" si="341"/>
        <v/>
      </c>
      <c r="AP512" s="73" t="str">
        <f t="shared" si="342"/>
        <v/>
      </c>
    </row>
    <row r="513" spans="1:42" s="31" customFormat="1" x14ac:dyDescent="0.6">
      <c r="A513" s="70" t="str">
        <f t="shared" si="308"/>
        <v/>
      </c>
      <c r="B513" s="70" t="str">
        <f>IF(E513&lt;=$F$9,VLOOKUP(KALKULATOR!A513,Robocze!$B$23:$C$102,2),"")</f>
        <v/>
      </c>
      <c r="C513" s="70" t="str">
        <f t="shared" si="311"/>
        <v/>
      </c>
      <c r="D513" s="71" t="str">
        <f t="shared" si="312"/>
        <v/>
      </c>
      <c r="E513" s="77" t="str">
        <f t="shared" si="313"/>
        <v/>
      </c>
      <c r="F513" s="72" t="str">
        <f t="shared" si="314"/>
        <v/>
      </c>
      <c r="G513" s="73" t="str">
        <f>IFERROR(IF(AND(F513&lt;=$F$9,$F$5=Robocze!$B$4,$E513&lt;=$F$9,MONTH($F$8)=MONTH(E513)),$F$4,0)+IF(AND(F513&lt;=$F$9,$F$5=Robocze!$B$3,E513&lt;=$F$9),KALKULATOR!$F$4/12,0),"")</f>
        <v/>
      </c>
      <c r="H513" s="73" t="str">
        <f t="shared" si="315"/>
        <v/>
      </c>
      <c r="I513" s="74" t="str">
        <f t="shared" si="316"/>
        <v/>
      </c>
      <c r="J513" s="73" t="str">
        <f t="shared" si="317"/>
        <v/>
      </c>
      <c r="K513" s="75" t="str">
        <f t="shared" si="318"/>
        <v/>
      </c>
      <c r="L513" s="73" t="str">
        <f t="shared" si="319"/>
        <v/>
      </c>
      <c r="M513" s="73" t="str">
        <f t="shared" si="320"/>
        <v/>
      </c>
      <c r="N513" s="73" t="str">
        <f t="shared" si="321"/>
        <v/>
      </c>
      <c r="O513" s="73" t="str">
        <f t="shared" si="322"/>
        <v/>
      </c>
      <c r="P513" s="73" t="str">
        <f t="shared" si="323"/>
        <v/>
      </c>
      <c r="Q513" s="73" t="str">
        <f t="shared" si="324"/>
        <v/>
      </c>
      <c r="R513" s="73"/>
      <c r="S513" s="76" t="str">
        <f t="shared" si="325"/>
        <v/>
      </c>
      <c r="T513" s="73" t="str">
        <f t="shared" si="326"/>
        <v/>
      </c>
      <c r="U513" s="73" t="str">
        <f t="shared" si="327"/>
        <v/>
      </c>
      <c r="V513" s="76" t="str">
        <f t="shared" si="328"/>
        <v/>
      </c>
      <c r="W513" s="73" t="str">
        <f t="shared" si="329"/>
        <v/>
      </c>
      <c r="X513" s="73" t="str">
        <f>IF(B513&lt;&gt;"",IF(MONTH(E513)=MONTH($F$13),SUMIF($C$22:C892,"="&amp;(C513-1),$G$22:G892),0)*S513,"")</f>
        <v/>
      </c>
      <c r="Y513" s="73" t="str">
        <f>IF(B513&lt;&gt;"",SUM($X$22:X513),"")</f>
        <v/>
      </c>
      <c r="Z513" s="73" t="str">
        <f t="shared" si="330"/>
        <v/>
      </c>
      <c r="AA513" s="73" t="str">
        <f t="shared" si="331"/>
        <v/>
      </c>
      <c r="AB513" s="73" t="str">
        <f t="shared" si="332"/>
        <v/>
      </c>
      <c r="AC513" s="73" t="str">
        <f t="shared" si="333"/>
        <v/>
      </c>
      <c r="AD513" s="73" t="str">
        <f>IFERROR($U513*(1-$V513)+SUM($W$22:$W513)+$AB513,"")</f>
        <v/>
      </c>
      <c r="AE513" s="73" t="b">
        <f t="shared" si="309"/>
        <v>1</v>
      </c>
      <c r="AF513" s="73" t="e">
        <f>IF(AND(AE513=TRUE,D513&gt;=65),$U513*(1-10%)+SUM($W$22:$W513)+$AB513,AD513)</f>
        <v>#VALUE!</v>
      </c>
      <c r="AG513" s="73" t="str">
        <f t="shared" si="334"/>
        <v/>
      </c>
      <c r="AH513" s="73" t="str">
        <f t="shared" si="335"/>
        <v/>
      </c>
      <c r="AI513" s="73" t="str">
        <f t="shared" si="336"/>
        <v/>
      </c>
      <c r="AJ513" s="73" t="str">
        <f t="shared" si="337"/>
        <v/>
      </c>
      <c r="AK513" s="73" t="b">
        <f t="shared" si="310"/>
        <v>1</v>
      </c>
      <c r="AL513" s="73" t="str">
        <f t="shared" si="338"/>
        <v/>
      </c>
      <c r="AM513" s="73" t="str">
        <f t="shared" si="339"/>
        <v/>
      </c>
      <c r="AN513" s="73" t="str">
        <f t="shared" si="340"/>
        <v/>
      </c>
      <c r="AO513" s="73" t="str">
        <f t="shared" si="341"/>
        <v/>
      </c>
      <c r="AP513" s="73" t="str">
        <f t="shared" si="342"/>
        <v/>
      </c>
    </row>
    <row r="514" spans="1:42" s="31" customFormat="1" x14ac:dyDescent="0.6">
      <c r="A514" s="70" t="str">
        <f t="shared" si="308"/>
        <v/>
      </c>
      <c r="B514" s="70" t="str">
        <f>IF(E514&lt;=$F$9,VLOOKUP(KALKULATOR!A514,Robocze!$B$23:$C$102,2),"")</f>
        <v/>
      </c>
      <c r="C514" s="70" t="str">
        <f t="shared" si="311"/>
        <v/>
      </c>
      <c r="D514" s="71" t="str">
        <f t="shared" si="312"/>
        <v/>
      </c>
      <c r="E514" s="77" t="str">
        <f t="shared" si="313"/>
        <v/>
      </c>
      <c r="F514" s="72" t="str">
        <f t="shared" si="314"/>
        <v/>
      </c>
      <c r="G514" s="73" t="str">
        <f>IFERROR(IF(AND(F514&lt;=$F$9,$F$5=Robocze!$B$4,$E514&lt;=$F$9,MONTH($F$8)=MONTH(E514)),$F$4,0)+IF(AND(F514&lt;=$F$9,$F$5=Robocze!$B$3,E514&lt;=$F$9),KALKULATOR!$F$4/12,0),"")</f>
        <v/>
      </c>
      <c r="H514" s="73" t="str">
        <f t="shared" si="315"/>
        <v/>
      </c>
      <c r="I514" s="74" t="str">
        <f t="shared" si="316"/>
        <v/>
      </c>
      <c r="J514" s="73" t="str">
        <f t="shared" si="317"/>
        <v/>
      </c>
      <c r="K514" s="75" t="str">
        <f t="shared" si="318"/>
        <v/>
      </c>
      <c r="L514" s="73" t="str">
        <f t="shared" si="319"/>
        <v/>
      </c>
      <c r="M514" s="73" t="str">
        <f t="shared" si="320"/>
        <v/>
      </c>
      <c r="N514" s="73" t="str">
        <f t="shared" si="321"/>
        <v/>
      </c>
      <c r="O514" s="73" t="str">
        <f t="shared" si="322"/>
        <v/>
      </c>
      <c r="P514" s="73" t="str">
        <f t="shared" si="323"/>
        <v/>
      </c>
      <c r="Q514" s="73" t="str">
        <f t="shared" si="324"/>
        <v/>
      </c>
      <c r="R514" s="73"/>
      <c r="S514" s="76" t="str">
        <f t="shared" si="325"/>
        <v/>
      </c>
      <c r="T514" s="73" t="str">
        <f t="shared" si="326"/>
        <v/>
      </c>
      <c r="U514" s="73" t="str">
        <f t="shared" si="327"/>
        <v/>
      </c>
      <c r="V514" s="76" t="str">
        <f t="shared" si="328"/>
        <v/>
      </c>
      <c r="W514" s="73" t="str">
        <f t="shared" si="329"/>
        <v/>
      </c>
      <c r="X514" s="73" t="str">
        <f>IF(B514&lt;&gt;"",IF(MONTH(E514)=MONTH($F$13),SUMIF($C$22:C893,"="&amp;(C514-1),$G$22:G893),0)*S514,"")</f>
        <v/>
      </c>
      <c r="Y514" s="73" t="str">
        <f>IF(B514&lt;&gt;"",SUM($X$22:X514),"")</f>
        <v/>
      </c>
      <c r="Z514" s="73" t="str">
        <f t="shared" si="330"/>
        <v/>
      </c>
      <c r="AA514" s="73" t="str">
        <f t="shared" si="331"/>
        <v/>
      </c>
      <c r="AB514" s="73" t="str">
        <f t="shared" si="332"/>
        <v/>
      </c>
      <c r="AC514" s="73" t="str">
        <f t="shared" si="333"/>
        <v/>
      </c>
      <c r="AD514" s="73" t="str">
        <f>IFERROR($U514*(1-$V514)+SUM($W$22:$W514)+$AB514,"")</f>
        <v/>
      </c>
      <c r="AE514" s="73" t="b">
        <f t="shared" si="309"/>
        <v>1</v>
      </c>
      <c r="AF514" s="73" t="e">
        <f>IF(AND(AE514=TRUE,D514&gt;=65),$U514*(1-10%)+SUM($W$22:$W514)+$AB514,AD514)</f>
        <v>#VALUE!</v>
      </c>
      <c r="AG514" s="73" t="str">
        <f t="shared" si="334"/>
        <v/>
      </c>
      <c r="AH514" s="73" t="str">
        <f t="shared" si="335"/>
        <v/>
      </c>
      <c r="AI514" s="73" t="str">
        <f t="shared" si="336"/>
        <v/>
      </c>
      <c r="AJ514" s="73" t="str">
        <f t="shared" si="337"/>
        <v/>
      </c>
      <c r="AK514" s="73" t="b">
        <f t="shared" si="310"/>
        <v>1</v>
      </c>
      <c r="AL514" s="73" t="str">
        <f t="shared" si="338"/>
        <v/>
      </c>
      <c r="AM514" s="73" t="str">
        <f t="shared" si="339"/>
        <v/>
      </c>
      <c r="AN514" s="73" t="str">
        <f t="shared" si="340"/>
        <v/>
      </c>
      <c r="AO514" s="73" t="str">
        <f t="shared" si="341"/>
        <v/>
      </c>
      <c r="AP514" s="73" t="str">
        <f t="shared" si="342"/>
        <v/>
      </c>
    </row>
    <row r="515" spans="1:42" s="31" customFormat="1" x14ac:dyDescent="0.6">
      <c r="A515" s="70" t="str">
        <f t="shared" si="308"/>
        <v/>
      </c>
      <c r="B515" s="70" t="str">
        <f>IF(E515&lt;=$F$9,VLOOKUP(KALKULATOR!A515,Robocze!$B$23:$C$102,2),"")</f>
        <v/>
      </c>
      <c r="C515" s="70" t="str">
        <f t="shared" si="311"/>
        <v/>
      </c>
      <c r="D515" s="71" t="str">
        <f t="shared" si="312"/>
        <v/>
      </c>
      <c r="E515" s="77" t="str">
        <f t="shared" si="313"/>
        <v/>
      </c>
      <c r="F515" s="72" t="str">
        <f t="shared" si="314"/>
        <v/>
      </c>
      <c r="G515" s="73" t="str">
        <f>IFERROR(IF(AND(F515&lt;=$F$9,$F$5=Robocze!$B$4,$E515&lt;=$F$9,MONTH($F$8)=MONTH(E515)),$F$4,0)+IF(AND(F515&lt;=$F$9,$F$5=Robocze!$B$3,E515&lt;=$F$9),KALKULATOR!$F$4/12,0),"")</f>
        <v/>
      </c>
      <c r="H515" s="73" t="str">
        <f t="shared" si="315"/>
        <v/>
      </c>
      <c r="I515" s="74" t="str">
        <f t="shared" si="316"/>
        <v/>
      </c>
      <c r="J515" s="73" t="str">
        <f t="shared" si="317"/>
        <v/>
      </c>
      <c r="K515" s="75" t="str">
        <f t="shared" si="318"/>
        <v/>
      </c>
      <c r="L515" s="73" t="str">
        <f t="shared" si="319"/>
        <v/>
      </c>
      <c r="M515" s="73" t="str">
        <f t="shared" si="320"/>
        <v/>
      </c>
      <c r="N515" s="73" t="str">
        <f t="shared" si="321"/>
        <v/>
      </c>
      <c r="O515" s="73" t="str">
        <f t="shared" si="322"/>
        <v/>
      </c>
      <c r="P515" s="73" t="str">
        <f t="shared" si="323"/>
        <v/>
      </c>
      <c r="Q515" s="73" t="str">
        <f t="shared" si="324"/>
        <v/>
      </c>
      <c r="R515" s="73"/>
      <c r="S515" s="76" t="str">
        <f t="shared" si="325"/>
        <v/>
      </c>
      <c r="T515" s="73" t="str">
        <f t="shared" si="326"/>
        <v/>
      </c>
      <c r="U515" s="73" t="str">
        <f t="shared" si="327"/>
        <v/>
      </c>
      <c r="V515" s="76" t="str">
        <f t="shared" si="328"/>
        <v/>
      </c>
      <c r="W515" s="73" t="str">
        <f t="shared" si="329"/>
        <v/>
      </c>
      <c r="X515" s="73" t="str">
        <f>IF(B515&lt;&gt;"",IF(MONTH(E515)=MONTH($F$13),SUMIF($C$22:C894,"="&amp;(C515-1),$G$22:G894),0)*S515,"")</f>
        <v/>
      </c>
      <c r="Y515" s="73" t="str">
        <f>IF(B515&lt;&gt;"",SUM($X$22:X515),"")</f>
        <v/>
      </c>
      <c r="Z515" s="73" t="str">
        <f t="shared" si="330"/>
        <v/>
      </c>
      <c r="AA515" s="73" t="str">
        <f t="shared" si="331"/>
        <v/>
      </c>
      <c r="AB515" s="73" t="str">
        <f t="shared" si="332"/>
        <v/>
      </c>
      <c r="AC515" s="73" t="str">
        <f t="shared" si="333"/>
        <v/>
      </c>
      <c r="AD515" s="73" t="str">
        <f>IFERROR($U515*(1-$V515)+SUM($W$22:$W515)+$AB515,"")</f>
        <v/>
      </c>
      <c r="AE515" s="73" t="b">
        <f t="shared" si="309"/>
        <v>1</v>
      </c>
      <c r="AF515" s="73" t="e">
        <f>IF(AND(AE515=TRUE,D515&gt;=65),$U515*(1-10%)+SUM($W$22:$W515)+$AB515,AD515)</f>
        <v>#VALUE!</v>
      </c>
      <c r="AG515" s="73" t="str">
        <f t="shared" si="334"/>
        <v/>
      </c>
      <c r="AH515" s="73" t="str">
        <f t="shared" si="335"/>
        <v/>
      </c>
      <c r="AI515" s="73" t="str">
        <f t="shared" si="336"/>
        <v/>
      </c>
      <c r="AJ515" s="73" t="str">
        <f t="shared" si="337"/>
        <v/>
      </c>
      <c r="AK515" s="73" t="b">
        <f t="shared" si="310"/>
        <v>1</v>
      </c>
      <c r="AL515" s="73" t="str">
        <f t="shared" si="338"/>
        <v/>
      </c>
      <c r="AM515" s="73" t="str">
        <f t="shared" si="339"/>
        <v/>
      </c>
      <c r="AN515" s="73" t="str">
        <f t="shared" si="340"/>
        <v/>
      </c>
      <c r="AO515" s="73" t="str">
        <f t="shared" si="341"/>
        <v/>
      </c>
      <c r="AP515" s="73" t="str">
        <f t="shared" si="342"/>
        <v/>
      </c>
    </row>
    <row r="516" spans="1:42" s="69" customFormat="1" x14ac:dyDescent="0.6">
      <c r="A516" s="78" t="str">
        <f t="shared" si="308"/>
        <v/>
      </c>
      <c r="B516" s="78" t="str">
        <f>IF(E516&lt;=$F$9,VLOOKUP(KALKULATOR!A516,Robocze!$B$23:$C$102,2),"")</f>
        <v/>
      </c>
      <c r="C516" s="78" t="str">
        <f t="shared" si="311"/>
        <v/>
      </c>
      <c r="D516" s="79" t="str">
        <f t="shared" si="312"/>
        <v/>
      </c>
      <c r="E516" s="80" t="str">
        <f t="shared" si="313"/>
        <v/>
      </c>
      <c r="F516" s="81" t="str">
        <f t="shared" si="314"/>
        <v/>
      </c>
      <c r="G516" s="82" t="str">
        <f>IFERROR(IF(AND(F516&lt;=$F$9,$F$5=Robocze!$B$4,$E516&lt;=$F$9,MONTH($F$8)=MONTH(E516)),$F$4,0)+IF(AND(F516&lt;=$F$9,$F$5=Robocze!$B$3,E516&lt;=$F$9),KALKULATOR!$F$4/12,0),"")</f>
        <v/>
      </c>
      <c r="H516" s="82" t="str">
        <f t="shared" si="315"/>
        <v/>
      </c>
      <c r="I516" s="83" t="str">
        <f t="shared" si="316"/>
        <v/>
      </c>
      <c r="J516" s="82" t="str">
        <f t="shared" si="317"/>
        <v/>
      </c>
      <c r="K516" s="84" t="str">
        <f t="shared" si="318"/>
        <v/>
      </c>
      <c r="L516" s="82" t="str">
        <f t="shared" si="319"/>
        <v/>
      </c>
      <c r="M516" s="82" t="str">
        <f t="shared" si="320"/>
        <v/>
      </c>
      <c r="N516" s="82" t="str">
        <f t="shared" si="321"/>
        <v/>
      </c>
      <c r="O516" s="82" t="str">
        <f t="shared" si="322"/>
        <v/>
      </c>
      <c r="P516" s="82" t="str">
        <f t="shared" si="323"/>
        <v/>
      </c>
      <c r="Q516" s="82" t="str">
        <f t="shared" si="324"/>
        <v/>
      </c>
      <c r="R516" s="82"/>
      <c r="S516" s="85" t="str">
        <f t="shared" si="325"/>
        <v/>
      </c>
      <c r="T516" s="82" t="str">
        <f t="shared" si="326"/>
        <v/>
      </c>
      <c r="U516" s="82" t="str">
        <f t="shared" si="327"/>
        <v/>
      </c>
      <c r="V516" s="85" t="str">
        <f t="shared" si="328"/>
        <v/>
      </c>
      <c r="W516" s="82" t="str">
        <f t="shared" si="329"/>
        <v/>
      </c>
      <c r="X516" s="82" t="str">
        <f>IF(B516&lt;&gt;"",IF(MONTH(E516)=MONTH($F$13),SUMIF($C$22:C895,"="&amp;(C516-1),$G$22:G895),0)*S516,"")</f>
        <v/>
      </c>
      <c r="Y516" s="82" t="str">
        <f>IF(B516&lt;&gt;"",SUM($X$22:X516),"")</f>
        <v/>
      </c>
      <c r="Z516" s="82" t="str">
        <f t="shared" si="330"/>
        <v/>
      </c>
      <c r="AA516" s="82" t="str">
        <f t="shared" si="331"/>
        <v/>
      </c>
      <c r="AB516" s="82" t="str">
        <f t="shared" si="332"/>
        <v/>
      </c>
      <c r="AC516" s="82" t="str">
        <f t="shared" si="333"/>
        <v/>
      </c>
      <c r="AD516" s="82" t="str">
        <f>IFERROR($U516*(1-$V516)+SUM($W$22:$W516)+$AB516,"")</f>
        <v/>
      </c>
      <c r="AE516" s="73" t="b">
        <f t="shared" si="309"/>
        <v>1</v>
      </c>
      <c r="AF516" s="82" t="e">
        <f>IF(AND(AE516=TRUE,D516&gt;=65),$U516*(1-10%)+SUM($W$22:$W516)+$AB516,AD516)</f>
        <v>#VALUE!</v>
      </c>
      <c r="AG516" s="82" t="str">
        <f t="shared" si="334"/>
        <v/>
      </c>
      <c r="AH516" s="82" t="str">
        <f t="shared" si="335"/>
        <v/>
      </c>
      <c r="AI516" s="82" t="str">
        <f t="shared" si="336"/>
        <v/>
      </c>
      <c r="AJ516" s="82" t="str">
        <f t="shared" si="337"/>
        <v/>
      </c>
      <c r="AK516" s="73" t="b">
        <f t="shared" si="310"/>
        <v>1</v>
      </c>
      <c r="AL516" s="82" t="str">
        <f t="shared" si="338"/>
        <v/>
      </c>
      <c r="AM516" s="82" t="str">
        <f t="shared" si="339"/>
        <v/>
      </c>
      <c r="AN516" s="82" t="str">
        <f t="shared" si="340"/>
        <v/>
      </c>
      <c r="AO516" s="82" t="str">
        <f t="shared" si="341"/>
        <v/>
      </c>
      <c r="AP516" s="82" t="str">
        <f t="shared" si="342"/>
        <v/>
      </c>
    </row>
    <row r="517" spans="1:42" s="31" customFormat="1" x14ac:dyDescent="0.6">
      <c r="A517" s="70" t="str">
        <f t="shared" si="308"/>
        <v/>
      </c>
      <c r="B517" s="70" t="str">
        <f>IF(E517&lt;=$F$9,VLOOKUP(KALKULATOR!A517,Robocze!$B$23:$C$102,2),"")</f>
        <v/>
      </c>
      <c r="C517" s="70" t="str">
        <f t="shared" si="311"/>
        <v/>
      </c>
      <c r="D517" s="71" t="str">
        <f t="shared" si="312"/>
        <v/>
      </c>
      <c r="E517" s="72" t="str">
        <f t="shared" si="313"/>
        <v/>
      </c>
      <c r="F517" s="72" t="str">
        <f t="shared" si="314"/>
        <v/>
      </c>
      <c r="G517" s="73" t="str">
        <f>IFERROR(IF(AND(F517&lt;=$F$9,$F$5=Robocze!$B$4,$E517&lt;=$F$9,MONTH($F$8)=MONTH(E517)),$F$4,0)+IF(AND(F517&lt;=$F$9,$F$5=Robocze!$B$3,E517&lt;=$F$9),KALKULATOR!$F$4/12,0),"")</f>
        <v/>
      </c>
      <c r="H517" s="73" t="str">
        <f t="shared" si="315"/>
        <v/>
      </c>
      <c r="I517" s="74" t="str">
        <f t="shared" si="316"/>
        <v/>
      </c>
      <c r="J517" s="73" t="str">
        <f t="shared" si="317"/>
        <v/>
      </c>
      <c r="K517" s="75" t="str">
        <f t="shared" si="318"/>
        <v/>
      </c>
      <c r="L517" s="73" t="str">
        <f t="shared" si="319"/>
        <v/>
      </c>
      <c r="M517" s="73" t="str">
        <f t="shared" si="320"/>
        <v/>
      </c>
      <c r="N517" s="73" t="str">
        <f t="shared" si="321"/>
        <v/>
      </c>
      <c r="O517" s="73" t="str">
        <f t="shared" si="322"/>
        <v/>
      </c>
      <c r="P517" s="73" t="str">
        <f t="shared" si="323"/>
        <v/>
      </c>
      <c r="Q517" s="73" t="str">
        <f t="shared" si="324"/>
        <v/>
      </c>
      <c r="R517" s="73"/>
      <c r="S517" s="76" t="str">
        <f t="shared" si="325"/>
        <v/>
      </c>
      <c r="T517" s="73" t="str">
        <f t="shared" si="326"/>
        <v/>
      </c>
      <c r="U517" s="73" t="str">
        <f t="shared" si="327"/>
        <v/>
      </c>
      <c r="V517" s="76" t="str">
        <f t="shared" si="328"/>
        <v/>
      </c>
      <c r="W517" s="73" t="str">
        <f t="shared" si="329"/>
        <v/>
      </c>
      <c r="X517" s="73" t="str">
        <f>IF(B517&lt;&gt;"",IF(MONTH(E517)=MONTH($F$13),SUMIF($C$22:C896,"="&amp;(C517-1),$G$22:G896),0)*S517,"")</f>
        <v/>
      </c>
      <c r="Y517" s="73" t="str">
        <f>IF(B517&lt;&gt;"",SUM($X$22:X517),"")</f>
        <v/>
      </c>
      <c r="Z517" s="73" t="str">
        <f t="shared" si="330"/>
        <v/>
      </c>
      <c r="AA517" s="73" t="str">
        <f t="shared" si="331"/>
        <v/>
      </c>
      <c r="AB517" s="73" t="str">
        <f t="shared" si="332"/>
        <v/>
      </c>
      <c r="AC517" s="73" t="str">
        <f t="shared" si="333"/>
        <v/>
      </c>
      <c r="AD517" s="73" t="str">
        <f>IFERROR($U517*(1-$V517)+SUM($W$22:$W517)+$AB517,"")</f>
        <v/>
      </c>
      <c r="AE517" s="73" t="b">
        <f t="shared" si="309"/>
        <v>1</v>
      </c>
      <c r="AF517" s="73" t="e">
        <f>IF(AND(AE517=TRUE,D517&gt;=65),$U517*(1-10%)+SUM($W$22:$W517)+$AB517,AD517)</f>
        <v>#VALUE!</v>
      </c>
      <c r="AG517" s="73" t="str">
        <f t="shared" si="334"/>
        <v/>
      </c>
      <c r="AH517" s="73" t="str">
        <f t="shared" si="335"/>
        <v/>
      </c>
      <c r="AI517" s="73" t="str">
        <f t="shared" si="336"/>
        <v/>
      </c>
      <c r="AJ517" s="73" t="str">
        <f t="shared" si="337"/>
        <v/>
      </c>
      <c r="AK517" s="73" t="b">
        <f t="shared" si="310"/>
        <v>1</v>
      </c>
      <c r="AL517" s="73" t="str">
        <f t="shared" si="338"/>
        <v/>
      </c>
      <c r="AM517" s="73" t="str">
        <f t="shared" si="339"/>
        <v/>
      </c>
      <c r="AN517" s="73" t="str">
        <f t="shared" si="340"/>
        <v/>
      </c>
      <c r="AO517" s="73" t="str">
        <f t="shared" si="341"/>
        <v/>
      </c>
      <c r="AP517" s="73" t="str">
        <f t="shared" si="342"/>
        <v/>
      </c>
    </row>
    <row r="518" spans="1:42" s="31" customFormat="1" x14ac:dyDescent="0.6">
      <c r="A518" s="70" t="str">
        <f t="shared" si="308"/>
        <v/>
      </c>
      <c r="B518" s="70" t="str">
        <f>IF(E518&lt;=$F$9,VLOOKUP(KALKULATOR!A518,Robocze!$B$23:$C$102,2),"")</f>
        <v/>
      </c>
      <c r="C518" s="70" t="str">
        <f t="shared" si="311"/>
        <v/>
      </c>
      <c r="D518" s="71" t="str">
        <f t="shared" si="312"/>
        <v/>
      </c>
      <c r="E518" s="77" t="str">
        <f t="shared" si="313"/>
        <v/>
      </c>
      <c r="F518" s="72" t="str">
        <f t="shared" si="314"/>
        <v/>
      </c>
      <c r="G518" s="73" t="str">
        <f>IFERROR(IF(AND(F518&lt;=$F$9,$F$5=Robocze!$B$4,$E518&lt;=$F$9,MONTH($F$8)=MONTH(E518)),$F$4,0)+IF(AND(F518&lt;=$F$9,$F$5=Robocze!$B$3,E518&lt;=$F$9),KALKULATOR!$F$4/12,0),"")</f>
        <v/>
      </c>
      <c r="H518" s="73" t="str">
        <f t="shared" si="315"/>
        <v/>
      </c>
      <c r="I518" s="74" t="str">
        <f t="shared" si="316"/>
        <v/>
      </c>
      <c r="J518" s="73" t="str">
        <f t="shared" si="317"/>
        <v/>
      </c>
      <c r="K518" s="75" t="str">
        <f t="shared" si="318"/>
        <v/>
      </c>
      <c r="L518" s="73" t="str">
        <f t="shared" si="319"/>
        <v/>
      </c>
      <c r="M518" s="73" t="str">
        <f t="shared" si="320"/>
        <v/>
      </c>
      <c r="N518" s="73" t="str">
        <f t="shared" si="321"/>
        <v/>
      </c>
      <c r="O518" s="73" t="str">
        <f t="shared" si="322"/>
        <v/>
      </c>
      <c r="P518" s="73" t="str">
        <f t="shared" si="323"/>
        <v/>
      </c>
      <c r="Q518" s="73" t="str">
        <f t="shared" si="324"/>
        <v/>
      </c>
      <c r="R518" s="73"/>
      <c r="S518" s="76" t="str">
        <f t="shared" si="325"/>
        <v/>
      </c>
      <c r="T518" s="73" t="str">
        <f t="shared" si="326"/>
        <v/>
      </c>
      <c r="U518" s="73" t="str">
        <f t="shared" si="327"/>
        <v/>
      </c>
      <c r="V518" s="76" t="str">
        <f t="shared" si="328"/>
        <v/>
      </c>
      <c r="W518" s="73" t="str">
        <f t="shared" si="329"/>
        <v/>
      </c>
      <c r="X518" s="73" t="str">
        <f>IF(B518&lt;&gt;"",IF(MONTH(E518)=MONTH($F$13),SUMIF($C$22:C897,"="&amp;(C518-1),$G$22:G897),0)*S518,"")</f>
        <v/>
      </c>
      <c r="Y518" s="73" t="str">
        <f>IF(B518&lt;&gt;"",SUM($X$22:X518),"")</f>
        <v/>
      </c>
      <c r="Z518" s="73" t="str">
        <f t="shared" si="330"/>
        <v/>
      </c>
      <c r="AA518" s="73" t="str">
        <f t="shared" si="331"/>
        <v/>
      </c>
      <c r="AB518" s="73" t="str">
        <f t="shared" si="332"/>
        <v/>
      </c>
      <c r="AC518" s="73" t="str">
        <f t="shared" si="333"/>
        <v/>
      </c>
      <c r="AD518" s="73" t="str">
        <f>IFERROR($U518*(1-$V518)+SUM($W$22:$W518)+$AB518,"")</f>
        <v/>
      </c>
      <c r="AE518" s="73" t="b">
        <f t="shared" si="309"/>
        <v>1</v>
      </c>
      <c r="AF518" s="73" t="e">
        <f>IF(AND(AE518=TRUE,D518&gt;=65),$U518*(1-10%)+SUM($W$22:$W518)+$AB518,AD518)</f>
        <v>#VALUE!</v>
      </c>
      <c r="AG518" s="73" t="str">
        <f t="shared" si="334"/>
        <v/>
      </c>
      <c r="AH518" s="73" t="str">
        <f t="shared" si="335"/>
        <v/>
      </c>
      <c r="AI518" s="73" t="str">
        <f t="shared" si="336"/>
        <v/>
      </c>
      <c r="AJ518" s="73" t="str">
        <f t="shared" si="337"/>
        <v/>
      </c>
      <c r="AK518" s="73" t="b">
        <f t="shared" si="310"/>
        <v>1</v>
      </c>
      <c r="AL518" s="73" t="str">
        <f t="shared" si="338"/>
        <v/>
      </c>
      <c r="AM518" s="73" t="str">
        <f t="shared" si="339"/>
        <v/>
      </c>
      <c r="AN518" s="73" t="str">
        <f t="shared" si="340"/>
        <v/>
      </c>
      <c r="AO518" s="73" t="str">
        <f t="shared" si="341"/>
        <v/>
      </c>
      <c r="AP518" s="73" t="str">
        <f t="shared" si="342"/>
        <v/>
      </c>
    </row>
    <row r="519" spans="1:42" s="31" customFormat="1" x14ac:dyDescent="0.6">
      <c r="A519" s="70" t="str">
        <f t="shared" si="308"/>
        <v/>
      </c>
      <c r="B519" s="70" t="str">
        <f>IF(E519&lt;=$F$9,VLOOKUP(KALKULATOR!A519,Robocze!$B$23:$C$102,2),"")</f>
        <v/>
      </c>
      <c r="C519" s="70" t="str">
        <f t="shared" si="311"/>
        <v/>
      </c>
      <c r="D519" s="71" t="str">
        <f t="shared" si="312"/>
        <v/>
      </c>
      <c r="E519" s="77" t="str">
        <f t="shared" si="313"/>
        <v/>
      </c>
      <c r="F519" s="72" t="str">
        <f t="shared" si="314"/>
        <v/>
      </c>
      <c r="G519" s="73" t="str">
        <f>IFERROR(IF(AND(F519&lt;=$F$9,$F$5=Robocze!$B$4,$E519&lt;=$F$9,MONTH($F$8)=MONTH(E519)),$F$4,0)+IF(AND(F519&lt;=$F$9,$F$5=Robocze!$B$3,E519&lt;=$F$9),KALKULATOR!$F$4/12,0),"")</f>
        <v/>
      </c>
      <c r="H519" s="73" t="str">
        <f t="shared" si="315"/>
        <v/>
      </c>
      <c r="I519" s="74" t="str">
        <f t="shared" si="316"/>
        <v/>
      </c>
      <c r="J519" s="73" t="str">
        <f t="shared" si="317"/>
        <v/>
      </c>
      <c r="K519" s="75" t="str">
        <f t="shared" si="318"/>
        <v/>
      </c>
      <c r="L519" s="73" t="str">
        <f t="shared" si="319"/>
        <v/>
      </c>
      <c r="M519" s="73" t="str">
        <f t="shared" si="320"/>
        <v/>
      </c>
      <c r="N519" s="73" t="str">
        <f t="shared" si="321"/>
        <v/>
      </c>
      <c r="O519" s="73" t="str">
        <f t="shared" si="322"/>
        <v/>
      </c>
      <c r="P519" s="73" t="str">
        <f t="shared" si="323"/>
        <v/>
      </c>
      <c r="Q519" s="73" t="str">
        <f t="shared" si="324"/>
        <v/>
      </c>
      <c r="R519" s="73"/>
      <c r="S519" s="76" t="str">
        <f t="shared" si="325"/>
        <v/>
      </c>
      <c r="T519" s="73" t="str">
        <f t="shared" si="326"/>
        <v/>
      </c>
      <c r="U519" s="73" t="str">
        <f t="shared" si="327"/>
        <v/>
      </c>
      <c r="V519" s="76" t="str">
        <f t="shared" si="328"/>
        <v/>
      </c>
      <c r="W519" s="73" t="str">
        <f t="shared" si="329"/>
        <v/>
      </c>
      <c r="X519" s="73" t="str">
        <f>IF(B519&lt;&gt;"",IF(MONTH(E519)=MONTH($F$13),SUMIF($C$22:C898,"="&amp;(C519-1),$G$22:G898),0)*S519,"")</f>
        <v/>
      </c>
      <c r="Y519" s="73" t="str">
        <f>IF(B519&lt;&gt;"",SUM($X$22:X519),"")</f>
        <v/>
      </c>
      <c r="Z519" s="73" t="str">
        <f t="shared" si="330"/>
        <v/>
      </c>
      <c r="AA519" s="73" t="str">
        <f t="shared" si="331"/>
        <v/>
      </c>
      <c r="AB519" s="73" t="str">
        <f t="shared" si="332"/>
        <v/>
      </c>
      <c r="AC519" s="73" t="str">
        <f t="shared" si="333"/>
        <v/>
      </c>
      <c r="AD519" s="73" t="str">
        <f>IFERROR($U519*(1-$V519)+SUM($W$22:$W519)+$AB519,"")</f>
        <v/>
      </c>
      <c r="AE519" s="73" t="b">
        <f t="shared" si="309"/>
        <v>1</v>
      </c>
      <c r="AF519" s="73" t="e">
        <f>IF(AND(AE519=TRUE,D519&gt;=65),$U519*(1-10%)+SUM($W$22:$W519)+$AB519,AD519)</f>
        <v>#VALUE!</v>
      </c>
      <c r="AG519" s="73" t="str">
        <f t="shared" si="334"/>
        <v/>
      </c>
      <c r="AH519" s="73" t="str">
        <f t="shared" si="335"/>
        <v/>
      </c>
      <c r="AI519" s="73" t="str">
        <f t="shared" si="336"/>
        <v/>
      </c>
      <c r="AJ519" s="73" t="str">
        <f t="shared" si="337"/>
        <v/>
      </c>
      <c r="AK519" s="73" t="b">
        <f t="shared" si="310"/>
        <v>1</v>
      </c>
      <c r="AL519" s="73" t="str">
        <f t="shared" si="338"/>
        <v/>
      </c>
      <c r="AM519" s="73" t="str">
        <f t="shared" si="339"/>
        <v/>
      </c>
      <c r="AN519" s="73" t="str">
        <f t="shared" si="340"/>
        <v/>
      </c>
      <c r="AO519" s="73" t="str">
        <f t="shared" si="341"/>
        <v/>
      </c>
      <c r="AP519" s="73" t="str">
        <f t="shared" si="342"/>
        <v/>
      </c>
    </row>
    <row r="520" spans="1:42" s="31" customFormat="1" x14ac:dyDescent="0.6">
      <c r="A520" s="70" t="str">
        <f t="shared" si="308"/>
        <v/>
      </c>
      <c r="B520" s="70" t="str">
        <f>IF(E520&lt;=$F$9,VLOOKUP(KALKULATOR!A520,Robocze!$B$23:$C$102,2),"")</f>
        <v/>
      </c>
      <c r="C520" s="70" t="str">
        <f t="shared" si="311"/>
        <v/>
      </c>
      <c r="D520" s="71" t="str">
        <f t="shared" si="312"/>
        <v/>
      </c>
      <c r="E520" s="77" t="str">
        <f t="shared" si="313"/>
        <v/>
      </c>
      <c r="F520" s="72" t="str">
        <f t="shared" si="314"/>
        <v/>
      </c>
      <c r="G520" s="73" t="str">
        <f>IFERROR(IF(AND(F520&lt;=$F$9,$F$5=Robocze!$B$4,$E520&lt;=$F$9,MONTH($F$8)=MONTH(E520)),$F$4,0)+IF(AND(F520&lt;=$F$9,$F$5=Robocze!$B$3,E520&lt;=$F$9),KALKULATOR!$F$4/12,0),"")</f>
        <v/>
      </c>
      <c r="H520" s="73" t="str">
        <f t="shared" si="315"/>
        <v/>
      </c>
      <c r="I520" s="74" t="str">
        <f t="shared" si="316"/>
        <v/>
      </c>
      <c r="J520" s="73" t="str">
        <f t="shared" si="317"/>
        <v/>
      </c>
      <c r="K520" s="75" t="str">
        <f t="shared" si="318"/>
        <v/>
      </c>
      <c r="L520" s="73" t="str">
        <f t="shared" si="319"/>
        <v/>
      </c>
      <c r="M520" s="73" t="str">
        <f t="shared" si="320"/>
        <v/>
      </c>
      <c r="N520" s="73" t="str">
        <f t="shared" si="321"/>
        <v/>
      </c>
      <c r="O520" s="73" t="str">
        <f t="shared" si="322"/>
        <v/>
      </c>
      <c r="P520" s="73" t="str">
        <f t="shared" si="323"/>
        <v/>
      </c>
      <c r="Q520" s="73" t="str">
        <f t="shared" si="324"/>
        <v/>
      </c>
      <c r="R520" s="73"/>
      <c r="S520" s="76" t="str">
        <f t="shared" si="325"/>
        <v/>
      </c>
      <c r="T520" s="73" t="str">
        <f t="shared" si="326"/>
        <v/>
      </c>
      <c r="U520" s="73" t="str">
        <f t="shared" si="327"/>
        <v/>
      </c>
      <c r="V520" s="76" t="str">
        <f t="shared" si="328"/>
        <v/>
      </c>
      <c r="W520" s="73" t="str">
        <f t="shared" si="329"/>
        <v/>
      </c>
      <c r="X520" s="73" t="str">
        <f>IF(B520&lt;&gt;"",IF(MONTH(E520)=MONTH($F$13),SUMIF($C$22:C899,"="&amp;(C520-1),$G$22:G899),0)*S520,"")</f>
        <v/>
      </c>
      <c r="Y520" s="73" t="str">
        <f>IF(B520&lt;&gt;"",SUM($X$22:X520),"")</f>
        <v/>
      </c>
      <c r="Z520" s="73" t="str">
        <f t="shared" si="330"/>
        <v/>
      </c>
      <c r="AA520" s="73" t="str">
        <f t="shared" si="331"/>
        <v/>
      </c>
      <c r="AB520" s="73" t="str">
        <f t="shared" si="332"/>
        <v/>
      </c>
      <c r="AC520" s="73" t="str">
        <f t="shared" si="333"/>
        <v/>
      </c>
      <c r="AD520" s="73" t="str">
        <f>IFERROR($U520*(1-$V520)+SUM($W$22:$W520)+$AB520,"")</f>
        <v/>
      </c>
      <c r="AE520" s="73" t="b">
        <f t="shared" si="309"/>
        <v>1</v>
      </c>
      <c r="AF520" s="73" t="e">
        <f>IF(AND(AE520=TRUE,D520&gt;=65),$U520*(1-10%)+SUM($W$22:$W520)+$AB520,AD520)</f>
        <v>#VALUE!</v>
      </c>
      <c r="AG520" s="73" t="str">
        <f t="shared" si="334"/>
        <v/>
      </c>
      <c r="AH520" s="73" t="str">
        <f t="shared" si="335"/>
        <v/>
      </c>
      <c r="AI520" s="73" t="str">
        <f t="shared" si="336"/>
        <v/>
      </c>
      <c r="AJ520" s="73" t="str">
        <f t="shared" si="337"/>
        <v/>
      </c>
      <c r="AK520" s="73" t="b">
        <f t="shared" si="310"/>
        <v>1</v>
      </c>
      <c r="AL520" s="73" t="str">
        <f t="shared" si="338"/>
        <v/>
      </c>
      <c r="AM520" s="73" t="str">
        <f t="shared" si="339"/>
        <v/>
      </c>
      <c r="AN520" s="73" t="str">
        <f t="shared" si="340"/>
        <v/>
      </c>
      <c r="AO520" s="73" t="str">
        <f t="shared" si="341"/>
        <v/>
      </c>
      <c r="AP520" s="73" t="str">
        <f t="shared" si="342"/>
        <v/>
      </c>
    </row>
    <row r="521" spans="1:42" s="31" customFormat="1" x14ac:dyDescent="0.6">
      <c r="A521" s="70" t="str">
        <f t="shared" si="308"/>
        <v/>
      </c>
      <c r="B521" s="70" t="str">
        <f>IF(E521&lt;=$F$9,VLOOKUP(KALKULATOR!A521,Robocze!$B$23:$C$102,2),"")</f>
        <v/>
      </c>
      <c r="C521" s="70" t="str">
        <f t="shared" si="311"/>
        <v/>
      </c>
      <c r="D521" s="71" t="str">
        <f t="shared" si="312"/>
        <v/>
      </c>
      <c r="E521" s="77" t="str">
        <f t="shared" si="313"/>
        <v/>
      </c>
      <c r="F521" s="72" t="str">
        <f t="shared" si="314"/>
        <v/>
      </c>
      <c r="G521" s="73" t="str">
        <f>IFERROR(IF(AND(F521&lt;=$F$9,$F$5=Robocze!$B$4,$E521&lt;=$F$9,MONTH($F$8)=MONTH(E521)),$F$4,0)+IF(AND(F521&lt;=$F$9,$F$5=Robocze!$B$3,E521&lt;=$F$9),KALKULATOR!$F$4/12,0),"")</f>
        <v/>
      </c>
      <c r="H521" s="73" t="str">
        <f t="shared" si="315"/>
        <v/>
      </c>
      <c r="I521" s="74" t="str">
        <f t="shared" si="316"/>
        <v/>
      </c>
      <c r="J521" s="73" t="str">
        <f t="shared" si="317"/>
        <v/>
      </c>
      <c r="K521" s="75" t="str">
        <f t="shared" si="318"/>
        <v/>
      </c>
      <c r="L521" s="73" t="str">
        <f t="shared" si="319"/>
        <v/>
      </c>
      <c r="M521" s="73" t="str">
        <f t="shared" si="320"/>
        <v/>
      </c>
      <c r="N521" s="73" t="str">
        <f t="shared" si="321"/>
        <v/>
      </c>
      <c r="O521" s="73" t="str">
        <f t="shared" si="322"/>
        <v/>
      </c>
      <c r="P521" s="73" t="str">
        <f t="shared" si="323"/>
        <v/>
      </c>
      <c r="Q521" s="73" t="str">
        <f t="shared" si="324"/>
        <v/>
      </c>
      <c r="R521" s="73"/>
      <c r="S521" s="76" t="str">
        <f t="shared" si="325"/>
        <v/>
      </c>
      <c r="T521" s="73" t="str">
        <f t="shared" si="326"/>
        <v/>
      </c>
      <c r="U521" s="73" t="str">
        <f t="shared" si="327"/>
        <v/>
      </c>
      <c r="V521" s="76" t="str">
        <f t="shared" si="328"/>
        <v/>
      </c>
      <c r="W521" s="73" t="str">
        <f t="shared" si="329"/>
        <v/>
      </c>
      <c r="X521" s="73" t="str">
        <f>IF(B521&lt;&gt;"",IF(MONTH(E521)=MONTH($F$13),SUMIF($C$22:C900,"="&amp;(C521-1),$G$22:G900),0)*S521,"")</f>
        <v/>
      </c>
      <c r="Y521" s="73" t="str">
        <f>IF(B521&lt;&gt;"",SUM($X$22:X521),"")</f>
        <v/>
      </c>
      <c r="Z521" s="73" t="str">
        <f t="shared" si="330"/>
        <v/>
      </c>
      <c r="AA521" s="73" t="str">
        <f t="shared" si="331"/>
        <v/>
      </c>
      <c r="AB521" s="73" t="str">
        <f t="shared" si="332"/>
        <v/>
      </c>
      <c r="AC521" s="73" t="str">
        <f t="shared" si="333"/>
        <v/>
      </c>
      <c r="AD521" s="73" t="str">
        <f>IFERROR($U521*(1-$V521)+SUM($W$22:$W521)+$AB521,"")</f>
        <v/>
      </c>
      <c r="AE521" s="73" t="b">
        <f t="shared" si="309"/>
        <v>1</v>
      </c>
      <c r="AF521" s="73" t="e">
        <f>IF(AND(AE521=TRUE,D521&gt;=65),$U521*(1-10%)+SUM($W$22:$W521)+$AB521,AD521)</f>
        <v>#VALUE!</v>
      </c>
      <c r="AG521" s="73" t="str">
        <f t="shared" si="334"/>
        <v/>
      </c>
      <c r="AH521" s="73" t="str">
        <f t="shared" si="335"/>
        <v/>
      </c>
      <c r="AI521" s="73" t="str">
        <f t="shared" si="336"/>
        <v/>
      </c>
      <c r="AJ521" s="73" t="str">
        <f t="shared" si="337"/>
        <v/>
      </c>
      <c r="AK521" s="73" t="b">
        <f t="shared" si="310"/>
        <v>1</v>
      </c>
      <c r="AL521" s="73" t="str">
        <f t="shared" si="338"/>
        <v/>
      </c>
      <c r="AM521" s="73" t="str">
        <f t="shared" si="339"/>
        <v/>
      </c>
      <c r="AN521" s="73" t="str">
        <f t="shared" si="340"/>
        <v/>
      </c>
      <c r="AO521" s="73" t="str">
        <f t="shared" si="341"/>
        <v/>
      </c>
      <c r="AP521" s="73" t="str">
        <f t="shared" si="342"/>
        <v/>
      </c>
    </row>
    <row r="522" spans="1:42" s="31" customFormat="1" x14ac:dyDescent="0.6">
      <c r="A522" s="70" t="str">
        <f t="shared" si="308"/>
        <v/>
      </c>
      <c r="B522" s="70" t="str">
        <f>IF(E522&lt;=$F$9,VLOOKUP(KALKULATOR!A522,Robocze!$B$23:$C$102,2),"")</f>
        <v/>
      </c>
      <c r="C522" s="70" t="str">
        <f t="shared" si="311"/>
        <v/>
      </c>
      <c r="D522" s="71" t="str">
        <f t="shared" si="312"/>
        <v/>
      </c>
      <c r="E522" s="77" t="str">
        <f t="shared" si="313"/>
        <v/>
      </c>
      <c r="F522" s="72" t="str">
        <f t="shared" si="314"/>
        <v/>
      </c>
      <c r="G522" s="73" t="str">
        <f>IFERROR(IF(AND(F522&lt;=$F$9,$F$5=Robocze!$B$4,$E522&lt;=$F$9,MONTH($F$8)=MONTH(E522)),$F$4,0)+IF(AND(F522&lt;=$F$9,$F$5=Robocze!$B$3,E522&lt;=$F$9),KALKULATOR!$F$4/12,0),"")</f>
        <v/>
      </c>
      <c r="H522" s="73" t="str">
        <f t="shared" si="315"/>
        <v/>
      </c>
      <c r="I522" s="74" t="str">
        <f t="shared" si="316"/>
        <v/>
      </c>
      <c r="J522" s="73" t="str">
        <f t="shared" si="317"/>
        <v/>
      </c>
      <c r="K522" s="75" t="str">
        <f t="shared" si="318"/>
        <v/>
      </c>
      <c r="L522" s="73" t="str">
        <f t="shared" si="319"/>
        <v/>
      </c>
      <c r="M522" s="73" t="str">
        <f t="shared" si="320"/>
        <v/>
      </c>
      <c r="N522" s="73" t="str">
        <f t="shared" si="321"/>
        <v/>
      </c>
      <c r="O522" s="73" t="str">
        <f t="shared" si="322"/>
        <v/>
      </c>
      <c r="P522" s="73" t="str">
        <f t="shared" si="323"/>
        <v/>
      </c>
      <c r="Q522" s="73" t="str">
        <f t="shared" si="324"/>
        <v/>
      </c>
      <c r="R522" s="73"/>
      <c r="S522" s="76" t="str">
        <f t="shared" si="325"/>
        <v/>
      </c>
      <c r="T522" s="73" t="str">
        <f t="shared" si="326"/>
        <v/>
      </c>
      <c r="U522" s="73" t="str">
        <f t="shared" si="327"/>
        <v/>
      </c>
      <c r="V522" s="76" t="str">
        <f t="shared" si="328"/>
        <v/>
      </c>
      <c r="W522" s="73" t="str">
        <f t="shared" si="329"/>
        <v/>
      </c>
      <c r="X522" s="73" t="str">
        <f>IF(B522&lt;&gt;"",IF(MONTH(E522)=MONTH($F$13),SUMIF($C$22:C901,"="&amp;(C522-1),$G$22:G901),0)*S522,"")</f>
        <v/>
      </c>
      <c r="Y522" s="73" t="str">
        <f>IF(B522&lt;&gt;"",SUM($X$22:X522),"")</f>
        <v/>
      </c>
      <c r="Z522" s="73" t="str">
        <f t="shared" si="330"/>
        <v/>
      </c>
      <c r="AA522" s="73" t="str">
        <f t="shared" si="331"/>
        <v/>
      </c>
      <c r="AB522" s="73" t="str">
        <f t="shared" si="332"/>
        <v/>
      </c>
      <c r="AC522" s="73" t="str">
        <f t="shared" si="333"/>
        <v/>
      </c>
      <c r="AD522" s="73" t="str">
        <f>IFERROR($U522*(1-$V522)+SUM($W$22:$W522)+$AB522,"")</f>
        <v/>
      </c>
      <c r="AE522" s="73" t="b">
        <f t="shared" si="309"/>
        <v>1</v>
      </c>
      <c r="AF522" s="73" t="e">
        <f>IF(AND(AE522=TRUE,D522&gt;=65),$U522*(1-10%)+SUM($W$22:$W522)+$AB522,AD522)</f>
        <v>#VALUE!</v>
      </c>
      <c r="AG522" s="73" t="str">
        <f t="shared" si="334"/>
        <v/>
      </c>
      <c r="AH522" s="73" t="str">
        <f t="shared" si="335"/>
        <v/>
      </c>
      <c r="AI522" s="73" t="str">
        <f t="shared" si="336"/>
        <v/>
      </c>
      <c r="AJ522" s="73" t="str">
        <f t="shared" si="337"/>
        <v/>
      </c>
      <c r="AK522" s="73" t="b">
        <f t="shared" si="310"/>
        <v>1</v>
      </c>
      <c r="AL522" s="73" t="str">
        <f t="shared" si="338"/>
        <v/>
      </c>
      <c r="AM522" s="73" t="str">
        <f t="shared" si="339"/>
        <v/>
      </c>
      <c r="AN522" s="73" t="str">
        <f t="shared" si="340"/>
        <v/>
      </c>
      <c r="AO522" s="73" t="str">
        <f t="shared" si="341"/>
        <v/>
      </c>
      <c r="AP522" s="73" t="str">
        <f t="shared" si="342"/>
        <v/>
      </c>
    </row>
    <row r="523" spans="1:42" s="31" customFormat="1" x14ac:dyDescent="0.6">
      <c r="A523" s="70" t="str">
        <f t="shared" si="308"/>
        <v/>
      </c>
      <c r="B523" s="70" t="str">
        <f>IF(E523&lt;=$F$9,VLOOKUP(KALKULATOR!A523,Robocze!$B$23:$C$102,2),"")</f>
        <v/>
      </c>
      <c r="C523" s="70" t="str">
        <f t="shared" si="311"/>
        <v/>
      </c>
      <c r="D523" s="71" t="str">
        <f t="shared" si="312"/>
        <v/>
      </c>
      <c r="E523" s="77" t="str">
        <f t="shared" si="313"/>
        <v/>
      </c>
      <c r="F523" s="72" t="str">
        <f t="shared" si="314"/>
        <v/>
      </c>
      <c r="G523" s="73" t="str">
        <f>IFERROR(IF(AND(F523&lt;=$F$9,$F$5=Robocze!$B$4,$E523&lt;=$F$9,MONTH($F$8)=MONTH(E523)),$F$4,0)+IF(AND(F523&lt;=$F$9,$F$5=Robocze!$B$3,E523&lt;=$F$9),KALKULATOR!$F$4/12,0),"")</f>
        <v/>
      </c>
      <c r="H523" s="73" t="str">
        <f t="shared" si="315"/>
        <v/>
      </c>
      <c r="I523" s="74" t="str">
        <f t="shared" si="316"/>
        <v/>
      </c>
      <c r="J523" s="73" t="str">
        <f t="shared" si="317"/>
        <v/>
      </c>
      <c r="K523" s="75" t="str">
        <f t="shared" si="318"/>
        <v/>
      </c>
      <c r="L523" s="73" t="str">
        <f t="shared" si="319"/>
        <v/>
      </c>
      <c r="M523" s="73" t="str">
        <f t="shared" si="320"/>
        <v/>
      </c>
      <c r="N523" s="73" t="str">
        <f t="shared" si="321"/>
        <v/>
      </c>
      <c r="O523" s="73" t="str">
        <f t="shared" si="322"/>
        <v/>
      </c>
      <c r="P523" s="73" t="str">
        <f t="shared" si="323"/>
        <v/>
      </c>
      <c r="Q523" s="73" t="str">
        <f t="shared" si="324"/>
        <v/>
      </c>
      <c r="R523" s="73"/>
      <c r="S523" s="76" t="str">
        <f t="shared" si="325"/>
        <v/>
      </c>
      <c r="T523" s="73" t="str">
        <f t="shared" si="326"/>
        <v/>
      </c>
      <c r="U523" s="73" t="str">
        <f t="shared" si="327"/>
        <v/>
      </c>
      <c r="V523" s="76" t="str">
        <f t="shared" si="328"/>
        <v/>
      </c>
      <c r="W523" s="73" t="str">
        <f t="shared" si="329"/>
        <v/>
      </c>
      <c r="X523" s="73" t="str">
        <f>IF(B523&lt;&gt;"",IF(MONTH(E523)=MONTH($F$13),SUMIF($C$22:C902,"="&amp;(C523-1),$G$22:G902),0)*S523,"")</f>
        <v/>
      </c>
      <c r="Y523" s="73" t="str">
        <f>IF(B523&lt;&gt;"",SUM($X$22:X523),"")</f>
        <v/>
      </c>
      <c r="Z523" s="73" t="str">
        <f t="shared" si="330"/>
        <v/>
      </c>
      <c r="AA523" s="73" t="str">
        <f t="shared" si="331"/>
        <v/>
      </c>
      <c r="AB523" s="73" t="str">
        <f t="shared" si="332"/>
        <v/>
      </c>
      <c r="AC523" s="73" t="str">
        <f t="shared" si="333"/>
        <v/>
      </c>
      <c r="AD523" s="73" t="str">
        <f>IFERROR($U523*(1-$V523)+SUM($W$22:$W523)+$AB523,"")</f>
        <v/>
      </c>
      <c r="AE523" s="73" t="b">
        <f t="shared" si="309"/>
        <v>1</v>
      </c>
      <c r="AF523" s="73" t="e">
        <f>IF(AND(AE523=TRUE,D523&gt;=65),$U523*(1-10%)+SUM($W$22:$W523)+$AB523,AD523)</f>
        <v>#VALUE!</v>
      </c>
      <c r="AG523" s="73" t="str">
        <f t="shared" si="334"/>
        <v/>
      </c>
      <c r="AH523" s="73" t="str">
        <f t="shared" si="335"/>
        <v/>
      </c>
      <c r="AI523" s="73" t="str">
        <f t="shared" si="336"/>
        <v/>
      </c>
      <c r="AJ523" s="73" t="str">
        <f t="shared" si="337"/>
        <v/>
      </c>
      <c r="AK523" s="73" t="b">
        <f t="shared" si="310"/>
        <v>1</v>
      </c>
      <c r="AL523" s="73" t="str">
        <f t="shared" si="338"/>
        <v/>
      </c>
      <c r="AM523" s="73" t="str">
        <f t="shared" si="339"/>
        <v/>
      </c>
      <c r="AN523" s="73" t="str">
        <f t="shared" si="340"/>
        <v/>
      </c>
      <c r="AO523" s="73" t="str">
        <f t="shared" si="341"/>
        <v/>
      </c>
      <c r="AP523" s="73" t="str">
        <f t="shared" si="342"/>
        <v/>
      </c>
    </row>
    <row r="524" spans="1:42" s="31" customFormat="1" x14ac:dyDescent="0.6">
      <c r="A524" s="70" t="str">
        <f t="shared" si="308"/>
        <v/>
      </c>
      <c r="B524" s="70" t="str">
        <f>IF(E524&lt;=$F$9,VLOOKUP(KALKULATOR!A524,Robocze!$B$23:$C$102,2),"")</f>
        <v/>
      </c>
      <c r="C524" s="70" t="str">
        <f t="shared" si="311"/>
        <v/>
      </c>
      <c r="D524" s="71" t="str">
        <f t="shared" si="312"/>
        <v/>
      </c>
      <c r="E524" s="77" t="str">
        <f t="shared" si="313"/>
        <v/>
      </c>
      <c r="F524" s="72" t="str">
        <f t="shared" si="314"/>
        <v/>
      </c>
      <c r="G524" s="73" t="str">
        <f>IFERROR(IF(AND(F524&lt;=$F$9,$F$5=Robocze!$B$4,$E524&lt;=$F$9,MONTH($F$8)=MONTH(E524)),$F$4,0)+IF(AND(F524&lt;=$F$9,$F$5=Robocze!$B$3,E524&lt;=$F$9),KALKULATOR!$F$4/12,0),"")</f>
        <v/>
      </c>
      <c r="H524" s="73" t="str">
        <f t="shared" si="315"/>
        <v/>
      </c>
      <c r="I524" s="74" t="str">
        <f t="shared" si="316"/>
        <v/>
      </c>
      <c r="J524" s="73" t="str">
        <f t="shared" si="317"/>
        <v/>
      </c>
      <c r="K524" s="75" t="str">
        <f t="shared" si="318"/>
        <v/>
      </c>
      <c r="L524" s="73" t="str">
        <f t="shared" si="319"/>
        <v/>
      </c>
      <c r="M524" s="73" t="str">
        <f t="shared" si="320"/>
        <v/>
      </c>
      <c r="N524" s="73" t="str">
        <f t="shared" si="321"/>
        <v/>
      </c>
      <c r="O524" s="73" t="str">
        <f t="shared" si="322"/>
        <v/>
      </c>
      <c r="P524" s="73" t="str">
        <f t="shared" si="323"/>
        <v/>
      </c>
      <c r="Q524" s="73" t="str">
        <f t="shared" si="324"/>
        <v/>
      </c>
      <c r="R524" s="73"/>
      <c r="S524" s="76" t="str">
        <f t="shared" si="325"/>
        <v/>
      </c>
      <c r="T524" s="73" t="str">
        <f t="shared" si="326"/>
        <v/>
      </c>
      <c r="U524" s="73" t="str">
        <f t="shared" si="327"/>
        <v/>
      </c>
      <c r="V524" s="76" t="str">
        <f t="shared" si="328"/>
        <v/>
      </c>
      <c r="W524" s="73" t="str">
        <f t="shared" si="329"/>
        <v/>
      </c>
      <c r="X524" s="73" t="str">
        <f>IF(B524&lt;&gt;"",IF(MONTH(E524)=MONTH($F$13),SUMIF($C$22:C903,"="&amp;(C524-1),$G$22:G903),0)*S524,"")</f>
        <v/>
      </c>
      <c r="Y524" s="73" t="str">
        <f>IF(B524&lt;&gt;"",SUM($X$22:X524),"")</f>
        <v/>
      </c>
      <c r="Z524" s="73" t="str">
        <f t="shared" si="330"/>
        <v/>
      </c>
      <c r="AA524" s="73" t="str">
        <f t="shared" si="331"/>
        <v/>
      </c>
      <c r="AB524" s="73" t="str">
        <f t="shared" si="332"/>
        <v/>
      </c>
      <c r="AC524" s="73" t="str">
        <f t="shared" si="333"/>
        <v/>
      </c>
      <c r="AD524" s="73" t="str">
        <f>IFERROR($U524*(1-$V524)+SUM($W$22:$W524)+$AB524,"")</f>
        <v/>
      </c>
      <c r="AE524" s="73" t="b">
        <f t="shared" si="309"/>
        <v>1</v>
      </c>
      <c r="AF524" s="73" t="e">
        <f>IF(AND(AE524=TRUE,D524&gt;=65),$U524*(1-10%)+SUM($W$22:$W524)+$AB524,AD524)</f>
        <v>#VALUE!</v>
      </c>
      <c r="AG524" s="73" t="str">
        <f t="shared" si="334"/>
        <v/>
      </c>
      <c r="AH524" s="73" t="str">
        <f t="shared" si="335"/>
        <v/>
      </c>
      <c r="AI524" s="73" t="str">
        <f t="shared" si="336"/>
        <v/>
      </c>
      <c r="AJ524" s="73" t="str">
        <f t="shared" si="337"/>
        <v/>
      </c>
      <c r="AK524" s="73" t="b">
        <f t="shared" si="310"/>
        <v>1</v>
      </c>
      <c r="AL524" s="73" t="str">
        <f t="shared" si="338"/>
        <v/>
      </c>
      <c r="AM524" s="73" t="str">
        <f t="shared" si="339"/>
        <v/>
      </c>
      <c r="AN524" s="73" t="str">
        <f t="shared" si="340"/>
        <v/>
      </c>
      <c r="AO524" s="73" t="str">
        <f t="shared" si="341"/>
        <v/>
      </c>
      <c r="AP524" s="73" t="str">
        <f t="shared" si="342"/>
        <v/>
      </c>
    </row>
    <row r="525" spans="1:42" s="31" customFormat="1" x14ac:dyDescent="0.6">
      <c r="A525" s="70" t="str">
        <f t="shared" si="308"/>
        <v/>
      </c>
      <c r="B525" s="70" t="str">
        <f>IF(E525&lt;=$F$9,VLOOKUP(KALKULATOR!A525,Robocze!$B$23:$C$102,2),"")</f>
        <v/>
      </c>
      <c r="C525" s="70" t="str">
        <f t="shared" si="311"/>
        <v/>
      </c>
      <c r="D525" s="71" t="str">
        <f t="shared" si="312"/>
        <v/>
      </c>
      <c r="E525" s="77" t="str">
        <f t="shared" si="313"/>
        <v/>
      </c>
      <c r="F525" s="72" t="str">
        <f t="shared" si="314"/>
        <v/>
      </c>
      <c r="G525" s="73" t="str">
        <f>IFERROR(IF(AND(F525&lt;=$F$9,$F$5=Robocze!$B$4,$E525&lt;=$F$9,MONTH($F$8)=MONTH(E525)),$F$4,0)+IF(AND(F525&lt;=$F$9,$F$5=Robocze!$B$3,E525&lt;=$F$9),KALKULATOR!$F$4/12,0),"")</f>
        <v/>
      </c>
      <c r="H525" s="73" t="str">
        <f t="shared" si="315"/>
        <v/>
      </c>
      <c r="I525" s="74" t="str">
        <f t="shared" si="316"/>
        <v/>
      </c>
      <c r="J525" s="73" t="str">
        <f t="shared" si="317"/>
        <v/>
      </c>
      <c r="K525" s="75" t="str">
        <f t="shared" si="318"/>
        <v/>
      </c>
      <c r="L525" s="73" t="str">
        <f t="shared" si="319"/>
        <v/>
      </c>
      <c r="M525" s="73" t="str">
        <f t="shared" si="320"/>
        <v/>
      </c>
      <c r="N525" s="73" t="str">
        <f t="shared" si="321"/>
        <v/>
      </c>
      <c r="O525" s="73" t="str">
        <f t="shared" si="322"/>
        <v/>
      </c>
      <c r="P525" s="73" t="str">
        <f t="shared" si="323"/>
        <v/>
      </c>
      <c r="Q525" s="73" t="str">
        <f t="shared" si="324"/>
        <v/>
      </c>
      <c r="R525" s="73"/>
      <c r="S525" s="76" t="str">
        <f t="shared" si="325"/>
        <v/>
      </c>
      <c r="T525" s="73" t="str">
        <f t="shared" si="326"/>
        <v/>
      </c>
      <c r="U525" s="73" t="str">
        <f t="shared" si="327"/>
        <v/>
      </c>
      <c r="V525" s="76" t="str">
        <f t="shared" si="328"/>
        <v/>
      </c>
      <c r="W525" s="73" t="str">
        <f t="shared" si="329"/>
        <v/>
      </c>
      <c r="X525" s="73" t="str">
        <f>IF(B525&lt;&gt;"",IF(MONTH(E525)=MONTH($F$13),SUMIF($C$22:C904,"="&amp;(C525-1),$G$22:G904),0)*S525,"")</f>
        <v/>
      </c>
      <c r="Y525" s="73" t="str">
        <f>IF(B525&lt;&gt;"",SUM($X$22:X525),"")</f>
        <v/>
      </c>
      <c r="Z525" s="73" t="str">
        <f t="shared" si="330"/>
        <v/>
      </c>
      <c r="AA525" s="73" t="str">
        <f t="shared" si="331"/>
        <v/>
      </c>
      <c r="AB525" s="73" t="str">
        <f t="shared" si="332"/>
        <v/>
      </c>
      <c r="AC525" s="73" t="str">
        <f t="shared" si="333"/>
        <v/>
      </c>
      <c r="AD525" s="73" t="str">
        <f>IFERROR($U525*(1-$V525)+SUM($W$22:$W525)+$AB525,"")</f>
        <v/>
      </c>
      <c r="AE525" s="73" t="b">
        <f t="shared" si="309"/>
        <v>1</v>
      </c>
      <c r="AF525" s="73" t="e">
        <f>IF(AND(AE525=TRUE,D525&gt;=65),$U525*(1-10%)+SUM($W$22:$W525)+$AB525,AD525)</f>
        <v>#VALUE!</v>
      </c>
      <c r="AG525" s="73" t="str">
        <f t="shared" si="334"/>
        <v/>
      </c>
      <c r="AH525" s="73" t="str">
        <f t="shared" si="335"/>
        <v/>
      </c>
      <c r="AI525" s="73" t="str">
        <f t="shared" si="336"/>
        <v/>
      </c>
      <c r="AJ525" s="73" t="str">
        <f t="shared" si="337"/>
        <v/>
      </c>
      <c r="AK525" s="73" t="b">
        <f t="shared" si="310"/>
        <v>1</v>
      </c>
      <c r="AL525" s="73" t="str">
        <f t="shared" si="338"/>
        <v/>
      </c>
      <c r="AM525" s="73" t="str">
        <f t="shared" si="339"/>
        <v/>
      </c>
      <c r="AN525" s="73" t="str">
        <f t="shared" si="340"/>
        <v/>
      </c>
      <c r="AO525" s="73" t="str">
        <f t="shared" si="341"/>
        <v/>
      </c>
      <c r="AP525" s="73" t="str">
        <f t="shared" si="342"/>
        <v/>
      </c>
    </row>
    <row r="526" spans="1:42" s="31" customFormat="1" x14ac:dyDescent="0.6">
      <c r="A526" s="70" t="str">
        <f t="shared" si="308"/>
        <v/>
      </c>
      <c r="B526" s="70" t="str">
        <f>IF(E526&lt;=$F$9,VLOOKUP(KALKULATOR!A526,Robocze!$B$23:$C$102,2),"")</f>
        <v/>
      </c>
      <c r="C526" s="70" t="str">
        <f t="shared" si="311"/>
        <v/>
      </c>
      <c r="D526" s="71" t="str">
        <f t="shared" si="312"/>
        <v/>
      </c>
      <c r="E526" s="77" t="str">
        <f t="shared" si="313"/>
        <v/>
      </c>
      <c r="F526" s="72" t="str">
        <f t="shared" si="314"/>
        <v/>
      </c>
      <c r="G526" s="73" t="str">
        <f>IFERROR(IF(AND(F526&lt;=$F$9,$F$5=Robocze!$B$4,$E526&lt;=$F$9,MONTH($F$8)=MONTH(E526)),$F$4,0)+IF(AND(F526&lt;=$F$9,$F$5=Robocze!$B$3,E526&lt;=$F$9),KALKULATOR!$F$4/12,0),"")</f>
        <v/>
      </c>
      <c r="H526" s="73" t="str">
        <f t="shared" si="315"/>
        <v/>
      </c>
      <c r="I526" s="74" t="str">
        <f t="shared" si="316"/>
        <v/>
      </c>
      <c r="J526" s="73" t="str">
        <f t="shared" si="317"/>
        <v/>
      </c>
      <c r="K526" s="75" t="str">
        <f t="shared" si="318"/>
        <v/>
      </c>
      <c r="L526" s="73" t="str">
        <f t="shared" si="319"/>
        <v/>
      </c>
      <c r="M526" s="73" t="str">
        <f t="shared" si="320"/>
        <v/>
      </c>
      <c r="N526" s="73" t="str">
        <f t="shared" si="321"/>
        <v/>
      </c>
      <c r="O526" s="73" t="str">
        <f t="shared" si="322"/>
        <v/>
      </c>
      <c r="P526" s="73" t="str">
        <f t="shared" si="323"/>
        <v/>
      </c>
      <c r="Q526" s="73" t="str">
        <f t="shared" si="324"/>
        <v/>
      </c>
      <c r="R526" s="73"/>
      <c r="S526" s="76" t="str">
        <f t="shared" si="325"/>
        <v/>
      </c>
      <c r="T526" s="73" t="str">
        <f t="shared" si="326"/>
        <v/>
      </c>
      <c r="U526" s="73" t="str">
        <f t="shared" si="327"/>
        <v/>
      </c>
      <c r="V526" s="76" t="str">
        <f t="shared" si="328"/>
        <v/>
      </c>
      <c r="W526" s="73" t="str">
        <f t="shared" si="329"/>
        <v/>
      </c>
      <c r="X526" s="73" t="str">
        <f>IF(B526&lt;&gt;"",IF(MONTH(E526)=MONTH($F$13),SUMIF($C$22:C905,"="&amp;(C526-1),$G$22:G905),0)*S526,"")</f>
        <v/>
      </c>
      <c r="Y526" s="73" t="str">
        <f>IF(B526&lt;&gt;"",SUM($X$22:X526),"")</f>
        <v/>
      </c>
      <c r="Z526" s="73" t="str">
        <f t="shared" si="330"/>
        <v/>
      </c>
      <c r="AA526" s="73" t="str">
        <f t="shared" si="331"/>
        <v/>
      </c>
      <c r="AB526" s="73" t="str">
        <f t="shared" si="332"/>
        <v/>
      </c>
      <c r="AC526" s="73" t="str">
        <f t="shared" si="333"/>
        <v/>
      </c>
      <c r="AD526" s="73" t="str">
        <f>IFERROR($U526*(1-$V526)+SUM($W$22:$W526)+$AB526,"")</f>
        <v/>
      </c>
      <c r="AE526" s="73" t="b">
        <f t="shared" si="309"/>
        <v>1</v>
      </c>
      <c r="AF526" s="73" t="e">
        <f>IF(AND(AE526=TRUE,D526&gt;=65),$U526*(1-10%)+SUM($W$22:$W526)+$AB526,AD526)</f>
        <v>#VALUE!</v>
      </c>
      <c r="AG526" s="73" t="str">
        <f t="shared" si="334"/>
        <v/>
      </c>
      <c r="AH526" s="73" t="str">
        <f t="shared" si="335"/>
        <v/>
      </c>
      <c r="AI526" s="73" t="str">
        <f t="shared" si="336"/>
        <v/>
      </c>
      <c r="AJ526" s="73" t="str">
        <f t="shared" si="337"/>
        <v/>
      </c>
      <c r="AK526" s="73" t="b">
        <f t="shared" si="310"/>
        <v>1</v>
      </c>
      <c r="AL526" s="73" t="str">
        <f t="shared" si="338"/>
        <v/>
      </c>
      <c r="AM526" s="73" t="str">
        <f t="shared" si="339"/>
        <v/>
      </c>
      <c r="AN526" s="73" t="str">
        <f t="shared" si="340"/>
        <v/>
      </c>
      <c r="AO526" s="73" t="str">
        <f t="shared" si="341"/>
        <v/>
      </c>
      <c r="AP526" s="73" t="str">
        <f t="shared" si="342"/>
        <v/>
      </c>
    </row>
    <row r="527" spans="1:42" s="31" customFormat="1" x14ac:dyDescent="0.6">
      <c r="A527" s="70" t="str">
        <f t="shared" si="308"/>
        <v/>
      </c>
      <c r="B527" s="70" t="str">
        <f>IF(E527&lt;=$F$9,VLOOKUP(KALKULATOR!A527,Robocze!$B$23:$C$102,2),"")</f>
        <v/>
      </c>
      <c r="C527" s="70" t="str">
        <f t="shared" si="311"/>
        <v/>
      </c>
      <c r="D527" s="71" t="str">
        <f t="shared" si="312"/>
        <v/>
      </c>
      <c r="E527" s="77" t="str">
        <f t="shared" si="313"/>
        <v/>
      </c>
      <c r="F527" s="72" t="str">
        <f t="shared" si="314"/>
        <v/>
      </c>
      <c r="G527" s="73" t="str">
        <f>IFERROR(IF(AND(F527&lt;=$F$9,$F$5=Robocze!$B$4,$E527&lt;=$F$9,MONTH($F$8)=MONTH(E527)),$F$4,0)+IF(AND(F527&lt;=$F$9,$F$5=Robocze!$B$3,E527&lt;=$F$9),KALKULATOR!$F$4/12,0),"")</f>
        <v/>
      </c>
      <c r="H527" s="73" t="str">
        <f t="shared" si="315"/>
        <v/>
      </c>
      <c r="I527" s="74" t="str">
        <f t="shared" si="316"/>
        <v/>
      </c>
      <c r="J527" s="73" t="str">
        <f t="shared" si="317"/>
        <v/>
      </c>
      <c r="K527" s="75" t="str">
        <f t="shared" si="318"/>
        <v/>
      </c>
      <c r="L527" s="73" t="str">
        <f t="shared" si="319"/>
        <v/>
      </c>
      <c r="M527" s="73" t="str">
        <f t="shared" si="320"/>
        <v/>
      </c>
      <c r="N527" s="73" t="str">
        <f t="shared" si="321"/>
        <v/>
      </c>
      <c r="O527" s="73" t="str">
        <f t="shared" si="322"/>
        <v/>
      </c>
      <c r="P527" s="73" t="str">
        <f t="shared" si="323"/>
        <v/>
      </c>
      <c r="Q527" s="73" t="str">
        <f t="shared" si="324"/>
        <v/>
      </c>
      <c r="R527" s="73"/>
      <c r="S527" s="76" t="str">
        <f t="shared" si="325"/>
        <v/>
      </c>
      <c r="T527" s="73" t="str">
        <f t="shared" si="326"/>
        <v/>
      </c>
      <c r="U527" s="73" t="str">
        <f t="shared" si="327"/>
        <v/>
      </c>
      <c r="V527" s="76" t="str">
        <f t="shared" si="328"/>
        <v/>
      </c>
      <c r="W527" s="73" t="str">
        <f t="shared" si="329"/>
        <v/>
      </c>
      <c r="X527" s="73" t="str">
        <f>IF(B527&lt;&gt;"",IF(MONTH(E527)=MONTH($F$13),SUMIF($C$22:C906,"="&amp;(C527-1),$G$22:G906),0)*S527,"")</f>
        <v/>
      </c>
      <c r="Y527" s="73" t="str">
        <f>IF(B527&lt;&gt;"",SUM($X$22:X527),"")</f>
        <v/>
      </c>
      <c r="Z527" s="73" t="str">
        <f t="shared" si="330"/>
        <v/>
      </c>
      <c r="AA527" s="73" t="str">
        <f t="shared" si="331"/>
        <v/>
      </c>
      <c r="AB527" s="73" t="str">
        <f t="shared" si="332"/>
        <v/>
      </c>
      <c r="AC527" s="73" t="str">
        <f t="shared" si="333"/>
        <v/>
      </c>
      <c r="AD527" s="73" t="str">
        <f>IFERROR($U527*(1-$V527)+SUM($W$22:$W527)+$AB527,"")</f>
        <v/>
      </c>
      <c r="AE527" s="73" t="b">
        <f t="shared" si="309"/>
        <v>1</v>
      </c>
      <c r="AF527" s="73" t="e">
        <f>IF(AND(AE527=TRUE,D527&gt;=65),$U527*(1-10%)+SUM($W$22:$W527)+$AB527,AD527)</f>
        <v>#VALUE!</v>
      </c>
      <c r="AG527" s="73" t="str">
        <f t="shared" si="334"/>
        <v/>
      </c>
      <c r="AH527" s="73" t="str">
        <f t="shared" si="335"/>
        <v/>
      </c>
      <c r="AI527" s="73" t="str">
        <f t="shared" si="336"/>
        <v/>
      </c>
      <c r="AJ527" s="73" t="str">
        <f t="shared" si="337"/>
        <v/>
      </c>
      <c r="AK527" s="73" t="b">
        <f t="shared" si="310"/>
        <v>1</v>
      </c>
      <c r="AL527" s="73" t="str">
        <f t="shared" si="338"/>
        <v/>
      </c>
      <c r="AM527" s="73" t="str">
        <f t="shared" si="339"/>
        <v/>
      </c>
      <c r="AN527" s="73" t="str">
        <f t="shared" si="340"/>
        <v/>
      </c>
      <c r="AO527" s="73" t="str">
        <f t="shared" si="341"/>
        <v/>
      </c>
      <c r="AP527" s="73" t="str">
        <f t="shared" si="342"/>
        <v/>
      </c>
    </row>
    <row r="528" spans="1:42" s="69" customFormat="1" x14ac:dyDescent="0.6">
      <c r="A528" s="78" t="str">
        <f t="shared" si="308"/>
        <v/>
      </c>
      <c r="B528" s="78" t="str">
        <f>IF(E528&lt;=$F$9,VLOOKUP(KALKULATOR!A528,Robocze!$B$23:$C$102,2),"")</f>
        <v/>
      </c>
      <c r="C528" s="78" t="str">
        <f t="shared" si="311"/>
        <v/>
      </c>
      <c r="D528" s="79" t="str">
        <f t="shared" si="312"/>
        <v/>
      </c>
      <c r="E528" s="80" t="str">
        <f t="shared" si="313"/>
        <v/>
      </c>
      <c r="F528" s="81" t="str">
        <f t="shared" si="314"/>
        <v/>
      </c>
      <c r="G528" s="82" t="str">
        <f>IFERROR(IF(AND(F528&lt;=$F$9,$F$5=Robocze!$B$4,$E528&lt;=$F$9,MONTH($F$8)=MONTH(E528)),$F$4,0)+IF(AND(F528&lt;=$F$9,$F$5=Robocze!$B$3,E528&lt;=$F$9),KALKULATOR!$F$4/12,0),"")</f>
        <v/>
      </c>
      <c r="H528" s="82" t="str">
        <f t="shared" si="315"/>
        <v/>
      </c>
      <c r="I528" s="83" t="str">
        <f t="shared" si="316"/>
        <v/>
      </c>
      <c r="J528" s="82" t="str">
        <f t="shared" si="317"/>
        <v/>
      </c>
      <c r="K528" s="84" t="str">
        <f t="shared" si="318"/>
        <v/>
      </c>
      <c r="L528" s="82" t="str">
        <f t="shared" si="319"/>
        <v/>
      </c>
      <c r="M528" s="82" t="str">
        <f t="shared" si="320"/>
        <v/>
      </c>
      <c r="N528" s="82" t="str">
        <f t="shared" si="321"/>
        <v/>
      </c>
      <c r="O528" s="82" t="str">
        <f t="shared" si="322"/>
        <v/>
      </c>
      <c r="P528" s="82" t="str">
        <f t="shared" si="323"/>
        <v/>
      </c>
      <c r="Q528" s="82" t="str">
        <f t="shared" si="324"/>
        <v/>
      </c>
      <c r="R528" s="82"/>
      <c r="S528" s="85" t="str">
        <f t="shared" si="325"/>
        <v/>
      </c>
      <c r="T528" s="82" t="str">
        <f t="shared" si="326"/>
        <v/>
      </c>
      <c r="U528" s="82" t="str">
        <f t="shared" si="327"/>
        <v/>
      </c>
      <c r="V528" s="85" t="str">
        <f t="shared" si="328"/>
        <v/>
      </c>
      <c r="W528" s="82" t="str">
        <f t="shared" si="329"/>
        <v/>
      </c>
      <c r="X528" s="82" t="str">
        <f>IF(B528&lt;&gt;"",IF(MONTH(E528)=MONTH($F$13),SUMIF($C$22:C907,"="&amp;(C528-1),$G$22:G907),0)*S528,"")</f>
        <v/>
      </c>
      <c r="Y528" s="82" t="str">
        <f>IF(B528&lt;&gt;"",SUM($X$22:X528),"")</f>
        <v/>
      </c>
      <c r="Z528" s="82" t="str">
        <f t="shared" si="330"/>
        <v/>
      </c>
      <c r="AA528" s="82" t="str">
        <f t="shared" si="331"/>
        <v/>
      </c>
      <c r="AB528" s="82" t="str">
        <f t="shared" si="332"/>
        <v/>
      </c>
      <c r="AC528" s="82" t="str">
        <f t="shared" si="333"/>
        <v/>
      </c>
      <c r="AD528" s="82" t="str">
        <f>IFERROR($U528*(1-$V528)+SUM($W$22:$W528)+$AB528,"")</f>
        <v/>
      </c>
      <c r="AE528" s="73" t="b">
        <f t="shared" si="309"/>
        <v>1</v>
      </c>
      <c r="AF528" s="82" t="e">
        <f>IF(AND(AE528=TRUE,D528&gt;=65),$U528*(1-10%)+SUM($W$22:$W528)+$AB528,AD528)</f>
        <v>#VALUE!</v>
      </c>
      <c r="AG528" s="82" t="str">
        <f t="shared" si="334"/>
        <v/>
      </c>
      <c r="AH528" s="82" t="str">
        <f t="shared" si="335"/>
        <v/>
      </c>
      <c r="AI528" s="82" t="str">
        <f t="shared" si="336"/>
        <v/>
      </c>
      <c r="AJ528" s="82" t="str">
        <f t="shared" si="337"/>
        <v/>
      </c>
      <c r="AK528" s="73" t="b">
        <f t="shared" si="310"/>
        <v>1</v>
      </c>
      <c r="AL528" s="82" t="str">
        <f t="shared" si="338"/>
        <v/>
      </c>
      <c r="AM528" s="82" t="str">
        <f t="shared" si="339"/>
        <v/>
      </c>
      <c r="AN528" s="82" t="str">
        <f t="shared" si="340"/>
        <v/>
      </c>
      <c r="AO528" s="82" t="str">
        <f t="shared" si="341"/>
        <v/>
      </c>
      <c r="AP528" s="82" t="str">
        <f t="shared" si="342"/>
        <v/>
      </c>
    </row>
    <row r="529" spans="1:42" s="69" customFormat="1" x14ac:dyDescent="0.6">
      <c r="A529" s="78" t="str">
        <f t="shared" si="308"/>
        <v/>
      </c>
      <c r="B529" s="78" t="str">
        <f>IF(E529&lt;=$F$9,VLOOKUP(KALKULATOR!A529,Robocze!$B$23:$C$102,2),"")</f>
        <v/>
      </c>
      <c r="C529" s="78" t="str">
        <f t="shared" si="311"/>
        <v/>
      </c>
      <c r="D529" s="79" t="str">
        <f t="shared" si="312"/>
        <v/>
      </c>
      <c r="E529" s="80" t="str">
        <f t="shared" si="313"/>
        <v/>
      </c>
      <c r="F529" s="81" t="str">
        <f t="shared" si="314"/>
        <v/>
      </c>
      <c r="G529" s="82" t="str">
        <f>IFERROR(IF(AND(F529&lt;=$F$9,$F$5=Robocze!$B$4,$E529&lt;=$F$9,MONTH($F$8)=MONTH(E529)),$F$4,0)+IF(AND(F529&lt;=$F$9,$F$5=Robocze!$B$3,E529&lt;=$F$9),KALKULATOR!$F$4/12,0),"")</f>
        <v/>
      </c>
      <c r="H529" s="82" t="str">
        <f t="shared" si="315"/>
        <v/>
      </c>
      <c r="I529" s="83" t="str">
        <f t="shared" si="316"/>
        <v/>
      </c>
      <c r="J529" s="82" t="str">
        <f t="shared" si="317"/>
        <v/>
      </c>
      <c r="K529" s="84" t="str">
        <f t="shared" si="318"/>
        <v/>
      </c>
      <c r="L529" s="82" t="str">
        <f t="shared" si="319"/>
        <v/>
      </c>
      <c r="M529" s="82" t="str">
        <f t="shared" si="320"/>
        <v/>
      </c>
      <c r="N529" s="82" t="str">
        <f t="shared" si="321"/>
        <v/>
      </c>
      <c r="O529" s="82" t="str">
        <f t="shared" si="322"/>
        <v/>
      </c>
      <c r="P529" s="82" t="str">
        <f t="shared" si="323"/>
        <v/>
      </c>
      <c r="Q529" s="82" t="str">
        <f t="shared" si="324"/>
        <v/>
      </c>
      <c r="R529" s="82"/>
      <c r="S529" s="85" t="str">
        <f t="shared" si="325"/>
        <v/>
      </c>
      <c r="T529" s="82" t="str">
        <f t="shared" si="326"/>
        <v/>
      </c>
      <c r="U529" s="82" t="str">
        <f t="shared" si="327"/>
        <v/>
      </c>
      <c r="V529" s="85" t="str">
        <f t="shared" si="328"/>
        <v/>
      </c>
      <c r="W529" s="82" t="str">
        <f t="shared" si="329"/>
        <v/>
      </c>
      <c r="X529" s="82" t="str">
        <f>IF(B529&lt;&gt;"",IF(MONTH(E529)=MONTH($F$13),SUMIF($C$22:C908,"="&amp;(C529-1),$G$22:G908),0)*S529,"")</f>
        <v/>
      </c>
      <c r="Y529" s="82" t="str">
        <f>IF(B529&lt;&gt;"",SUM($X$22:X529),"")</f>
        <v/>
      </c>
      <c r="Z529" s="82" t="str">
        <f t="shared" si="330"/>
        <v/>
      </c>
      <c r="AA529" s="82" t="str">
        <f t="shared" si="331"/>
        <v/>
      </c>
      <c r="AB529" s="82" t="str">
        <f t="shared" si="332"/>
        <v/>
      </c>
      <c r="AC529" s="82" t="str">
        <f t="shared" si="333"/>
        <v/>
      </c>
      <c r="AD529" s="82" t="str">
        <f>IFERROR($U529*(1-$V529)+SUM($W$22:$W529)+$AB529,"")</f>
        <v/>
      </c>
      <c r="AE529" s="73" t="b">
        <f t="shared" si="309"/>
        <v>1</v>
      </c>
      <c r="AF529" s="82" t="e">
        <f>IF(AND(AE529=TRUE,D529&gt;=65),$U529*(1-10%)+SUM($W$22:$W529)+$AB529,AD529)</f>
        <v>#VALUE!</v>
      </c>
      <c r="AG529" s="82" t="str">
        <f t="shared" si="334"/>
        <v/>
      </c>
      <c r="AH529" s="82" t="str">
        <f t="shared" si="335"/>
        <v/>
      </c>
      <c r="AI529" s="82" t="str">
        <f t="shared" si="336"/>
        <v/>
      </c>
      <c r="AJ529" s="82" t="str">
        <f t="shared" si="337"/>
        <v/>
      </c>
      <c r="AK529" s="73" t="b">
        <f t="shared" si="310"/>
        <v>1</v>
      </c>
      <c r="AL529" s="82" t="str">
        <f t="shared" si="338"/>
        <v/>
      </c>
      <c r="AM529" s="82" t="str">
        <f t="shared" si="339"/>
        <v/>
      </c>
      <c r="AN529" s="82" t="str">
        <f t="shared" si="340"/>
        <v/>
      </c>
      <c r="AO529" s="82" t="str">
        <f t="shared" si="341"/>
        <v/>
      </c>
      <c r="AP529" s="82" t="str">
        <f t="shared" si="342"/>
        <v/>
      </c>
    </row>
    <row r="530" spans="1:42" s="31" customFormat="1" x14ac:dyDescent="0.6">
      <c r="A530" s="70" t="str">
        <f t="shared" si="308"/>
        <v/>
      </c>
      <c r="B530" s="70" t="str">
        <f>IF(E530&lt;=$F$9,VLOOKUP(KALKULATOR!A530,Robocze!$B$23:$C$102,2),"")</f>
        <v/>
      </c>
      <c r="C530" s="70" t="str">
        <f t="shared" si="311"/>
        <v/>
      </c>
      <c r="D530" s="71" t="str">
        <f t="shared" si="312"/>
        <v/>
      </c>
      <c r="E530" s="72" t="str">
        <f t="shared" si="313"/>
        <v/>
      </c>
      <c r="F530" s="72" t="str">
        <f t="shared" si="314"/>
        <v/>
      </c>
      <c r="G530" s="73" t="str">
        <f>IFERROR(IF(AND(F530&lt;=$F$9,$F$5=Robocze!$B$4,$E530&lt;=$F$9,MONTH($F$8)=MONTH(E530)),$F$4,0)+IF(AND(F530&lt;=$F$9,$F$5=Robocze!$B$3,E530&lt;=$F$9),KALKULATOR!$F$4/12,0),"")</f>
        <v/>
      </c>
      <c r="H530" s="73" t="str">
        <f t="shared" si="315"/>
        <v/>
      </c>
      <c r="I530" s="74" t="str">
        <f t="shared" si="316"/>
        <v/>
      </c>
      <c r="J530" s="73" t="str">
        <f t="shared" si="317"/>
        <v/>
      </c>
      <c r="K530" s="75" t="str">
        <f t="shared" si="318"/>
        <v/>
      </c>
      <c r="L530" s="73" t="str">
        <f t="shared" si="319"/>
        <v/>
      </c>
      <c r="M530" s="73" t="str">
        <f t="shared" si="320"/>
        <v/>
      </c>
      <c r="N530" s="73" t="str">
        <f t="shared" si="321"/>
        <v/>
      </c>
      <c r="O530" s="73" t="str">
        <f t="shared" si="322"/>
        <v/>
      </c>
      <c r="P530" s="73" t="str">
        <f t="shared" si="323"/>
        <v/>
      </c>
      <c r="Q530" s="73" t="str">
        <f t="shared" si="324"/>
        <v/>
      </c>
      <c r="R530" s="73"/>
      <c r="S530" s="76" t="str">
        <f t="shared" si="325"/>
        <v/>
      </c>
      <c r="T530" s="73" t="str">
        <f t="shared" si="326"/>
        <v/>
      </c>
      <c r="U530" s="73" t="str">
        <f t="shared" si="327"/>
        <v/>
      </c>
      <c r="V530" s="76" t="str">
        <f t="shared" si="328"/>
        <v/>
      </c>
      <c r="W530" s="73" t="str">
        <f t="shared" si="329"/>
        <v/>
      </c>
      <c r="X530" s="73" t="str">
        <f>IF(B530&lt;&gt;"",IF(MONTH(E530)=MONTH($F$13),SUMIF($C$22:C909,"="&amp;(C530-1),$G$22:G909),0)*S530,"")</f>
        <v/>
      </c>
      <c r="Y530" s="73" t="str">
        <f>IF(B530&lt;&gt;"",SUM($X$22:X530),"")</f>
        <v/>
      </c>
      <c r="Z530" s="73" t="str">
        <f t="shared" si="330"/>
        <v/>
      </c>
      <c r="AA530" s="73" t="str">
        <f t="shared" si="331"/>
        <v/>
      </c>
      <c r="AB530" s="73" t="str">
        <f t="shared" si="332"/>
        <v/>
      </c>
      <c r="AC530" s="73" t="str">
        <f t="shared" si="333"/>
        <v/>
      </c>
      <c r="AD530" s="73" t="str">
        <f>IFERROR($U530*(1-$V530)+SUM($W$22:$W530)+$AB530,"")</f>
        <v/>
      </c>
      <c r="AE530" s="73" t="b">
        <f t="shared" si="309"/>
        <v>1</v>
      </c>
      <c r="AF530" s="73" t="e">
        <f>IF(AND(AE530=TRUE,D530&gt;=65),$U530*(1-10%)+SUM($W$22:$W530)+$AB530,AD530)</f>
        <v>#VALUE!</v>
      </c>
      <c r="AG530" s="73" t="str">
        <f t="shared" si="334"/>
        <v/>
      </c>
      <c r="AH530" s="73" t="str">
        <f t="shared" si="335"/>
        <v/>
      </c>
      <c r="AI530" s="73" t="str">
        <f t="shared" si="336"/>
        <v/>
      </c>
      <c r="AJ530" s="73" t="str">
        <f t="shared" si="337"/>
        <v/>
      </c>
      <c r="AK530" s="73" t="b">
        <f t="shared" si="310"/>
        <v>1</v>
      </c>
      <c r="AL530" s="73" t="str">
        <f t="shared" si="338"/>
        <v/>
      </c>
      <c r="AM530" s="73" t="str">
        <f t="shared" si="339"/>
        <v/>
      </c>
      <c r="AN530" s="73" t="str">
        <f t="shared" si="340"/>
        <v/>
      </c>
      <c r="AO530" s="73" t="str">
        <f t="shared" si="341"/>
        <v/>
      </c>
      <c r="AP530" s="73" t="str">
        <f t="shared" si="342"/>
        <v/>
      </c>
    </row>
    <row r="531" spans="1:42" s="31" customFormat="1" x14ac:dyDescent="0.6">
      <c r="A531" s="70" t="str">
        <f t="shared" si="308"/>
        <v/>
      </c>
      <c r="B531" s="70" t="str">
        <f>IF(E531&lt;=$F$9,VLOOKUP(KALKULATOR!A531,Robocze!$B$23:$C$102,2),"")</f>
        <v/>
      </c>
      <c r="C531" s="70" t="str">
        <f t="shared" si="311"/>
        <v/>
      </c>
      <c r="D531" s="71" t="str">
        <f t="shared" si="312"/>
        <v/>
      </c>
      <c r="E531" s="77" t="str">
        <f t="shared" si="313"/>
        <v/>
      </c>
      <c r="F531" s="72" t="str">
        <f t="shared" si="314"/>
        <v/>
      </c>
      <c r="G531" s="73" t="str">
        <f>IFERROR(IF(AND(F531&lt;=$F$9,$F$5=Robocze!$B$4,$E531&lt;=$F$9,MONTH($F$8)=MONTH(E531)),$F$4,0)+IF(AND(F531&lt;=$F$9,$F$5=Robocze!$B$3,E531&lt;=$F$9),KALKULATOR!$F$4/12,0),"")</f>
        <v/>
      </c>
      <c r="H531" s="73" t="str">
        <f t="shared" si="315"/>
        <v/>
      </c>
      <c r="I531" s="74" t="str">
        <f t="shared" si="316"/>
        <v/>
      </c>
      <c r="J531" s="73" t="str">
        <f t="shared" si="317"/>
        <v/>
      </c>
      <c r="K531" s="75" t="str">
        <f t="shared" si="318"/>
        <v/>
      </c>
      <c r="L531" s="73" t="str">
        <f t="shared" si="319"/>
        <v/>
      </c>
      <c r="M531" s="73" t="str">
        <f t="shared" si="320"/>
        <v/>
      </c>
      <c r="N531" s="73" t="str">
        <f t="shared" si="321"/>
        <v/>
      </c>
      <c r="O531" s="73" t="str">
        <f t="shared" si="322"/>
        <v/>
      </c>
      <c r="P531" s="73" t="str">
        <f t="shared" si="323"/>
        <v/>
      </c>
      <c r="Q531" s="73" t="str">
        <f t="shared" si="324"/>
        <v/>
      </c>
      <c r="R531" s="73"/>
      <c r="S531" s="76" t="str">
        <f t="shared" si="325"/>
        <v/>
      </c>
      <c r="T531" s="73" t="str">
        <f t="shared" si="326"/>
        <v/>
      </c>
      <c r="U531" s="73" t="str">
        <f t="shared" si="327"/>
        <v/>
      </c>
      <c r="V531" s="76" t="str">
        <f t="shared" si="328"/>
        <v/>
      </c>
      <c r="W531" s="73" t="str">
        <f t="shared" si="329"/>
        <v/>
      </c>
      <c r="X531" s="73" t="str">
        <f>IF(B531&lt;&gt;"",IF(MONTH(E531)=MONTH($F$13),SUMIF($C$22:C910,"="&amp;(C531-1),$G$22:G910),0)*S531,"")</f>
        <v/>
      </c>
      <c r="Y531" s="73" t="str">
        <f>IF(B531&lt;&gt;"",SUM($X$22:X531),"")</f>
        <v/>
      </c>
      <c r="Z531" s="73" t="str">
        <f t="shared" si="330"/>
        <v/>
      </c>
      <c r="AA531" s="73" t="str">
        <f t="shared" si="331"/>
        <v/>
      </c>
      <c r="AB531" s="73" t="str">
        <f t="shared" si="332"/>
        <v/>
      </c>
      <c r="AC531" s="73" t="str">
        <f t="shared" si="333"/>
        <v/>
      </c>
      <c r="AD531" s="73" t="str">
        <f>IFERROR($U531*(1-$V531)+SUM($W$22:$W531)+$AB531,"")</f>
        <v/>
      </c>
      <c r="AE531" s="73" t="b">
        <f t="shared" si="309"/>
        <v>1</v>
      </c>
      <c r="AF531" s="73" t="e">
        <f>IF(AND(AE531=TRUE,D531&gt;=65),$U531*(1-10%)+SUM($W$22:$W531)+$AB531,AD531)</f>
        <v>#VALUE!</v>
      </c>
      <c r="AG531" s="73" t="str">
        <f t="shared" si="334"/>
        <v/>
      </c>
      <c r="AH531" s="73" t="str">
        <f t="shared" si="335"/>
        <v/>
      </c>
      <c r="AI531" s="73" t="str">
        <f t="shared" si="336"/>
        <v/>
      </c>
      <c r="AJ531" s="73" t="str">
        <f t="shared" si="337"/>
        <v/>
      </c>
      <c r="AK531" s="73" t="b">
        <f t="shared" si="310"/>
        <v>1</v>
      </c>
      <c r="AL531" s="73" t="str">
        <f t="shared" si="338"/>
        <v/>
      </c>
      <c r="AM531" s="73" t="str">
        <f t="shared" si="339"/>
        <v/>
      </c>
      <c r="AN531" s="73" t="str">
        <f t="shared" si="340"/>
        <v/>
      </c>
      <c r="AO531" s="73" t="str">
        <f t="shared" si="341"/>
        <v/>
      </c>
      <c r="AP531" s="73" t="str">
        <f t="shared" si="342"/>
        <v/>
      </c>
    </row>
    <row r="532" spans="1:42" s="31" customFormat="1" x14ac:dyDescent="0.6">
      <c r="A532" s="70" t="str">
        <f t="shared" si="308"/>
        <v/>
      </c>
      <c r="B532" s="70" t="str">
        <f>IF(E532&lt;=$F$9,VLOOKUP(KALKULATOR!A532,Robocze!$B$23:$C$102,2),"")</f>
        <v/>
      </c>
      <c r="C532" s="70" t="str">
        <f t="shared" si="311"/>
        <v/>
      </c>
      <c r="D532" s="71" t="str">
        <f t="shared" si="312"/>
        <v/>
      </c>
      <c r="E532" s="77" t="str">
        <f t="shared" si="313"/>
        <v/>
      </c>
      <c r="F532" s="72" t="str">
        <f t="shared" si="314"/>
        <v/>
      </c>
      <c r="G532" s="73" t="str">
        <f>IFERROR(IF(AND(F532&lt;=$F$9,$F$5=Robocze!$B$4,$E532&lt;=$F$9,MONTH($F$8)=MONTH(E532)),$F$4,0)+IF(AND(F532&lt;=$F$9,$F$5=Robocze!$B$3,E532&lt;=$F$9),KALKULATOR!$F$4/12,0),"")</f>
        <v/>
      </c>
      <c r="H532" s="73" t="str">
        <f t="shared" si="315"/>
        <v/>
      </c>
      <c r="I532" s="74" t="str">
        <f t="shared" si="316"/>
        <v/>
      </c>
      <c r="J532" s="73" t="str">
        <f t="shared" si="317"/>
        <v/>
      </c>
      <c r="K532" s="75" t="str">
        <f t="shared" si="318"/>
        <v/>
      </c>
      <c r="L532" s="73" t="str">
        <f t="shared" si="319"/>
        <v/>
      </c>
      <c r="M532" s="73" t="str">
        <f t="shared" si="320"/>
        <v/>
      </c>
      <c r="N532" s="73" t="str">
        <f t="shared" si="321"/>
        <v/>
      </c>
      <c r="O532" s="73" t="str">
        <f t="shared" si="322"/>
        <v/>
      </c>
      <c r="P532" s="73" t="str">
        <f t="shared" si="323"/>
        <v/>
      </c>
      <c r="Q532" s="73" t="str">
        <f t="shared" si="324"/>
        <v/>
      </c>
      <c r="R532" s="73"/>
      <c r="S532" s="76" t="str">
        <f t="shared" si="325"/>
        <v/>
      </c>
      <c r="T532" s="73" t="str">
        <f t="shared" si="326"/>
        <v/>
      </c>
      <c r="U532" s="73" t="str">
        <f t="shared" si="327"/>
        <v/>
      </c>
      <c r="V532" s="76" t="str">
        <f t="shared" si="328"/>
        <v/>
      </c>
      <c r="W532" s="73" t="str">
        <f t="shared" si="329"/>
        <v/>
      </c>
      <c r="X532" s="73" t="str">
        <f>IF(B532&lt;&gt;"",IF(MONTH(E532)=MONTH($F$13),SUMIF($C$22:C911,"="&amp;(C532-1),$G$22:G911),0)*S532,"")</f>
        <v/>
      </c>
      <c r="Y532" s="73" t="str">
        <f>IF(B532&lt;&gt;"",SUM($X$22:X532),"")</f>
        <v/>
      </c>
      <c r="Z532" s="73" t="str">
        <f t="shared" si="330"/>
        <v/>
      </c>
      <c r="AA532" s="73" t="str">
        <f t="shared" si="331"/>
        <v/>
      </c>
      <c r="AB532" s="73" t="str">
        <f t="shared" si="332"/>
        <v/>
      </c>
      <c r="AC532" s="73" t="str">
        <f t="shared" si="333"/>
        <v/>
      </c>
      <c r="AD532" s="73" t="str">
        <f>IFERROR($U532*(1-$V532)+SUM($W$22:$W532)+$AB532,"")</f>
        <v/>
      </c>
      <c r="AE532" s="73" t="b">
        <f t="shared" si="309"/>
        <v>1</v>
      </c>
      <c r="AF532" s="73" t="e">
        <f>IF(AND(AE532=TRUE,D532&gt;=65),$U532*(1-10%)+SUM($W$22:$W532)+$AB532,AD532)</f>
        <v>#VALUE!</v>
      </c>
      <c r="AG532" s="73" t="str">
        <f t="shared" si="334"/>
        <v/>
      </c>
      <c r="AH532" s="73" t="str">
        <f t="shared" si="335"/>
        <v/>
      </c>
      <c r="AI532" s="73" t="str">
        <f t="shared" si="336"/>
        <v/>
      </c>
      <c r="AJ532" s="73" t="str">
        <f t="shared" si="337"/>
        <v/>
      </c>
      <c r="AK532" s="73" t="b">
        <f t="shared" si="310"/>
        <v>1</v>
      </c>
      <c r="AL532" s="73" t="str">
        <f t="shared" si="338"/>
        <v/>
      </c>
      <c r="AM532" s="73" t="str">
        <f t="shared" si="339"/>
        <v/>
      </c>
      <c r="AN532" s="73" t="str">
        <f t="shared" si="340"/>
        <v/>
      </c>
      <c r="AO532" s="73" t="str">
        <f t="shared" si="341"/>
        <v/>
      </c>
      <c r="AP532" s="73" t="str">
        <f t="shared" si="342"/>
        <v/>
      </c>
    </row>
    <row r="533" spans="1:42" s="31" customFormat="1" x14ac:dyDescent="0.6">
      <c r="A533" s="70" t="str">
        <f t="shared" si="308"/>
        <v/>
      </c>
      <c r="B533" s="70" t="str">
        <f>IF(E533&lt;=$F$9,VLOOKUP(KALKULATOR!A533,Robocze!$B$23:$C$102,2),"")</f>
        <v/>
      </c>
      <c r="C533" s="70" t="str">
        <f t="shared" si="311"/>
        <v/>
      </c>
      <c r="D533" s="71" t="str">
        <f t="shared" si="312"/>
        <v/>
      </c>
      <c r="E533" s="77" t="str">
        <f t="shared" si="313"/>
        <v/>
      </c>
      <c r="F533" s="72" t="str">
        <f t="shared" si="314"/>
        <v/>
      </c>
      <c r="G533" s="73" t="str">
        <f>IFERROR(IF(AND(F533&lt;=$F$9,$F$5=Robocze!$B$4,$E533&lt;=$F$9,MONTH($F$8)=MONTH(E533)),$F$4,0)+IF(AND(F533&lt;=$F$9,$F$5=Robocze!$B$3,E533&lt;=$F$9),KALKULATOR!$F$4/12,0),"")</f>
        <v/>
      </c>
      <c r="H533" s="73" t="str">
        <f t="shared" si="315"/>
        <v/>
      </c>
      <c r="I533" s="74" t="str">
        <f t="shared" si="316"/>
        <v/>
      </c>
      <c r="J533" s="73" t="str">
        <f t="shared" si="317"/>
        <v/>
      </c>
      <c r="K533" s="75" t="str">
        <f t="shared" si="318"/>
        <v/>
      </c>
      <c r="L533" s="73" t="str">
        <f t="shared" si="319"/>
        <v/>
      </c>
      <c r="M533" s="73" t="str">
        <f t="shared" si="320"/>
        <v/>
      </c>
      <c r="N533" s="73" t="str">
        <f t="shared" si="321"/>
        <v/>
      </c>
      <c r="O533" s="73" t="str">
        <f t="shared" si="322"/>
        <v/>
      </c>
      <c r="P533" s="73" t="str">
        <f t="shared" si="323"/>
        <v/>
      </c>
      <c r="Q533" s="73" t="str">
        <f t="shared" si="324"/>
        <v/>
      </c>
      <c r="R533" s="73"/>
      <c r="S533" s="76" t="str">
        <f t="shared" si="325"/>
        <v/>
      </c>
      <c r="T533" s="73" t="str">
        <f t="shared" si="326"/>
        <v/>
      </c>
      <c r="U533" s="73" t="str">
        <f t="shared" si="327"/>
        <v/>
      </c>
      <c r="V533" s="76" t="str">
        <f t="shared" si="328"/>
        <v/>
      </c>
      <c r="W533" s="73" t="str">
        <f t="shared" si="329"/>
        <v/>
      </c>
      <c r="X533" s="73" t="str">
        <f>IF(B533&lt;&gt;"",IF(MONTH(E533)=MONTH($F$13),SUMIF($C$22:C912,"="&amp;(C533-1),$G$22:G912),0)*S533,"")</f>
        <v/>
      </c>
      <c r="Y533" s="73" t="str">
        <f>IF(B533&lt;&gt;"",SUM($X$22:X533),"")</f>
        <v/>
      </c>
      <c r="Z533" s="73" t="str">
        <f t="shared" si="330"/>
        <v/>
      </c>
      <c r="AA533" s="73" t="str">
        <f t="shared" si="331"/>
        <v/>
      </c>
      <c r="AB533" s="73" t="str">
        <f t="shared" si="332"/>
        <v/>
      </c>
      <c r="AC533" s="73" t="str">
        <f t="shared" si="333"/>
        <v/>
      </c>
      <c r="AD533" s="73" t="str">
        <f>IFERROR($U533*(1-$V533)+SUM($W$22:$W533)+$AB533,"")</f>
        <v/>
      </c>
      <c r="AE533" s="73" t="b">
        <f t="shared" si="309"/>
        <v>1</v>
      </c>
      <c r="AF533" s="73" t="e">
        <f>IF(AND(AE533=TRUE,D533&gt;=65),$U533*(1-10%)+SUM($W$22:$W533)+$AB533,AD533)</f>
        <v>#VALUE!</v>
      </c>
      <c r="AG533" s="73" t="str">
        <f t="shared" si="334"/>
        <v/>
      </c>
      <c r="AH533" s="73" t="str">
        <f t="shared" si="335"/>
        <v/>
      </c>
      <c r="AI533" s="73" t="str">
        <f t="shared" si="336"/>
        <v/>
      </c>
      <c r="AJ533" s="73" t="str">
        <f t="shared" si="337"/>
        <v/>
      </c>
      <c r="AK533" s="73" t="b">
        <f t="shared" si="310"/>
        <v>1</v>
      </c>
      <c r="AL533" s="73" t="str">
        <f t="shared" si="338"/>
        <v/>
      </c>
      <c r="AM533" s="73" t="str">
        <f t="shared" si="339"/>
        <v/>
      </c>
      <c r="AN533" s="73" t="str">
        <f t="shared" si="340"/>
        <v/>
      </c>
      <c r="AO533" s="73" t="str">
        <f t="shared" si="341"/>
        <v/>
      </c>
      <c r="AP533" s="73" t="str">
        <f t="shared" si="342"/>
        <v/>
      </c>
    </row>
    <row r="534" spans="1:42" s="31" customFormat="1" x14ac:dyDescent="0.6">
      <c r="A534" s="70" t="str">
        <f t="shared" ref="A534:A597" si="343">IFERROR(IF((A533+1)&lt;=$F$7*12,A533+1,""),"")</f>
        <v/>
      </c>
      <c r="B534" s="70" t="str">
        <f>IF(E534&lt;=$F$9,VLOOKUP(KALKULATOR!A534,Robocze!$B$23:$C$102,2),"")</f>
        <v/>
      </c>
      <c r="C534" s="70" t="str">
        <f t="shared" si="311"/>
        <v/>
      </c>
      <c r="D534" s="71" t="str">
        <f t="shared" si="312"/>
        <v/>
      </c>
      <c r="E534" s="77" t="str">
        <f t="shared" si="313"/>
        <v/>
      </c>
      <c r="F534" s="72" t="str">
        <f t="shared" si="314"/>
        <v/>
      </c>
      <c r="G534" s="73" t="str">
        <f>IFERROR(IF(AND(F534&lt;=$F$9,$F$5=Robocze!$B$4,$E534&lt;=$F$9,MONTH($F$8)=MONTH(E534)),$F$4,0)+IF(AND(F534&lt;=$F$9,$F$5=Robocze!$B$3,E534&lt;=$F$9),KALKULATOR!$F$4/12,0),"")</f>
        <v/>
      </c>
      <c r="H534" s="73" t="str">
        <f t="shared" si="315"/>
        <v/>
      </c>
      <c r="I534" s="74" t="str">
        <f t="shared" si="316"/>
        <v/>
      </c>
      <c r="J534" s="73" t="str">
        <f t="shared" si="317"/>
        <v/>
      </c>
      <c r="K534" s="75" t="str">
        <f t="shared" si="318"/>
        <v/>
      </c>
      <c r="L534" s="73" t="str">
        <f t="shared" si="319"/>
        <v/>
      </c>
      <c r="M534" s="73" t="str">
        <f t="shared" si="320"/>
        <v/>
      </c>
      <c r="N534" s="73" t="str">
        <f t="shared" si="321"/>
        <v/>
      </c>
      <c r="O534" s="73" t="str">
        <f t="shared" si="322"/>
        <v/>
      </c>
      <c r="P534" s="73" t="str">
        <f t="shared" si="323"/>
        <v/>
      </c>
      <c r="Q534" s="73" t="str">
        <f t="shared" si="324"/>
        <v/>
      </c>
      <c r="R534" s="73"/>
      <c r="S534" s="76" t="str">
        <f t="shared" si="325"/>
        <v/>
      </c>
      <c r="T534" s="73" t="str">
        <f t="shared" si="326"/>
        <v/>
      </c>
      <c r="U534" s="73" t="str">
        <f t="shared" si="327"/>
        <v/>
      </c>
      <c r="V534" s="76" t="str">
        <f t="shared" si="328"/>
        <v/>
      </c>
      <c r="W534" s="73" t="str">
        <f t="shared" si="329"/>
        <v/>
      </c>
      <c r="X534" s="73" t="str">
        <f>IF(B534&lt;&gt;"",IF(MONTH(E534)=MONTH($F$13),SUMIF($C$22:C913,"="&amp;(C534-1),$G$22:G913),0)*S534,"")</f>
        <v/>
      </c>
      <c r="Y534" s="73" t="str">
        <f>IF(B534&lt;&gt;"",SUM($X$22:X534),"")</f>
        <v/>
      </c>
      <c r="Z534" s="73" t="str">
        <f t="shared" si="330"/>
        <v/>
      </c>
      <c r="AA534" s="73" t="str">
        <f t="shared" si="331"/>
        <v/>
      </c>
      <c r="AB534" s="73" t="str">
        <f t="shared" si="332"/>
        <v/>
      </c>
      <c r="AC534" s="73" t="str">
        <f t="shared" si="333"/>
        <v/>
      </c>
      <c r="AD534" s="73" t="str">
        <f>IFERROR($U534*(1-$V534)+SUM($W$22:$W534)+$AB534,"")</f>
        <v/>
      </c>
      <c r="AE534" s="73" t="b">
        <f t="shared" si="309"/>
        <v>1</v>
      </c>
      <c r="AF534" s="73" t="e">
        <f>IF(AND(AE534=TRUE,D534&gt;=65),$U534*(1-10%)+SUM($W$22:$W534)+$AB534,AD534)</f>
        <v>#VALUE!</v>
      </c>
      <c r="AG534" s="73" t="str">
        <f t="shared" si="334"/>
        <v/>
      </c>
      <c r="AH534" s="73" t="str">
        <f t="shared" si="335"/>
        <v/>
      </c>
      <c r="AI534" s="73" t="str">
        <f t="shared" si="336"/>
        <v/>
      </c>
      <c r="AJ534" s="73" t="str">
        <f t="shared" si="337"/>
        <v/>
      </c>
      <c r="AK534" s="73" t="b">
        <f t="shared" si="310"/>
        <v>1</v>
      </c>
      <c r="AL534" s="73" t="str">
        <f t="shared" si="338"/>
        <v/>
      </c>
      <c r="AM534" s="73" t="str">
        <f t="shared" si="339"/>
        <v/>
      </c>
      <c r="AN534" s="73" t="str">
        <f t="shared" si="340"/>
        <v/>
      </c>
      <c r="AO534" s="73" t="str">
        <f t="shared" si="341"/>
        <v/>
      </c>
      <c r="AP534" s="73" t="str">
        <f t="shared" si="342"/>
        <v/>
      </c>
    </row>
    <row r="535" spans="1:42" s="31" customFormat="1" x14ac:dyDescent="0.6">
      <c r="A535" s="70" t="str">
        <f t="shared" si="343"/>
        <v/>
      </c>
      <c r="B535" s="70" t="str">
        <f>IF(E535&lt;=$F$9,VLOOKUP(KALKULATOR!A535,Robocze!$B$23:$C$102,2),"")</f>
        <v/>
      </c>
      <c r="C535" s="70" t="str">
        <f t="shared" si="311"/>
        <v/>
      </c>
      <c r="D535" s="71" t="str">
        <f t="shared" si="312"/>
        <v/>
      </c>
      <c r="E535" s="77" t="str">
        <f t="shared" si="313"/>
        <v/>
      </c>
      <c r="F535" s="72" t="str">
        <f t="shared" si="314"/>
        <v/>
      </c>
      <c r="G535" s="73" t="str">
        <f>IFERROR(IF(AND(F535&lt;=$F$9,$F$5=Robocze!$B$4,$E535&lt;=$F$9,MONTH($F$8)=MONTH(E535)),$F$4,0)+IF(AND(F535&lt;=$F$9,$F$5=Robocze!$B$3,E535&lt;=$F$9),KALKULATOR!$F$4/12,0),"")</f>
        <v/>
      </c>
      <c r="H535" s="73" t="str">
        <f t="shared" si="315"/>
        <v/>
      </c>
      <c r="I535" s="74" t="str">
        <f t="shared" si="316"/>
        <v/>
      </c>
      <c r="J535" s="73" t="str">
        <f t="shared" si="317"/>
        <v/>
      </c>
      <c r="K535" s="75" t="str">
        <f t="shared" si="318"/>
        <v/>
      </c>
      <c r="L535" s="73" t="str">
        <f t="shared" si="319"/>
        <v/>
      </c>
      <c r="M535" s="73" t="str">
        <f t="shared" si="320"/>
        <v/>
      </c>
      <c r="N535" s="73" t="str">
        <f t="shared" si="321"/>
        <v/>
      </c>
      <c r="O535" s="73" t="str">
        <f t="shared" si="322"/>
        <v/>
      </c>
      <c r="P535" s="73" t="str">
        <f t="shared" si="323"/>
        <v/>
      </c>
      <c r="Q535" s="73" t="str">
        <f t="shared" si="324"/>
        <v/>
      </c>
      <c r="R535" s="73"/>
      <c r="S535" s="76" t="str">
        <f t="shared" si="325"/>
        <v/>
      </c>
      <c r="T535" s="73" t="str">
        <f t="shared" si="326"/>
        <v/>
      </c>
      <c r="U535" s="73" t="str">
        <f t="shared" si="327"/>
        <v/>
      </c>
      <c r="V535" s="76" t="str">
        <f t="shared" si="328"/>
        <v/>
      </c>
      <c r="W535" s="73" t="str">
        <f t="shared" si="329"/>
        <v/>
      </c>
      <c r="X535" s="73" t="str">
        <f>IF(B535&lt;&gt;"",IF(MONTH(E535)=MONTH($F$13),SUMIF($C$22:C914,"="&amp;(C535-1),$G$22:G914),0)*S535,"")</f>
        <v/>
      </c>
      <c r="Y535" s="73" t="str">
        <f>IF(B535&lt;&gt;"",SUM($X$22:X535),"")</f>
        <v/>
      </c>
      <c r="Z535" s="73" t="str">
        <f t="shared" si="330"/>
        <v/>
      </c>
      <c r="AA535" s="73" t="str">
        <f t="shared" si="331"/>
        <v/>
      </c>
      <c r="AB535" s="73" t="str">
        <f t="shared" si="332"/>
        <v/>
      </c>
      <c r="AC535" s="73" t="str">
        <f t="shared" si="333"/>
        <v/>
      </c>
      <c r="AD535" s="73" t="str">
        <f>IFERROR($U535*(1-$V535)+SUM($W$22:$W535)+$AB535,"")</f>
        <v/>
      </c>
      <c r="AE535" s="73" t="b">
        <f t="shared" ref="AE535:AE598" si="344">IFERROR(IF(AE534=TRUE,AE534,AND(YEAR(E535)-YEAR($F$8)&gt;=5,D535&gt;=65)),"")</f>
        <v>1</v>
      </c>
      <c r="AF535" s="73" t="e">
        <f>IF(AND(AE535=TRUE,D535&gt;=65),$U535*(1-10%)+SUM($W$22:$W535)+$AB535,AD535)</f>
        <v>#VALUE!</v>
      </c>
      <c r="AG535" s="73" t="str">
        <f t="shared" si="334"/>
        <v/>
      </c>
      <c r="AH535" s="73" t="str">
        <f t="shared" si="335"/>
        <v/>
      </c>
      <c r="AI535" s="73" t="str">
        <f t="shared" si="336"/>
        <v/>
      </c>
      <c r="AJ535" s="73" t="str">
        <f t="shared" si="337"/>
        <v/>
      </c>
      <c r="AK535" s="73" t="b">
        <f t="shared" ref="AK535:AK598" si="345">IFERROR(IF(AK534=TRUE,AK534,AND(YEAR(E535)-YEAR($F$8)&gt;=5,D535&gt;=55,OR(D535&gt;=60,D535&gt;=$F$10))),"")</f>
        <v>1</v>
      </c>
      <c r="AL535" s="73" t="str">
        <f t="shared" si="338"/>
        <v/>
      </c>
      <c r="AM535" s="73" t="str">
        <f t="shared" si="339"/>
        <v/>
      </c>
      <c r="AN535" s="73" t="str">
        <f t="shared" si="340"/>
        <v/>
      </c>
      <c r="AO535" s="73" t="str">
        <f t="shared" si="341"/>
        <v/>
      </c>
      <c r="AP535" s="73" t="str">
        <f t="shared" si="342"/>
        <v/>
      </c>
    </row>
    <row r="536" spans="1:42" s="31" customFormat="1" x14ac:dyDescent="0.6">
      <c r="A536" s="70" t="str">
        <f t="shared" si="343"/>
        <v/>
      </c>
      <c r="B536" s="70" t="str">
        <f>IF(E536&lt;=$F$9,VLOOKUP(KALKULATOR!A536,Robocze!$B$23:$C$102,2),"")</f>
        <v/>
      </c>
      <c r="C536" s="70" t="str">
        <f t="shared" si="311"/>
        <v/>
      </c>
      <c r="D536" s="71" t="str">
        <f t="shared" si="312"/>
        <v/>
      </c>
      <c r="E536" s="77" t="str">
        <f t="shared" si="313"/>
        <v/>
      </c>
      <c r="F536" s="72" t="str">
        <f t="shared" si="314"/>
        <v/>
      </c>
      <c r="G536" s="73" t="str">
        <f>IFERROR(IF(AND(F536&lt;=$F$9,$F$5=Robocze!$B$4,$E536&lt;=$F$9,MONTH($F$8)=MONTH(E536)),$F$4,0)+IF(AND(F536&lt;=$F$9,$F$5=Robocze!$B$3,E536&lt;=$F$9),KALKULATOR!$F$4/12,0),"")</f>
        <v/>
      </c>
      <c r="H536" s="73" t="str">
        <f t="shared" si="315"/>
        <v/>
      </c>
      <c r="I536" s="74" t="str">
        <f t="shared" si="316"/>
        <v/>
      </c>
      <c r="J536" s="73" t="str">
        <f t="shared" si="317"/>
        <v/>
      </c>
      <c r="K536" s="75" t="str">
        <f t="shared" si="318"/>
        <v/>
      </c>
      <c r="L536" s="73" t="str">
        <f t="shared" si="319"/>
        <v/>
      </c>
      <c r="M536" s="73" t="str">
        <f t="shared" si="320"/>
        <v/>
      </c>
      <c r="N536" s="73" t="str">
        <f t="shared" si="321"/>
        <v/>
      </c>
      <c r="O536" s="73" t="str">
        <f t="shared" si="322"/>
        <v/>
      </c>
      <c r="P536" s="73" t="str">
        <f t="shared" si="323"/>
        <v/>
      </c>
      <c r="Q536" s="73" t="str">
        <f t="shared" si="324"/>
        <v/>
      </c>
      <c r="R536" s="73"/>
      <c r="S536" s="76" t="str">
        <f t="shared" si="325"/>
        <v/>
      </c>
      <c r="T536" s="73" t="str">
        <f t="shared" si="326"/>
        <v/>
      </c>
      <c r="U536" s="73" t="str">
        <f t="shared" si="327"/>
        <v/>
      </c>
      <c r="V536" s="76" t="str">
        <f t="shared" si="328"/>
        <v/>
      </c>
      <c r="W536" s="73" t="str">
        <f t="shared" si="329"/>
        <v/>
      </c>
      <c r="X536" s="73" t="str">
        <f>IF(B536&lt;&gt;"",IF(MONTH(E536)=MONTH($F$13),SUMIF($C$22:C915,"="&amp;(C536-1),$G$22:G915),0)*S536,"")</f>
        <v/>
      </c>
      <c r="Y536" s="73" t="str">
        <f>IF(B536&lt;&gt;"",SUM($X$22:X536),"")</f>
        <v/>
      </c>
      <c r="Z536" s="73" t="str">
        <f t="shared" si="330"/>
        <v/>
      </c>
      <c r="AA536" s="73" t="str">
        <f t="shared" si="331"/>
        <v/>
      </c>
      <c r="AB536" s="73" t="str">
        <f t="shared" si="332"/>
        <v/>
      </c>
      <c r="AC536" s="73" t="str">
        <f t="shared" si="333"/>
        <v/>
      </c>
      <c r="AD536" s="73" t="str">
        <f>IFERROR($U536*(1-$V536)+SUM($W$22:$W536)+$AB536,"")</f>
        <v/>
      </c>
      <c r="AE536" s="73" t="b">
        <f t="shared" si="344"/>
        <v>1</v>
      </c>
      <c r="AF536" s="73" t="e">
        <f>IF(AND(AE536=TRUE,D536&gt;=65),$U536*(1-10%)+SUM($W$22:$W536)+$AB536,AD536)</f>
        <v>#VALUE!</v>
      </c>
      <c r="AG536" s="73" t="str">
        <f t="shared" si="334"/>
        <v/>
      </c>
      <c r="AH536" s="73" t="str">
        <f t="shared" si="335"/>
        <v/>
      </c>
      <c r="AI536" s="73" t="str">
        <f t="shared" si="336"/>
        <v/>
      </c>
      <c r="AJ536" s="73" t="str">
        <f t="shared" si="337"/>
        <v/>
      </c>
      <c r="AK536" s="73" t="b">
        <f t="shared" si="345"/>
        <v>1</v>
      </c>
      <c r="AL536" s="73" t="str">
        <f t="shared" si="338"/>
        <v/>
      </c>
      <c r="AM536" s="73" t="str">
        <f t="shared" si="339"/>
        <v/>
      </c>
      <c r="AN536" s="73" t="str">
        <f t="shared" si="340"/>
        <v/>
      </c>
      <c r="AO536" s="73" t="str">
        <f t="shared" si="341"/>
        <v/>
      </c>
      <c r="AP536" s="73" t="str">
        <f t="shared" si="342"/>
        <v/>
      </c>
    </row>
    <row r="537" spans="1:42" s="31" customFormat="1" x14ac:dyDescent="0.6">
      <c r="A537" s="70" t="str">
        <f t="shared" si="343"/>
        <v/>
      </c>
      <c r="B537" s="70" t="str">
        <f>IF(E537&lt;=$F$9,VLOOKUP(KALKULATOR!A537,Robocze!$B$23:$C$102,2),"")</f>
        <v/>
      </c>
      <c r="C537" s="70" t="str">
        <f t="shared" si="311"/>
        <v/>
      </c>
      <c r="D537" s="71" t="str">
        <f t="shared" si="312"/>
        <v/>
      </c>
      <c r="E537" s="77" t="str">
        <f t="shared" si="313"/>
        <v/>
      </c>
      <c r="F537" s="72" t="str">
        <f t="shared" si="314"/>
        <v/>
      </c>
      <c r="G537" s="73" t="str">
        <f>IFERROR(IF(AND(F537&lt;=$F$9,$F$5=Robocze!$B$4,$E537&lt;=$F$9,MONTH($F$8)=MONTH(E537)),$F$4,0)+IF(AND(F537&lt;=$F$9,$F$5=Robocze!$B$3,E537&lt;=$F$9),KALKULATOR!$F$4/12,0),"")</f>
        <v/>
      </c>
      <c r="H537" s="73" t="str">
        <f t="shared" si="315"/>
        <v/>
      </c>
      <c r="I537" s="74" t="str">
        <f t="shared" si="316"/>
        <v/>
      </c>
      <c r="J537" s="73" t="str">
        <f t="shared" si="317"/>
        <v/>
      </c>
      <c r="K537" s="75" t="str">
        <f t="shared" si="318"/>
        <v/>
      </c>
      <c r="L537" s="73" t="str">
        <f t="shared" si="319"/>
        <v/>
      </c>
      <c r="M537" s="73" t="str">
        <f t="shared" si="320"/>
        <v/>
      </c>
      <c r="N537" s="73" t="str">
        <f t="shared" si="321"/>
        <v/>
      </c>
      <c r="O537" s="73" t="str">
        <f t="shared" si="322"/>
        <v/>
      </c>
      <c r="P537" s="73" t="str">
        <f t="shared" si="323"/>
        <v/>
      </c>
      <c r="Q537" s="73" t="str">
        <f t="shared" si="324"/>
        <v/>
      </c>
      <c r="R537" s="73"/>
      <c r="S537" s="76" t="str">
        <f t="shared" si="325"/>
        <v/>
      </c>
      <c r="T537" s="73" t="str">
        <f t="shared" si="326"/>
        <v/>
      </c>
      <c r="U537" s="73" t="str">
        <f t="shared" si="327"/>
        <v/>
      </c>
      <c r="V537" s="76" t="str">
        <f t="shared" si="328"/>
        <v/>
      </c>
      <c r="W537" s="73" t="str">
        <f t="shared" si="329"/>
        <v/>
      </c>
      <c r="X537" s="73" t="str">
        <f>IF(B537&lt;&gt;"",IF(MONTH(E537)=MONTH($F$13),SUMIF($C$22:C916,"="&amp;(C537-1),$G$22:G916),0)*S537,"")</f>
        <v/>
      </c>
      <c r="Y537" s="73" t="str">
        <f>IF(B537&lt;&gt;"",SUM($X$22:X537),"")</f>
        <v/>
      </c>
      <c r="Z537" s="73" t="str">
        <f t="shared" si="330"/>
        <v/>
      </c>
      <c r="AA537" s="73" t="str">
        <f t="shared" si="331"/>
        <v/>
      </c>
      <c r="AB537" s="73" t="str">
        <f t="shared" si="332"/>
        <v/>
      </c>
      <c r="AC537" s="73" t="str">
        <f t="shared" si="333"/>
        <v/>
      </c>
      <c r="AD537" s="73" t="str">
        <f>IFERROR($U537*(1-$V537)+SUM($W$22:$W537)+$AB537,"")</f>
        <v/>
      </c>
      <c r="AE537" s="73" t="b">
        <f t="shared" si="344"/>
        <v>1</v>
      </c>
      <c r="AF537" s="73" t="e">
        <f>IF(AND(AE537=TRUE,D537&gt;=65),$U537*(1-10%)+SUM($W$22:$W537)+$AB537,AD537)</f>
        <v>#VALUE!</v>
      </c>
      <c r="AG537" s="73" t="str">
        <f t="shared" si="334"/>
        <v/>
      </c>
      <c r="AH537" s="73" t="str">
        <f t="shared" si="335"/>
        <v/>
      </c>
      <c r="AI537" s="73" t="str">
        <f t="shared" si="336"/>
        <v/>
      </c>
      <c r="AJ537" s="73" t="str">
        <f t="shared" si="337"/>
        <v/>
      </c>
      <c r="AK537" s="73" t="b">
        <f t="shared" si="345"/>
        <v>1</v>
      </c>
      <c r="AL537" s="73" t="str">
        <f t="shared" si="338"/>
        <v/>
      </c>
      <c r="AM537" s="73" t="str">
        <f t="shared" si="339"/>
        <v/>
      </c>
      <c r="AN537" s="73" t="str">
        <f t="shared" si="340"/>
        <v/>
      </c>
      <c r="AO537" s="73" t="str">
        <f t="shared" si="341"/>
        <v/>
      </c>
      <c r="AP537" s="73" t="str">
        <f t="shared" si="342"/>
        <v/>
      </c>
    </row>
    <row r="538" spans="1:42" s="31" customFormat="1" x14ac:dyDescent="0.6">
      <c r="A538" s="70" t="str">
        <f t="shared" si="343"/>
        <v/>
      </c>
      <c r="B538" s="70" t="str">
        <f>IF(E538&lt;=$F$9,VLOOKUP(KALKULATOR!A538,Robocze!$B$23:$C$102,2),"")</f>
        <v/>
      </c>
      <c r="C538" s="70" t="str">
        <f t="shared" si="311"/>
        <v/>
      </c>
      <c r="D538" s="71" t="str">
        <f t="shared" si="312"/>
        <v/>
      </c>
      <c r="E538" s="77" t="str">
        <f t="shared" si="313"/>
        <v/>
      </c>
      <c r="F538" s="72" t="str">
        <f t="shared" si="314"/>
        <v/>
      </c>
      <c r="G538" s="73" t="str">
        <f>IFERROR(IF(AND(F538&lt;=$F$9,$F$5=Robocze!$B$4,$E538&lt;=$F$9,MONTH($F$8)=MONTH(E538)),$F$4,0)+IF(AND(F538&lt;=$F$9,$F$5=Robocze!$B$3,E538&lt;=$F$9),KALKULATOR!$F$4/12,0),"")</f>
        <v/>
      </c>
      <c r="H538" s="73" t="str">
        <f t="shared" si="315"/>
        <v/>
      </c>
      <c r="I538" s="74" t="str">
        <f t="shared" si="316"/>
        <v/>
      </c>
      <c r="J538" s="73" t="str">
        <f t="shared" si="317"/>
        <v/>
      </c>
      <c r="K538" s="75" t="str">
        <f t="shared" si="318"/>
        <v/>
      </c>
      <c r="L538" s="73" t="str">
        <f t="shared" si="319"/>
        <v/>
      </c>
      <c r="M538" s="73" t="str">
        <f t="shared" si="320"/>
        <v/>
      </c>
      <c r="N538" s="73" t="str">
        <f t="shared" si="321"/>
        <v/>
      </c>
      <c r="O538" s="73" t="str">
        <f t="shared" si="322"/>
        <v/>
      </c>
      <c r="P538" s="73" t="str">
        <f t="shared" si="323"/>
        <v/>
      </c>
      <c r="Q538" s="73" t="str">
        <f t="shared" si="324"/>
        <v/>
      </c>
      <c r="R538" s="73"/>
      <c r="S538" s="76" t="str">
        <f t="shared" si="325"/>
        <v/>
      </c>
      <c r="T538" s="73" t="str">
        <f t="shared" si="326"/>
        <v/>
      </c>
      <c r="U538" s="73" t="str">
        <f t="shared" si="327"/>
        <v/>
      </c>
      <c r="V538" s="76" t="str">
        <f t="shared" si="328"/>
        <v/>
      </c>
      <c r="W538" s="73" t="str">
        <f t="shared" si="329"/>
        <v/>
      </c>
      <c r="X538" s="73" t="str">
        <f>IF(B538&lt;&gt;"",IF(MONTH(E538)=MONTH($F$13),SUMIF($C$22:C917,"="&amp;(C538-1),$G$22:G917),0)*S538,"")</f>
        <v/>
      </c>
      <c r="Y538" s="73" t="str">
        <f>IF(B538&lt;&gt;"",SUM($X$22:X538),"")</f>
        <v/>
      </c>
      <c r="Z538" s="73" t="str">
        <f t="shared" si="330"/>
        <v/>
      </c>
      <c r="AA538" s="73" t="str">
        <f t="shared" si="331"/>
        <v/>
      </c>
      <c r="AB538" s="73" t="str">
        <f t="shared" si="332"/>
        <v/>
      </c>
      <c r="AC538" s="73" t="str">
        <f t="shared" si="333"/>
        <v/>
      </c>
      <c r="AD538" s="73" t="str">
        <f>IFERROR($U538*(1-$V538)+SUM($W$22:$W538)+$AB538,"")</f>
        <v/>
      </c>
      <c r="AE538" s="73" t="b">
        <f t="shared" si="344"/>
        <v>1</v>
      </c>
      <c r="AF538" s="73" t="e">
        <f>IF(AND(AE538=TRUE,D538&gt;=65),$U538*(1-10%)+SUM($W$22:$W538)+$AB538,AD538)</f>
        <v>#VALUE!</v>
      </c>
      <c r="AG538" s="73" t="str">
        <f t="shared" si="334"/>
        <v/>
      </c>
      <c r="AH538" s="73" t="str">
        <f t="shared" si="335"/>
        <v/>
      </c>
      <c r="AI538" s="73" t="str">
        <f t="shared" si="336"/>
        <v/>
      </c>
      <c r="AJ538" s="73" t="str">
        <f t="shared" si="337"/>
        <v/>
      </c>
      <c r="AK538" s="73" t="b">
        <f t="shared" si="345"/>
        <v>1</v>
      </c>
      <c r="AL538" s="73" t="str">
        <f t="shared" si="338"/>
        <v/>
      </c>
      <c r="AM538" s="73" t="str">
        <f t="shared" si="339"/>
        <v/>
      </c>
      <c r="AN538" s="73" t="str">
        <f t="shared" si="340"/>
        <v/>
      </c>
      <c r="AO538" s="73" t="str">
        <f t="shared" si="341"/>
        <v/>
      </c>
      <c r="AP538" s="73" t="str">
        <f t="shared" si="342"/>
        <v/>
      </c>
    </row>
    <row r="539" spans="1:42" s="31" customFormat="1" x14ac:dyDescent="0.6">
      <c r="A539" s="70" t="str">
        <f t="shared" si="343"/>
        <v/>
      </c>
      <c r="B539" s="70" t="str">
        <f>IF(E539&lt;=$F$9,VLOOKUP(KALKULATOR!A539,Robocze!$B$23:$C$102,2),"")</f>
        <v/>
      </c>
      <c r="C539" s="70" t="str">
        <f t="shared" si="311"/>
        <v/>
      </c>
      <c r="D539" s="71" t="str">
        <f t="shared" si="312"/>
        <v/>
      </c>
      <c r="E539" s="77" t="str">
        <f t="shared" si="313"/>
        <v/>
      </c>
      <c r="F539" s="72" t="str">
        <f t="shared" si="314"/>
        <v/>
      </c>
      <c r="G539" s="73" t="str">
        <f>IFERROR(IF(AND(F539&lt;=$F$9,$F$5=Robocze!$B$4,$E539&lt;=$F$9,MONTH($F$8)=MONTH(E539)),$F$4,0)+IF(AND(F539&lt;=$F$9,$F$5=Robocze!$B$3,E539&lt;=$F$9),KALKULATOR!$F$4/12,0),"")</f>
        <v/>
      </c>
      <c r="H539" s="73" t="str">
        <f t="shared" si="315"/>
        <v/>
      </c>
      <c r="I539" s="74" t="str">
        <f t="shared" si="316"/>
        <v/>
      </c>
      <c r="J539" s="73" t="str">
        <f t="shared" si="317"/>
        <v/>
      </c>
      <c r="K539" s="75" t="str">
        <f t="shared" si="318"/>
        <v/>
      </c>
      <c r="L539" s="73" t="str">
        <f t="shared" si="319"/>
        <v/>
      </c>
      <c r="M539" s="73" t="str">
        <f t="shared" si="320"/>
        <v/>
      </c>
      <c r="N539" s="73" t="str">
        <f t="shared" si="321"/>
        <v/>
      </c>
      <c r="O539" s="73" t="str">
        <f t="shared" si="322"/>
        <v/>
      </c>
      <c r="P539" s="73" t="str">
        <f t="shared" si="323"/>
        <v/>
      </c>
      <c r="Q539" s="73" t="str">
        <f t="shared" si="324"/>
        <v/>
      </c>
      <c r="R539" s="73"/>
      <c r="S539" s="76" t="str">
        <f t="shared" si="325"/>
        <v/>
      </c>
      <c r="T539" s="73" t="str">
        <f t="shared" si="326"/>
        <v/>
      </c>
      <c r="U539" s="73" t="str">
        <f t="shared" si="327"/>
        <v/>
      </c>
      <c r="V539" s="76" t="str">
        <f t="shared" si="328"/>
        <v/>
      </c>
      <c r="W539" s="73" t="str">
        <f t="shared" si="329"/>
        <v/>
      </c>
      <c r="X539" s="73" t="str">
        <f>IF(B539&lt;&gt;"",IF(MONTH(E539)=MONTH($F$13),SUMIF($C$22:C918,"="&amp;(C539-1),$G$22:G918),0)*S539,"")</f>
        <v/>
      </c>
      <c r="Y539" s="73" t="str">
        <f>IF(B539&lt;&gt;"",SUM($X$22:X539),"")</f>
        <v/>
      </c>
      <c r="Z539" s="73" t="str">
        <f t="shared" si="330"/>
        <v/>
      </c>
      <c r="AA539" s="73" t="str">
        <f t="shared" si="331"/>
        <v/>
      </c>
      <c r="AB539" s="73" t="str">
        <f t="shared" si="332"/>
        <v/>
      </c>
      <c r="AC539" s="73" t="str">
        <f t="shared" si="333"/>
        <v/>
      </c>
      <c r="AD539" s="73" t="str">
        <f>IFERROR($U539*(1-$V539)+SUM($W$22:$W539)+$AB539,"")</f>
        <v/>
      </c>
      <c r="AE539" s="73" t="b">
        <f t="shared" si="344"/>
        <v>1</v>
      </c>
      <c r="AF539" s="73" t="e">
        <f>IF(AND(AE539=TRUE,D539&gt;=65),$U539*(1-10%)+SUM($W$22:$W539)+$AB539,AD539)</f>
        <v>#VALUE!</v>
      </c>
      <c r="AG539" s="73" t="str">
        <f t="shared" si="334"/>
        <v/>
      </c>
      <c r="AH539" s="73" t="str">
        <f t="shared" si="335"/>
        <v/>
      </c>
      <c r="AI539" s="73" t="str">
        <f t="shared" si="336"/>
        <v/>
      </c>
      <c r="AJ539" s="73" t="str">
        <f t="shared" si="337"/>
        <v/>
      </c>
      <c r="AK539" s="73" t="b">
        <f t="shared" si="345"/>
        <v>1</v>
      </c>
      <c r="AL539" s="73" t="str">
        <f t="shared" si="338"/>
        <v/>
      </c>
      <c r="AM539" s="73" t="str">
        <f t="shared" si="339"/>
        <v/>
      </c>
      <c r="AN539" s="73" t="str">
        <f t="shared" si="340"/>
        <v/>
      </c>
      <c r="AO539" s="73" t="str">
        <f t="shared" si="341"/>
        <v/>
      </c>
      <c r="AP539" s="73" t="str">
        <f t="shared" si="342"/>
        <v/>
      </c>
    </row>
    <row r="540" spans="1:42" s="31" customFormat="1" x14ac:dyDescent="0.6">
      <c r="A540" s="70" t="str">
        <f t="shared" si="343"/>
        <v/>
      </c>
      <c r="B540" s="70" t="str">
        <f>IF(E540&lt;=$F$9,VLOOKUP(KALKULATOR!A540,Robocze!$B$23:$C$102,2),"")</f>
        <v/>
      </c>
      <c r="C540" s="70" t="str">
        <f t="shared" si="311"/>
        <v/>
      </c>
      <c r="D540" s="71" t="str">
        <f t="shared" si="312"/>
        <v/>
      </c>
      <c r="E540" s="77" t="str">
        <f t="shared" si="313"/>
        <v/>
      </c>
      <c r="F540" s="72" t="str">
        <f t="shared" si="314"/>
        <v/>
      </c>
      <c r="G540" s="73" t="str">
        <f>IFERROR(IF(AND(F540&lt;=$F$9,$F$5=Robocze!$B$4,$E540&lt;=$F$9,MONTH($F$8)=MONTH(E540)),$F$4,0)+IF(AND(F540&lt;=$F$9,$F$5=Robocze!$B$3,E540&lt;=$F$9),KALKULATOR!$F$4/12,0),"")</f>
        <v/>
      </c>
      <c r="H540" s="73" t="str">
        <f t="shared" si="315"/>
        <v/>
      </c>
      <c r="I540" s="74" t="str">
        <f t="shared" si="316"/>
        <v/>
      </c>
      <c r="J540" s="73" t="str">
        <f t="shared" si="317"/>
        <v/>
      </c>
      <c r="K540" s="75" t="str">
        <f t="shared" si="318"/>
        <v/>
      </c>
      <c r="L540" s="73" t="str">
        <f t="shared" si="319"/>
        <v/>
      </c>
      <c r="M540" s="73" t="str">
        <f t="shared" si="320"/>
        <v/>
      </c>
      <c r="N540" s="73" t="str">
        <f t="shared" si="321"/>
        <v/>
      </c>
      <c r="O540" s="73" t="str">
        <f t="shared" si="322"/>
        <v/>
      </c>
      <c r="P540" s="73" t="str">
        <f t="shared" si="323"/>
        <v/>
      </c>
      <c r="Q540" s="73" t="str">
        <f t="shared" si="324"/>
        <v/>
      </c>
      <c r="R540" s="73"/>
      <c r="S540" s="76" t="str">
        <f t="shared" si="325"/>
        <v/>
      </c>
      <c r="T540" s="73" t="str">
        <f t="shared" si="326"/>
        <v/>
      </c>
      <c r="U540" s="73" t="str">
        <f t="shared" si="327"/>
        <v/>
      </c>
      <c r="V540" s="76" t="str">
        <f t="shared" si="328"/>
        <v/>
      </c>
      <c r="W540" s="73" t="str">
        <f t="shared" si="329"/>
        <v/>
      </c>
      <c r="X540" s="73" t="str">
        <f>IF(B540&lt;&gt;"",IF(MONTH(E540)=MONTH($F$13),SUMIF($C$22:C919,"="&amp;(C540-1),$G$22:G919),0)*S540,"")</f>
        <v/>
      </c>
      <c r="Y540" s="73" t="str">
        <f>IF(B540&lt;&gt;"",SUM($X$22:X540),"")</f>
        <v/>
      </c>
      <c r="Z540" s="73" t="str">
        <f t="shared" si="330"/>
        <v/>
      </c>
      <c r="AA540" s="73" t="str">
        <f t="shared" si="331"/>
        <v/>
      </c>
      <c r="AB540" s="73" t="str">
        <f t="shared" si="332"/>
        <v/>
      </c>
      <c r="AC540" s="73" t="str">
        <f t="shared" si="333"/>
        <v/>
      </c>
      <c r="AD540" s="73" t="str">
        <f>IFERROR($U540*(1-$V540)+SUM($W$22:$W540)+$AB540,"")</f>
        <v/>
      </c>
      <c r="AE540" s="73" t="b">
        <f t="shared" si="344"/>
        <v>1</v>
      </c>
      <c r="AF540" s="73" t="e">
        <f>IF(AND(AE540=TRUE,D540&gt;=65),$U540*(1-10%)+SUM($W$22:$W540)+$AB540,AD540)</f>
        <v>#VALUE!</v>
      </c>
      <c r="AG540" s="73" t="str">
        <f t="shared" si="334"/>
        <v/>
      </c>
      <c r="AH540" s="73" t="str">
        <f t="shared" si="335"/>
        <v/>
      </c>
      <c r="AI540" s="73" t="str">
        <f t="shared" si="336"/>
        <v/>
      </c>
      <c r="AJ540" s="73" t="str">
        <f t="shared" si="337"/>
        <v/>
      </c>
      <c r="AK540" s="73" t="b">
        <f t="shared" si="345"/>
        <v>1</v>
      </c>
      <c r="AL540" s="73" t="str">
        <f t="shared" si="338"/>
        <v/>
      </c>
      <c r="AM540" s="73" t="str">
        <f t="shared" si="339"/>
        <v/>
      </c>
      <c r="AN540" s="73" t="str">
        <f t="shared" si="340"/>
        <v/>
      </c>
      <c r="AO540" s="73" t="str">
        <f t="shared" si="341"/>
        <v/>
      </c>
      <c r="AP540" s="73" t="str">
        <f t="shared" si="342"/>
        <v/>
      </c>
    </row>
    <row r="541" spans="1:42" s="69" customFormat="1" x14ac:dyDescent="0.6">
      <c r="A541" s="78" t="str">
        <f t="shared" si="343"/>
        <v/>
      </c>
      <c r="B541" s="78" t="str">
        <f>IF(E541&lt;=$F$9,VLOOKUP(KALKULATOR!A541,Robocze!$B$23:$C$102,2),"")</f>
        <v/>
      </c>
      <c r="C541" s="78" t="str">
        <f t="shared" si="311"/>
        <v/>
      </c>
      <c r="D541" s="79" t="str">
        <f t="shared" si="312"/>
        <v/>
      </c>
      <c r="E541" s="80" t="str">
        <f t="shared" si="313"/>
        <v/>
      </c>
      <c r="F541" s="81" t="str">
        <f t="shared" si="314"/>
        <v/>
      </c>
      <c r="G541" s="82" t="str">
        <f>IFERROR(IF(AND(F541&lt;=$F$9,$F$5=Robocze!$B$4,$E541&lt;=$F$9,MONTH($F$8)=MONTH(E541)),$F$4,0)+IF(AND(F541&lt;=$F$9,$F$5=Robocze!$B$3,E541&lt;=$F$9),KALKULATOR!$F$4/12,0),"")</f>
        <v/>
      </c>
      <c r="H541" s="82" t="str">
        <f t="shared" si="315"/>
        <v/>
      </c>
      <c r="I541" s="83" t="str">
        <f t="shared" si="316"/>
        <v/>
      </c>
      <c r="J541" s="82" t="str">
        <f t="shared" si="317"/>
        <v/>
      </c>
      <c r="K541" s="84" t="str">
        <f t="shared" si="318"/>
        <v/>
      </c>
      <c r="L541" s="82" t="str">
        <f t="shared" si="319"/>
        <v/>
      </c>
      <c r="M541" s="82" t="str">
        <f t="shared" si="320"/>
        <v/>
      </c>
      <c r="N541" s="82" t="str">
        <f t="shared" si="321"/>
        <v/>
      </c>
      <c r="O541" s="82" t="str">
        <f t="shared" si="322"/>
        <v/>
      </c>
      <c r="P541" s="82" t="str">
        <f t="shared" si="323"/>
        <v/>
      </c>
      <c r="Q541" s="82" t="str">
        <f t="shared" si="324"/>
        <v/>
      </c>
      <c r="R541" s="82"/>
      <c r="S541" s="85" t="str">
        <f t="shared" si="325"/>
        <v/>
      </c>
      <c r="T541" s="82" t="str">
        <f t="shared" si="326"/>
        <v/>
      </c>
      <c r="U541" s="82" t="str">
        <f t="shared" si="327"/>
        <v/>
      </c>
      <c r="V541" s="85" t="str">
        <f t="shared" si="328"/>
        <v/>
      </c>
      <c r="W541" s="82" t="str">
        <f t="shared" si="329"/>
        <v/>
      </c>
      <c r="X541" s="82" t="str">
        <f>IF(B541&lt;&gt;"",IF(MONTH(E541)=MONTH($F$13),SUMIF($C$22:C920,"="&amp;(C541-1),$G$22:G920),0)*S541,"")</f>
        <v/>
      </c>
      <c r="Y541" s="82" t="str">
        <f>IF(B541&lt;&gt;"",SUM($X$22:X541),"")</f>
        <v/>
      </c>
      <c r="Z541" s="82" t="str">
        <f t="shared" si="330"/>
        <v/>
      </c>
      <c r="AA541" s="82" t="str">
        <f t="shared" si="331"/>
        <v/>
      </c>
      <c r="AB541" s="82" t="str">
        <f t="shared" si="332"/>
        <v/>
      </c>
      <c r="AC541" s="82" t="str">
        <f t="shared" si="333"/>
        <v/>
      </c>
      <c r="AD541" s="82" t="str">
        <f>IFERROR($U541*(1-$V541)+SUM($W$22:$W541)+$AB541,"")</f>
        <v/>
      </c>
      <c r="AE541" s="73" t="b">
        <f t="shared" si="344"/>
        <v>1</v>
      </c>
      <c r="AF541" s="82" t="e">
        <f>IF(AND(AE541=TRUE,D541&gt;=65),$U541*(1-10%)+SUM($W$22:$W541)+$AB541,AD541)</f>
        <v>#VALUE!</v>
      </c>
      <c r="AG541" s="82" t="str">
        <f t="shared" si="334"/>
        <v/>
      </c>
      <c r="AH541" s="82" t="str">
        <f t="shared" si="335"/>
        <v/>
      </c>
      <c r="AI541" s="82" t="str">
        <f t="shared" si="336"/>
        <v/>
      </c>
      <c r="AJ541" s="82" t="str">
        <f t="shared" si="337"/>
        <v/>
      </c>
      <c r="AK541" s="73" t="b">
        <f t="shared" si="345"/>
        <v>1</v>
      </c>
      <c r="AL541" s="82" t="str">
        <f t="shared" si="338"/>
        <v/>
      </c>
      <c r="AM541" s="82" t="str">
        <f t="shared" si="339"/>
        <v/>
      </c>
      <c r="AN541" s="82" t="str">
        <f t="shared" si="340"/>
        <v/>
      </c>
      <c r="AO541" s="82" t="str">
        <f t="shared" si="341"/>
        <v/>
      </c>
      <c r="AP541" s="82" t="str">
        <f t="shared" si="342"/>
        <v/>
      </c>
    </row>
    <row r="542" spans="1:42" s="31" customFormat="1" x14ac:dyDescent="0.6">
      <c r="A542" s="70" t="str">
        <f t="shared" si="343"/>
        <v/>
      </c>
      <c r="B542" s="70" t="str">
        <f>IF(E542&lt;=$F$9,VLOOKUP(KALKULATOR!A542,Robocze!$B$23:$C$102,2),"")</f>
        <v/>
      </c>
      <c r="C542" s="70" t="str">
        <f t="shared" si="311"/>
        <v/>
      </c>
      <c r="D542" s="71" t="str">
        <f t="shared" si="312"/>
        <v/>
      </c>
      <c r="E542" s="72" t="str">
        <f t="shared" si="313"/>
        <v/>
      </c>
      <c r="F542" s="72" t="str">
        <f t="shared" si="314"/>
        <v/>
      </c>
      <c r="G542" s="73" t="str">
        <f>IFERROR(IF(AND(F542&lt;=$F$9,$F$5=Robocze!$B$4,$E542&lt;=$F$9,MONTH($F$8)=MONTH(E542)),$F$4,0)+IF(AND(F542&lt;=$F$9,$F$5=Robocze!$B$3,E542&lt;=$F$9),KALKULATOR!$F$4/12,0),"")</f>
        <v/>
      </c>
      <c r="H542" s="73" t="str">
        <f t="shared" si="315"/>
        <v/>
      </c>
      <c r="I542" s="74" t="str">
        <f t="shared" si="316"/>
        <v/>
      </c>
      <c r="J542" s="73" t="str">
        <f t="shared" si="317"/>
        <v/>
      </c>
      <c r="K542" s="75" t="str">
        <f t="shared" si="318"/>
        <v/>
      </c>
      <c r="L542" s="73" t="str">
        <f t="shared" si="319"/>
        <v/>
      </c>
      <c r="M542" s="73" t="str">
        <f t="shared" si="320"/>
        <v/>
      </c>
      <c r="N542" s="73" t="str">
        <f t="shared" si="321"/>
        <v/>
      </c>
      <c r="O542" s="73" t="str">
        <f t="shared" si="322"/>
        <v/>
      </c>
      <c r="P542" s="73" t="str">
        <f t="shared" si="323"/>
        <v/>
      </c>
      <c r="Q542" s="73" t="str">
        <f t="shared" si="324"/>
        <v/>
      </c>
      <c r="R542" s="73"/>
      <c r="S542" s="76" t="str">
        <f t="shared" si="325"/>
        <v/>
      </c>
      <c r="T542" s="73" t="str">
        <f t="shared" si="326"/>
        <v/>
      </c>
      <c r="U542" s="73" t="str">
        <f t="shared" si="327"/>
        <v/>
      </c>
      <c r="V542" s="76" t="str">
        <f t="shared" si="328"/>
        <v/>
      </c>
      <c r="W542" s="73" t="str">
        <f t="shared" si="329"/>
        <v/>
      </c>
      <c r="X542" s="73" t="str">
        <f>IF(B542&lt;&gt;"",IF(MONTH(E542)=MONTH($F$13),SUMIF($C$22:C921,"="&amp;(C542-1),$G$22:G921),0)*S542,"")</f>
        <v/>
      </c>
      <c r="Y542" s="73" t="str">
        <f>IF(B542&lt;&gt;"",SUM($X$22:X542),"")</f>
        <v/>
      </c>
      <c r="Z542" s="73" t="str">
        <f t="shared" si="330"/>
        <v/>
      </c>
      <c r="AA542" s="73" t="str">
        <f t="shared" si="331"/>
        <v/>
      </c>
      <c r="AB542" s="73" t="str">
        <f t="shared" si="332"/>
        <v/>
      </c>
      <c r="AC542" s="73" t="str">
        <f t="shared" si="333"/>
        <v/>
      </c>
      <c r="AD542" s="73" t="str">
        <f>IFERROR($U542*(1-$V542)+SUM($W$22:$W542)+$AB542,"")</f>
        <v/>
      </c>
      <c r="AE542" s="73" t="b">
        <f t="shared" si="344"/>
        <v>1</v>
      </c>
      <c r="AF542" s="73" t="e">
        <f>IF(AND(AE542=TRUE,D542&gt;=65),$U542*(1-10%)+SUM($W$22:$W542)+$AB542,AD542)</f>
        <v>#VALUE!</v>
      </c>
      <c r="AG542" s="73" t="str">
        <f t="shared" si="334"/>
        <v/>
      </c>
      <c r="AH542" s="73" t="str">
        <f t="shared" si="335"/>
        <v/>
      </c>
      <c r="AI542" s="73" t="str">
        <f t="shared" si="336"/>
        <v/>
      </c>
      <c r="AJ542" s="73" t="str">
        <f t="shared" si="337"/>
        <v/>
      </c>
      <c r="AK542" s="73" t="b">
        <f t="shared" si="345"/>
        <v>1</v>
      </c>
      <c r="AL542" s="73" t="str">
        <f t="shared" si="338"/>
        <v/>
      </c>
      <c r="AM542" s="73" t="str">
        <f t="shared" si="339"/>
        <v/>
      </c>
      <c r="AN542" s="73" t="str">
        <f t="shared" si="340"/>
        <v/>
      </c>
      <c r="AO542" s="73" t="str">
        <f t="shared" si="341"/>
        <v/>
      </c>
      <c r="AP542" s="73" t="str">
        <f t="shared" si="342"/>
        <v/>
      </c>
    </row>
    <row r="543" spans="1:42" s="31" customFormat="1" x14ac:dyDescent="0.6">
      <c r="A543" s="70" t="str">
        <f t="shared" si="343"/>
        <v/>
      </c>
      <c r="B543" s="70" t="str">
        <f>IF(E543&lt;=$F$9,VLOOKUP(KALKULATOR!A543,Robocze!$B$23:$C$102,2),"")</f>
        <v/>
      </c>
      <c r="C543" s="70" t="str">
        <f t="shared" si="311"/>
        <v/>
      </c>
      <c r="D543" s="71" t="str">
        <f t="shared" si="312"/>
        <v/>
      </c>
      <c r="E543" s="77" t="str">
        <f t="shared" si="313"/>
        <v/>
      </c>
      <c r="F543" s="72" t="str">
        <f t="shared" si="314"/>
        <v/>
      </c>
      <c r="G543" s="73" t="str">
        <f>IFERROR(IF(AND(F543&lt;=$F$9,$F$5=Robocze!$B$4,$E543&lt;=$F$9,MONTH($F$8)=MONTH(E543)),$F$4,0)+IF(AND(F543&lt;=$F$9,$F$5=Robocze!$B$3,E543&lt;=$F$9),KALKULATOR!$F$4/12,0),"")</f>
        <v/>
      </c>
      <c r="H543" s="73" t="str">
        <f t="shared" si="315"/>
        <v/>
      </c>
      <c r="I543" s="74" t="str">
        <f t="shared" si="316"/>
        <v/>
      </c>
      <c r="J543" s="73" t="str">
        <f t="shared" si="317"/>
        <v/>
      </c>
      <c r="K543" s="75" t="str">
        <f t="shared" si="318"/>
        <v/>
      </c>
      <c r="L543" s="73" t="str">
        <f t="shared" si="319"/>
        <v/>
      </c>
      <c r="M543" s="73" t="str">
        <f t="shared" si="320"/>
        <v/>
      </c>
      <c r="N543" s="73" t="str">
        <f t="shared" si="321"/>
        <v/>
      </c>
      <c r="O543" s="73" t="str">
        <f t="shared" si="322"/>
        <v/>
      </c>
      <c r="P543" s="73" t="str">
        <f t="shared" si="323"/>
        <v/>
      </c>
      <c r="Q543" s="73" t="str">
        <f t="shared" si="324"/>
        <v/>
      </c>
      <c r="R543" s="73"/>
      <c r="S543" s="76" t="str">
        <f t="shared" si="325"/>
        <v/>
      </c>
      <c r="T543" s="73" t="str">
        <f t="shared" si="326"/>
        <v/>
      </c>
      <c r="U543" s="73" t="str">
        <f t="shared" si="327"/>
        <v/>
      </c>
      <c r="V543" s="76" t="str">
        <f t="shared" si="328"/>
        <v/>
      </c>
      <c r="W543" s="73" t="str">
        <f t="shared" si="329"/>
        <v/>
      </c>
      <c r="X543" s="73" t="str">
        <f>IF(B543&lt;&gt;"",IF(MONTH(E543)=MONTH($F$13),SUMIF($C$22:C922,"="&amp;(C543-1),$G$22:G922),0)*S543,"")</f>
        <v/>
      </c>
      <c r="Y543" s="73" t="str">
        <f>IF(B543&lt;&gt;"",SUM($X$22:X543),"")</f>
        <v/>
      </c>
      <c r="Z543" s="73" t="str">
        <f t="shared" si="330"/>
        <v/>
      </c>
      <c r="AA543" s="73" t="str">
        <f t="shared" si="331"/>
        <v/>
      </c>
      <c r="AB543" s="73" t="str">
        <f t="shared" si="332"/>
        <v/>
      </c>
      <c r="AC543" s="73" t="str">
        <f t="shared" si="333"/>
        <v/>
      </c>
      <c r="AD543" s="73" t="str">
        <f>IFERROR($U543*(1-$V543)+SUM($W$22:$W543)+$AB543,"")</f>
        <v/>
      </c>
      <c r="AE543" s="73" t="b">
        <f t="shared" si="344"/>
        <v>1</v>
      </c>
      <c r="AF543" s="73" t="e">
        <f>IF(AND(AE543=TRUE,D543&gt;=65),$U543*(1-10%)+SUM($W$22:$W543)+$AB543,AD543)</f>
        <v>#VALUE!</v>
      </c>
      <c r="AG543" s="73" t="str">
        <f t="shared" si="334"/>
        <v/>
      </c>
      <c r="AH543" s="73" t="str">
        <f t="shared" si="335"/>
        <v/>
      </c>
      <c r="AI543" s="73" t="str">
        <f t="shared" si="336"/>
        <v/>
      </c>
      <c r="AJ543" s="73" t="str">
        <f t="shared" si="337"/>
        <v/>
      </c>
      <c r="AK543" s="73" t="b">
        <f t="shared" si="345"/>
        <v>1</v>
      </c>
      <c r="AL543" s="73" t="str">
        <f t="shared" si="338"/>
        <v/>
      </c>
      <c r="AM543" s="73" t="str">
        <f t="shared" si="339"/>
        <v/>
      </c>
      <c r="AN543" s="73" t="str">
        <f t="shared" si="340"/>
        <v/>
      </c>
      <c r="AO543" s="73" t="str">
        <f t="shared" si="341"/>
        <v/>
      </c>
      <c r="AP543" s="73" t="str">
        <f t="shared" si="342"/>
        <v/>
      </c>
    </row>
    <row r="544" spans="1:42" s="31" customFormat="1" x14ac:dyDescent="0.6">
      <c r="A544" s="70" t="str">
        <f t="shared" si="343"/>
        <v/>
      </c>
      <c r="B544" s="70" t="str">
        <f>IF(E544&lt;=$F$9,VLOOKUP(KALKULATOR!A544,Robocze!$B$23:$C$102,2),"")</f>
        <v/>
      </c>
      <c r="C544" s="70" t="str">
        <f t="shared" si="311"/>
        <v/>
      </c>
      <c r="D544" s="71" t="str">
        <f t="shared" si="312"/>
        <v/>
      </c>
      <c r="E544" s="77" t="str">
        <f t="shared" si="313"/>
        <v/>
      </c>
      <c r="F544" s="72" t="str">
        <f t="shared" si="314"/>
        <v/>
      </c>
      <c r="G544" s="73" t="str">
        <f>IFERROR(IF(AND(F544&lt;=$F$9,$F$5=Robocze!$B$4,$E544&lt;=$F$9,MONTH($F$8)=MONTH(E544)),$F$4,0)+IF(AND(F544&lt;=$F$9,$F$5=Robocze!$B$3,E544&lt;=$F$9),KALKULATOR!$F$4/12,0),"")</f>
        <v/>
      </c>
      <c r="H544" s="73" t="str">
        <f t="shared" si="315"/>
        <v/>
      </c>
      <c r="I544" s="74" t="str">
        <f t="shared" si="316"/>
        <v/>
      </c>
      <c r="J544" s="73" t="str">
        <f t="shared" si="317"/>
        <v/>
      </c>
      <c r="K544" s="75" t="str">
        <f t="shared" si="318"/>
        <v/>
      </c>
      <c r="L544" s="73" t="str">
        <f t="shared" si="319"/>
        <v/>
      </c>
      <c r="M544" s="73" t="str">
        <f t="shared" si="320"/>
        <v/>
      </c>
      <c r="N544" s="73" t="str">
        <f t="shared" si="321"/>
        <v/>
      </c>
      <c r="O544" s="73" t="str">
        <f t="shared" si="322"/>
        <v/>
      </c>
      <c r="P544" s="73" t="str">
        <f t="shared" si="323"/>
        <v/>
      </c>
      <c r="Q544" s="73" t="str">
        <f t="shared" si="324"/>
        <v/>
      </c>
      <c r="R544" s="73"/>
      <c r="S544" s="76" t="str">
        <f t="shared" si="325"/>
        <v/>
      </c>
      <c r="T544" s="73" t="str">
        <f t="shared" si="326"/>
        <v/>
      </c>
      <c r="U544" s="73" t="str">
        <f t="shared" si="327"/>
        <v/>
      </c>
      <c r="V544" s="76" t="str">
        <f t="shared" si="328"/>
        <v/>
      </c>
      <c r="W544" s="73" t="str">
        <f t="shared" si="329"/>
        <v/>
      </c>
      <c r="X544" s="73" t="str">
        <f>IF(B544&lt;&gt;"",IF(MONTH(E544)=MONTH($F$13),SUMIF($C$22:C923,"="&amp;(C544-1),$G$22:G923),0)*S544,"")</f>
        <v/>
      </c>
      <c r="Y544" s="73" t="str">
        <f>IF(B544&lt;&gt;"",SUM($X$22:X544),"")</f>
        <v/>
      </c>
      <c r="Z544" s="73" t="str">
        <f t="shared" si="330"/>
        <v/>
      </c>
      <c r="AA544" s="73" t="str">
        <f t="shared" si="331"/>
        <v/>
      </c>
      <c r="AB544" s="73" t="str">
        <f t="shared" si="332"/>
        <v/>
      </c>
      <c r="AC544" s="73" t="str">
        <f t="shared" si="333"/>
        <v/>
      </c>
      <c r="AD544" s="73" t="str">
        <f>IFERROR($U544*(1-$V544)+SUM($W$22:$W544)+$AB544,"")</f>
        <v/>
      </c>
      <c r="AE544" s="73" t="b">
        <f t="shared" si="344"/>
        <v>1</v>
      </c>
      <c r="AF544" s="73" t="e">
        <f>IF(AND(AE544=TRUE,D544&gt;=65),$U544*(1-10%)+SUM($W$22:$W544)+$AB544,AD544)</f>
        <v>#VALUE!</v>
      </c>
      <c r="AG544" s="73" t="str">
        <f t="shared" si="334"/>
        <v/>
      </c>
      <c r="AH544" s="73" t="str">
        <f t="shared" si="335"/>
        <v/>
      </c>
      <c r="AI544" s="73" t="str">
        <f t="shared" si="336"/>
        <v/>
      </c>
      <c r="AJ544" s="73" t="str">
        <f t="shared" si="337"/>
        <v/>
      </c>
      <c r="AK544" s="73" t="b">
        <f t="shared" si="345"/>
        <v>1</v>
      </c>
      <c r="AL544" s="73" t="str">
        <f t="shared" si="338"/>
        <v/>
      </c>
      <c r="AM544" s="73" t="str">
        <f t="shared" si="339"/>
        <v/>
      </c>
      <c r="AN544" s="73" t="str">
        <f t="shared" si="340"/>
        <v/>
      </c>
      <c r="AO544" s="73" t="str">
        <f t="shared" si="341"/>
        <v/>
      </c>
      <c r="AP544" s="73" t="str">
        <f t="shared" si="342"/>
        <v/>
      </c>
    </row>
    <row r="545" spans="1:42" s="31" customFormat="1" x14ac:dyDescent="0.6">
      <c r="A545" s="70" t="str">
        <f t="shared" si="343"/>
        <v/>
      </c>
      <c r="B545" s="70" t="str">
        <f>IF(E545&lt;=$F$9,VLOOKUP(KALKULATOR!A545,Robocze!$B$23:$C$102,2),"")</f>
        <v/>
      </c>
      <c r="C545" s="70" t="str">
        <f t="shared" si="311"/>
        <v/>
      </c>
      <c r="D545" s="71" t="str">
        <f t="shared" si="312"/>
        <v/>
      </c>
      <c r="E545" s="77" t="str">
        <f t="shared" si="313"/>
        <v/>
      </c>
      <c r="F545" s="72" t="str">
        <f t="shared" si="314"/>
        <v/>
      </c>
      <c r="G545" s="73" t="str">
        <f>IFERROR(IF(AND(F545&lt;=$F$9,$F$5=Robocze!$B$4,$E545&lt;=$F$9,MONTH($F$8)=MONTH(E545)),$F$4,0)+IF(AND(F545&lt;=$F$9,$F$5=Robocze!$B$3,E545&lt;=$F$9),KALKULATOR!$F$4/12,0),"")</f>
        <v/>
      </c>
      <c r="H545" s="73" t="str">
        <f t="shared" si="315"/>
        <v/>
      </c>
      <c r="I545" s="74" t="str">
        <f t="shared" si="316"/>
        <v/>
      </c>
      <c r="J545" s="73" t="str">
        <f t="shared" si="317"/>
        <v/>
      </c>
      <c r="K545" s="75" t="str">
        <f t="shared" si="318"/>
        <v/>
      </c>
      <c r="L545" s="73" t="str">
        <f t="shared" si="319"/>
        <v/>
      </c>
      <c r="M545" s="73" t="str">
        <f t="shared" si="320"/>
        <v/>
      </c>
      <c r="N545" s="73" t="str">
        <f t="shared" si="321"/>
        <v/>
      </c>
      <c r="O545" s="73" t="str">
        <f t="shared" si="322"/>
        <v/>
      </c>
      <c r="P545" s="73" t="str">
        <f t="shared" si="323"/>
        <v/>
      </c>
      <c r="Q545" s="73" t="str">
        <f t="shared" si="324"/>
        <v/>
      </c>
      <c r="R545" s="73"/>
      <c r="S545" s="76" t="str">
        <f t="shared" si="325"/>
        <v/>
      </c>
      <c r="T545" s="73" t="str">
        <f t="shared" si="326"/>
        <v/>
      </c>
      <c r="U545" s="73" t="str">
        <f t="shared" si="327"/>
        <v/>
      </c>
      <c r="V545" s="76" t="str">
        <f t="shared" si="328"/>
        <v/>
      </c>
      <c r="W545" s="73" t="str">
        <f t="shared" si="329"/>
        <v/>
      </c>
      <c r="X545" s="73" t="str">
        <f>IF(B545&lt;&gt;"",IF(MONTH(E545)=MONTH($F$13),SUMIF($C$22:C924,"="&amp;(C545-1),$G$22:G924),0)*S545,"")</f>
        <v/>
      </c>
      <c r="Y545" s="73" t="str">
        <f>IF(B545&lt;&gt;"",SUM($X$22:X545),"")</f>
        <v/>
      </c>
      <c r="Z545" s="73" t="str">
        <f t="shared" si="330"/>
        <v/>
      </c>
      <c r="AA545" s="73" t="str">
        <f t="shared" si="331"/>
        <v/>
      </c>
      <c r="AB545" s="73" t="str">
        <f t="shared" si="332"/>
        <v/>
      </c>
      <c r="AC545" s="73" t="str">
        <f t="shared" si="333"/>
        <v/>
      </c>
      <c r="AD545" s="73" t="str">
        <f>IFERROR($U545*(1-$V545)+SUM($W$22:$W545)+$AB545,"")</f>
        <v/>
      </c>
      <c r="AE545" s="73" t="b">
        <f t="shared" si="344"/>
        <v>1</v>
      </c>
      <c r="AF545" s="73" t="e">
        <f>IF(AND(AE545=TRUE,D545&gt;=65),$U545*(1-10%)+SUM($W$22:$W545)+$AB545,AD545)</f>
        <v>#VALUE!</v>
      </c>
      <c r="AG545" s="73" t="str">
        <f t="shared" si="334"/>
        <v/>
      </c>
      <c r="AH545" s="73" t="str">
        <f t="shared" si="335"/>
        <v/>
      </c>
      <c r="AI545" s="73" t="str">
        <f t="shared" si="336"/>
        <v/>
      </c>
      <c r="AJ545" s="73" t="str">
        <f t="shared" si="337"/>
        <v/>
      </c>
      <c r="AK545" s="73" t="b">
        <f t="shared" si="345"/>
        <v>1</v>
      </c>
      <c r="AL545" s="73" t="str">
        <f t="shared" si="338"/>
        <v/>
      </c>
      <c r="AM545" s="73" t="str">
        <f t="shared" si="339"/>
        <v/>
      </c>
      <c r="AN545" s="73" t="str">
        <f t="shared" si="340"/>
        <v/>
      </c>
      <c r="AO545" s="73" t="str">
        <f t="shared" si="341"/>
        <v/>
      </c>
      <c r="AP545" s="73" t="str">
        <f t="shared" si="342"/>
        <v/>
      </c>
    </row>
    <row r="546" spans="1:42" s="31" customFormat="1" x14ac:dyDescent="0.6">
      <c r="A546" s="70" t="str">
        <f t="shared" si="343"/>
        <v/>
      </c>
      <c r="B546" s="70" t="str">
        <f>IF(E546&lt;=$F$9,VLOOKUP(KALKULATOR!A546,Robocze!$B$23:$C$102,2),"")</f>
        <v/>
      </c>
      <c r="C546" s="70" t="str">
        <f t="shared" si="311"/>
        <v/>
      </c>
      <c r="D546" s="71" t="str">
        <f t="shared" si="312"/>
        <v/>
      </c>
      <c r="E546" s="77" t="str">
        <f t="shared" si="313"/>
        <v/>
      </c>
      <c r="F546" s="72" t="str">
        <f t="shared" si="314"/>
        <v/>
      </c>
      <c r="G546" s="73" t="str">
        <f>IFERROR(IF(AND(F546&lt;=$F$9,$F$5=Robocze!$B$4,$E546&lt;=$F$9,MONTH($F$8)=MONTH(E546)),$F$4,0)+IF(AND(F546&lt;=$F$9,$F$5=Robocze!$B$3,E546&lt;=$F$9),KALKULATOR!$F$4/12,0),"")</f>
        <v/>
      </c>
      <c r="H546" s="73" t="str">
        <f t="shared" si="315"/>
        <v/>
      </c>
      <c r="I546" s="74" t="str">
        <f t="shared" si="316"/>
        <v/>
      </c>
      <c r="J546" s="73" t="str">
        <f t="shared" si="317"/>
        <v/>
      </c>
      <c r="K546" s="75" t="str">
        <f t="shared" si="318"/>
        <v/>
      </c>
      <c r="L546" s="73" t="str">
        <f t="shared" si="319"/>
        <v/>
      </c>
      <c r="M546" s="73" t="str">
        <f t="shared" si="320"/>
        <v/>
      </c>
      <c r="N546" s="73" t="str">
        <f t="shared" si="321"/>
        <v/>
      </c>
      <c r="O546" s="73" t="str">
        <f t="shared" si="322"/>
        <v/>
      </c>
      <c r="P546" s="73" t="str">
        <f t="shared" si="323"/>
        <v/>
      </c>
      <c r="Q546" s="73" t="str">
        <f t="shared" si="324"/>
        <v/>
      </c>
      <c r="R546" s="73"/>
      <c r="S546" s="76" t="str">
        <f t="shared" si="325"/>
        <v/>
      </c>
      <c r="T546" s="73" t="str">
        <f t="shared" si="326"/>
        <v/>
      </c>
      <c r="U546" s="73" t="str">
        <f t="shared" si="327"/>
        <v/>
      </c>
      <c r="V546" s="76" t="str">
        <f t="shared" si="328"/>
        <v/>
      </c>
      <c r="W546" s="73" t="str">
        <f t="shared" si="329"/>
        <v/>
      </c>
      <c r="X546" s="73" t="str">
        <f>IF(B546&lt;&gt;"",IF(MONTH(E546)=MONTH($F$13),SUMIF($C$22:C925,"="&amp;(C546-1),$G$22:G925),0)*S546,"")</f>
        <v/>
      </c>
      <c r="Y546" s="73" t="str">
        <f>IF(B546&lt;&gt;"",SUM($X$22:X546),"")</f>
        <v/>
      </c>
      <c r="Z546" s="73" t="str">
        <f t="shared" si="330"/>
        <v/>
      </c>
      <c r="AA546" s="73" t="str">
        <f t="shared" si="331"/>
        <v/>
      </c>
      <c r="AB546" s="73" t="str">
        <f t="shared" si="332"/>
        <v/>
      </c>
      <c r="AC546" s="73" t="str">
        <f t="shared" si="333"/>
        <v/>
      </c>
      <c r="AD546" s="73" t="str">
        <f>IFERROR($U546*(1-$V546)+SUM($W$22:$W546)+$AB546,"")</f>
        <v/>
      </c>
      <c r="AE546" s="73" t="b">
        <f t="shared" si="344"/>
        <v>1</v>
      </c>
      <c r="AF546" s="73" t="e">
        <f>IF(AND(AE546=TRUE,D546&gt;=65),$U546*(1-10%)+SUM($W$22:$W546)+$AB546,AD546)</f>
        <v>#VALUE!</v>
      </c>
      <c r="AG546" s="73" t="str">
        <f t="shared" si="334"/>
        <v/>
      </c>
      <c r="AH546" s="73" t="str">
        <f t="shared" si="335"/>
        <v/>
      </c>
      <c r="AI546" s="73" t="str">
        <f t="shared" si="336"/>
        <v/>
      </c>
      <c r="AJ546" s="73" t="str">
        <f t="shared" si="337"/>
        <v/>
      </c>
      <c r="AK546" s="73" t="b">
        <f t="shared" si="345"/>
        <v>1</v>
      </c>
      <c r="AL546" s="73" t="str">
        <f t="shared" si="338"/>
        <v/>
      </c>
      <c r="AM546" s="73" t="str">
        <f t="shared" si="339"/>
        <v/>
      </c>
      <c r="AN546" s="73" t="str">
        <f t="shared" si="340"/>
        <v/>
      </c>
      <c r="AO546" s="73" t="str">
        <f t="shared" si="341"/>
        <v/>
      </c>
      <c r="AP546" s="73" t="str">
        <f t="shared" si="342"/>
        <v/>
      </c>
    </row>
    <row r="547" spans="1:42" s="31" customFormat="1" x14ac:dyDescent="0.6">
      <c r="A547" s="70" t="str">
        <f t="shared" si="343"/>
        <v/>
      </c>
      <c r="B547" s="70" t="str">
        <f>IF(E547&lt;=$F$9,VLOOKUP(KALKULATOR!A547,Robocze!$B$23:$C$102,2),"")</f>
        <v/>
      </c>
      <c r="C547" s="70" t="str">
        <f t="shared" si="311"/>
        <v/>
      </c>
      <c r="D547" s="71" t="str">
        <f t="shared" si="312"/>
        <v/>
      </c>
      <c r="E547" s="77" t="str">
        <f t="shared" si="313"/>
        <v/>
      </c>
      <c r="F547" s="72" t="str">
        <f t="shared" si="314"/>
        <v/>
      </c>
      <c r="G547" s="73" t="str">
        <f>IFERROR(IF(AND(F547&lt;=$F$9,$F$5=Robocze!$B$4,$E547&lt;=$F$9,MONTH($F$8)=MONTH(E547)),$F$4,0)+IF(AND(F547&lt;=$F$9,$F$5=Robocze!$B$3,E547&lt;=$F$9),KALKULATOR!$F$4/12,0),"")</f>
        <v/>
      </c>
      <c r="H547" s="73" t="str">
        <f t="shared" si="315"/>
        <v/>
      </c>
      <c r="I547" s="74" t="str">
        <f t="shared" si="316"/>
        <v/>
      </c>
      <c r="J547" s="73" t="str">
        <f t="shared" si="317"/>
        <v/>
      </c>
      <c r="K547" s="75" t="str">
        <f t="shared" si="318"/>
        <v/>
      </c>
      <c r="L547" s="73" t="str">
        <f t="shared" si="319"/>
        <v/>
      </c>
      <c r="M547" s="73" t="str">
        <f t="shared" si="320"/>
        <v/>
      </c>
      <c r="N547" s="73" t="str">
        <f t="shared" si="321"/>
        <v/>
      </c>
      <c r="O547" s="73" t="str">
        <f t="shared" si="322"/>
        <v/>
      </c>
      <c r="P547" s="73" t="str">
        <f t="shared" si="323"/>
        <v/>
      </c>
      <c r="Q547" s="73" t="str">
        <f t="shared" si="324"/>
        <v/>
      </c>
      <c r="R547" s="73"/>
      <c r="S547" s="76" t="str">
        <f t="shared" si="325"/>
        <v/>
      </c>
      <c r="T547" s="73" t="str">
        <f t="shared" si="326"/>
        <v/>
      </c>
      <c r="U547" s="73" t="str">
        <f t="shared" si="327"/>
        <v/>
      </c>
      <c r="V547" s="76" t="str">
        <f t="shared" si="328"/>
        <v/>
      </c>
      <c r="W547" s="73" t="str">
        <f t="shared" si="329"/>
        <v/>
      </c>
      <c r="X547" s="73" t="str">
        <f>IF(B547&lt;&gt;"",IF(MONTH(E547)=MONTH($F$13),SUMIF($C$22:C926,"="&amp;(C547-1),$G$22:G926),0)*S547,"")</f>
        <v/>
      </c>
      <c r="Y547" s="73" t="str">
        <f>IF(B547&lt;&gt;"",SUM($X$22:X547),"")</f>
        <v/>
      </c>
      <c r="Z547" s="73" t="str">
        <f t="shared" si="330"/>
        <v/>
      </c>
      <c r="AA547" s="73" t="str">
        <f t="shared" si="331"/>
        <v/>
      </c>
      <c r="AB547" s="73" t="str">
        <f t="shared" si="332"/>
        <v/>
      </c>
      <c r="AC547" s="73" t="str">
        <f t="shared" si="333"/>
        <v/>
      </c>
      <c r="AD547" s="73" t="str">
        <f>IFERROR($U547*(1-$V547)+SUM($W$22:$W547)+$AB547,"")</f>
        <v/>
      </c>
      <c r="AE547" s="73" t="b">
        <f t="shared" si="344"/>
        <v>1</v>
      </c>
      <c r="AF547" s="73" t="e">
        <f>IF(AND(AE547=TRUE,D547&gt;=65),$U547*(1-10%)+SUM($W$22:$W547)+$AB547,AD547)</f>
        <v>#VALUE!</v>
      </c>
      <c r="AG547" s="73" t="str">
        <f t="shared" si="334"/>
        <v/>
      </c>
      <c r="AH547" s="73" t="str">
        <f t="shared" si="335"/>
        <v/>
      </c>
      <c r="AI547" s="73" t="str">
        <f t="shared" si="336"/>
        <v/>
      </c>
      <c r="AJ547" s="73" t="str">
        <f t="shared" si="337"/>
        <v/>
      </c>
      <c r="AK547" s="73" t="b">
        <f t="shared" si="345"/>
        <v>1</v>
      </c>
      <c r="AL547" s="73" t="str">
        <f t="shared" si="338"/>
        <v/>
      </c>
      <c r="AM547" s="73" t="str">
        <f t="shared" si="339"/>
        <v/>
      </c>
      <c r="AN547" s="73" t="str">
        <f t="shared" si="340"/>
        <v/>
      </c>
      <c r="AO547" s="73" t="str">
        <f t="shared" si="341"/>
        <v/>
      </c>
      <c r="AP547" s="73" t="str">
        <f t="shared" si="342"/>
        <v/>
      </c>
    </row>
    <row r="548" spans="1:42" s="31" customFormat="1" x14ac:dyDescent="0.6">
      <c r="A548" s="70" t="str">
        <f t="shared" si="343"/>
        <v/>
      </c>
      <c r="B548" s="70" t="str">
        <f>IF(E548&lt;=$F$9,VLOOKUP(KALKULATOR!A548,Robocze!$B$23:$C$102,2),"")</f>
        <v/>
      </c>
      <c r="C548" s="70" t="str">
        <f t="shared" si="311"/>
        <v/>
      </c>
      <c r="D548" s="71" t="str">
        <f t="shared" si="312"/>
        <v/>
      </c>
      <c r="E548" s="77" t="str">
        <f t="shared" si="313"/>
        <v/>
      </c>
      <c r="F548" s="72" t="str">
        <f t="shared" si="314"/>
        <v/>
      </c>
      <c r="G548" s="73" t="str">
        <f>IFERROR(IF(AND(F548&lt;=$F$9,$F$5=Robocze!$B$4,$E548&lt;=$F$9,MONTH($F$8)=MONTH(E548)),$F$4,0)+IF(AND(F548&lt;=$F$9,$F$5=Robocze!$B$3,E548&lt;=$F$9),KALKULATOR!$F$4/12,0),"")</f>
        <v/>
      </c>
      <c r="H548" s="73" t="str">
        <f t="shared" si="315"/>
        <v/>
      </c>
      <c r="I548" s="74" t="str">
        <f t="shared" si="316"/>
        <v/>
      </c>
      <c r="J548" s="73" t="str">
        <f t="shared" si="317"/>
        <v/>
      </c>
      <c r="K548" s="75" t="str">
        <f t="shared" si="318"/>
        <v/>
      </c>
      <c r="L548" s="73" t="str">
        <f t="shared" si="319"/>
        <v/>
      </c>
      <c r="M548" s="73" t="str">
        <f t="shared" si="320"/>
        <v/>
      </c>
      <c r="N548" s="73" t="str">
        <f t="shared" si="321"/>
        <v/>
      </c>
      <c r="O548" s="73" t="str">
        <f t="shared" si="322"/>
        <v/>
      </c>
      <c r="P548" s="73" t="str">
        <f t="shared" si="323"/>
        <v/>
      </c>
      <c r="Q548" s="73" t="str">
        <f t="shared" si="324"/>
        <v/>
      </c>
      <c r="R548" s="73"/>
      <c r="S548" s="76" t="str">
        <f t="shared" si="325"/>
        <v/>
      </c>
      <c r="T548" s="73" t="str">
        <f t="shared" si="326"/>
        <v/>
      </c>
      <c r="U548" s="73" t="str">
        <f t="shared" si="327"/>
        <v/>
      </c>
      <c r="V548" s="76" t="str">
        <f t="shared" si="328"/>
        <v/>
      </c>
      <c r="W548" s="73" t="str">
        <f t="shared" si="329"/>
        <v/>
      </c>
      <c r="X548" s="73" t="str">
        <f>IF(B548&lt;&gt;"",IF(MONTH(E548)=MONTH($F$13),SUMIF($C$22:C927,"="&amp;(C548-1),$G$22:G927),0)*S548,"")</f>
        <v/>
      </c>
      <c r="Y548" s="73" t="str">
        <f>IF(B548&lt;&gt;"",SUM($X$22:X548),"")</f>
        <v/>
      </c>
      <c r="Z548" s="73" t="str">
        <f t="shared" si="330"/>
        <v/>
      </c>
      <c r="AA548" s="73" t="str">
        <f t="shared" si="331"/>
        <v/>
      </c>
      <c r="AB548" s="73" t="str">
        <f t="shared" si="332"/>
        <v/>
      </c>
      <c r="AC548" s="73" t="str">
        <f t="shared" si="333"/>
        <v/>
      </c>
      <c r="AD548" s="73" t="str">
        <f>IFERROR($U548*(1-$V548)+SUM($W$22:$W548)+$AB548,"")</f>
        <v/>
      </c>
      <c r="AE548" s="73" t="b">
        <f t="shared" si="344"/>
        <v>1</v>
      </c>
      <c r="AF548" s="73" t="e">
        <f>IF(AND(AE548=TRUE,D548&gt;=65),$U548*(1-10%)+SUM($W$22:$W548)+$AB548,AD548)</f>
        <v>#VALUE!</v>
      </c>
      <c r="AG548" s="73" t="str">
        <f t="shared" si="334"/>
        <v/>
      </c>
      <c r="AH548" s="73" t="str">
        <f t="shared" si="335"/>
        <v/>
      </c>
      <c r="AI548" s="73" t="str">
        <f t="shared" si="336"/>
        <v/>
      </c>
      <c r="AJ548" s="73" t="str">
        <f t="shared" si="337"/>
        <v/>
      </c>
      <c r="AK548" s="73" t="b">
        <f t="shared" si="345"/>
        <v>1</v>
      </c>
      <c r="AL548" s="73" t="str">
        <f t="shared" si="338"/>
        <v/>
      </c>
      <c r="AM548" s="73" t="str">
        <f t="shared" si="339"/>
        <v/>
      </c>
      <c r="AN548" s="73" t="str">
        <f t="shared" si="340"/>
        <v/>
      </c>
      <c r="AO548" s="73" t="str">
        <f t="shared" si="341"/>
        <v/>
      </c>
      <c r="AP548" s="73" t="str">
        <f t="shared" si="342"/>
        <v/>
      </c>
    </row>
    <row r="549" spans="1:42" s="31" customFormat="1" x14ac:dyDescent="0.6">
      <c r="A549" s="70" t="str">
        <f t="shared" si="343"/>
        <v/>
      </c>
      <c r="B549" s="70" t="str">
        <f>IF(E549&lt;=$F$9,VLOOKUP(KALKULATOR!A549,Robocze!$B$23:$C$102,2),"")</f>
        <v/>
      </c>
      <c r="C549" s="70" t="str">
        <f t="shared" si="311"/>
        <v/>
      </c>
      <c r="D549" s="71" t="str">
        <f t="shared" si="312"/>
        <v/>
      </c>
      <c r="E549" s="77" t="str">
        <f t="shared" si="313"/>
        <v/>
      </c>
      <c r="F549" s="72" t="str">
        <f t="shared" si="314"/>
        <v/>
      </c>
      <c r="G549" s="73" t="str">
        <f>IFERROR(IF(AND(F549&lt;=$F$9,$F$5=Robocze!$B$4,$E549&lt;=$F$9,MONTH($F$8)=MONTH(E549)),$F$4,0)+IF(AND(F549&lt;=$F$9,$F$5=Robocze!$B$3,E549&lt;=$F$9),KALKULATOR!$F$4/12,0),"")</f>
        <v/>
      </c>
      <c r="H549" s="73" t="str">
        <f t="shared" si="315"/>
        <v/>
      </c>
      <c r="I549" s="74" t="str">
        <f t="shared" si="316"/>
        <v/>
      </c>
      <c r="J549" s="73" t="str">
        <f t="shared" si="317"/>
        <v/>
      </c>
      <c r="K549" s="75" t="str">
        <f t="shared" si="318"/>
        <v/>
      </c>
      <c r="L549" s="73" t="str">
        <f t="shared" si="319"/>
        <v/>
      </c>
      <c r="M549" s="73" t="str">
        <f t="shared" si="320"/>
        <v/>
      </c>
      <c r="N549" s="73" t="str">
        <f t="shared" si="321"/>
        <v/>
      </c>
      <c r="O549" s="73" t="str">
        <f t="shared" si="322"/>
        <v/>
      </c>
      <c r="P549" s="73" t="str">
        <f t="shared" si="323"/>
        <v/>
      </c>
      <c r="Q549" s="73" t="str">
        <f t="shared" si="324"/>
        <v/>
      </c>
      <c r="R549" s="73"/>
      <c r="S549" s="76" t="str">
        <f t="shared" si="325"/>
        <v/>
      </c>
      <c r="T549" s="73" t="str">
        <f t="shared" si="326"/>
        <v/>
      </c>
      <c r="U549" s="73" t="str">
        <f t="shared" si="327"/>
        <v/>
      </c>
      <c r="V549" s="76" t="str">
        <f t="shared" si="328"/>
        <v/>
      </c>
      <c r="W549" s="73" t="str">
        <f t="shared" si="329"/>
        <v/>
      </c>
      <c r="X549" s="73" t="str">
        <f>IF(B549&lt;&gt;"",IF(MONTH(E549)=MONTH($F$13),SUMIF($C$22:C928,"="&amp;(C549-1),$G$22:G928),0)*S549,"")</f>
        <v/>
      </c>
      <c r="Y549" s="73" t="str">
        <f>IF(B549&lt;&gt;"",SUM($X$22:X549),"")</f>
        <v/>
      </c>
      <c r="Z549" s="73" t="str">
        <f t="shared" si="330"/>
        <v/>
      </c>
      <c r="AA549" s="73" t="str">
        <f t="shared" si="331"/>
        <v/>
      </c>
      <c r="AB549" s="73" t="str">
        <f t="shared" si="332"/>
        <v/>
      </c>
      <c r="AC549" s="73" t="str">
        <f t="shared" si="333"/>
        <v/>
      </c>
      <c r="AD549" s="73" t="str">
        <f>IFERROR($U549*(1-$V549)+SUM($W$22:$W549)+$AB549,"")</f>
        <v/>
      </c>
      <c r="AE549" s="73" t="b">
        <f t="shared" si="344"/>
        <v>1</v>
      </c>
      <c r="AF549" s="73" t="e">
        <f>IF(AND(AE549=TRUE,D549&gt;=65),$U549*(1-10%)+SUM($W$22:$W549)+$AB549,AD549)</f>
        <v>#VALUE!</v>
      </c>
      <c r="AG549" s="73" t="str">
        <f t="shared" si="334"/>
        <v/>
      </c>
      <c r="AH549" s="73" t="str">
        <f t="shared" si="335"/>
        <v/>
      </c>
      <c r="AI549" s="73" t="str">
        <f t="shared" si="336"/>
        <v/>
      </c>
      <c r="AJ549" s="73" t="str">
        <f t="shared" si="337"/>
        <v/>
      </c>
      <c r="AK549" s="73" t="b">
        <f t="shared" si="345"/>
        <v>1</v>
      </c>
      <c r="AL549" s="73" t="str">
        <f t="shared" si="338"/>
        <v/>
      </c>
      <c r="AM549" s="73" t="str">
        <f t="shared" si="339"/>
        <v/>
      </c>
      <c r="AN549" s="73" t="str">
        <f t="shared" si="340"/>
        <v/>
      </c>
      <c r="AO549" s="73" t="str">
        <f t="shared" si="341"/>
        <v/>
      </c>
      <c r="AP549" s="73" t="str">
        <f t="shared" si="342"/>
        <v/>
      </c>
    </row>
    <row r="550" spans="1:42" s="31" customFormat="1" x14ac:dyDescent="0.6">
      <c r="A550" s="70" t="str">
        <f t="shared" si="343"/>
        <v/>
      </c>
      <c r="B550" s="70" t="str">
        <f>IF(E550&lt;=$F$9,VLOOKUP(KALKULATOR!A550,Robocze!$B$23:$C$102,2),"")</f>
        <v/>
      </c>
      <c r="C550" s="70" t="str">
        <f t="shared" si="311"/>
        <v/>
      </c>
      <c r="D550" s="71" t="str">
        <f t="shared" si="312"/>
        <v/>
      </c>
      <c r="E550" s="77" t="str">
        <f t="shared" si="313"/>
        <v/>
      </c>
      <c r="F550" s="72" t="str">
        <f t="shared" si="314"/>
        <v/>
      </c>
      <c r="G550" s="73" t="str">
        <f>IFERROR(IF(AND(F550&lt;=$F$9,$F$5=Robocze!$B$4,$E550&lt;=$F$9,MONTH($F$8)=MONTH(E550)),$F$4,0)+IF(AND(F550&lt;=$F$9,$F$5=Robocze!$B$3,E550&lt;=$F$9),KALKULATOR!$F$4/12,0),"")</f>
        <v/>
      </c>
      <c r="H550" s="73" t="str">
        <f t="shared" si="315"/>
        <v/>
      </c>
      <c r="I550" s="74" t="str">
        <f t="shared" si="316"/>
        <v/>
      </c>
      <c r="J550" s="73" t="str">
        <f t="shared" si="317"/>
        <v/>
      </c>
      <c r="K550" s="75" t="str">
        <f t="shared" si="318"/>
        <v/>
      </c>
      <c r="L550" s="73" t="str">
        <f t="shared" si="319"/>
        <v/>
      </c>
      <c r="M550" s="73" t="str">
        <f t="shared" si="320"/>
        <v/>
      </c>
      <c r="N550" s="73" t="str">
        <f t="shared" si="321"/>
        <v/>
      </c>
      <c r="O550" s="73" t="str">
        <f t="shared" si="322"/>
        <v/>
      </c>
      <c r="P550" s="73" t="str">
        <f t="shared" si="323"/>
        <v/>
      </c>
      <c r="Q550" s="73" t="str">
        <f t="shared" si="324"/>
        <v/>
      </c>
      <c r="R550" s="73"/>
      <c r="S550" s="76" t="str">
        <f t="shared" si="325"/>
        <v/>
      </c>
      <c r="T550" s="73" t="str">
        <f t="shared" si="326"/>
        <v/>
      </c>
      <c r="U550" s="73" t="str">
        <f t="shared" si="327"/>
        <v/>
      </c>
      <c r="V550" s="76" t="str">
        <f t="shared" si="328"/>
        <v/>
      </c>
      <c r="W550" s="73" t="str">
        <f t="shared" si="329"/>
        <v/>
      </c>
      <c r="X550" s="73" t="str">
        <f>IF(B550&lt;&gt;"",IF(MONTH(E550)=MONTH($F$13),SUMIF($C$22:C929,"="&amp;(C550-1),$G$22:G929),0)*S550,"")</f>
        <v/>
      </c>
      <c r="Y550" s="73" t="str">
        <f>IF(B550&lt;&gt;"",SUM($X$22:X550),"")</f>
        <v/>
      </c>
      <c r="Z550" s="73" t="str">
        <f t="shared" si="330"/>
        <v/>
      </c>
      <c r="AA550" s="73" t="str">
        <f t="shared" si="331"/>
        <v/>
      </c>
      <c r="AB550" s="73" t="str">
        <f t="shared" si="332"/>
        <v/>
      </c>
      <c r="AC550" s="73" t="str">
        <f t="shared" si="333"/>
        <v/>
      </c>
      <c r="AD550" s="73" t="str">
        <f>IFERROR($U550*(1-$V550)+SUM($W$22:$W550)+$AB550,"")</f>
        <v/>
      </c>
      <c r="AE550" s="73" t="b">
        <f t="shared" si="344"/>
        <v>1</v>
      </c>
      <c r="AF550" s="73" t="e">
        <f>IF(AND(AE550=TRUE,D550&gt;=65),$U550*(1-10%)+SUM($W$22:$W550)+$AB550,AD550)</f>
        <v>#VALUE!</v>
      </c>
      <c r="AG550" s="73" t="str">
        <f t="shared" si="334"/>
        <v/>
      </c>
      <c r="AH550" s="73" t="str">
        <f t="shared" si="335"/>
        <v/>
      </c>
      <c r="AI550" s="73" t="str">
        <f t="shared" si="336"/>
        <v/>
      </c>
      <c r="AJ550" s="73" t="str">
        <f t="shared" si="337"/>
        <v/>
      </c>
      <c r="AK550" s="73" t="b">
        <f t="shared" si="345"/>
        <v>1</v>
      </c>
      <c r="AL550" s="73" t="str">
        <f t="shared" si="338"/>
        <v/>
      </c>
      <c r="AM550" s="73" t="str">
        <f t="shared" si="339"/>
        <v/>
      </c>
      <c r="AN550" s="73" t="str">
        <f t="shared" si="340"/>
        <v/>
      </c>
      <c r="AO550" s="73" t="str">
        <f t="shared" si="341"/>
        <v/>
      </c>
      <c r="AP550" s="73" t="str">
        <f t="shared" si="342"/>
        <v/>
      </c>
    </row>
    <row r="551" spans="1:42" s="31" customFormat="1" x14ac:dyDescent="0.6">
      <c r="A551" s="70" t="str">
        <f t="shared" si="343"/>
        <v/>
      </c>
      <c r="B551" s="70" t="str">
        <f>IF(E551&lt;=$F$9,VLOOKUP(KALKULATOR!A551,Robocze!$B$23:$C$102,2),"")</f>
        <v/>
      </c>
      <c r="C551" s="70" t="str">
        <f t="shared" si="311"/>
        <v/>
      </c>
      <c r="D551" s="71" t="str">
        <f t="shared" si="312"/>
        <v/>
      </c>
      <c r="E551" s="77" t="str">
        <f t="shared" si="313"/>
        <v/>
      </c>
      <c r="F551" s="72" t="str">
        <f t="shared" si="314"/>
        <v/>
      </c>
      <c r="G551" s="73" t="str">
        <f>IFERROR(IF(AND(F551&lt;=$F$9,$F$5=Robocze!$B$4,$E551&lt;=$F$9,MONTH($F$8)=MONTH(E551)),$F$4,0)+IF(AND(F551&lt;=$F$9,$F$5=Robocze!$B$3,E551&lt;=$F$9),KALKULATOR!$F$4/12,0),"")</f>
        <v/>
      </c>
      <c r="H551" s="73" t="str">
        <f t="shared" si="315"/>
        <v/>
      </c>
      <c r="I551" s="74" t="str">
        <f t="shared" si="316"/>
        <v/>
      </c>
      <c r="J551" s="73" t="str">
        <f t="shared" si="317"/>
        <v/>
      </c>
      <c r="K551" s="75" t="str">
        <f t="shared" si="318"/>
        <v/>
      </c>
      <c r="L551" s="73" t="str">
        <f t="shared" si="319"/>
        <v/>
      </c>
      <c r="M551" s="73" t="str">
        <f t="shared" si="320"/>
        <v/>
      </c>
      <c r="N551" s="73" t="str">
        <f t="shared" si="321"/>
        <v/>
      </c>
      <c r="O551" s="73" t="str">
        <f t="shared" si="322"/>
        <v/>
      </c>
      <c r="P551" s="73" t="str">
        <f t="shared" si="323"/>
        <v/>
      </c>
      <c r="Q551" s="73" t="str">
        <f t="shared" si="324"/>
        <v/>
      </c>
      <c r="R551" s="73"/>
      <c r="S551" s="76" t="str">
        <f t="shared" si="325"/>
        <v/>
      </c>
      <c r="T551" s="73" t="str">
        <f t="shared" si="326"/>
        <v/>
      </c>
      <c r="U551" s="73" t="str">
        <f t="shared" si="327"/>
        <v/>
      </c>
      <c r="V551" s="76" t="str">
        <f t="shared" si="328"/>
        <v/>
      </c>
      <c r="W551" s="73" t="str">
        <f t="shared" si="329"/>
        <v/>
      </c>
      <c r="X551" s="73" t="str">
        <f>IF(B551&lt;&gt;"",IF(MONTH(E551)=MONTH($F$13),SUMIF($C$22:C930,"="&amp;(C551-1),$G$22:G930),0)*S551,"")</f>
        <v/>
      </c>
      <c r="Y551" s="73" t="str">
        <f>IF(B551&lt;&gt;"",SUM($X$22:X551),"")</f>
        <v/>
      </c>
      <c r="Z551" s="73" t="str">
        <f t="shared" si="330"/>
        <v/>
      </c>
      <c r="AA551" s="73" t="str">
        <f t="shared" si="331"/>
        <v/>
      </c>
      <c r="AB551" s="73" t="str">
        <f t="shared" si="332"/>
        <v/>
      </c>
      <c r="AC551" s="73" t="str">
        <f t="shared" si="333"/>
        <v/>
      </c>
      <c r="AD551" s="73" t="str">
        <f>IFERROR($U551*(1-$V551)+SUM($W$22:$W551)+$AB551,"")</f>
        <v/>
      </c>
      <c r="AE551" s="73" t="b">
        <f t="shared" si="344"/>
        <v>1</v>
      </c>
      <c r="AF551" s="73" t="e">
        <f>IF(AND(AE551=TRUE,D551&gt;=65),$U551*(1-10%)+SUM($W$22:$W551)+$AB551,AD551)</f>
        <v>#VALUE!</v>
      </c>
      <c r="AG551" s="73" t="str">
        <f t="shared" si="334"/>
        <v/>
      </c>
      <c r="AH551" s="73" t="str">
        <f t="shared" si="335"/>
        <v/>
      </c>
      <c r="AI551" s="73" t="str">
        <f t="shared" si="336"/>
        <v/>
      </c>
      <c r="AJ551" s="73" t="str">
        <f t="shared" si="337"/>
        <v/>
      </c>
      <c r="AK551" s="73" t="b">
        <f t="shared" si="345"/>
        <v>1</v>
      </c>
      <c r="AL551" s="73" t="str">
        <f t="shared" si="338"/>
        <v/>
      </c>
      <c r="AM551" s="73" t="str">
        <f t="shared" si="339"/>
        <v/>
      </c>
      <c r="AN551" s="73" t="str">
        <f t="shared" si="340"/>
        <v/>
      </c>
      <c r="AO551" s="73" t="str">
        <f t="shared" si="341"/>
        <v/>
      </c>
      <c r="AP551" s="73" t="str">
        <f t="shared" si="342"/>
        <v/>
      </c>
    </row>
    <row r="552" spans="1:42" s="31" customFormat="1" x14ac:dyDescent="0.6">
      <c r="A552" s="70" t="str">
        <f t="shared" si="343"/>
        <v/>
      </c>
      <c r="B552" s="70" t="str">
        <f>IF(E552&lt;=$F$9,VLOOKUP(KALKULATOR!A552,Robocze!$B$23:$C$102,2),"")</f>
        <v/>
      </c>
      <c r="C552" s="70" t="str">
        <f t="shared" si="311"/>
        <v/>
      </c>
      <c r="D552" s="71" t="str">
        <f t="shared" si="312"/>
        <v/>
      </c>
      <c r="E552" s="77" t="str">
        <f t="shared" si="313"/>
        <v/>
      </c>
      <c r="F552" s="72" t="str">
        <f t="shared" si="314"/>
        <v/>
      </c>
      <c r="G552" s="73" t="str">
        <f>IFERROR(IF(AND(F552&lt;=$F$9,$F$5=Robocze!$B$4,$E552&lt;=$F$9,MONTH($F$8)=MONTH(E552)),$F$4,0)+IF(AND(F552&lt;=$F$9,$F$5=Robocze!$B$3,E552&lt;=$F$9),KALKULATOR!$F$4/12,0),"")</f>
        <v/>
      </c>
      <c r="H552" s="73" t="str">
        <f t="shared" si="315"/>
        <v/>
      </c>
      <c r="I552" s="74" t="str">
        <f t="shared" si="316"/>
        <v/>
      </c>
      <c r="J552" s="73" t="str">
        <f t="shared" si="317"/>
        <v/>
      </c>
      <c r="K552" s="75" t="str">
        <f t="shared" si="318"/>
        <v/>
      </c>
      <c r="L552" s="73" t="str">
        <f t="shared" si="319"/>
        <v/>
      </c>
      <c r="M552" s="73" t="str">
        <f t="shared" si="320"/>
        <v/>
      </c>
      <c r="N552" s="73" t="str">
        <f t="shared" si="321"/>
        <v/>
      </c>
      <c r="O552" s="73" t="str">
        <f t="shared" si="322"/>
        <v/>
      </c>
      <c r="P552" s="73" t="str">
        <f t="shared" si="323"/>
        <v/>
      </c>
      <c r="Q552" s="73" t="str">
        <f t="shared" si="324"/>
        <v/>
      </c>
      <c r="R552" s="73"/>
      <c r="S552" s="76" t="str">
        <f t="shared" si="325"/>
        <v/>
      </c>
      <c r="T552" s="73" t="str">
        <f t="shared" si="326"/>
        <v/>
      </c>
      <c r="U552" s="73" t="str">
        <f t="shared" si="327"/>
        <v/>
      </c>
      <c r="V552" s="76" t="str">
        <f t="shared" si="328"/>
        <v/>
      </c>
      <c r="W552" s="73" t="str">
        <f t="shared" si="329"/>
        <v/>
      </c>
      <c r="X552" s="73" t="str">
        <f>IF(B552&lt;&gt;"",IF(MONTH(E552)=MONTH($F$13),SUMIF($C$22:C931,"="&amp;(C552-1),$G$22:G931),0)*S552,"")</f>
        <v/>
      </c>
      <c r="Y552" s="73" t="str">
        <f>IF(B552&lt;&gt;"",SUM($X$22:X552),"")</f>
        <v/>
      </c>
      <c r="Z552" s="73" t="str">
        <f t="shared" si="330"/>
        <v/>
      </c>
      <c r="AA552" s="73" t="str">
        <f t="shared" si="331"/>
        <v/>
      </c>
      <c r="AB552" s="73" t="str">
        <f t="shared" si="332"/>
        <v/>
      </c>
      <c r="AC552" s="73" t="str">
        <f t="shared" si="333"/>
        <v/>
      </c>
      <c r="AD552" s="73" t="str">
        <f>IFERROR($U552*(1-$V552)+SUM($W$22:$W552)+$AB552,"")</f>
        <v/>
      </c>
      <c r="AE552" s="73" t="b">
        <f t="shared" si="344"/>
        <v>1</v>
      </c>
      <c r="AF552" s="73" t="e">
        <f>IF(AND(AE552=TRUE,D552&gt;=65),$U552*(1-10%)+SUM($W$22:$W552)+$AB552,AD552)</f>
        <v>#VALUE!</v>
      </c>
      <c r="AG552" s="73" t="str">
        <f t="shared" si="334"/>
        <v/>
      </c>
      <c r="AH552" s="73" t="str">
        <f t="shared" si="335"/>
        <v/>
      </c>
      <c r="AI552" s="73" t="str">
        <f t="shared" si="336"/>
        <v/>
      </c>
      <c r="AJ552" s="73" t="str">
        <f t="shared" si="337"/>
        <v/>
      </c>
      <c r="AK552" s="73" t="b">
        <f t="shared" si="345"/>
        <v>1</v>
      </c>
      <c r="AL552" s="73" t="str">
        <f t="shared" si="338"/>
        <v/>
      </c>
      <c r="AM552" s="73" t="str">
        <f t="shared" si="339"/>
        <v/>
      </c>
      <c r="AN552" s="73" t="str">
        <f t="shared" si="340"/>
        <v/>
      </c>
      <c r="AO552" s="73" t="str">
        <f t="shared" si="341"/>
        <v/>
      </c>
      <c r="AP552" s="73" t="str">
        <f t="shared" si="342"/>
        <v/>
      </c>
    </row>
    <row r="553" spans="1:42" s="69" customFormat="1" x14ac:dyDescent="0.6">
      <c r="A553" s="78" t="str">
        <f t="shared" si="343"/>
        <v/>
      </c>
      <c r="B553" s="78" t="str">
        <f>IF(E553&lt;=$F$9,VLOOKUP(KALKULATOR!A553,Robocze!$B$23:$C$102,2),"")</f>
        <v/>
      </c>
      <c r="C553" s="78" t="str">
        <f t="shared" si="311"/>
        <v/>
      </c>
      <c r="D553" s="79" t="str">
        <f t="shared" si="312"/>
        <v/>
      </c>
      <c r="E553" s="80" t="str">
        <f t="shared" si="313"/>
        <v/>
      </c>
      <c r="F553" s="81" t="str">
        <f t="shared" si="314"/>
        <v/>
      </c>
      <c r="G553" s="82" t="str">
        <f>IFERROR(IF(AND(F553&lt;=$F$9,$F$5=Robocze!$B$4,$E553&lt;=$F$9,MONTH($F$8)=MONTH(E553)),$F$4,0)+IF(AND(F553&lt;=$F$9,$F$5=Robocze!$B$3,E553&lt;=$F$9),KALKULATOR!$F$4/12,0),"")</f>
        <v/>
      </c>
      <c r="H553" s="82" t="str">
        <f t="shared" si="315"/>
        <v/>
      </c>
      <c r="I553" s="83" t="str">
        <f t="shared" si="316"/>
        <v/>
      </c>
      <c r="J553" s="82" t="str">
        <f t="shared" si="317"/>
        <v/>
      </c>
      <c r="K553" s="84" t="str">
        <f t="shared" si="318"/>
        <v/>
      </c>
      <c r="L553" s="82" t="str">
        <f t="shared" si="319"/>
        <v/>
      </c>
      <c r="M553" s="82" t="str">
        <f t="shared" si="320"/>
        <v/>
      </c>
      <c r="N553" s="82" t="str">
        <f t="shared" si="321"/>
        <v/>
      </c>
      <c r="O553" s="82" t="str">
        <f t="shared" si="322"/>
        <v/>
      </c>
      <c r="P553" s="82" t="str">
        <f t="shared" si="323"/>
        <v/>
      </c>
      <c r="Q553" s="82" t="str">
        <f t="shared" si="324"/>
        <v/>
      </c>
      <c r="R553" s="82"/>
      <c r="S553" s="85" t="str">
        <f t="shared" si="325"/>
        <v/>
      </c>
      <c r="T553" s="82" t="str">
        <f t="shared" si="326"/>
        <v/>
      </c>
      <c r="U553" s="82" t="str">
        <f t="shared" si="327"/>
        <v/>
      </c>
      <c r="V553" s="85" t="str">
        <f t="shared" si="328"/>
        <v/>
      </c>
      <c r="W553" s="82" t="str">
        <f t="shared" si="329"/>
        <v/>
      </c>
      <c r="X553" s="82" t="str">
        <f>IF(B553&lt;&gt;"",IF(MONTH(E553)=MONTH($F$13),SUMIF($C$22:C932,"="&amp;(C553-1),$G$22:G932),0)*S553,"")</f>
        <v/>
      </c>
      <c r="Y553" s="82" t="str">
        <f>IF(B553&lt;&gt;"",SUM($X$22:X553),"")</f>
        <v/>
      </c>
      <c r="Z553" s="82" t="str">
        <f t="shared" si="330"/>
        <v/>
      </c>
      <c r="AA553" s="82" t="str">
        <f t="shared" si="331"/>
        <v/>
      </c>
      <c r="AB553" s="82" t="str">
        <f t="shared" si="332"/>
        <v/>
      </c>
      <c r="AC553" s="82" t="str">
        <f t="shared" si="333"/>
        <v/>
      </c>
      <c r="AD553" s="82" t="str">
        <f>IFERROR($U553*(1-$V553)+SUM($W$22:$W553)+$AB553,"")</f>
        <v/>
      </c>
      <c r="AE553" s="73" t="b">
        <f t="shared" si="344"/>
        <v>1</v>
      </c>
      <c r="AF553" s="82" t="e">
        <f>IF(AND(AE553=TRUE,D553&gt;=65),$U553*(1-10%)+SUM($W$22:$W553)+$AB553,AD553)</f>
        <v>#VALUE!</v>
      </c>
      <c r="AG553" s="82" t="str">
        <f t="shared" si="334"/>
        <v/>
      </c>
      <c r="AH553" s="82" t="str">
        <f t="shared" si="335"/>
        <v/>
      </c>
      <c r="AI553" s="82" t="str">
        <f t="shared" si="336"/>
        <v/>
      </c>
      <c r="AJ553" s="82" t="str">
        <f t="shared" si="337"/>
        <v/>
      </c>
      <c r="AK553" s="73" t="b">
        <f t="shared" si="345"/>
        <v>1</v>
      </c>
      <c r="AL553" s="82" t="str">
        <f t="shared" si="338"/>
        <v/>
      </c>
      <c r="AM553" s="82" t="str">
        <f t="shared" si="339"/>
        <v/>
      </c>
      <c r="AN553" s="82" t="str">
        <f t="shared" si="340"/>
        <v/>
      </c>
      <c r="AO553" s="82" t="str">
        <f t="shared" si="341"/>
        <v/>
      </c>
      <c r="AP553" s="82" t="str">
        <f t="shared" si="342"/>
        <v/>
      </c>
    </row>
    <row r="554" spans="1:42" s="31" customFormat="1" x14ac:dyDescent="0.6">
      <c r="A554" s="70" t="str">
        <f t="shared" si="343"/>
        <v/>
      </c>
      <c r="B554" s="70" t="str">
        <f>IF(E554&lt;=$F$9,VLOOKUP(KALKULATOR!A554,Robocze!$B$23:$C$102,2),"")</f>
        <v/>
      </c>
      <c r="C554" s="70" t="str">
        <f t="shared" si="311"/>
        <v/>
      </c>
      <c r="D554" s="71" t="str">
        <f t="shared" si="312"/>
        <v/>
      </c>
      <c r="E554" s="72" t="str">
        <f t="shared" si="313"/>
        <v/>
      </c>
      <c r="F554" s="72" t="str">
        <f t="shared" si="314"/>
        <v/>
      </c>
      <c r="G554" s="73" t="str">
        <f>IFERROR(IF(AND(F554&lt;=$F$9,$F$5=Robocze!$B$4,$E554&lt;=$F$9,MONTH($F$8)=MONTH(E554)),$F$4,0)+IF(AND(F554&lt;=$F$9,$F$5=Robocze!$B$3,E554&lt;=$F$9),KALKULATOR!$F$4/12,0),"")</f>
        <v/>
      </c>
      <c r="H554" s="73" t="str">
        <f t="shared" si="315"/>
        <v/>
      </c>
      <c r="I554" s="74" t="str">
        <f t="shared" si="316"/>
        <v/>
      </c>
      <c r="J554" s="73" t="str">
        <f t="shared" si="317"/>
        <v/>
      </c>
      <c r="K554" s="75" t="str">
        <f t="shared" si="318"/>
        <v/>
      </c>
      <c r="L554" s="73" t="str">
        <f t="shared" si="319"/>
        <v/>
      </c>
      <c r="M554" s="73" t="str">
        <f t="shared" si="320"/>
        <v/>
      </c>
      <c r="N554" s="73" t="str">
        <f t="shared" si="321"/>
        <v/>
      </c>
      <c r="O554" s="73" t="str">
        <f t="shared" si="322"/>
        <v/>
      </c>
      <c r="P554" s="73" t="str">
        <f t="shared" si="323"/>
        <v/>
      </c>
      <c r="Q554" s="73" t="str">
        <f t="shared" si="324"/>
        <v/>
      </c>
      <c r="R554" s="73"/>
      <c r="S554" s="76" t="str">
        <f t="shared" si="325"/>
        <v/>
      </c>
      <c r="T554" s="73" t="str">
        <f t="shared" si="326"/>
        <v/>
      </c>
      <c r="U554" s="73" t="str">
        <f t="shared" si="327"/>
        <v/>
      </c>
      <c r="V554" s="76" t="str">
        <f t="shared" si="328"/>
        <v/>
      </c>
      <c r="W554" s="73" t="str">
        <f t="shared" si="329"/>
        <v/>
      </c>
      <c r="X554" s="73" t="str">
        <f>IF(B554&lt;&gt;"",IF(MONTH(E554)=MONTH($F$13),SUMIF($C$22:C933,"="&amp;(C554-1),$G$22:G933),0)*S554,"")</f>
        <v/>
      </c>
      <c r="Y554" s="73" t="str">
        <f>IF(B554&lt;&gt;"",SUM($X$22:X554),"")</f>
        <v/>
      </c>
      <c r="Z554" s="73" t="str">
        <f t="shared" si="330"/>
        <v/>
      </c>
      <c r="AA554" s="73" t="str">
        <f t="shared" si="331"/>
        <v/>
      </c>
      <c r="AB554" s="73" t="str">
        <f t="shared" si="332"/>
        <v/>
      </c>
      <c r="AC554" s="73" t="str">
        <f t="shared" si="333"/>
        <v/>
      </c>
      <c r="AD554" s="73" t="str">
        <f>IFERROR($U554*(1-$V554)+SUM($W$22:$W554)+$AB554,"")</f>
        <v/>
      </c>
      <c r="AE554" s="73" t="b">
        <f t="shared" si="344"/>
        <v>1</v>
      </c>
      <c r="AF554" s="73" t="e">
        <f>IF(AND(AE554=TRUE,D554&gt;=65),$U554*(1-10%)+SUM($W$22:$W554)+$AB554,AD554)</f>
        <v>#VALUE!</v>
      </c>
      <c r="AG554" s="73" t="str">
        <f t="shared" si="334"/>
        <v/>
      </c>
      <c r="AH554" s="73" t="str">
        <f t="shared" si="335"/>
        <v/>
      </c>
      <c r="AI554" s="73" t="str">
        <f t="shared" si="336"/>
        <v/>
      </c>
      <c r="AJ554" s="73" t="str">
        <f t="shared" si="337"/>
        <v/>
      </c>
      <c r="AK554" s="73" t="b">
        <f t="shared" si="345"/>
        <v>1</v>
      </c>
      <c r="AL554" s="73" t="str">
        <f t="shared" si="338"/>
        <v/>
      </c>
      <c r="AM554" s="73" t="str">
        <f t="shared" si="339"/>
        <v/>
      </c>
      <c r="AN554" s="73" t="str">
        <f t="shared" si="340"/>
        <v/>
      </c>
      <c r="AO554" s="73" t="str">
        <f t="shared" si="341"/>
        <v/>
      </c>
      <c r="AP554" s="73" t="str">
        <f t="shared" si="342"/>
        <v/>
      </c>
    </row>
    <row r="555" spans="1:42" s="31" customFormat="1" x14ac:dyDescent="0.6">
      <c r="A555" s="70" t="str">
        <f t="shared" si="343"/>
        <v/>
      </c>
      <c r="B555" s="70" t="str">
        <f>IF(E555&lt;=$F$9,VLOOKUP(KALKULATOR!A555,Robocze!$B$23:$C$102,2),"")</f>
        <v/>
      </c>
      <c r="C555" s="70" t="str">
        <f t="shared" si="311"/>
        <v/>
      </c>
      <c r="D555" s="71" t="str">
        <f t="shared" si="312"/>
        <v/>
      </c>
      <c r="E555" s="77" t="str">
        <f t="shared" si="313"/>
        <v/>
      </c>
      <c r="F555" s="72" t="str">
        <f t="shared" si="314"/>
        <v/>
      </c>
      <c r="G555" s="73" t="str">
        <f>IFERROR(IF(AND(F555&lt;=$F$9,$F$5=Robocze!$B$4,$E555&lt;=$F$9,MONTH($F$8)=MONTH(E555)),$F$4,0)+IF(AND(F555&lt;=$F$9,$F$5=Robocze!$B$3,E555&lt;=$F$9),KALKULATOR!$F$4/12,0),"")</f>
        <v/>
      </c>
      <c r="H555" s="73" t="str">
        <f t="shared" si="315"/>
        <v/>
      </c>
      <c r="I555" s="74" t="str">
        <f t="shared" si="316"/>
        <v/>
      </c>
      <c r="J555" s="73" t="str">
        <f t="shared" si="317"/>
        <v/>
      </c>
      <c r="K555" s="75" t="str">
        <f t="shared" si="318"/>
        <v/>
      </c>
      <c r="L555" s="73" t="str">
        <f t="shared" si="319"/>
        <v/>
      </c>
      <c r="M555" s="73" t="str">
        <f t="shared" si="320"/>
        <v/>
      </c>
      <c r="N555" s="73" t="str">
        <f t="shared" si="321"/>
        <v/>
      </c>
      <c r="O555" s="73" t="str">
        <f t="shared" si="322"/>
        <v/>
      </c>
      <c r="P555" s="73" t="str">
        <f t="shared" si="323"/>
        <v/>
      </c>
      <c r="Q555" s="73" t="str">
        <f t="shared" si="324"/>
        <v/>
      </c>
      <c r="R555" s="73"/>
      <c r="S555" s="76" t="str">
        <f t="shared" si="325"/>
        <v/>
      </c>
      <c r="T555" s="73" t="str">
        <f t="shared" si="326"/>
        <v/>
      </c>
      <c r="U555" s="73" t="str">
        <f t="shared" si="327"/>
        <v/>
      </c>
      <c r="V555" s="76" t="str">
        <f t="shared" si="328"/>
        <v/>
      </c>
      <c r="W555" s="73" t="str">
        <f t="shared" si="329"/>
        <v/>
      </c>
      <c r="X555" s="73" t="str">
        <f>IF(B555&lt;&gt;"",IF(MONTH(E555)=MONTH($F$13),SUMIF($C$22:C934,"="&amp;(C555-1),$G$22:G934),0)*S555,"")</f>
        <v/>
      </c>
      <c r="Y555" s="73" t="str">
        <f>IF(B555&lt;&gt;"",SUM($X$22:X555),"")</f>
        <v/>
      </c>
      <c r="Z555" s="73" t="str">
        <f t="shared" si="330"/>
        <v/>
      </c>
      <c r="AA555" s="73" t="str">
        <f t="shared" si="331"/>
        <v/>
      </c>
      <c r="AB555" s="73" t="str">
        <f t="shared" si="332"/>
        <v/>
      </c>
      <c r="AC555" s="73" t="str">
        <f t="shared" si="333"/>
        <v/>
      </c>
      <c r="AD555" s="73" t="str">
        <f>IFERROR($U555*(1-$V555)+SUM($W$22:$W555)+$AB555,"")</f>
        <v/>
      </c>
      <c r="AE555" s="73" t="b">
        <f t="shared" si="344"/>
        <v>1</v>
      </c>
      <c r="AF555" s="73" t="e">
        <f>IF(AND(AE555=TRUE,D555&gt;=65),$U555*(1-10%)+SUM($W$22:$W555)+$AB555,AD555)</f>
        <v>#VALUE!</v>
      </c>
      <c r="AG555" s="73" t="str">
        <f t="shared" si="334"/>
        <v/>
      </c>
      <c r="AH555" s="73" t="str">
        <f t="shared" si="335"/>
        <v/>
      </c>
      <c r="AI555" s="73" t="str">
        <f t="shared" si="336"/>
        <v/>
      </c>
      <c r="AJ555" s="73" t="str">
        <f t="shared" si="337"/>
        <v/>
      </c>
      <c r="AK555" s="73" t="b">
        <f t="shared" si="345"/>
        <v>1</v>
      </c>
      <c r="AL555" s="73" t="str">
        <f t="shared" si="338"/>
        <v/>
      </c>
      <c r="AM555" s="73" t="str">
        <f t="shared" si="339"/>
        <v/>
      </c>
      <c r="AN555" s="73" t="str">
        <f t="shared" si="340"/>
        <v/>
      </c>
      <c r="AO555" s="73" t="str">
        <f t="shared" si="341"/>
        <v/>
      </c>
      <c r="AP555" s="73" t="str">
        <f t="shared" si="342"/>
        <v/>
      </c>
    </row>
    <row r="556" spans="1:42" s="31" customFormat="1" x14ac:dyDescent="0.6">
      <c r="A556" s="70" t="str">
        <f t="shared" si="343"/>
        <v/>
      </c>
      <c r="B556" s="70" t="str">
        <f>IF(E556&lt;=$F$9,VLOOKUP(KALKULATOR!A556,Robocze!$B$23:$C$102,2),"")</f>
        <v/>
      </c>
      <c r="C556" s="70" t="str">
        <f t="shared" si="311"/>
        <v/>
      </c>
      <c r="D556" s="71" t="str">
        <f t="shared" si="312"/>
        <v/>
      </c>
      <c r="E556" s="77" t="str">
        <f t="shared" si="313"/>
        <v/>
      </c>
      <c r="F556" s="72" t="str">
        <f t="shared" si="314"/>
        <v/>
      </c>
      <c r="G556" s="73" t="str">
        <f>IFERROR(IF(AND(F556&lt;=$F$9,$F$5=Robocze!$B$4,$E556&lt;=$F$9,MONTH($F$8)=MONTH(E556)),$F$4,0)+IF(AND(F556&lt;=$F$9,$F$5=Robocze!$B$3,E556&lt;=$F$9),KALKULATOR!$F$4/12,0),"")</f>
        <v/>
      </c>
      <c r="H556" s="73" t="str">
        <f t="shared" si="315"/>
        <v/>
      </c>
      <c r="I556" s="74" t="str">
        <f t="shared" si="316"/>
        <v/>
      </c>
      <c r="J556" s="73" t="str">
        <f t="shared" si="317"/>
        <v/>
      </c>
      <c r="K556" s="75" t="str">
        <f t="shared" si="318"/>
        <v/>
      </c>
      <c r="L556" s="73" t="str">
        <f t="shared" si="319"/>
        <v/>
      </c>
      <c r="M556" s="73" t="str">
        <f t="shared" si="320"/>
        <v/>
      </c>
      <c r="N556" s="73" t="str">
        <f t="shared" si="321"/>
        <v/>
      </c>
      <c r="O556" s="73" t="str">
        <f t="shared" si="322"/>
        <v/>
      </c>
      <c r="P556" s="73" t="str">
        <f t="shared" si="323"/>
        <v/>
      </c>
      <c r="Q556" s="73" t="str">
        <f t="shared" si="324"/>
        <v/>
      </c>
      <c r="R556" s="73"/>
      <c r="S556" s="76" t="str">
        <f t="shared" si="325"/>
        <v/>
      </c>
      <c r="T556" s="73" t="str">
        <f t="shared" si="326"/>
        <v/>
      </c>
      <c r="U556" s="73" t="str">
        <f t="shared" si="327"/>
        <v/>
      </c>
      <c r="V556" s="76" t="str">
        <f t="shared" si="328"/>
        <v/>
      </c>
      <c r="W556" s="73" t="str">
        <f t="shared" si="329"/>
        <v/>
      </c>
      <c r="X556" s="73" t="str">
        <f>IF(B556&lt;&gt;"",IF(MONTH(E556)=MONTH($F$13),SUMIF($C$22:C935,"="&amp;(C556-1),$G$22:G935),0)*S556,"")</f>
        <v/>
      </c>
      <c r="Y556" s="73" t="str">
        <f>IF(B556&lt;&gt;"",SUM($X$22:X556),"")</f>
        <v/>
      </c>
      <c r="Z556" s="73" t="str">
        <f t="shared" si="330"/>
        <v/>
      </c>
      <c r="AA556" s="73" t="str">
        <f t="shared" si="331"/>
        <v/>
      </c>
      <c r="AB556" s="73" t="str">
        <f t="shared" si="332"/>
        <v/>
      </c>
      <c r="AC556" s="73" t="str">
        <f t="shared" si="333"/>
        <v/>
      </c>
      <c r="AD556" s="73" t="str">
        <f>IFERROR($U556*(1-$V556)+SUM($W$22:$W556)+$AB556,"")</f>
        <v/>
      </c>
      <c r="AE556" s="73" t="b">
        <f t="shared" si="344"/>
        <v>1</v>
      </c>
      <c r="AF556" s="73" t="e">
        <f>IF(AND(AE556=TRUE,D556&gt;=65),$U556*(1-10%)+SUM($W$22:$W556)+$AB556,AD556)</f>
        <v>#VALUE!</v>
      </c>
      <c r="AG556" s="73" t="str">
        <f t="shared" si="334"/>
        <v/>
      </c>
      <c r="AH556" s="73" t="str">
        <f t="shared" si="335"/>
        <v/>
      </c>
      <c r="AI556" s="73" t="str">
        <f t="shared" si="336"/>
        <v/>
      </c>
      <c r="AJ556" s="73" t="str">
        <f t="shared" si="337"/>
        <v/>
      </c>
      <c r="AK556" s="73" t="b">
        <f t="shared" si="345"/>
        <v>1</v>
      </c>
      <c r="AL556" s="73" t="str">
        <f t="shared" si="338"/>
        <v/>
      </c>
      <c r="AM556" s="73" t="str">
        <f t="shared" si="339"/>
        <v/>
      </c>
      <c r="AN556" s="73" t="str">
        <f t="shared" si="340"/>
        <v/>
      </c>
      <c r="AO556" s="73" t="str">
        <f t="shared" si="341"/>
        <v/>
      </c>
      <c r="AP556" s="73" t="str">
        <f t="shared" si="342"/>
        <v/>
      </c>
    </row>
    <row r="557" spans="1:42" s="31" customFormat="1" x14ac:dyDescent="0.6">
      <c r="A557" s="70" t="str">
        <f t="shared" si="343"/>
        <v/>
      </c>
      <c r="B557" s="70" t="str">
        <f>IF(E557&lt;=$F$9,VLOOKUP(KALKULATOR!A557,Robocze!$B$23:$C$102,2),"")</f>
        <v/>
      </c>
      <c r="C557" s="70" t="str">
        <f t="shared" si="311"/>
        <v/>
      </c>
      <c r="D557" s="71" t="str">
        <f t="shared" si="312"/>
        <v/>
      </c>
      <c r="E557" s="77" t="str">
        <f t="shared" si="313"/>
        <v/>
      </c>
      <c r="F557" s="72" t="str">
        <f t="shared" si="314"/>
        <v/>
      </c>
      <c r="G557" s="73" t="str">
        <f>IFERROR(IF(AND(F557&lt;=$F$9,$F$5=Robocze!$B$4,$E557&lt;=$F$9,MONTH($F$8)=MONTH(E557)),$F$4,0)+IF(AND(F557&lt;=$F$9,$F$5=Robocze!$B$3,E557&lt;=$F$9),KALKULATOR!$F$4/12,0),"")</f>
        <v/>
      </c>
      <c r="H557" s="73" t="str">
        <f t="shared" si="315"/>
        <v/>
      </c>
      <c r="I557" s="74" t="str">
        <f t="shared" si="316"/>
        <v/>
      </c>
      <c r="J557" s="73" t="str">
        <f t="shared" si="317"/>
        <v/>
      </c>
      <c r="K557" s="75" t="str">
        <f t="shared" si="318"/>
        <v/>
      </c>
      <c r="L557" s="73" t="str">
        <f t="shared" si="319"/>
        <v/>
      </c>
      <c r="M557" s="73" t="str">
        <f t="shared" si="320"/>
        <v/>
      </c>
      <c r="N557" s="73" t="str">
        <f t="shared" si="321"/>
        <v/>
      </c>
      <c r="O557" s="73" t="str">
        <f t="shared" si="322"/>
        <v/>
      </c>
      <c r="P557" s="73" t="str">
        <f t="shared" si="323"/>
        <v/>
      </c>
      <c r="Q557" s="73" t="str">
        <f t="shared" si="324"/>
        <v/>
      </c>
      <c r="R557" s="73"/>
      <c r="S557" s="76" t="str">
        <f t="shared" si="325"/>
        <v/>
      </c>
      <c r="T557" s="73" t="str">
        <f t="shared" si="326"/>
        <v/>
      </c>
      <c r="U557" s="73" t="str">
        <f t="shared" si="327"/>
        <v/>
      </c>
      <c r="V557" s="76" t="str">
        <f t="shared" si="328"/>
        <v/>
      </c>
      <c r="W557" s="73" t="str">
        <f t="shared" si="329"/>
        <v/>
      </c>
      <c r="X557" s="73" t="str">
        <f>IF(B557&lt;&gt;"",IF(MONTH(E557)=MONTH($F$13),SUMIF($C$22:C936,"="&amp;(C557-1),$G$22:G936),0)*S557,"")</f>
        <v/>
      </c>
      <c r="Y557" s="73" t="str">
        <f>IF(B557&lt;&gt;"",SUM($X$22:X557),"")</f>
        <v/>
      </c>
      <c r="Z557" s="73" t="str">
        <f t="shared" si="330"/>
        <v/>
      </c>
      <c r="AA557" s="73" t="str">
        <f t="shared" si="331"/>
        <v/>
      </c>
      <c r="AB557" s="73" t="str">
        <f t="shared" si="332"/>
        <v/>
      </c>
      <c r="AC557" s="73" t="str">
        <f t="shared" si="333"/>
        <v/>
      </c>
      <c r="AD557" s="73" t="str">
        <f>IFERROR($U557*(1-$V557)+SUM($W$22:$W557)+$AB557,"")</f>
        <v/>
      </c>
      <c r="AE557" s="73" t="b">
        <f t="shared" si="344"/>
        <v>1</v>
      </c>
      <c r="AF557" s="73" t="e">
        <f>IF(AND(AE557=TRUE,D557&gt;=65),$U557*(1-10%)+SUM($W$22:$W557)+$AB557,AD557)</f>
        <v>#VALUE!</v>
      </c>
      <c r="AG557" s="73" t="str">
        <f t="shared" si="334"/>
        <v/>
      </c>
      <c r="AH557" s="73" t="str">
        <f t="shared" si="335"/>
        <v/>
      </c>
      <c r="AI557" s="73" t="str">
        <f t="shared" si="336"/>
        <v/>
      </c>
      <c r="AJ557" s="73" t="str">
        <f t="shared" si="337"/>
        <v/>
      </c>
      <c r="AK557" s="73" t="b">
        <f t="shared" si="345"/>
        <v>1</v>
      </c>
      <c r="AL557" s="73" t="str">
        <f t="shared" si="338"/>
        <v/>
      </c>
      <c r="AM557" s="73" t="str">
        <f t="shared" si="339"/>
        <v/>
      </c>
      <c r="AN557" s="73" t="str">
        <f t="shared" si="340"/>
        <v/>
      </c>
      <c r="AO557" s="73" t="str">
        <f t="shared" si="341"/>
        <v/>
      </c>
      <c r="AP557" s="73" t="str">
        <f t="shared" si="342"/>
        <v/>
      </c>
    </row>
    <row r="558" spans="1:42" s="31" customFormat="1" x14ac:dyDescent="0.6">
      <c r="A558" s="70" t="str">
        <f t="shared" si="343"/>
        <v/>
      </c>
      <c r="B558" s="70" t="str">
        <f>IF(E558&lt;=$F$9,VLOOKUP(KALKULATOR!A558,Robocze!$B$23:$C$102,2),"")</f>
        <v/>
      </c>
      <c r="C558" s="70" t="str">
        <f t="shared" si="311"/>
        <v/>
      </c>
      <c r="D558" s="71" t="str">
        <f t="shared" si="312"/>
        <v/>
      </c>
      <c r="E558" s="77" t="str">
        <f t="shared" si="313"/>
        <v/>
      </c>
      <c r="F558" s="72" t="str">
        <f t="shared" si="314"/>
        <v/>
      </c>
      <c r="G558" s="73" t="str">
        <f>IFERROR(IF(AND(F558&lt;=$F$9,$F$5=Robocze!$B$4,$E558&lt;=$F$9,MONTH($F$8)=MONTH(E558)),$F$4,0)+IF(AND(F558&lt;=$F$9,$F$5=Robocze!$B$3,E558&lt;=$F$9),KALKULATOR!$F$4/12,0),"")</f>
        <v/>
      </c>
      <c r="H558" s="73" t="str">
        <f t="shared" si="315"/>
        <v/>
      </c>
      <c r="I558" s="74" t="str">
        <f t="shared" si="316"/>
        <v/>
      </c>
      <c r="J558" s="73" t="str">
        <f t="shared" si="317"/>
        <v/>
      </c>
      <c r="K558" s="75" t="str">
        <f t="shared" si="318"/>
        <v/>
      </c>
      <c r="L558" s="73" t="str">
        <f t="shared" si="319"/>
        <v/>
      </c>
      <c r="M558" s="73" t="str">
        <f t="shared" si="320"/>
        <v/>
      </c>
      <c r="N558" s="73" t="str">
        <f t="shared" si="321"/>
        <v/>
      </c>
      <c r="O558" s="73" t="str">
        <f t="shared" si="322"/>
        <v/>
      </c>
      <c r="P558" s="73" t="str">
        <f t="shared" si="323"/>
        <v/>
      </c>
      <c r="Q558" s="73" t="str">
        <f t="shared" si="324"/>
        <v/>
      </c>
      <c r="R558" s="73"/>
      <c r="S558" s="76" t="str">
        <f t="shared" si="325"/>
        <v/>
      </c>
      <c r="T558" s="73" t="str">
        <f t="shared" si="326"/>
        <v/>
      </c>
      <c r="U558" s="73" t="str">
        <f t="shared" si="327"/>
        <v/>
      </c>
      <c r="V558" s="76" t="str">
        <f t="shared" si="328"/>
        <v/>
      </c>
      <c r="W558" s="73" t="str">
        <f t="shared" si="329"/>
        <v/>
      </c>
      <c r="X558" s="73" t="str">
        <f>IF(B558&lt;&gt;"",IF(MONTH(E558)=MONTH($F$13),SUMIF($C$22:C937,"="&amp;(C558-1),$G$22:G937),0)*S558,"")</f>
        <v/>
      </c>
      <c r="Y558" s="73" t="str">
        <f>IF(B558&lt;&gt;"",SUM($X$22:X558),"")</f>
        <v/>
      </c>
      <c r="Z558" s="73" t="str">
        <f t="shared" si="330"/>
        <v/>
      </c>
      <c r="AA558" s="73" t="str">
        <f t="shared" si="331"/>
        <v/>
      </c>
      <c r="AB558" s="73" t="str">
        <f t="shared" si="332"/>
        <v/>
      </c>
      <c r="AC558" s="73" t="str">
        <f t="shared" si="333"/>
        <v/>
      </c>
      <c r="AD558" s="73" t="str">
        <f>IFERROR($U558*(1-$V558)+SUM($W$22:$W558)+$AB558,"")</f>
        <v/>
      </c>
      <c r="AE558" s="73" t="b">
        <f t="shared" si="344"/>
        <v>1</v>
      </c>
      <c r="AF558" s="73" t="e">
        <f>IF(AND(AE558=TRUE,D558&gt;=65),$U558*(1-10%)+SUM($W$22:$W558)+$AB558,AD558)</f>
        <v>#VALUE!</v>
      </c>
      <c r="AG558" s="73" t="str">
        <f t="shared" si="334"/>
        <v/>
      </c>
      <c r="AH558" s="73" t="str">
        <f t="shared" si="335"/>
        <v/>
      </c>
      <c r="AI558" s="73" t="str">
        <f t="shared" si="336"/>
        <v/>
      </c>
      <c r="AJ558" s="73" t="str">
        <f t="shared" si="337"/>
        <v/>
      </c>
      <c r="AK558" s="73" t="b">
        <f t="shared" si="345"/>
        <v>1</v>
      </c>
      <c r="AL558" s="73" t="str">
        <f t="shared" si="338"/>
        <v/>
      </c>
      <c r="AM558" s="73" t="str">
        <f t="shared" si="339"/>
        <v/>
      </c>
      <c r="AN558" s="73" t="str">
        <f t="shared" si="340"/>
        <v/>
      </c>
      <c r="AO558" s="73" t="str">
        <f t="shared" si="341"/>
        <v/>
      </c>
      <c r="AP558" s="73" t="str">
        <f t="shared" si="342"/>
        <v/>
      </c>
    </row>
    <row r="559" spans="1:42" s="31" customFormat="1" x14ac:dyDescent="0.6">
      <c r="A559" s="70" t="str">
        <f t="shared" si="343"/>
        <v/>
      </c>
      <c r="B559" s="70" t="str">
        <f>IF(E559&lt;=$F$9,VLOOKUP(KALKULATOR!A559,Robocze!$B$23:$C$102,2),"")</f>
        <v/>
      </c>
      <c r="C559" s="70" t="str">
        <f t="shared" si="311"/>
        <v/>
      </c>
      <c r="D559" s="71" t="str">
        <f t="shared" si="312"/>
        <v/>
      </c>
      <c r="E559" s="77" t="str">
        <f t="shared" si="313"/>
        <v/>
      </c>
      <c r="F559" s="72" t="str">
        <f t="shared" si="314"/>
        <v/>
      </c>
      <c r="G559" s="73" t="str">
        <f>IFERROR(IF(AND(F559&lt;=$F$9,$F$5=Robocze!$B$4,$E559&lt;=$F$9,MONTH($F$8)=MONTH(E559)),$F$4,0)+IF(AND(F559&lt;=$F$9,$F$5=Robocze!$B$3,E559&lt;=$F$9),KALKULATOR!$F$4/12,0),"")</f>
        <v/>
      </c>
      <c r="H559" s="73" t="str">
        <f t="shared" si="315"/>
        <v/>
      </c>
      <c r="I559" s="74" t="str">
        <f t="shared" si="316"/>
        <v/>
      </c>
      <c r="J559" s="73" t="str">
        <f t="shared" si="317"/>
        <v/>
      </c>
      <c r="K559" s="75" t="str">
        <f t="shared" si="318"/>
        <v/>
      </c>
      <c r="L559" s="73" t="str">
        <f t="shared" si="319"/>
        <v/>
      </c>
      <c r="M559" s="73" t="str">
        <f t="shared" si="320"/>
        <v/>
      </c>
      <c r="N559" s="73" t="str">
        <f t="shared" si="321"/>
        <v/>
      </c>
      <c r="O559" s="73" t="str">
        <f t="shared" si="322"/>
        <v/>
      </c>
      <c r="P559" s="73" t="str">
        <f t="shared" si="323"/>
        <v/>
      </c>
      <c r="Q559" s="73" t="str">
        <f t="shared" si="324"/>
        <v/>
      </c>
      <c r="R559" s="73"/>
      <c r="S559" s="76" t="str">
        <f t="shared" si="325"/>
        <v/>
      </c>
      <c r="T559" s="73" t="str">
        <f t="shared" si="326"/>
        <v/>
      </c>
      <c r="U559" s="73" t="str">
        <f t="shared" si="327"/>
        <v/>
      </c>
      <c r="V559" s="76" t="str">
        <f t="shared" si="328"/>
        <v/>
      </c>
      <c r="W559" s="73" t="str">
        <f t="shared" si="329"/>
        <v/>
      </c>
      <c r="X559" s="73" t="str">
        <f>IF(B559&lt;&gt;"",IF(MONTH(E559)=MONTH($F$13),SUMIF($C$22:C938,"="&amp;(C559-1),$G$22:G938),0)*S559,"")</f>
        <v/>
      </c>
      <c r="Y559" s="73" t="str">
        <f>IF(B559&lt;&gt;"",SUM($X$22:X559),"")</f>
        <v/>
      </c>
      <c r="Z559" s="73" t="str">
        <f t="shared" si="330"/>
        <v/>
      </c>
      <c r="AA559" s="73" t="str">
        <f t="shared" si="331"/>
        <v/>
      </c>
      <c r="AB559" s="73" t="str">
        <f t="shared" si="332"/>
        <v/>
      </c>
      <c r="AC559" s="73" t="str">
        <f t="shared" si="333"/>
        <v/>
      </c>
      <c r="AD559" s="73" t="str">
        <f>IFERROR($U559*(1-$V559)+SUM($W$22:$W559)+$AB559,"")</f>
        <v/>
      </c>
      <c r="AE559" s="73" t="b">
        <f t="shared" si="344"/>
        <v>1</v>
      </c>
      <c r="AF559" s="73" t="e">
        <f>IF(AND(AE559=TRUE,D559&gt;=65),$U559*(1-10%)+SUM($W$22:$W559)+$AB559,AD559)</f>
        <v>#VALUE!</v>
      </c>
      <c r="AG559" s="73" t="str">
        <f t="shared" si="334"/>
        <v/>
      </c>
      <c r="AH559" s="73" t="str">
        <f t="shared" si="335"/>
        <v/>
      </c>
      <c r="AI559" s="73" t="str">
        <f t="shared" si="336"/>
        <v/>
      </c>
      <c r="AJ559" s="73" t="str">
        <f t="shared" si="337"/>
        <v/>
      </c>
      <c r="AK559" s="73" t="b">
        <f t="shared" si="345"/>
        <v>1</v>
      </c>
      <c r="AL559" s="73" t="str">
        <f t="shared" si="338"/>
        <v/>
      </c>
      <c r="AM559" s="73" t="str">
        <f t="shared" si="339"/>
        <v/>
      </c>
      <c r="AN559" s="73" t="str">
        <f t="shared" si="340"/>
        <v/>
      </c>
      <c r="AO559" s="73" t="str">
        <f t="shared" si="341"/>
        <v/>
      </c>
      <c r="AP559" s="73" t="str">
        <f t="shared" si="342"/>
        <v/>
      </c>
    </row>
    <row r="560" spans="1:42" s="31" customFormat="1" x14ac:dyDescent="0.6">
      <c r="A560" s="70" t="str">
        <f t="shared" si="343"/>
        <v/>
      </c>
      <c r="B560" s="70" t="str">
        <f>IF(E560&lt;=$F$9,VLOOKUP(KALKULATOR!A560,Robocze!$B$23:$C$102,2),"")</f>
        <v/>
      </c>
      <c r="C560" s="70" t="str">
        <f t="shared" si="311"/>
        <v/>
      </c>
      <c r="D560" s="71" t="str">
        <f t="shared" si="312"/>
        <v/>
      </c>
      <c r="E560" s="77" t="str">
        <f t="shared" si="313"/>
        <v/>
      </c>
      <c r="F560" s="72" t="str">
        <f t="shared" si="314"/>
        <v/>
      </c>
      <c r="G560" s="73" t="str">
        <f>IFERROR(IF(AND(F560&lt;=$F$9,$F$5=Robocze!$B$4,$E560&lt;=$F$9,MONTH($F$8)=MONTH(E560)),$F$4,0)+IF(AND(F560&lt;=$F$9,$F$5=Robocze!$B$3,E560&lt;=$F$9),KALKULATOR!$F$4/12,0),"")</f>
        <v/>
      </c>
      <c r="H560" s="73" t="str">
        <f t="shared" si="315"/>
        <v/>
      </c>
      <c r="I560" s="74" t="str">
        <f t="shared" si="316"/>
        <v/>
      </c>
      <c r="J560" s="73" t="str">
        <f t="shared" si="317"/>
        <v/>
      </c>
      <c r="K560" s="75" t="str">
        <f t="shared" si="318"/>
        <v/>
      </c>
      <c r="L560" s="73" t="str">
        <f t="shared" si="319"/>
        <v/>
      </c>
      <c r="M560" s="73" t="str">
        <f t="shared" si="320"/>
        <v/>
      </c>
      <c r="N560" s="73" t="str">
        <f t="shared" si="321"/>
        <v/>
      </c>
      <c r="O560" s="73" t="str">
        <f t="shared" si="322"/>
        <v/>
      </c>
      <c r="P560" s="73" t="str">
        <f t="shared" si="323"/>
        <v/>
      </c>
      <c r="Q560" s="73" t="str">
        <f t="shared" si="324"/>
        <v/>
      </c>
      <c r="R560" s="73"/>
      <c r="S560" s="76" t="str">
        <f t="shared" si="325"/>
        <v/>
      </c>
      <c r="T560" s="73" t="str">
        <f t="shared" si="326"/>
        <v/>
      </c>
      <c r="U560" s="73" t="str">
        <f t="shared" si="327"/>
        <v/>
      </c>
      <c r="V560" s="76" t="str">
        <f t="shared" si="328"/>
        <v/>
      </c>
      <c r="W560" s="73" t="str">
        <f t="shared" si="329"/>
        <v/>
      </c>
      <c r="X560" s="73" t="str">
        <f>IF(B560&lt;&gt;"",IF(MONTH(E560)=MONTH($F$13),SUMIF($C$22:C939,"="&amp;(C560-1),$G$22:G939),0)*S560,"")</f>
        <v/>
      </c>
      <c r="Y560" s="73" t="str">
        <f>IF(B560&lt;&gt;"",SUM($X$22:X560),"")</f>
        <v/>
      </c>
      <c r="Z560" s="73" t="str">
        <f t="shared" si="330"/>
        <v/>
      </c>
      <c r="AA560" s="73" t="str">
        <f t="shared" si="331"/>
        <v/>
      </c>
      <c r="AB560" s="73" t="str">
        <f t="shared" si="332"/>
        <v/>
      </c>
      <c r="AC560" s="73" t="str">
        <f t="shared" si="333"/>
        <v/>
      </c>
      <c r="AD560" s="73" t="str">
        <f>IFERROR($U560*(1-$V560)+SUM($W$22:$W560)+$AB560,"")</f>
        <v/>
      </c>
      <c r="AE560" s="73" t="b">
        <f t="shared" si="344"/>
        <v>1</v>
      </c>
      <c r="AF560" s="73" t="e">
        <f>IF(AND(AE560=TRUE,D560&gt;=65),$U560*(1-10%)+SUM($W$22:$W560)+$AB560,AD560)</f>
        <v>#VALUE!</v>
      </c>
      <c r="AG560" s="73" t="str">
        <f t="shared" si="334"/>
        <v/>
      </c>
      <c r="AH560" s="73" t="str">
        <f t="shared" si="335"/>
        <v/>
      </c>
      <c r="AI560" s="73" t="str">
        <f t="shared" si="336"/>
        <v/>
      </c>
      <c r="AJ560" s="73" t="str">
        <f t="shared" si="337"/>
        <v/>
      </c>
      <c r="AK560" s="73" t="b">
        <f t="shared" si="345"/>
        <v>1</v>
      </c>
      <c r="AL560" s="73" t="str">
        <f t="shared" si="338"/>
        <v/>
      </c>
      <c r="AM560" s="73" t="str">
        <f t="shared" si="339"/>
        <v/>
      </c>
      <c r="AN560" s="73" t="str">
        <f t="shared" si="340"/>
        <v/>
      </c>
      <c r="AO560" s="73" t="str">
        <f t="shared" si="341"/>
        <v/>
      </c>
      <c r="AP560" s="73" t="str">
        <f t="shared" si="342"/>
        <v/>
      </c>
    </row>
    <row r="561" spans="1:42" s="31" customFormat="1" x14ac:dyDescent="0.6">
      <c r="A561" s="70" t="str">
        <f t="shared" si="343"/>
        <v/>
      </c>
      <c r="B561" s="70" t="str">
        <f>IF(E561&lt;=$F$9,VLOOKUP(KALKULATOR!A561,Robocze!$B$23:$C$102,2),"")</f>
        <v/>
      </c>
      <c r="C561" s="70" t="str">
        <f t="shared" si="311"/>
        <v/>
      </c>
      <c r="D561" s="71" t="str">
        <f t="shared" si="312"/>
        <v/>
      </c>
      <c r="E561" s="77" t="str">
        <f t="shared" si="313"/>
        <v/>
      </c>
      <c r="F561" s="72" t="str">
        <f t="shared" si="314"/>
        <v/>
      </c>
      <c r="G561" s="73" t="str">
        <f>IFERROR(IF(AND(F561&lt;=$F$9,$F$5=Robocze!$B$4,$E561&lt;=$F$9,MONTH($F$8)=MONTH(E561)),$F$4,0)+IF(AND(F561&lt;=$F$9,$F$5=Robocze!$B$3,E561&lt;=$F$9),KALKULATOR!$F$4/12,0),"")</f>
        <v/>
      </c>
      <c r="H561" s="73" t="str">
        <f t="shared" si="315"/>
        <v/>
      </c>
      <c r="I561" s="74" t="str">
        <f t="shared" si="316"/>
        <v/>
      </c>
      <c r="J561" s="73" t="str">
        <f t="shared" si="317"/>
        <v/>
      </c>
      <c r="K561" s="75" t="str">
        <f t="shared" si="318"/>
        <v/>
      </c>
      <c r="L561" s="73" t="str">
        <f t="shared" si="319"/>
        <v/>
      </c>
      <c r="M561" s="73" t="str">
        <f t="shared" si="320"/>
        <v/>
      </c>
      <c r="N561" s="73" t="str">
        <f t="shared" si="321"/>
        <v/>
      </c>
      <c r="O561" s="73" t="str">
        <f t="shared" si="322"/>
        <v/>
      </c>
      <c r="P561" s="73" t="str">
        <f t="shared" si="323"/>
        <v/>
      </c>
      <c r="Q561" s="73" t="str">
        <f t="shared" si="324"/>
        <v/>
      </c>
      <c r="R561" s="73"/>
      <c r="S561" s="76" t="str">
        <f t="shared" si="325"/>
        <v/>
      </c>
      <c r="T561" s="73" t="str">
        <f t="shared" si="326"/>
        <v/>
      </c>
      <c r="U561" s="73" t="str">
        <f t="shared" si="327"/>
        <v/>
      </c>
      <c r="V561" s="76" t="str">
        <f t="shared" si="328"/>
        <v/>
      </c>
      <c r="W561" s="73" t="str">
        <f t="shared" si="329"/>
        <v/>
      </c>
      <c r="X561" s="73" t="str">
        <f>IF(B561&lt;&gt;"",IF(MONTH(E561)=MONTH($F$13),SUMIF($C$22:C940,"="&amp;(C561-1),$G$22:G940),0)*S561,"")</f>
        <v/>
      </c>
      <c r="Y561" s="73" t="str">
        <f>IF(B561&lt;&gt;"",SUM($X$22:X561),"")</f>
        <v/>
      </c>
      <c r="Z561" s="73" t="str">
        <f t="shared" si="330"/>
        <v/>
      </c>
      <c r="AA561" s="73" t="str">
        <f t="shared" si="331"/>
        <v/>
      </c>
      <c r="AB561" s="73" t="str">
        <f t="shared" si="332"/>
        <v/>
      </c>
      <c r="AC561" s="73" t="str">
        <f t="shared" si="333"/>
        <v/>
      </c>
      <c r="AD561" s="73" t="str">
        <f>IFERROR($U561*(1-$V561)+SUM($W$22:$W561)+$AB561,"")</f>
        <v/>
      </c>
      <c r="AE561" s="73" t="b">
        <f t="shared" si="344"/>
        <v>1</v>
      </c>
      <c r="AF561" s="73" t="e">
        <f>IF(AND(AE561=TRUE,D561&gt;=65),$U561*(1-10%)+SUM($W$22:$W561)+$AB561,AD561)</f>
        <v>#VALUE!</v>
      </c>
      <c r="AG561" s="73" t="str">
        <f t="shared" si="334"/>
        <v/>
      </c>
      <c r="AH561" s="73" t="str">
        <f t="shared" si="335"/>
        <v/>
      </c>
      <c r="AI561" s="73" t="str">
        <f t="shared" si="336"/>
        <v/>
      </c>
      <c r="AJ561" s="73" t="str">
        <f t="shared" si="337"/>
        <v/>
      </c>
      <c r="AK561" s="73" t="b">
        <f t="shared" si="345"/>
        <v>1</v>
      </c>
      <c r="AL561" s="73" t="str">
        <f t="shared" si="338"/>
        <v/>
      </c>
      <c r="AM561" s="73" t="str">
        <f t="shared" si="339"/>
        <v/>
      </c>
      <c r="AN561" s="73" t="str">
        <f t="shared" si="340"/>
        <v/>
      </c>
      <c r="AO561" s="73" t="str">
        <f t="shared" si="341"/>
        <v/>
      </c>
      <c r="AP561" s="73" t="str">
        <f t="shared" si="342"/>
        <v/>
      </c>
    </row>
    <row r="562" spans="1:42" s="31" customFormat="1" x14ac:dyDescent="0.6">
      <c r="A562" s="70" t="str">
        <f t="shared" si="343"/>
        <v/>
      </c>
      <c r="B562" s="70" t="str">
        <f>IF(E562&lt;=$F$9,VLOOKUP(KALKULATOR!A562,Robocze!$B$23:$C$102,2),"")</f>
        <v/>
      </c>
      <c r="C562" s="70" t="str">
        <f t="shared" si="311"/>
        <v/>
      </c>
      <c r="D562" s="71" t="str">
        <f t="shared" si="312"/>
        <v/>
      </c>
      <c r="E562" s="77" t="str">
        <f t="shared" si="313"/>
        <v/>
      </c>
      <c r="F562" s="72" t="str">
        <f t="shared" si="314"/>
        <v/>
      </c>
      <c r="G562" s="73" t="str">
        <f>IFERROR(IF(AND(F562&lt;=$F$9,$F$5=Robocze!$B$4,$E562&lt;=$F$9,MONTH($F$8)=MONTH(E562)),$F$4,0)+IF(AND(F562&lt;=$F$9,$F$5=Robocze!$B$3,E562&lt;=$F$9),KALKULATOR!$F$4/12,0),"")</f>
        <v/>
      </c>
      <c r="H562" s="73" t="str">
        <f t="shared" si="315"/>
        <v/>
      </c>
      <c r="I562" s="74" t="str">
        <f t="shared" si="316"/>
        <v/>
      </c>
      <c r="J562" s="73" t="str">
        <f t="shared" si="317"/>
        <v/>
      </c>
      <c r="K562" s="75" t="str">
        <f t="shared" si="318"/>
        <v/>
      </c>
      <c r="L562" s="73" t="str">
        <f t="shared" si="319"/>
        <v/>
      </c>
      <c r="M562" s="73" t="str">
        <f t="shared" si="320"/>
        <v/>
      </c>
      <c r="N562" s="73" t="str">
        <f t="shared" si="321"/>
        <v/>
      </c>
      <c r="O562" s="73" t="str">
        <f t="shared" si="322"/>
        <v/>
      </c>
      <c r="P562" s="73" t="str">
        <f t="shared" si="323"/>
        <v/>
      </c>
      <c r="Q562" s="73" t="str">
        <f t="shared" si="324"/>
        <v/>
      </c>
      <c r="R562" s="73"/>
      <c r="S562" s="76" t="str">
        <f t="shared" si="325"/>
        <v/>
      </c>
      <c r="T562" s="73" t="str">
        <f t="shared" si="326"/>
        <v/>
      </c>
      <c r="U562" s="73" t="str">
        <f t="shared" si="327"/>
        <v/>
      </c>
      <c r="V562" s="76" t="str">
        <f t="shared" si="328"/>
        <v/>
      </c>
      <c r="W562" s="73" t="str">
        <f t="shared" si="329"/>
        <v/>
      </c>
      <c r="X562" s="73" t="str">
        <f>IF(B562&lt;&gt;"",IF(MONTH(E562)=MONTH($F$13),SUMIF($C$22:C941,"="&amp;(C562-1),$G$22:G941),0)*S562,"")</f>
        <v/>
      </c>
      <c r="Y562" s="73" t="str">
        <f>IF(B562&lt;&gt;"",SUM($X$22:X562),"")</f>
        <v/>
      </c>
      <c r="Z562" s="73" t="str">
        <f t="shared" si="330"/>
        <v/>
      </c>
      <c r="AA562" s="73" t="str">
        <f t="shared" si="331"/>
        <v/>
      </c>
      <c r="AB562" s="73" t="str">
        <f t="shared" si="332"/>
        <v/>
      </c>
      <c r="AC562" s="73" t="str">
        <f t="shared" si="333"/>
        <v/>
      </c>
      <c r="AD562" s="73" t="str">
        <f>IFERROR($U562*(1-$V562)+SUM($W$22:$W562)+$AB562,"")</f>
        <v/>
      </c>
      <c r="AE562" s="73" t="b">
        <f t="shared" si="344"/>
        <v>1</v>
      </c>
      <c r="AF562" s="73" t="e">
        <f>IF(AND(AE562=TRUE,D562&gt;=65),$U562*(1-10%)+SUM($W$22:$W562)+$AB562,AD562)</f>
        <v>#VALUE!</v>
      </c>
      <c r="AG562" s="73" t="str">
        <f t="shared" si="334"/>
        <v/>
      </c>
      <c r="AH562" s="73" t="str">
        <f t="shared" si="335"/>
        <v/>
      </c>
      <c r="AI562" s="73" t="str">
        <f t="shared" si="336"/>
        <v/>
      </c>
      <c r="AJ562" s="73" t="str">
        <f t="shared" si="337"/>
        <v/>
      </c>
      <c r="AK562" s="73" t="b">
        <f t="shared" si="345"/>
        <v>1</v>
      </c>
      <c r="AL562" s="73" t="str">
        <f t="shared" si="338"/>
        <v/>
      </c>
      <c r="AM562" s="73" t="str">
        <f t="shared" si="339"/>
        <v/>
      </c>
      <c r="AN562" s="73" t="str">
        <f t="shared" si="340"/>
        <v/>
      </c>
      <c r="AO562" s="73" t="str">
        <f t="shared" si="341"/>
        <v/>
      </c>
      <c r="AP562" s="73" t="str">
        <f t="shared" si="342"/>
        <v/>
      </c>
    </row>
    <row r="563" spans="1:42" s="31" customFormat="1" x14ac:dyDescent="0.6">
      <c r="A563" s="70" t="str">
        <f t="shared" si="343"/>
        <v/>
      </c>
      <c r="B563" s="70" t="str">
        <f>IF(E563&lt;=$F$9,VLOOKUP(KALKULATOR!A563,Robocze!$B$23:$C$102,2),"")</f>
        <v/>
      </c>
      <c r="C563" s="70" t="str">
        <f t="shared" si="311"/>
        <v/>
      </c>
      <c r="D563" s="71" t="str">
        <f t="shared" si="312"/>
        <v/>
      </c>
      <c r="E563" s="77" t="str">
        <f t="shared" si="313"/>
        <v/>
      </c>
      <c r="F563" s="72" t="str">
        <f t="shared" si="314"/>
        <v/>
      </c>
      <c r="G563" s="73" t="str">
        <f>IFERROR(IF(AND(F563&lt;=$F$9,$F$5=Robocze!$B$4,$E563&lt;=$F$9,MONTH($F$8)=MONTH(E563)),$F$4,0)+IF(AND(F563&lt;=$F$9,$F$5=Robocze!$B$3,E563&lt;=$F$9),KALKULATOR!$F$4/12,0),"")</f>
        <v/>
      </c>
      <c r="H563" s="73" t="str">
        <f t="shared" si="315"/>
        <v/>
      </c>
      <c r="I563" s="74" t="str">
        <f t="shared" si="316"/>
        <v/>
      </c>
      <c r="J563" s="73" t="str">
        <f t="shared" si="317"/>
        <v/>
      </c>
      <c r="K563" s="75" t="str">
        <f t="shared" si="318"/>
        <v/>
      </c>
      <c r="L563" s="73" t="str">
        <f t="shared" si="319"/>
        <v/>
      </c>
      <c r="M563" s="73" t="str">
        <f t="shared" si="320"/>
        <v/>
      </c>
      <c r="N563" s="73" t="str">
        <f t="shared" si="321"/>
        <v/>
      </c>
      <c r="O563" s="73" t="str">
        <f t="shared" si="322"/>
        <v/>
      </c>
      <c r="P563" s="73" t="str">
        <f t="shared" si="323"/>
        <v/>
      </c>
      <c r="Q563" s="73" t="str">
        <f t="shared" si="324"/>
        <v/>
      </c>
      <c r="R563" s="73"/>
      <c r="S563" s="76" t="str">
        <f t="shared" si="325"/>
        <v/>
      </c>
      <c r="T563" s="73" t="str">
        <f t="shared" si="326"/>
        <v/>
      </c>
      <c r="U563" s="73" t="str">
        <f t="shared" si="327"/>
        <v/>
      </c>
      <c r="V563" s="76" t="str">
        <f t="shared" si="328"/>
        <v/>
      </c>
      <c r="W563" s="73" t="str">
        <f t="shared" si="329"/>
        <v/>
      </c>
      <c r="X563" s="73" t="str">
        <f>IF(B563&lt;&gt;"",IF(MONTH(E563)=MONTH($F$13),SUMIF($C$22:C942,"="&amp;(C563-1),$G$22:G942),0)*S563,"")</f>
        <v/>
      </c>
      <c r="Y563" s="73" t="str">
        <f>IF(B563&lt;&gt;"",SUM($X$22:X563),"")</f>
        <v/>
      </c>
      <c r="Z563" s="73" t="str">
        <f t="shared" si="330"/>
        <v/>
      </c>
      <c r="AA563" s="73" t="str">
        <f t="shared" si="331"/>
        <v/>
      </c>
      <c r="AB563" s="73" t="str">
        <f t="shared" si="332"/>
        <v/>
      </c>
      <c r="AC563" s="73" t="str">
        <f t="shared" si="333"/>
        <v/>
      </c>
      <c r="AD563" s="73" t="str">
        <f>IFERROR($U563*(1-$V563)+SUM($W$22:$W563)+$AB563,"")</f>
        <v/>
      </c>
      <c r="AE563" s="73" t="b">
        <f t="shared" si="344"/>
        <v>1</v>
      </c>
      <c r="AF563" s="73" t="e">
        <f>IF(AND(AE563=TRUE,D563&gt;=65),$U563*(1-10%)+SUM($W$22:$W563)+$AB563,AD563)</f>
        <v>#VALUE!</v>
      </c>
      <c r="AG563" s="73" t="str">
        <f t="shared" si="334"/>
        <v/>
      </c>
      <c r="AH563" s="73" t="str">
        <f t="shared" si="335"/>
        <v/>
      </c>
      <c r="AI563" s="73" t="str">
        <f t="shared" si="336"/>
        <v/>
      </c>
      <c r="AJ563" s="73" t="str">
        <f t="shared" si="337"/>
        <v/>
      </c>
      <c r="AK563" s="73" t="b">
        <f t="shared" si="345"/>
        <v>1</v>
      </c>
      <c r="AL563" s="73" t="str">
        <f t="shared" si="338"/>
        <v/>
      </c>
      <c r="AM563" s="73" t="str">
        <f t="shared" si="339"/>
        <v/>
      </c>
      <c r="AN563" s="73" t="str">
        <f t="shared" si="340"/>
        <v/>
      </c>
      <c r="AO563" s="73" t="str">
        <f t="shared" si="341"/>
        <v/>
      </c>
      <c r="AP563" s="73" t="str">
        <f t="shared" si="342"/>
        <v/>
      </c>
    </row>
    <row r="564" spans="1:42" s="31" customFormat="1" x14ac:dyDescent="0.6">
      <c r="A564" s="70" t="str">
        <f t="shared" si="343"/>
        <v/>
      </c>
      <c r="B564" s="70" t="str">
        <f>IF(E564&lt;=$F$9,VLOOKUP(KALKULATOR!A564,Robocze!$B$23:$C$102,2),"")</f>
        <v/>
      </c>
      <c r="C564" s="70" t="str">
        <f t="shared" si="311"/>
        <v/>
      </c>
      <c r="D564" s="71" t="str">
        <f t="shared" si="312"/>
        <v/>
      </c>
      <c r="E564" s="77" t="str">
        <f t="shared" si="313"/>
        <v/>
      </c>
      <c r="F564" s="72" t="str">
        <f t="shared" si="314"/>
        <v/>
      </c>
      <c r="G564" s="73" t="str">
        <f>IFERROR(IF(AND(F564&lt;=$F$9,$F$5=Robocze!$B$4,$E564&lt;=$F$9,MONTH($F$8)=MONTH(E564)),$F$4,0)+IF(AND(F564&lt;=$F$9,$F$5=Robocze!$B$3,E564&lt;=$F$9),KALKULATOR!$F$4/12,0),"")</f>
        <v/>
      </c>
      <c r="H564" s="73" t="str">
        <f t="shared" si="315"/>
        <v/>
      </c>
      <c r="I564" s="74" t="str">
        <f t="shared" si="316"/>
        <v/>
      </c>
      <c r="J564" s="73" t="str">
        <f t="shared" si="317"/>
        <v/>
      </c>
      <c r="K564" s="75" t="str">
        <f t="shared" si="318"/>
        <v/>
      </c>
      <c r="L564" s="73" t="str">
        <f t="shared" si="319"/>
        <v/>
      </c>
      <c r="M564" s="73" t="str">
        <f t="shared" si="320"/>
        <v/>
      </c>
      <c r="N564" s="73" t="str">
        <f t="shared" si="321"/>
        <v/>
      </c>
      <c r="O564" s="73" t="str">
        <f t="shared" si="322"/>
        <v/>
      </c>
      <c r="P564" s="73" t="str">
        <f t="shared" si="323"/>
        <v/>
      </c>
      <c r="Q564" s="73" t="str">
        <f t="shared" si="324"/>
        <v/>
      </c>
      <c r="R564" s="73"/>
      <c r="S564" s="76" t="str">
        <f t="shared" si="325"/>
        <v/>
      </c>
      <c r="T564" s="73" t="str">
        <f t="shared" si="326"/>
        <v/>
      </c>
      <c r="U564" s="73" t="str">
        <f t="shared" si="327"/>
        <v/>
      </c>
      <c r="V564" s="76" t="str">
        <f t="shared" si="328"/>
        <v/>
      </c>
      <c r="W564" s="73" t="str">
        <f t="shared" si="329"/>
        <v/>
      </c>
      <c r="X564" s="73" t="str">
        <f>IF(B564&lt;&gt;"",IF(MONTH(E564)=MONTH($F$13),SUMIF($C$22:C943,"="&amp;(C564-1),$G$22:G943),0)*S564,"")</f>
        <v/>
      </c>
      <c r="Y564" s="73" t="str">
        <f>IF(B564&lt;&gt;"",SUM($X$22:X564),"")</f>
        <v/>
      </c>
      <c r="Z564" s="73" t="str">
        <f t="shared" si="330"/>
        <v/>
      </c>
      <c r="AA564" s="73" t="str">
        <f t="shared" si="331"/>
        <v/>
      </c>
      <c r="AB564" s="73" t="str">
        <f t="shared" si="332"/>
        <v/>
      </c>
      <c r="AC564" s="73" t="str">
        <f t="shared" si="333"/>
        <v/>
      </c>
      <c r="AD564" s="73" t="str">
        <f>IFERROR($U564*(1-$V564)+SUM($W$22:$W564)+$AB564,"")</f>
        <v/>
      </c>
      <c r="AE564" s="73" t="b">
        <f t="shared" si="344"/>
        <v>1</v>
      </c>
      <c r="AF564" s="73" t="e">
        <f>IF(AND(AE564=TRUE,D564&gt;=65),$U564*(1-10%)+SUM($W$22:$W564)+$AB564,AD564)</f>
        <v>#VALUE!</v>
      </c>
      <c r="AG564" s="73" t="str">
        <f t="shared" si="334"/>
        <v/>
      </c>
      <c r="AH564" s="73" t="str">
        <f t="shared" si="335"/>
        <v/>
      </c>
      <c r="AI564" s="73" t="str">
        <f t="shared" si="336"/>
        <v/>
      </c>
      <c r="AJ564" s="73" t="str">
        <f t="shared" si="337"/>
        <v/>
      </c>
      <c r="AK564" s="73" t="b">
        <f t="shared" si="345"/>
        <v>1</v>
      </c>
      <c r="AL564" s="73" t="str">
        <f t="shared" si="338"/>
        <v/>
      </c>
      <c r="AM564" s="73" t="str">
        <f t="shared" si="339"/>
        <v/>
      </c>
      <c r="AN564" s="73" t="str">
        <f t="shared" si="340"/>
        <v/>
      </c>
      <c r="AO564" s="73" t="str">
        <f t="shared" si="341"/>
        <v/>
      </c>
      <c r="AP564" s="73" t="str">
        <f t="shared" si="342"/>
        <v/>
      </c>
    </row>
    <row r="565" spans="1:42" s="69" customFormat="1" x14ac:dyDescent="0.6">
      <c r="A565" s="78" t="str">
        <f t="shared" si="343"/>
        <v/>
      </c>
      <c r="B565" s="78" t="str">
        <f>IF(E565&lt;=$F$9,VLOOKUP(KALKULATOR!A565,Robocze!$B$23:$C$102,2),"")</f>
        <v/>
      </c>
      <c r="C565" s="78" t="str">
        <f t="shared" si="311"/>
        <v/>
      </c>
      <c r="D565" s="79" t="str">
        <f t="shared" si="312"/>
        <v/>
      </c>
      <c r="E565" s="80" t="str">
        <f t="shared" si="313"/>
        <v/>
      </c>
      <c r="F565" s="81" t="str">
        <f t="shared" si="314"/>
        <v/>
      </c>
      <c r="G565" s="82" t="str">
        <f>IFERROR(IF(AND(F565&lt;=$F$9,$F$5=Robocze!$B$4,$E565&lt;=$F$9,MONTH($F$8)=MONTH(E565)),$F$4,0)+IF(AND(F565&lt;=$F$9,$F$5=Robocze!$B$3,E565&lt;=$F$9),KALKULATOR!$F$4/12,0),"")</f>
        <v/>
      </c>
      <c r="H565" s="82" t="str">
        <f t="shared" si="315"/>
        <v/>
      </c>
      <c r="I565" s="83" t="str">
        <f t="shared" si="316"/>
        <v/>
      </c>
      <c r="J565" s="82" t="str">
        <f t="shared" si="317"/>
        <v/>
      </c>
      <c r="K565" s="84" t="str">
        <f t="shared" si="318"/>
        <v/>
      </c>
      <c r="L565" s="82" t="str">
        <f t="shared" si="319"/>
        <v/>
      </c>
      <c r="M565" s="82" t="str">
        <f t="shared" si="320"/>
        <v/>
      </c>
      <c r="N565" s="82" t="str">
        <f t="shared" si="321"/>
        <v/>
      </c>
      <c r="O565" s="82" t="str">
        <f t="shared" si="322"/>
        <v/>
      </c>
      <c r="P565" s="82" t="str">
        <f t="shared" si="323"/>
        <v/>
      </c>
      <c r="Q565" s="82" t="str">
        <f t="shared" si="324"/>
        <v/>
      </c>
      <c r="R565" s="82"/>
      <c r="S565" s="85" t="str">
        <f t="shared" si="325"/>
        <v/>
      </c>
      <c r="T565" s="82" t="str">
        <f t="shared" si="326"/>
        <v/>
      </c>
      <c r="U565" s="82" t="str">
        <f t="shared" si="327"/>
        <v/>
      </c>
      <c r="V565" s="85" t="str">
        <f t="shared" si="328"/>
        <v/>
      </c>
      <c r="W565" s="82" t="str">
        <f t="shared" si="329"/>
        <v/>
      </c>
      <c r="X565" s="82" t="str">
        <f>IF(B565&lt;&gt;"",IF(MONTH(E565)=MONTH($F$13),SUMIF($C$22:C944,"="&amp;(C565-1),$G$22:G944),0)*S565,"")</f>
        <v/>
      </c>
      <c r="Y565" s="82" t="str">
        <f>IF(B565&lt;&gt;"",SUM($X$22:X565),"")</f>
        <v/>
      </c>
      <c r="Z565" s="82" t="str">
        <f t="shared" si="330"/>
        <v/>
      </c>
      <c r="AA565" s="82" t="str">
        <f t="shared" si="331"/>
        <v/>
      </c>
      <c r="AB565" s="82" t="str">
        <f t="shared" si="332"/>
        <v/>
      </c>
      <c r="AC565" s="82" t="str">
        <f t="shared" si="333"/>
        <v/>
      </c>
      <c r="AD565" s="82" t="str">
        <f>IFERROR($U565*(1-$V565)+SUM($W$22:$W565)+$AB565,"")</f>
        <v/>
      </c>
      <c r="AE565" s="73" t="b">
        <f t="shared" si="344"/>
        <v>1</v>
      </c>
      <c r="AF565" s="82" t="e">
        <f>IF(AND(AE565=TRUE,D565&gt;=65),$U565*(1-10%)+SUM($W$22:$W565)+$AB565,AD565)</f>
        <v>#VALUE!</v>
      </c>
      <c r="AG565" s="82" t="str">
        <f t="shared" si="334"/>
        <v/>
      </c>
      <c r="AH565" s="82" t="str">
        <f t="shared" si="335"/>
        <v/>
      </c>
      <c r="AI565" s="82" t="str">
        <f t="shared" si="336"/>
        <v/>
      </c>
      <c r="AJ565" s="82" t="str">
        <f t="shared" si="337"/>
        <v/>
      </c>
      <c r="AK565" s="73" t="b">
        <f t="shared" si="345"/>
        <v>1</v>
      </c>
      <c r="AL565" s="82" t="str">
        <f t="shared" si="338"/>
        <v/>
      </c>
      <c r="AM565" s="82" t="str">
        <f t="shared" si="339"/>
        <v/>
      </c>
      <c r="AN565" s="82" t="str">
        <f t="shared" si="340"/>
        <v/>
      </c>
      <c r="AO565" s="82" t="str">
        <f t="shared" si="341"/>
        <v/>
      </c>
      <c r="AP565" s="82" t="str">
        <f t="shared" si="342"/>
        <v/>
      </c>
    </row>
    <row r="566" spans="1:42" s="69" customFormat="1" x14ac:dyDescent="0.6">
      <c r="A566" s="78" t="str">
        <f t="shared" si="343"/>
        <v/>
      </c>
      <c r="B566" s="78" t="str">
        <f>IF(E566&lt;=$F$9,VLOOKUP(KALKULATOR!A566,Robocze!$B$23:$C$102,2),"")</f>
        <v/>
      </c>
      <c r="C566" s="78" t="str">
        <f t="shared" si="311"/>
        <v/>
      </c>
      <c r="D566" s="79" t="str">
        <f t="shared" si="312"/>
        <v/>
      </c>
      <c r="E566" s="80" t="str">
        <f t="shared" si="313"/>
        <v/>
      </c>
      <c r="F566" s="81" t="str">
        <f t="shared" si="314"/>
        <v/>
      </c>
      <c r="G566" s="82" t="str">
        <f>IFERROR(IF(AND(F566&lt;=$F$9,$F$5=Robocze!$B$4,$E566&lt;=$F$9,MONTH($F$8)=MONTH(E566)),$F$4,0)+IF(AND(F566&lt;=$F$9,$F$5=Robocze!$B$3,E566&lt;=$F$9),KALKULATOR!$F$4/12,0),"")</f>
        <v/>
      </c>
      <c r="H566" s="82" t="str">
        <f t="shared" si="315"/>
        <v/>
      </c>
      <c r="I566" s="83" t="str">
        <f t="shared" si="316"/>
        <v/>
      </c>
      <c r="J566" s="82" t="str">
        <f t="shared" si="317"/>
        <v/>
      </c>
      <c r="K566" s="84" t="str">
        <f t="shared" si="318"/>
        <v/>
      </c>
      <c r="L566" s="82" t="str">
        <f t="shared" si="319"/>
        <v/>
      </c>
      <c r="M566" s="82" t="str">
        <f t="shared" si="320"/>
        <v/>
      </c>
      <c r="N566" s="82" t="str">
        <f t="shared" si="321"/>
        <v/>
      </c>
      <c r="O566" s="82" t="str">
        <f t="shared" si="322"/>
        <v/>
      </c>
      <c r="P566" s="82" t="str">
        <f t="shared" si="323"/>
        <v/>
      </c>
      <c r="Q566" s="82" t="str">
        <f t="shared" si="324"/>
        <v/>
      </c>
      <c r="R566" s="82"/>
      <c r="S566" s="85" t="str">
        <f t="shared" si="325"/>
        <v/>
      </c>
      <c r="T566" s="82" t="str">
        <f t="shared" si="326"/>
        <v/>
      </c>
      <c r="U566" s="82" t="str">
        <f t="shared" si="327"/>
        <v/>
      </c>
      <c r="V566" s="85" t="str">
        <f t="shared" si="328"/>
        <v/>
      </c>
      <c r="W566" s="82" t="str">
        <f t="shared" si="329"/>
        <v/>
      </c>
      <c r="X566" s="82" t="str">
        <f>IF(B566&lt;&gt;"",IF(MONTH(E566)=MONTH($F$13),SUMIF($C$22:C945,"="&amp;(C566-1),$G$22:G945),0)*S566,"")</f>
        <v/>
      </c>
      <c r="Y566" s="82" t="str">
        <f>IF(B566&lt;&gt;"",SUM($X$22:X566),"")</f>
        <v/>
      </c>
      <c r="Z566" s="82" t="str">
        <f t="shared" si="330"/>
        <v/>
      </c>
      <c r="AA566" s="82" t="str">
        <f t="shared" si="331"/>
        <v/>
      </c>
      <c r="AB566" s="82" t="str">
        <f t="shared" si="332"/>
        <v/>
      </c>
      <c r="AC566" s="82" t="str">
        <f t="shared" si="333"/>
        <v/>
      </c>
      <c r="AD566" s="82" t="str">
        <f>IFERROR($U566*(1-$V566)+SUM($W$22:$W566)+$AB566,"")</f>
        <v/>
      </c>
      <c r="AE566" s="73" t="b">
        <f t="shared" si="344"/>
        <v>1</v>
      </c>
      <c r="AF566" s="82" t="e">
        <f>IF(AND(AE566=TRUE,D566&gt;=65),$U566*(1-10%)+SUM($W$22:$W566)+$AB566,AD566)</f>
        <v>#VALUE!</v>
      </c>
      <c r="AG566" s="82" t="str">
        <f t="shared" si="334"/>
        <v/>
      </c>
      <c r="AH566" s="82" t="str">
        <f t="shared" si="335"/>
        <v/>
      </c>
      <c r="AI566" s="82" t="str">
        <f t="shared" si="336"/>
        <v/>
      </c>
      <c r="AJ566" s="82" t="str">
        <f t="shared" si="337"/>
        <v/>
      </c>
      <c r="AK566" s="73" t="b">
        <f t="shared" si="345"/>
        <v>1</v>
      </c>
      <c r="AL566" s="82" t="str">
        <f t="shared" si="338"/>
        <v/>
      </c>
      <c r="AM566" s="82" t="str">
        <f t="shared" si="339"/>
        <v/>
      </c>
      <c r="AN566" s="82" t="str">
        <f t="shared" si="340"/>
        <v/>
      </c>
      <c r="AO566" s="82" t="str">
        <f t="shared" si="341"/>
        <v/>
      </c>
      <c r="AP566" s="82" t="str">
        <f t="shared" si="342"/>
        <v/>
      </c>
    </row>
    <row r="567" spans="1:42" s="31" customFormat="1" x14ac:dyDescent="0.6">
      <c r="A567" s="70" t="str">
        <f t="shared" si="343"/>
        <v/>
      </c>
      <c r="B567" s="70" t="str">
        <f>IF(E567&lt;=$F$9,VLOOKUP(KALKULATOR!A567,Robocze!$B$23:$C$102,2),"")</f>
        <v/>
      </c>
      <c r="C567" s="70" t="str">
        <f t="shared" si="311"/>
        <v/>
      </c>
      <c r="D567" s="71" t="str">
        <f t="shared" si="312"/>
        <v/>
      </c>
      <c r="E567" s="72" t="str">
        <f t="shared" si="313"/>
        <v/>
      </c>
      <c r="F567" s="72" t="str">
        <f t="shared" si="314"/>
        <v/>
      </c>
      <c r="G567" s="73" t="str">
        <f>IFERROR(IF(AND(F567&lt;=$F$9,$F$5=Robocze!$B$4,$E567&lt;=$F$9,MONTH($F$8)=MONTH(E567)),$F$4,0)+IF(AND(F567&lt;=$F$9,$F$5=Robocze!$B$3,E567&lt;=$F$9),KALKULATOR!$F$4/12,0),"")</f>
        <v/>
      </c>
      <c r="H567" s="73" t="str">
        <f t="shared" si="315"/>
        <v/>
      </c>
      <c r="I567" s="74" t="str">
        <f t="shared" si="316"/>
        <v/>
      </c>
      <c r="J567" s="73" t="str">
        <f t="shared" si="317"/>
        <v/>
      </c>
      <c r="K567" s="75" t="str">
        <f t="shared" si="318"/>
        <v/>
      </c>
      <c r="L567" s="73" t="str">
        <f t="shared" si="319"/>
        <v/>
      </c>
      <c r="M567" s="73" t="str">
        <f t="shared" si="320"/>
        <v/>
      </c>
      <c r="N567" s="73" t="str">
        <f t="shared" si="321"/>
        <v/>
      </c>
      <c r="O567" s="73" t="str">
        <f t="shared" si="322"/>
        <v/>
      </c>
      <c r="P567" s="73" t="str">
        <f t="shared" si="323"/>
        <v/>
      </c>
      <c r="Q567" s="73" t="str">
        <f t="shared" si="324"/>
        <v/>
      </c>
      <c r="R567" s="73"/>
      <c r="S567" s="76" t="str">
        <f t="shared" si="325"/>
        <v/>
      </c>
      <c r="T567" s="73" t="str">
        <f t="shared" si="326"/>
        <v/>
      </c>
      <c r="U567" s="73" t="str">
        <f t="shared" si="327"/>
        <v/>
      </c>
      <c r="V567" s="76" t="str">
        <f t="shared" si="328"/>
        <v/>
      </c>
      <c r="W567" s="73" t="str">
        <f t="shared" si="329"/>
        <v/>
      </c>
      <c r="X567" s="73" t="str">
        <f>IF(B567&lt;&gt;"",IF(MONTH(E567)=MONTH($F$13),SUMIF($C$22:C946,"="&amp;(C567-1),$G$22:G946),0)*S567,"")</f>
        <v/>
      </c>
      <c r="Y567" s="73" t="str">
        <f>IF(B567&lt;&gt;"",SUM($X$22:X567),"")</f>
        <v/>
      </c>
      <c r="Z567" s="73" t="str">
        <f t="shared" si="330"/>
        <v/>
      </c>
      <c r="AA567" s="73" t="str">
        <f t="shared" si="331"/>
        <v/>
      </c>
      <c r="AB567" s="73" t="str">
        <f t="shared" si="332"/>
        <v/>
      </c>
      <c r="AC567" s="73" t="str">
        <f t="shared" si="333"/>
        <v/>
      </c>
      <c r="AD567" s="73" t="str">
        <f>IFERROR($U567*(1-$V567)+SUM($W$22:$W567)+$AB567,"")</f>
        <v/>
      </c>
      <c r="AE567" s="73" t="b">
        <f t="shared" si="344"/>
        <v>1</v>
      </c>
      <c r="AF567" s="73" t="e">
        <f>IF(AND(AE567=TRUE,D567&gt;=65),$U567*(1-10%)+SUM($W$22:$W567)+$AB567,AD567)</f>
        <v>#VALUE!</v>
      </c>
      <c r="AG567" s="73" t="str">
        <f t="shared" si="334"/>
        <v/>
      </c>
      <c r="AH567" s="73" t="str">
        <f t="shared" si="335"/>
        <v/>
      </c>
      <c r="AI567" s="73" t="str">
        <f t="shared" si="336"/>
        <v/>
      </c>
      <c r="AJ567" s="73" t="str">
        <f t="shared" si="337"/>
        <v/>
      </c>
      <c r="AK567" s="73" t="b">
        <f t="shared" si="345"/>
        <v>1</v>
      </c>
      <c r="AL567" s="73" t="str">
        <f t="shared" si="338"/>
        <v/>
      </c>
      <c r="AM567" s="73" t="str">
        <f t="shared" si="339"/>
        <v/>
      </c>
      <c r="AN567" s="73" t="str">
        <f t="shared" si="340"/>
        <v/>
      </c>
      <c r="AO567" s="73" t="str">
        <f t="shared" si="341"/>
        <v/>
      </c>
      <c r="AP567" s="73" t="str">
        <f t="shared" si="342"/>
        <v/>
      </c>
    </row>
    <row r="568" spans="1:42" s="31" customFormat="1" x14ac:dyDescent="0.6">
      <c r="A568" s="70" t="str">
        <f t="shared" si="343"/>
        <v/>
      </c>
      <c r="B568" s="70" t="str">
        <f>IF(E568&lt;=$F$9,VLOOKUP(KALKULATOR!A568,Robocze!$B$23:$C$102,2),"")</f>
        <v/>
      </c>
      <c r="C568" s="70" t="str">
        <f t="shared" si="311"/>
        <v/>
      </c>
      <c r="D568" s="71" t="str">
        <f t="shared" si="312"/>
        <v/>
      </c>
      <c r="E568" s="77" t="str">
        <f t="shared" si="313"/>
        <v/>
      </c>
      <c r="F568" s="72" t="str">
        <f t="shared" si="314"/>
        <v/>
      </c>
      <c r="G568" s="73" t="str">
        <f>IFERROR(IF(AND(F568&lt;=$F$9,$F$5=Robocze!$B$4,$E568&lt;=$F$9,MONTH($F$8)=MONTH(E568)),$F$4,0)+IF(AND(F568&lt;=$F$9,$F$5=Robocze!$B$3,E568&lt;=$F$9),KALKULATOR!$F$4/12,0),"")</f>
        <v/>
      </c>
      <c r="H568" s="73" t="str">
        <f t="shared" si="315"/>
        <v/>
      </c>
      <c r="I568" s="74" t="str">
        <f t="shared" si="316"/>
        <v/>
      </c>
      <c r="J568" s="73" t="str">
        <f t="shared" si="317"/>
        <v/>
      </c>
      <c r="K568" s="75" t="str">
        <f t="shared" si="318"/>
        <v/>
      </c>
      <c r="L568" s="73" t="str">
        <f t="shared" si="319"/>
        <v/>
      </c>
      <c r="M568" s="73" t="str">
        <f t="shared" si="320"/>
        <v/>
      </c>
      <c r="N568" s="73" t="str">
        <f t="shared" si="321"/>
        <v/>
      </c>
      <c r="O568" s="73" t="str">
        <f t="shared" si="322"/>
        <v/>
      </c>
      <c r="P568" s="73" t="str">
        <f t="shared" si="323"/>
        <v/>
      </c>
      <c r="Q568" s="73" t="str">
        <f t="shared" si="324"/>
        <v/>
      </c>
      <c r="R568" s="73"/>
      <c r="S568" s="76" t="str">
        <f t="shared" si="325"/>
        <v/>
      </c>
      <c r="T568" s="73" t="str">
        <f t="shared" si="326"/>
        <v/>
      </c>
      <c r="U568" s="73" t="str">
        <f t="shared" si="327"/>
        <v/>
      </c>
      <c r="V568" s="76" t="str">
        <f t="shared" si="328"/>
        <v/>
      </c>
      <c r="W568" s="73" t="str">
        <f t="shared" si="329"/>
        <v/>
      </c>
      <c r="X568" s="73" t="str">
        <f>IF(B568&lt;&gt;"",IF(MONTH(E568)=MONTH($F$13),SUMIF($C$22:C947,"="&amp;(C568-1),$G$22:G947),0)*S568,"")</f>
        <v/>
      </c>
      <c r="Y568" s="73" t="str">
        <f>IF(B568&lt;&gt;"",SUM($X$22:X568),"")</f>
        <v/>
      </c>
      <c r="Z568" s="73" t="str">
        <f t="shared" si="330"/>
        <v/>
      </c>
      <c r="AA568" s="73" t="str">
        <f t="shared" si="331"/>
        <v/>
      </c>
      <c r="AB568" s="73" t="str">
        <f t="shared" si="332"/>
        <v/>
      </c>
      <c r="AC568" s="73" t="str">
        <f t="shared" si="333"/>
        <v/>
      </c>
      <c r="AD568" s="73" t="str">
        <f>IFERROR($U568*(1-$V568)+SUM($W$22:$W568)+$AB568,"")</f>
        <v/>
      </c>
      <c r="AE568" s="73" t="b">
        <f t="shared" si="344"/>
        <v>1</v>
      </c>
      <c r="AF568" s="73" t="e">
        <f>IF(AND(AE568=TRUE,D568&gt;=65),$U568*(1-10%)+SUM($W$22:$W568)+$AB568,AD568)</f>
        <v>#VALUE!</v>
      </c>
      <c r="AG568" s="73" t="str">
        <f t="shared" si="334"/>
        <v/>
      </c>
      <c r="AH568" s="73" t="str">
        <f t="shared" si="335"/>
        <v/>
      </c>
      <c r="AI568" s="73" t="str">
        <f t="shared" si="336"/>
        <v/>
      </c>
      <c r="AJ568" s="73" t="str">
        <f t="shared" si="337"/>
        <v/>
      </c>
      <c r="AK568" s="73" t="b">
        <f t="shared" si="345"/>
        <v>1</v>
      </c>
      <c r="AL568" s="73" t="str">
        <f t="shared" si="338"/>
        <v/>
      </c>
      <c r="AM568" s="73" t="str">
        <f t="shared" si="339"/>
        <v/>
      </c>
      <c r="AN568" s="73" t="str">
        <f t="shared" si="340"/>
        <v/>
      </c>
      <c r="AO568" s="73" t="str">
        <f t="shared" si="341"/>
        <v/>
      </c>
      <c r="AP568" s="73" t="str">
        <f t="shared" si="342"/>
        <v/>
      </c>
    </row>
    <row r="569" spans="1:42" s="31" customFormat="1" x14ac:dyDescent="0.6">
      <c r="A569" s="70" t="str">
        <f t="shared" si="343"/>
        <v/>
      </c>
      <c r="B569" s="70" t="str">
        <f>IF(E569&lt;=$F$9,VLOOKUP(KALKULATOR!A569,Robocze!$B$23:$C$102,2),"")</f>
        <v/>
      </c>
      <c r="C569" s="70" t="str">
        <f t="shared" si="311"/>
        <v/>
      </c>
      <c r="D569" s="71" t="str">
        <f t="shared" si="312"/>
        <v/>
      </c>
      <c r="E569" s="77" t="str">
        <f t="shared" si="313"/>
        <v/>
      </c>
      <c r="F569" s="72" t="str">
        <f t="shared" si="314"/>
        <v/>
      </c>
      <c r="G569" s="73" t="str">
        <f>IFERROR(IF(AND(F569&lt;=$F$9,$F$5=Robocze!$B$4,$E569&lt;=$F$9,MONTH($F$8)=MONTH(E569)),$F$4,0)+IF(AND(F569&lt;=$F$9,$F$5=Robocze!$B$3,E569&lt;=$F$9),KALKULATOR!$F$4/12,0),"")</f>
        <v/>
      </c>
      <c r="H569" s="73" t="str">
        <f t="shared" si="315"/>
        <v/>
      </c>
      <c r="I569" s="74" t="str">
        <f t="shared" si="316"/>
        <v/>
      </c>
      <c r="J569" s="73" t="str">
        <f t="shared" si="317"/>
        <v/>
      </c>
      <c r="K569" s="75" t="str">
        <f t="shared" si="318"/>
        <v/>
      </c>
      <c r="L569" s="73" t="str">
        <f t="shared" si="319"/>
        <v/>
      </c>
      <c r="M569" s="73" t="str">
        <f t="shared" si="320"/>
        <v/>
      </c>
      <c r="N569" s="73" t="str">
        <f t="shared" si="321"/>
        <v/>
      </c>
      <c r="O569" s="73" t="str">
        <f t="shared" si="322"/>
        <v/>
      </c>
      <c r="P569" s="73" t="str">
        <f t="shared" si="323"/>
        <v/>
      </c>
      <c r="Q569" s="73" t="str">
        <f t="shared" si="324"/>
        <v/>
      </c>
      <c r="R569" s="73"/>
      <c r="S569" s="76" t="str">
        <f t="shared" si="325"/>
        <v/>
      </c>
      <c r="T569" s="73" t="str">
        <f t="shared" si="326"/>
        <v/>
      </c>
      <c r="U569" s="73" t="str">
        <f t="shared" si="327"/>
        <v/>
      </c>
      <c r="V569" s="76" t="str">
        <f t="shared" si="328"/>
        <v/>
      </c>
      <c r="W569" s="73" t="str">
        <f t="shared" si="329"/>
        <v/>
      </c>
      <c r="X569" s="73" t="str">
        <f>IF(B569&lt;&gt;"",IF(MONTH(E569)=MONTH($F$13),SUMIF($C$22:C948,"="&amp;(C569-1),$G$22:G948),0)*S569,"")</f>
        <v/>
      </c>
      <c r="Y569" s="73" t="str">
        <f>IF(B569&lt;&gt;"",SUM($X$22:X569),"")</f>
        <v/>
      </c>
      <c r="Z569" s="73" t="str">
        <f t="shared" si="330"/>
        <v/>
      </c>
      <c r="AA569" s="73" t="str">
        <f t="shared" si="331"/>
        <v/>
      </c>
      <c r="AB569" s="73" t="str">
        <f t="shared" si="332"/>
        <v/>
      </c>
      <c r="AC569" s="73" t="str">
        <f t="shared" si="333"/>
        <v/>
      </c>
      <c r="AD569" s="73" t="str">
        <f>IFERROR($U569*(1-$V569)+SUM($W$22:$W569)+$AB569,"")</f>
        <v/>
      </c>
      <c r="AE569" s="73" t="b">
        <f t="shared" si="344"/>
        <v>1</v>
      </c>
      <c r="AF569" s="73" t="e">
        <f>IF(AND(AE569=TRUE,D569&gt;=65),$U569*(1-10%)+SUM($W$22:$W569)+$AB569,AD569)</f>
        <v>#VALUE!</v>
      </c>
      <c r="AG569" s="73" t="str">
        <f t="shared" si="334"/>
        <v/>
      </c>
      <c r="AH569" s="73" t="str">
        <f t="shared" si="335"/>
        <v/>
      </c>
      <c r="AI569" s="73" t="str">
        <f t="shared" si="336"/>
        <v/>
      </c>
      <c r="AJ569" s="73" t="str">
        <f t="shared" si="337"/>
        <v/>
      </c>
      <c r="AK569" s="73" t="b">
        <f t="shared" si="345"/>
        <v>1</v>
      </c>
      <c r="AL569" s="73" t="str">
        <f t="shared" si="338"/>
        <v/>
      </c>
      <c r="AM569" s="73" t="str">
        <f t="shared" si="339"/>
        <v/>
      </c>
      <c r="AN569" s="73" t="str">
        <f t="shared" si="340"/>
        <v/>
      </c>
      <c r="AO569" s="73" t="str">
        <f t="shared" si="341"/>
        <v/>
      </c>
      <c r="AP569" s="73" t="str">
        <f t="shared" si="342"/>
        <v/>
      </c>
    </row>
    <row r="570" spans="1:42" s="31" customFormat="1" x14ac:dyDescent="0.6">
      <c r="A570" s="70" t="str">
        <f t="shared" si="343"/>
        <v/>
      </c>
      <c r="B570" s="70" t="str">
        <f>IF(E570&lt;=$F$9,VLOOKUP(KALKULATOR!A570,Robocze!$B$23:$C$102,2),"")</f>
        <v/>
      </c>
      <c r="C570" s="70" t="str">
        <f t="shared" si="311"/>
        <v/>
      </c>
      <c r="D570" s="71" t="str">
        <f t="shared" si="312"/>
        <v/>
      </c>
      <c r="E570" s="77" t="str">
        <f t="shared" si="313"/>
        <v/>
      </c>
      <c r="F570" s="72" t="str">
        <f t="shared" si="314"/>
        <v/>
      </c>
      <c r="G570" s="73" t="str">
        <f>IFERROR(IF(AND(F570&lt;=$F$9,$F$5=Robocze!$B$4,$E570&lt;=$F$9,MONTH($F$8)=MONTH(E570)),$F$4,0)+IF(AND(F570&lt;=$F$9,$F$5=Robocze!$B$3,E570&lt;=$F$9),KALKULATOR!$F$4/12,0),"")</f>
        <v/>
      </c>
      <c r="H570" s="73" t="str">
        <f t="shared" si="315"/>
        <v/>
      </c>
      <c r="I570" s="74" t="str">
        <f t="shared" si="316"/>
        <v/>
      </c>
      <c r="J570" s="73" t="str">
        <f t="shared" si="317"/>
        <v/>
      </c>
      <c r="K570" s="75" t="str">
        <f t="shared" si="318"/>
        <v/>
      </c>
      <c r="L570" s="73" t="str">
        <f t="shared" si="319"/>
        <v/>
      </c>
      <c r="M570" s="73" t="str">
        <f t="shared" si="320"/>
        <v/>
      </c>
      <c r="N570" s="73" t="str">
        <f t="shared" si="321"/>
        <v/>
      </c>
      <c r="O570" s="73" t="str">
        <f t="shared" si="322"/>
        <v/>
      </c>
      <c r="P570" s="73" t="str">
        <f t="shared" si="323"/>
        <v/>
      </c>
      <c r="Q570" s="73" t="str">
        <f t="shared" si="324"/>
        <v/>
      </c>
      <c r="R570" s="73"/>
      <c r="S570" s="76" t="str">
        <f t="shared" si="325"/>
        <v/>
      </c>
      <c r="T570" s="73" t="str">
        <f t="shared" si="326"/>
        <v/>
      </c>
      <c r="U570" s="73" t="str">
        <f t="shared" si="327"/>
        <v/>
      </c>
      <c r="V570" s="76" t="str">
        <f t="shared" si="328"/>
        <v/>
      </c>
      <c r="W570" s="73" t="str">
        <f t="shared" si="329"/>
        <v/>
      </c>
      <c r="X570" s="73" t="str">
        <f>IF(B570&lt;&gt;"",IF(MONTH(E570)=MONTH($F$13),SUMIF($C$22:C949,"="&amp;(C570-1),$G$22:G949),0)*S570,"")</f>
        <v/>
      </c>
      <c r="Y570" s="73" t="str">
        <f>IF(B570&lt;&gt;"",SUM($X$22:X570),"")</f>
        <v/>
      </c>
      <c r="Z570" s="73" t="str">
        <f t="shared" si="330"/>
        <v/>
      </c>
      <c r="AA570" s="73" t="str">
        <f t="shared" si="331"/>
        <v/>
      </c>
      <c r="AB570" s="73" t="str">
        <f t="shared" si="332"/>
        <v/>
      </c>
      <c r="AC570" s="73" t="str">
        <f t="shared" si="333"/>
        <v/>
      </c>
      <c r="AD570" s="73" t="str">
        <f>IFERROR($U570*(1-$V570)+SUM($W$22:$W570)+$AB570,"")</f>
        <v/>
      </c>
      <c r="AE570" s="73" t="b">
        <f t="shared" si="344"/>
        <v>1</v>
      </c>
      <c r="AF570" s="73" t="e">
        <f>IF(AND(AE570=TRUE,D570&gt;=65),$U570*(1-10%)+SUM($W$22:$W570)+$AB570,AD570)</f>
        <v>#VALUE!</v>
      </c>
      <c r="AG570" s="73" t="str">
        <f t="shared" si="334"/>
        <v/>
      </c>
      <c r="AH570" s="73" t="str">
        <f t="shared" si="335"/>
        <v/>
      </c>
      <c r="AI570" s="73" t="str">
        <f t="shared" si="336"/>
        <v/>
      </c>
      <c r="AJ570" s="73" t="str">
        <f t="shared" si="337"/>
        <v/>
      </c>
      <c r="AK570" s="73" t="b">
        <f t="shared" si="345"/>
        <v>1</v>
      </c>
      <c r="AL570" s="73" t="str">
        <f t="shared" si="338"/>
        <v/>
      </c>
      <c r="AM570" s="73" t="str">
        <f t="shared" si="339"/>
        <v/>
      </c>
      <c r="AN570" s="73" t="str">
        <f t="shared" si="340"/>
        <v/>
      </c>
      <c r="AO570" s="73" t="str">
        <f t="shared" si="341"/>
        <v/>
      </c>
      <c r="AP570" s="73" t="str">
        <f t="shared" si="342"/>
        <v/>
      </c>
    </row>
    <row r="571" spans="1:42" s="31" customFormat="1" x14ac:dyDescent="0.6">
      <c r="A571" s="70" t="str">
        <f t="shared" si="343"/>
        <v/>
      </c>
      <c r="B571" s="70" t="str">
        <f>IF(E571&lt;=$F$9,VLOOKUP(KALKULATOR!A571,Robocze!$B$23:$C$102,2),"")</f>
        <v/>
      </c>
      <c r="C571" s="70" t="str">
        <f t="shared" si="311"/>
        <v/>
      </c>
      <c r="D571" s="71" t="str">
        <f t="shared" si="312"/>
        <v/>
      </c>
      <c r="E571" s="77" t="str">
        <f t="shared" si="313"/>
        <v/>
      </c>
      <c r="F571" s="72" t="str">
        <f t="shared" si="314"/>
        <v/>
      </c>
      <c r="G571" s="73" t="str">
        <f>IFERROR(IF(AND(F571&lt;=$F$9,$F$5=Robocze!$B$4,$E571&lt;=$F$9,MONTH($F$8)=MONTH(E571)),$F$4,0)+IF(AND(F571&lt;=$F$9,$F$5=Robocze!$B$3,E571&lt;=$F$9),KALKULATOR!$F$4/12,0),"")</f>
        <v/>
      </c>
      <c r="H571" s="73" t="str">
        <f t="shared" si="315"/>
        <v/>
      </c>
      <c r="I571" s="74" t="str">
        <f t="shared" si="316"/>
        <v/>
      </c>
      <c r="J571" s="73" t="str">
        <f t="shared" si="317"/>
        <v/>
      </c>
      <c r="K571" s="75" t="str">
        <f t="shared" si="318"/>
        <v/>
      </c>
      <c r="L571" s="73" t="str">
        <f t="shared" si="319"/>
        <v/>
      </c>
      <c r="M571" s="73" t="str">
        <f t="shared" si="320"/>
        <v/>
      </c>
      <c r="N571" s="73" t="str">
        <f t="shared" si="321"/>
        <v/>
      </c>
      <c r="O571" s="73" t="str">
        <f t="shared" si="322"/>
        <v/>
      </c>
      <c r="P571" s="73" t="str">
        <f t="shared" si="323"/>
        <v/>
      </c>
      <c r="Q571" s="73" t="str">
        <f t="shared" si="324"/>
        <v/>
      </c>
      <c r="R571" s="73"/>
      <c r="S571" s="76" t="str">
        <f t="shared" si="325"/>
        <v/>
      </c>
      <c r="T571" s="73" t="str">
        <f t="shared" si="326"/>
        <v/>
      </c>
      <c r="U571" s="73" t="str">
        <f t="shared" si="327"/>
        <v/>
      </c>
      <c r="V571" s="76" t="str">
        <f t="shared" si="328"/>
        <v/>
      </c>
      <c r="W571" s="73" t="str">
        <f t="shared" si="329"/>
        <v/>
      </c>
      <c r="X571" s="73" t="str">
        <f>IF(B571&lt;&gt;"",IF(MONTH(E571)=MONTH($F$13),SUMIF($C$22:C950,"="&amp;(C571-1),$G$22:G950),0)*S571,"")</f>
        <v/>
      </c>
      <c r="Y571" s="73" t="str">
        <f>IF(B571&lt;&gt;"",SUM($X$22:X571),"")</f>
        <v/>
      </c>
      <c r="Z571" s="73" t="str">
        <f t="shared" si="330"/>
        <v/>
      </c>
      <c r="AA571" s="73" t="str">
        <f t="shared" si="331"/>
        <v/>
      </c>
      <c r="AB571" s="73" t="str">
        <f t="shared" si="332"/>
        <v/>
      </c>
      <c r="AC571" s="73" t="str">
        <f t="shared" si="333"/>
        <v/>
      </c>
      <c r="AD571" s="73" t="str">
        <f>IFERROR($U571*(1-$V571)+SUM($W$22:$W571)+$AB571,"")</f>
        <v/>
      </c>
      <c r="AE571" s="73" t="b">
        <f t="shared" si="344"/>
        <v>1</v>
      </c>
      <c r="AF571" s="73" t="e">
        <f>IF(AND(AE571=TRUE,D571&gt;=65),$U571*(1-10%)+SUM($W$22:$W571)+$AB571,AD571)</f>
        <v>#VALUE!</v>
      </c>
      <c r="AG571" s="73" t="str">
        <f t="shared" si="334"/>
        <v/>
      </c>
      <c r="AH571" s="73" t="str">
        <f t="shared" si="335"/>
        <v/>
      </c>
      <c r="AI571" s="73" t="str">
        <f t="shared" si="336"/>
        <v/>
      </c>
      <c r="AJ571" s="73" t="str">
        <f t="shared" si="337"/>
        <v/>
      </c>
      <c r="AK571" s="73" t="b">
        <f t="shared" si="345"/>
        <v>1</v>
      </c>
      <c r="AL571" s="73" t="str">
        <f t="shared" si="338"/>
        <v/>
      </c>
      <c r="AM571" s="73" t="str">
        <f t="shared" si="339"/>
        <v/>
      </c>
      <c r="AN571" s="73" t="str">
        <f t="shared" si="340"/>
        <v/>
      </c>
      <c r="AO571" s="73" t="str">
        <f t="shared" si="341"/>
        <v/>
      </c>
      <c r="AP571" s="73" t="str">
        <f t="shared" si="342"/>
        <v/>
      </c>
    </row>
    <row r="572" spans="1:42" s="31" customFormat="1" x14ac:dyDescent="0.6">
      <c r="A572" s="70" t="str">
        <f t="shared" si="343"/>
        <v/>
      </c>
      <c r="B572" s="70" t="str">
        <f>IF(E572&lt;=$F$9,VLOOKUP(KALKULATOR!A572,Robocze!$B$23:$C$102,2),"")</f>
        <v/>
      </c>
      <c r="C572" s="70" t="str">
        <f t="shared" si="311"/>
        <v/>
      </c>
      <c r="D572" s="71" t="str">
        <f t="shared" si="312"/>
        <v/>
      </c>
      <c r="E572" s="77" t="str">
        <f t="shared" si="313"/>
        <v/>
      </c>
      <c r="F572" s="72" t="str">
        <f t="shared" si="314"/>
        <v/>
      </c>
      <c r="G572" s="73" t="str">
        <f>IFERROR(IF(AND(F572&lt;=$F$9,$F$5=Robocze!$B$4,$E572&lt;=$F$9,MONTH($F$8)=MONTH(E572)),$F$4,0)+IF(AND(F572&lt;=$F$9,$F$5=Robocze!$B$3,E572&lt;=$F$9),KALKULATOR!$F$4/12,0),"")</f>
        <v/>
      </c>
      <c r="H572" s="73" t="str">
        <f t="shared" si="315"/>
        <v/>
      </c>
      <c r="I572" s="74" t="str">
        <f t="shared" si="316"/>
        <v/>
      </c>
      <c r="J572" s="73" t="str">
        <f t="shared" si="317"/>
        <v/>
      </c>
      <c r="K572" s="75" t="str">
        <f t="shared" si="318"/>
        <v/>
      </c>
      <c r="L572" s="73" t="str">
        <f t="shared" si="319"/>
        <v/>
      </c>
      <c r="M572" s="73" t="str">
        <f t="shared" si="320"/>
        <v/>
      </c>
      <c r="N572" s="73" t="str">
        <f t="shared" si="321"/>
        <v/>
      </c>
      <c r="O572" s="73" t="str">
        <f t="shared" si="322"/>
        <v/>
      </c>
      <c r="P572" s="73" t="str">
        <f t="shared" si="323"/>
        <v/>
      </c>
      <c r="Q572" s="73" t="str">
        <f t="shared" si="324"/>
        <v/>
      </c>
      <c r="R572" s="73"/>
      <c r="S572" s="76" t="str">
        <f t="shared" si="325"/>
        <v/>
      </c>
      <c r="T572" s="73" t="str">
        <f t="shared" si="326"/>
        <v/>
      </c>
      <c r="U572" s="73" t="str">
        <f t="shared" si="327"/>
        <v/>
      </c>
      <c r="V572" s="76" t="str">
        <f t="shared" si="328"/>
        <v/>
      </c>
      <c r="W572" s="73" t="str">
        <f t="shared" si="329"/>
        <v/>
      </c>
      <c r="X572" s="73" t="str">
        <f>IF(B572&lt;&gt;"",IF(MONTH(E572)=MONTH($F$13),SUMIF($C$22:C951,"="&amp;(C572-1),$G$22:G951),0)*S572,"")</f>
        <v/>
      </c>
      <c r="Y572" s="73" t="str">
        <f>IF(B572&lt;&gt;"",SUM($X$22:X572),"")</f>
        <v/>
      </c>
      <c r="Z572" s="73" t="str">
        <f t="shared" si="330"/>
        <v/>
      </c>
      <c r="AA572" s="73" t="str">
        <f t="shared" si="331"/>
        <v/>
      </c>
      <c r="AB572" s="73" t="str">
        <f t="shared" si="332"/>
        <v/>
      </c>
      <c r="AC572" s="73" t="str">
        <f t="shared" si="333"/>
        <v/>
      </c>
      <c r="AD572" s="73" t="str">
        <f>IFERROR($U572*(1-$V572)+SUM($W$22:$W572)+$AB572,"")</f>
        <v/>
      </c>
      <c r="AE572" s="73" t="b">
        <f t="shared" si="344"/>
        <v>1</v>
      </c>
      <c r="AF572" s="73" t="e">
        <f>IF(AND(AE572=TRUE,D572&gt;=65),$U572*(1-10%)+SUM($W$22:$W572)+$AB572,AD572)</f>
        <v>#VALUE!</v>
      </c>
      <c r="AG572" s="73" t="str">
        <f t="shared" si="334"/>
        <v/>
      </c>
      <c r="AH572" s="73" t="str">
        <f t="shared" si="335"/>
        <v/>
      </c>
      <c r="AI572" s="73" t="str">
        <f t="shared" si="336"/>
        <v/>
      </c>
      <c r="AJ572" s="73" t="str">
        <f t="shared" si="337"/>
        <v/>
      </c>
      <c r="AK572" s="73" t="b">
        <f t="shared" si="345"/>
        <v>1</v>
      </c>
      <c r="AL572" s="73" t="str">
        <f t="shared" si="338"/>
        <v/>
      </c>
      <c r="AM572" s="73" t="str">
        <f t="shared" si="339"/>
        <v/>
      </c>
      <c r="AN572" s="73" t="str">
        <f t="shared" si="340"/>
        <v/>
      </c>
      <c r="AO572" s="73" t="str">
        <f t="shared" si="341"/>
        <v/>
      </c>
      <c r="AP572" s="73" t="str">
        <f t="shared" si="342"/>
        <v/>
      </c>
    </row>
    <row r="573" spans="1:42" s="31" customFormat="1" x14ac:dyDescent="0.6">
      <c r="A573" s="70" t="str">
        <f t="shared" si="343"/>
        <v/>
      </c>
      <c r="B573" s="70" t="str">
        <f>IF(E573&lt;=$F$9,VLOOKUP(KALKULATOR!A573,Robocze!$B$23:$C$102,2),"")</f>
        <v/>
      </c>
      <c r="C573" s="70" t="str">
        <f t="shared" si="311"/>
        <v/>
      </c>
      <c r="D573" s="71" t="str">
        <f t="shared" si="312"/>
        <v/>
      </c>
      <c r="E573" s="77" t="str">
        <f t="shared" si="313"/>
        <v/>
      </c>
      <c r="F573" s="72" t="str">
        <f t="shared" si="314"/>
        <v/>
      </c>
      <c r="G573" s="73" t="str">
        <f>IFERROR(IF(AND(F573&lt;=$F$9,$F$5=Robocze!$B$4,$E573&lt;=$F$9,MONTH($F$8)=MONTH(E573)),$F$4,0)+IF(AND(F573&lt;=$F$9,$F$5=Robocze!$B$3,E573&lt;=$F$9),KALKULATOR!$F$4/12,0),"")</f>
        <v/>
      </c>
      <c r="H573" s="73" t="str">
        <f t="shared" si="315"/>
        <v/>
      </c>
      <c r="I573" s="74" t="str">
        <f t="shared" si="316"/>
        <v/>
      </c>
      <c r="J573" s="73" t="str">
        <f t="shared" si="317"/>
        <v/>
      </c>
      <c r="K573" s="75" t="str">
        <f t="shared" si="318"/>
        <v/>
      </c>
      <c r="L573" s="73" t="str">
        <f t="shared" si="319"/>
        <v/>
      </c>
      <c r="M573" s="73" t="str">
        <f t="shared" si="320"/>
        <v/>
      </c>
      <c r="N573" s="73" t="str">
        <f t="shared" si="321"/>
        <v/>
      </c>
      <c r="O573" s="73" t="str">
        <f t="shared" si="322"/>
        <v/>
      </c>
      <c r="P573" s="73" t="str">
        <f t="shared" si="323"/>
        <v/>
      </c>
      <c r="Q573" s="73" t="str">
        <f t="shared" si="324"/>
        <v/>
      </c>
      <c r="R573" s="73"/>
      <c r="S573" s="76" t="str">
        <f t="shared" si="325"/>
        <v/>
      </c>
      <c r="T573" s="73" t="str">
        <f t="shared" si="326"/>
        <v/>
      </c>
      <c r="U573" s="73" t="str">
        <f t="shared" si="327"/>
        <v/>
      </c>
      <c r="V573" s="76" t="str">
        <f t="shared" si="328"/>
        <v/>
      </c>
      <c r="W573" s="73" t="str">
        <f t="shared" si="329"/>
        <v/>
      </c>
      <c r="X573" s="73" t="str">
        <f>IF(B573&lt;&gt;"",IF(MONTH(E573)=MONTH($F$13),SUMIF($C$22:C952,"="&amp;(C573-1),$G$22:G952),0)*S573,"")</f>
        <v/>
      </c>
      <c r="Y573" s="73" t="str">
        <f>IF(B573&lt;&gt;"",SUM($X$22:X573),"")</f>
        <v/>
      </c>
      <c r="Z573" s="73" t="str">
        <f t="shared" si="330"/>
        <v/>
      </c>
      <c r="AA573" s="73" t="str">
        <f t="shared" si="331"/>
        <v/>
      </c>
      <c r="AB573" s="73" t="str">
        <f t="shared" si="332"/>
        <v/>
      </c>
      <c r="AC573" s="73" t="str">
        <f t="shared" si="333"/>
        <v/>
      </c>
      <c r="AD573" s="73" t="str">
        <f>IFERROR($U573*(1-$V573)+SUM($W$22:$W573)+$AB573,"")</f>
        <v/>
      </c>
      <c r="AE573" s="73" t="b">
        <f t="shared" si="344"/>
        <v>1</v>
      </c>
      <c r="AF573" s="73" t="e">
        <f>IF(AND(AE573=TRUE,D573&gt;=65),$U573*(1-10%)+SUM($W$22:$W573)+$AB573,AD573)</f>
        <v>#VALUE!</v>
      </c>
      <c r="AG573" s="73" t="str">
        <f t="shared" si="334"/>
        <v/>
      </c>
      <c r="AH573" s="73" t="str">
        <f t="shared" si="335"/>
        <v/>
      </c>
      <c r="AI573" s="73" t="str">
        <f t="shared" si="336"/>
        <v/>
      </c>
      <c r="AJ573" s="73" t="str">
        <f t="shared" si="337"/>
        <v/>
      </c>
      <c r="AK573" s="73" t="b">
        <f t="shared" si="345"/>
        <v>1</v>
      </c>
      <c r="AL573" s="73" t="str">
        <f t="shared" si="338"/>
        <v/>
      </c>
      <c r="AM573" s="73" t="str">
        <f t="shared" si="339"/>
        <v/>
      </c>
      <c r="AN573" s="73" t="str">
        <f t="shared" si="340"/>
        <v/>
      </c>
      <c r="AO573" s="73" t="str">
        <f t="shared" si="341"/>
        <v/>
      </c>
      <c r="AP573" s="73" t="str">
        <f t="shared" si="342"/>
        <v/>
      </c>
    </row>
    <row r="574" spans="1:42" s="31" customFormat="1" x14ac:dyDescent="0.6">
      <c r="A574" s="70" t="str">
        <f t="shared" si="343"/>
        <v/>
      </c>
      <c r="B574" s="70" t="str">
        <f>IF(E574&lt;=$F$9,VLOOKUP(KALKULATOR!A574,Robocze!$B$23:$C$102,2),"")</f>
        <v/>
      </c>
      <c r="C574" s="70" t="str">
        <f t="shared" ref="C574:C612" si="346">IF(B574="","",YEAR(E574))</f>
        <v/>
      </c>
      <c r="D574" s="71" t="str">
        <f t="shared" ref="D574:D612" si="347">IF(B574="","",D573+1/12)</f>
        <v/>
      </c>
      <c r="E574" s="77" t="str">
        <f t="shared" ref="E574:E612" si="348">IF(OR(B573="",E573&gt;$F$9,A574=""),"",EDATE(E573,1))</f>
        <v/>
      </c>
      <c r="F574" s="72" t="str">
        <f t="shared" ref="F574:F612" si="349">IFERROR(EOMONTH(E574,0),"")</f>
        <v/>
      </c>
      <c r="G574" s="73" t="str">
        <f>IFERROR(IF(AND(F574&lt;=$F$9,$F$5=Robocze!$B$4,$E574&lt;=$F$9,MONTH($F$8)=MONTH(E574)),$F$4,0)+IF(AND(F574&lt;=$F$9,$F$5=Robocze!$B$3,E574&lt;=$F$9),KALKULATOR!$F$4/12,0),"")</f>
        <v/>
      </c>
      <c r="H574" s="73" t="str">
        <f t="shared" ref="H574:H612" si="350">IFERROR(H573+G574,"")</f>
        <v/>
      </c>
      <c r="I574" s="74" t="str">
        <f t="shared" ref="I574:I612" si="351">IF(E574&lt;=$F$9,$F$2,"")</f>
        <v/>
      </c>
      <c r="J574" s="73" t="str">
        <f t="shared" ref="J574:J612" si="352">IFERROR(IF(MONTH($F$8)=MONTH(E574),$F$15,0),"")</f>
        <v/>
      </c>
      <c r="K574" s="75" t="str">
        <f t="shared" ref="K574:K612" si="353">IFERROR(IF(AND(MOD(A574,12)=0,A574&lt;&gt;""),A574/12,""),"")</f>
        <v/>
      </c>
      <c r="L574" s="73" t="str">
        <f t="shared" ref="L574:L612" si="354">H574</f>
        <v/>
      </c>
      <c r="M574" s="73" t="str">
        <f t="shared" ref="M574:M612" si="355">IFERROR(AF574,"")</f>
        <v/>
      </c>
      <c r="N574" s="73" t="str">
        <f t="shared" ref="N574:N612" si="356">IFERROR(AD574,"")</f>
        <v/>
      </c>
      <c r="O574" s="73" t="str">
        <f t="shared" ref="O574:O612" si="357">IFERROR(AL574,"")</f>
        <v/>
      </c>
      <c r="P574" s="73" t="str">
        <f t="shared" ref="P574:P612" si="358">AJ574</f>
        <v/>
      </c>
      <c r="Q574" s="73" t="str">
        <f t="shared" ref="Q574:Q612" si="359">AP574</f>
        <v/>
      </c>
      <c r="R574" s="73"/>
      <c r="S574" s="76" t="str">
        <f t="shared" ref="S574:S612" si="360">IF(B574&lt;&gt;"",$F$11,"")</f>
        <v/>
      </c>
      <c r="T574" s="73" t="str">
        <f t="shared" ref="T574:T612" si="361">IF(B574&lt;&gt;"",(U573-J574+G574)*(I574/12),"")</f>
        <v/>
      </c>
      <c r="U574" s="73" t="str">
        <f t="shared" ref="U574:U612" si="362">IF(B574&lt;&gt;"",U573+T574-J574+G574,"")</f>
        <v/>
      </c>
      <c r="V574" s="76" t="str">
        <f t="shared" ref="V574:V612" si="363">IF(B574&lt;&gt;"",$F$12,"")</f>
        <v/>
      </c>
      <c r="W574" s="73" t="str">
        <f t="shared" ref="W574:W612" si="364">IF(B574&lt;&gt;"",G574*S574,"")</f>
        <v/>
      </c>
      <c r="X574" s="73" t="str">
        <f>IF(B574&lt;&gt;"",IF(MONTH(E574)=MONTH($F$13),SUMIF($C$22:C953,"="&amp;(C574-1),$G$22:G953),0)*S574,"")</f>
        <v/>
      </c>
      <c r="Y574" s="73" t="str">
        <f>IF(B574&lt;&gt;"",SUM($X$22:X574),"")</f>
        <v/>
      </c>
      <c r="Z574" s="73" t="str">
        <f t="shared" ref="Z574:Z612" si="365">IF(B574&lt;&gt;"",(AC573+X574)*I574/12,"")</f>
        <v/>
      </c>
      <c r="AA574" s="73" t="str">
        <f t="shared" ref="AA574:AA612" si="366">IF(B574&lt;&gt;"",MAX(0,Z574*$F$14),"")</f>
        <v/>
      </c>
      <c r="AB574" s="73" t="str">
        <f t="shared" ref="AB574:AB612" si="367">IF(B574&lt;&gt;"",AB573+Z574-AA574,"")</f>
        <v/>
      </c>
      <c r="AC574" s="73" t="str">
        <f t="shared" ref="AC574:AC612" si="368">IF(B574&lt;&gt;"",AC573+Z574-AA574+X574,"")</f>
        <v/>
      </c>
      <c r="AD574" s="73" t="str">
        <f>IFERROR($U574*(1-$V574)+SUM($W$22:$W574)+$AB574,"")</f>
        <v/>
      </c>
      <c r="AE574" s="73" t="b">
        <f t="shared" si="344"/>
        <v>1</v>
      </c>
      <c r="AF574" s="73" t="e">
        <f>IF(AND(AE574=TRUE,D574&gt;=65),$U574*(1-10%)+SUM($W$22:$W574)+$AB574,AD574)</f>
        <v>#VALUE!</v>
      </c>
      <c r="AG574" s="73" t="str">
        <f t="shared" ref="AG574:AG612" si="369">IF(B574&lt;&gt;"",(AI573+G574)*I574/12-J574,"")</f>
        <v/>
      </c>
      <c r="AH574" s="73" t="str">
        <f t="shared" ref="AH574:AH612" si="370">IF(B574&lt;&gt;"",AH573+AG574,"")</f>
        <v/>
      </c>
      <c r="AI574" s="73" t="str">
        <f t="shared" ref="AI574:AI612" si="371">IF(B574&lt;&gt;"",H574+AH574,"")</f>
        <v/>
      </c>
      <c r="AJ574" s="73" t="str">
        <f t="shared" ref="AJ574:AJ612" si="372">IF(B574&lt;&gt;"",IF(AI574&gt;H574,AI574-AH574*$F$14,AI574),"")</f>
        <v/>
      </c>
      <c r="AK574" s="73" t="b">
        <f t="shared" si="345"/>
        <v>1</v>
      </c>
      <c r="AL574" s="73" t="str">
        <f t="shared" ref="AL574:AL612" si="373">IF(AK574=TRUE,AI574,AJ574)</f>
        <v/>
      </c>
      <c r="AM574" s="73" t="str">
        <f t="shared" ref="AM574:AM612" si="374">IF(B574&lt;&gt;"",(AP573+G574)*I574/12,"")</f>
        <v/>
      </c>
      <c r="AN574" s="73" t="str">
        <f t="shared" ref="AN574:AN612" si="375">IF(B574&lt;&gt;"",MAX(0,AM574*$F$14),"")</f>
        <v/>
      </c>
      <c r="AO574" s="73" t="str">
        <f t="shared" ref="AO574:AO612" si="376">IF(B574&lt;&gt;"",AP574-H574,"")</f>
        <v/>
      </c>
      <c r="AP574" s="73" t="str">
        <f t="shared" ref="AP574:AP612" si="377">IF(B574&lt;&gt;"",AP573+G574+AM574-AN574,"")</f>
        <v/>
      </c>
    </row>
    <row r="575" spans="1:42" s="31" customFormat="1" x14ac:dyDescent="0.6">
      <c r="A575" s="70" t="str">
        <f t="shared" si="343"/>
        <v/>
      </c>
      <c r="B575" s="70" t="str">
        <f>IF(E575&lt;=$F$9,VLOOKUP(KALKULATOR!A575,Robocze!$B$23:$C$102,2),"")</f>
        <v/>
      </c>
      <c r="C575" s="70" t="str">
        <f t="shared" si="346"/>
        <v/>
      </c>
      <c r="D575" s="71" t="str">
        <f t="shared" si="347"/>
        <v/>
      </c>
      <c r="E575" s="77" t="str">
        <f t="shared" si="348"/>
        <v/>
      </c>
      <c r="F575" s="72" t="str">
        <f t="shared" si="349"/>
        <v/>
      </c>
      <c r="G575" s="73" t="str">
        <f>IFERROR(IF(AND(F575&lt;=$F$9,$F$5=Robocze!$B$4,$E575&lt;=$F$9,MONTH($F$8)=MONTH(E575)),$F$4,0)+IF(AND(F575&lt;=$F$9,$F$5=Robocze!$B$3,E575&lt;=$F$9),KALKULATOR!$F$4/12,0),"")</f>
        <v/>
      </c>
      <c r="H575" s="73" t="str">
        <f t="shared" si="350"/>
        <v/>
      </c>
      <c r="I575" s="74" t="str">
        <f t="shared" si="351"/>
        <v/>
      </c>
      <c r="J575" s="73" t="str">
        <f t="shared" si="352"/>
        <v/>
      </c>
      <c r="K575" s="75" t="str">
        <f t="shared" si="353"/>
        <v/>
      </c>
      <c r="L575" s="73" t="str">
        <f t="shared" si="354"/>
        <v/>
      </c>
      <c r="M575" s="73" t="str">
        <f t="shared" si="355"/>
        <v/>
      </c>
      <c r="N575" s="73" t="str">
        <f t="shared" si="356"/>
        <v/>
      </c>
      <c r="O575" s="73" t="str">
        <f t="shared" si="357"/>
        <v/>
      </c>
      <c r="P575" s="73" t="str">
        <f t="shared" si="358"/>
        <v/>
      </c>
      <c r="Q575" s="73" t="str">
        <f t="shared" si="359"/>
        <v/>
      </c>
      <c r="R575" s="73"/>
      <c r="S575" s="76" t="str">
        <f t="shared" si="360"/>
        <v/>
      </c>
      <c r="T575" s="73" t="str">
        <f t="shared" si="361"/>
        <v/>
      </c>
      <c r="U575" s="73" t="str">
        <f t="shared" si="362"/>
        <v/>
      </c>
      <c r="V575" s="76" t="str">
        <f t="shared" si="363"/>
        <v/>
      </c>
      <c r="W575" s="73" t="str">
        <f t="shared" si="364"/>
        <v/>
      </c>
      <c r="X575" s="73" t="str">
        <f>IF(B575&lt;&gt;"",IF(MONTH(E575)=MONTH($F$13),SUMIF($C$22:C954,"="&amp;(C575-1),$G$22:G954),0)*S575,"")</f>
        <v/>
      </c>
      <c r="Y575" s="73" t="str">
        <f>IF(B575&lt;&gt;"",SUM($X$22:X575),"")</f>
        <v/>
      </c>
      <c r="Z575" s="73" t="str">
        <f t="shared" si="365"/>
        <v/>
      </c>
      <c r="AA575" s="73" t="str">
        <f t="shared" si="366"/>
        <v/>
      </c>
      <c r="AB575" s="73" t="str">
        <f t="shared" si="367"/>
        <v/>
      </c>
      <c r="AC575" s="73" t="str">
        <f t="shared" si="368"/>
        <v/>
      </c>
      <c r="AD575" s="73" t="str">
        <f>IFERROR($U575*(1-$V575)+SUM($W$22:$W575)+$AB575,"")</f>
        <v/>
      </c>
      <c r="AE575" s="73" t="b">
        <f t="shared" si="344"/>
        <v>1</v>
      </c>
      <c r="AF575" s="73" t="e">
        <f>IF(AND(AE575=TRUE,D575&gt;=65),$U575*(1-10%)+SUM($W$22:$W575)+$AB575,AD575)</f>
        <v>#VALUE!</v>
      </c>
      <c r="AG575" s="73" t="str">
        <f t="shared" si="369"/>
        <v/>
      </c>
      <c r="AH575" s="73" t="str">
        <f t="shared" si="370"/>
        <v/>
      </c>
      <c r="AI575" s="73" t="str">
        <f t="shared" si="371"/>
        <v/>
      </c>
      <c r="AJ575" s="73" t="str">
        <f t="shared" si="372"/>
        <v/>
      </c>
      <c r="AK575" s="73" t="b">
        <f t="shared" si="345"/>
        <v>1</v>
      </c>
      <c r="AL575" s="73" t="str">
        <f t="shared" si="373"/>
        <v/>
      </c>
      <c r="AM575" s="73" t="str">
        <f t="shared" si="374"/>
        <v/>
      </c>
      <c r="AN575" s="73" t="str">
        <f t="shared" si="375"/>
        <v/>
      </c>
      <c r="AO575" s="73" t="str">
        <f t="shared" si="376"/>
        <v/>
      </c>
      <c r="AP575" s="73" t="str">
        <f t="shared" si="377"/>
        <v/>
      </c>
    </row>
    <row r="576" spans="1:42" s="31" customFormat="1" x14ac:dyDescent="0.6">
      <c r="A576" s="70" t="str">
        <f t="shared" si="343"/>
        <v/>
      </c>
      <c r="B576" s="70" t="str">
        <f>IF(E576&lt;=$F$9,VLOOKUP(KALKULATOR!A576,Robocze!$B$23:$C$102,2),"")</f>
        <v/>
      </c>
      <c r="C576" s="70" t="str">
        <f t="shared" si="346"/>
        <v/>
      </c>
      <c r="D576" s="71" t="str">
        <f t="shared" si="347"/>
        <v/>
      </c>
      <c r="E576" s="77" t="str">
        <f t="shared" si="348"/>
        <v/>
      </c>
      <c r="F576" s="72" t="str">
        <f t="shared" si="349"/>
        <v/>
      </c>
      <c r="G576" s="73" t="str">
        <f>IFERROR(IF(AND(F576&lt;=$F$9,$F$5=Robocze!$B$4,$E576&lt;=$F$9,MONTH($F$8)=MONTH(E576)),$F$4,0)+IF(AND(F576&lt;=$F$9,$F$5=Robocze!$B$3,E576&lt;=$F$9),KALKULATOR!$F$4/12,0),"")</f>
        <v/>
      </c>
      <c r="H576" s="73" t="str">
        <f t="shared" si="350"/>
        <v/>
      </c>
      <c r="I576" s="74" t="str">
        <f t="shared" si="351"/>
        <v/>
      </c>
      <c r="J576" s="73" t="str">
        <f t="shared" si="352"/>
        <v/>
      </c>
      <c r="K576" s="75" t="str">
        <f t="shared" si="353"/>
        <v/>
      </c>
      <c r="L576" s="73" t="str">
        <f t="shared" si="354"/>
        <v/>
      </c>
      <c r="M576" s="73" t="str">
        <f t="shared" si="355"/>
        <v/>
      </c>
      <c r="N576" s="73" t="str">
        <f t="shared" si="356"/>
        <v/>
      </c>
      <c r="O576" s="73" t="str">
        <f t="shared" si="357"/>
        <v/>
      </c>
      <c r="P576" s="73" t="str">
        <f t="shared" si="358"/>
        <v/>
      </c>
      <c r="Q576" s="73" t="str">
        <f t="shared" si="359"/>
        <v/>
      </c>
      <c r="R576" s="73"/>
      <c r="S576" s="76" t="str">
        <f t="shared" si="360"/>
        <v/>
      </c>
      <c r="T576" s="73" t="str">
        <f t="shared" si="361"/>
        <v/>
      </c>
      <c r="U576" s="73" t="str">
        <f t="shared" si="362"/>
        <v/>
      </c>
      <c r="V576" s="76" t="str">
        <f t="shared" si="363"/>
        <v/>
      </c>
      <c r="W576" s="73" t="str">
        <f t="shared" si="364"/>
        <v/>
      </c>
      <c r="X576" s="73" t="str">
        <f>IF(B576&lt;&gt;"",IF(MONTH(E576)=MONTH($F$13),SUMIF($C$22:C955,"="&amp;(C576-1),$G$22:G955),0)*S576,"")</f>
        <v/>
      </c>
      <c r="Y576" s="73" t="str">
        <f>IF(B576&lt;&gt;"",SUM($X$22:X576),"")</f>
        <v/>
      </c>
      <c r="Z576" s="73" t="str">
        <f t="shared" si="365"/>
        <v/>
      </c>
      <c r="AA576" s="73" t="str">
        <f t="shared" si="366"/>
        <v/>
      </c>
      <c r="AB576" s="73" t="str">
        <f t="shared" si="367"/>
        <v/>
      </c>
      <c r="AC576" s="73" t="str">
        <f t="shared" si="368"/>
        <v/>
      </c>
      <c r="AD576" s="73" t="str">
        <f>IFERROR($U576*(1-$V576)+SUM($W$22:$W576)+$AB576,"")</f>
        <v/>
      </c>
      <c r="AE576" s="73" t="b">
        <f t="shared" si="344"/>
        <v>1</v>
      </c>
      <c r="AF576" s="73" t="e">
        <f>IF(AND(AE576=TRUE,D576&gt;=65),$U576*(1-10%)+SUM($W$22:$W576)+$AB576,AD576)</f>
        <v>#VALUE!</v>
      </c>
      <c r="AG576" s="73" t="str">
        <f t="shared" si="369"/>
        <v/>
      </c>
      <c r="AH576" s="73" t="str">
        <f t="shared" si="370"/>
        <v/>
      </c>
      <c r="AI576" s="73" t="str">
        <f t="shared" si="371"/>
        <v/>
      </c>
      <c r="AJ576" s="73" t="str">
        <f t="shared" si="372"/>
        <v/>
      </c>
      <c r="AK576" s="73" t="b">
        <f t="shared" si="345"/>
        <v>1</v>
      </c>
      <c r="AL576" s="73" t="str">
        <f t="shared" si="373"/>
        <v/>
      </c>
      <c r="AM576" s="73" t="str">
        <f t="shared" si="374"/>
        <v/>
      </c>
      <c r="AN576" s="73" t="str">
        <f t="shared" si="375"/>
        <v/>
      </c>
      <c r="AO576" s="73" t="str">
        <f t="shared" si="376"/>
        <v/>
      </c>
      <c r="AP576" s="73" t="str">
        <f t="shared" si="377"/>
        <v/>
      </c>
    </row>
    <row r="577" spans="1:42" s="31" customFormat="1" x14ac:dyDescent="0.6">
      <c r="A577" s="70" t="str">
        <f t="shared" si="343"/>
        <v/>
      </c>
      <c r="B577" s="70" t="str">
        <f>IF(E577&lt;=$F$9,VLOOKUP(KALKULATOR!A577,Robocze!$B$23:$C$102,2),"")</f>
        <v/>
      </c>
      <c r="C577" s="70" t="str">
        <f t="shared" si="346"/>
        <v/>
      </c>
      <c r="D577" s="71" t="str">
        <f t="shared" si="347"/>
        <v/>
      </c>
      <c r="E577" s="77" t="str">
        <f t="shared" si="348"/>
        <v/>
      </c>
      <c r="F577" s="72" t="str">
        <f t="shared" si="349"/>
        <v/>
      </c>
      <c r="G577" s="73" t="str">
        <f>IFERROR(IF(AND(F577&lt;=$F$9,$F$5=Robocze!$B$4,$E577&lt;=$F$9,MONTH($F$8)=MONTH(E577)),$F$4,0)+IF(AND(F577&lt;=$F$9,$F$5=Robocze!$B$3,E577&lt;=$F$9),KALKULATOR!$F$4/12,0),"")</f>
        <v/>
      </c>
      <c r="H577" s="73" t="str">
        <f t="shared" si="350"/>
        <v/>
      </c>
      <c r="I577" s="74" t="str">
        <f t="shared" si="351"/>
        <v/>
      </c>
      <c r="J577" s="73" t="str">
        <f t="shared" si="352"/>
        <v/>
      </c>
      <c r="K577" s="75" t="str">
        <f t="shared" si="353"/>
        <v/>
      </c>
      <c r="L577" s="73" t="str">
        <f t="shared" si="354"/>
        <v/>
      </c>
      <c r="M577" s="73" t="str">
        <f t="shared" si="355"/>
        <v/>
      </c>
      <c r="N577" s="73" t="str">
        <f t="shared" si="356"/>
        <v/>
      </c>
      <c r="O577" s="73" t="str">
        <f t="shared" si="357"/>
        <v/>
      </c>
      <c r="P577" s="73" t="str">
        <f t="shared" si="358"/>
        <v/>
      </c>
      <c r="Q577" s="73" t="str">
        <f t="shared" si="359"/>
        <v/>
      </c>
      <c r="R577" s="73"/>
      <c r="S577" s="76" t="str">
        <f t="shared" si="360"/>
        <v/>
      </c>
      <c r="T577" s="73" t="str">
        <f t="shared" si="361"/>
        <v/>
      </c>
      <c r="U577" s="73" t="str">
        <f t="shared" si="362"/>
        <v/>
      </c>
      <c r="V577" s="76" t="str">
        <f t="shared" si="363"/>
        <v/>
      </c>
      <c r="W577" s="73" t="str">
        <f t="shared" si="364"/>
        <v/>
      </c>
      <c r="X577" s="73" t="str">
        <f>IF(B577&lt;&gt;"",IF(MONTH(E577)=MONTH($F$13),SUMIF($C$22:C956,"="&amp;(C577-1),$G$22:G956),0)*S577,"")</f>
        <v/>
      </c>
      <c r="Y577" s="73" t="str">
        <f>IF(B577&lt;&gt;"",SUM($X$22:X577),"")</f>
        <v/>
      </c>
      <c r="Z577" s="73" t="str">
        <f t="shared" si="365"/>
        <v/>
      </c>
      <c r="AA577" s="73" t="str">
        <f t="shared" si="366"/>
        <v/>
      </c>
      <c r="AB577" s="73" t="str">
        <f t="shared" si="367"/>
        <v/>
      </c>
      <c r="AC577" s="73" t="str">
        <f t="shared" si="368"/>
        <v/>
      </c>
      <c r="AD577" s="73" t="str">
        <f>IFERROR($U577*(1-$V577)+SUM($W$22:$W577)+$AB577,"")</f>
        <v/>
      </c>
      <c r="AE577" s="73" t="b">
        <f t="shared" si="344"/>
        <v>1</v>
      </c>
      <c r="AF577" s="73" t="e">
        <f>IF(AND(AE577=TRUE,D577&gt;=65),$U577*(1-10%)+SUM($W$22:$W577)+$AB577,AD577)</f>
        <v>#VALUE!</v>
      </c>
      <c r="AG577" s="73" t="str">
        <f t="shared" si="369"/>
        <v/>
      </c>
      <c r="AH577" s="73" t="str">
        <f t="shared" si="370"/>
        <v/>
      </c>
      <c r="AI577" s="73" t="str">
        <f t="shared" si="371"/>
        <v/>
      </c>
      <c r="AJ577" s="73" t="str">
        <f t="shared" si="372"/>
        <v/>
      </c>
      <c r="AK577" s="73" t="b">
        <f t="shared" si="345"/>
        <v>1</v>
      </c>
      <c r="AL577" s="73" t="str">
        <f t="shared" si="373"/>
        <v/>
      </c>
      <c r="AM577" s="73" t="str">
        <f t="shared" si="374"/>
        <v/>
      </c>
      <c r="AN577" s="73" t="str">
        <f t="shared" si="375"/>
        <v/>
      </c>
      <c r="AO577" s="73" t="str">
        <f t="shared" si="376"/>
        <v/>
      </c>
      <c r="AP577" s="73" t="str">
        <f t="shared" si="377"/>
        <v/>
      </c>
    </row>
    <row r="578" spans="1:42" s="69" customFormat="1" x14ac:dyDescent="0.6">
      <c r="A578" s="78" t="str">
        <f t="shared" si="343"/>
        <v/>
      </c>
      <c r="B578" s="78" t="str">
        <f>IF(E578&lt;=$F$9,VLOOKUP(KALKULATOR!A578,Robocze!$B$23:$C$102,2),"")</f>
        <v/>
      </c>
      <c r="C578" s="78" t="str">
        <f t="shared" si="346"/>
        <v/>
      </c>
      <c r="D578" s="79" t="str">
        <f t="shared" si="347"/>
        <v/>
      </c>
      <c r="E578" s="80" t="str">
        <f t="shared" si="348"/>
        <v/>
      </c>
      <c r="F578" s="81" t="str">
        <f t="shared" si="349"/>
        <v/>
      </c>
      <c r="G578" s="82" t="str">
        <f>IFERROR(IF(AND(F578&lt;=$F$9,$F$5=Robocze!$B$4,$E578&lt;=$F$9,MONTH($F$8)=MONTH(E578)),$F$4,0)+IF(AND(F578&lt;=$F$9,$F$5=Robocze!$B$3,E578&lt;=$F$9),KALKULATOR!$F$4/12,0),"")</f>
        <v/>
      </c>
      <c r="H578" s="82" t="str">
        <f t="shared" si="350"/>
        <v/>
      </c>
      <c r="I578" s="83" t="str">
        <f t="shared" si="351"/>
        <v/>
      </c>
      <c r="J578" s="82" t="str">
        <f t="shared" si="352"/>
        <v/>
      </c>
      <c r="K578" s="84" t="str">
        <f t="shared" si="353"/>
        <v/>
      </c>
      <c r="L578" s="82" t="str">
        <f t="shared" si="354"/>
        <v/>
      </c>
      <c r="M578" s="82" t="str">
        <f t="shared" si="355"/>
        <v/>
      </c>
      <c r="N578" s="82" t="str">
        <f t="shared" si="356"/>
        <v/>
      </c>
      <c r="O578" s="82" t="str">
        <f t="shared" si="357"/>
        <v/>
      </c>
      <c r="P578" s="82" t="str">
        <f t="shared" si="358"/>
        <v/>
      </c>
      <c r="Q578" s="82" t="str">
        <f t="shared" si="359"/>
        <v/>
      </c>
      <c r="R578" s="82"/>
      <c r="S578" s="85" t="str">
        <f t="shared" si="360"/>
        <v/>
      </c>
      <c r="T578" s="82" t="str">
        <f t="shared" si="361"/>
        <v/>
      </c>
      <c r="U578" s="82" t="str">
        <f t="shared" si="362"/>
        <v/>
      </c>
      <c r="V578" s="85" t="str">
        <f t="shared" si="363"/>
        <v/>
      </c>
      <c r="W578" s="82" t="str">
        <f t="shared" si="364"/>
        <v/>
      </c>
      <c r="X578" s="82" t="str">
        <f>IF(B578&lt;&gt;"",IF(MONTH(E578)=MONTH($F$13),SUMIF($C$22:C957,"="&amp;(C578-1),$G$22:G957),0)*S578,"")</f>
        <v/>
      </c>
      <c r="Y578" s="82" t="str">
        <f>IF(B578&lt;&gt;"",SUM($X$22:X578),"")</f>
        <v/>
      </c>
      <c r="Z578" s="82" t="str">
        <f t="shared" si="365"/>
        <v/>
      </c>
      <c r="AA578" s="82" t="str">
        <f t="shared" si="366"/>
        <v/>
      </c>
      <c r="AB578" s="82" t="str">
        <f t="shared" si="367"/>
        <v/>
      </c>
      <c r="AC578" s="82" t="str">
        <f t="shared" si="368"/>
        <v/>
      </c>
      <c r="AD578" s="82" t="str">
        <f>IFERROR($U578*(1-$V578)+SUM($W$22:$W578)+$AB578,"")</f>
        <v/>
      </c>
      <c r="AE578" s="73" t="b">
        <f t="shared" si="344"/>
        <v>1</v>
      </c>
      <c r="AF578" s="82" t="e">
        <f>IF(AND(AE578=TRUE,D578&gt;=65),$U578*(1-10%)+SUM($W$22:$W578)+$AB578,AD578)</f>
        <v>#VALUE!</v>
      </c>
      <c r="AG578" s="82" t="str">
        <f t="shared" si="369"/>
        <v/>
      </c>
      <c r="AH578" s="82" t="str">
        <f t="shared" si="370"/>
        <v/>
      </c>
      <c r="AI578" s="82" t="str">
        <f t="shared" si="371"/>
        <v/>
      </c>
      <c r="AJ578" s="82" t="str">
        <f t="shared" si="372"/>
        <v/>
      </c>
      <c r="AK578" s="73" t="b">
        <f t="shared" si="345"/>
        <v>1</v>
      </c>
      <c r="AL578" s="82" t="str">
        <f t="shared" si="373"/>
        <v/>
      </c>
      <c r="AM578" s="82" t="str">
        <f t="shared" si="374"/>
        <v/>
      </c>
      <c r="AN578" s="82" t="str">
        <f t="shared" si="375"/>
        <v/>
      </c>
      <c r="AO578" s="82" t="str">
        <f t="shared" si="376"/>
        <v/>
      </c>
      <c r="AP578" s="82" t="str">
        <f t="shared" si="377"/>
        <v/>
      </c>
    </row>
    <row r="579" spans="1:42" s="31" customFormat="1" x14ac:dyDescent="0.6">
      <c r="A579" s="70" t="str">
        <f t="shared" si="343"/>
        <v/>
      </c>
      <c r="B579" s="70" t="str">
        <f>IF(E579&lt;=$F$9,VLOOKUP(KALKULATOR!A579,Robocze!$B$23:$C$102,2),"")</f>
        <v/>
      </c>
      <c r="C579" s="70" t="str">
        <f t="shared" si="346"/>
        <v/>
      </c>
      <c r="D579" s="71" t="str">
        <f t="shared" si="347"/>
        <v/>
      </c>
      <c r="E579" s="72" t="str">
        <f t="shared" si="348"/>
        <v/>
      </c>
      <c r="F579" s="72" t="str">
        <f t="shared" si="349"/>
        <v/>
      </c>
      <c r="G579" s="73" t="str">
        <f>IFERROR(IF(AND(F579&lt;=$F$9,$F$5=Robocze!$B$4,$E579&lt;=$F$9,MONTH($F$8)=MONTH(E579)),$F$4,0)+IF(AND(F579&lt;=$F$9,$F$5=Robocze!$B$3,E579&lt;=$F$9),KALKULATOR!$F$4/12,0),"")</f>
        <v/>
      </c>
      <c r="H579" s="73" t="str">
        <f t="shared" si="350"/>
        <v/>
      </c>
      <c r="I579" s="74" t="str">
        <f t="shared" si="351"/>
        <v/>
      </c>
      <c r="J579" s="73" t="str">
        <f t="shared" si="352"/>
        <v/>
      </c>
      <c r="K579" s="75" t="str">
        <f t="shared" si="353"/>
        <v/>
      </c>
      <c r="L579" s="73" t="str">
        <f t="shared" si="354"/>
        <v/>
      </c>
      <c r="M579" s="73" t="str">
        <f t="shared" si="355"/>
        <v/>
      </c>
      <c r="N579" s="73" t="str">
        <f t="shared" si="356"/>
        <v/>
      </c>
      <c r="O579" s="73" t="str">
        <f t="shared" si="357"/>
        <v/>
      </c>
      <c r="P579" s="73" t="str">
        <f t="shared" si="358"/>
        <v/>
      </c>
      <c r="Q579" s="73" t="str">
        <f t="shared" si="359"/>
        <v/>
      </c>
      <c r="R579" s="73"/>
      <c r="S579" s="76" t="str">
        <f t="shared" si="360"/>
        <v/>
      </c>
      <c r="T579" s="73" t="str">
        <f t="shared" si="361"/>
        <v/>
      </c>
      <c r="U579" s="73" t="str">
        <f t="shared" si="362"/>
        <v/>
      </c>
      <c r="V579" s="76" t="str">
        <f t="shared" si="363"/>
        <v/>
      </c>
      <c r="W579" s="73" t="str">
        <f t="shared" si="364"/>
        <v/>
      </c>
      <c r="X579" s="73" t="str">
        <f>IF(B579&lt;&gt;"",IF(MONTH(E579)=MONTH($F$13),SUMIF($C$22:C958,"="&amp;(C579-1),$G$22:G958),0)*S579,"")</f>
        <v/>
      </c>
      <c r="Y579" s="73" t="str">
        <f>IF(B579&lt;&gt;"",SUM($X$22:X579),"")</f>
        <v/>
      </c>
      <c r="Z579" s="73" t="str">
        <f t="shared" si="365"/>
        <v/>
      </c>
      <c r="AA579" s="73" t="str">
        <f t="shared" si="366"/>
        <v/>
      </c>
      <c r="AB579" s="73" t="str">
        <f t="shared" si="367"/>
        <v/>
      </c>
      <c r="AC579" s="73" t="str">
        <f t="shared" si="368"/>
        <v/>
      </c>
      <c r="AD579" s="73" t="str">
        <f>IFERROR($U579*(1-$V579)+SUM($W$22:$W579)+$AB579,"")</f>
        <v/>
      </c>
      <c r="AE579" s="73" t="b">
        <f t="shared" si="344"/>
        <v>1</v>
      </c>
      <c r="AF579" s="73" t="e">
        <f>IF(AND(AE579=TRUE,D579&gt;=65),$U579*(1-10%)+SUM($W$22:$W579)+$AB579,AD579)</f>
        <v>#VALUE!</v>
      </c>
      <c r="AG579" s="73" t="str">
        <f t="shared" si="369"/>
        <v/>
      </c>
      <c r="AH579" s="73" t="str">
        <f t="shared" si="370"/>
        <v/>
      </c>
      <c r="AI579" s="73" t="str">
        <f t="shared" si="371"/>
        <v/>
      </c>
      <c r="AJ579" s="73" t="str">
        <f t="shared" si="372"/>
        <v/>
      </c>
      <c r="AK579" s="73" t="b">
        <f t="shared" si="345"/>
        <v>1</v>
      </c>
      <c r="AL579" s="73" t="str">
        <f t="shared" si="373"/>
        <v/>
      </c>
      <c r="AM579" s="73" t="str">
        <f t="shared" si="374"/>
        <v/>
      </c>
      <c r="AN579" s="73" t="str">
        <f t="shared" si="375"/>
        <v/>
      </c>
      <c r="AO579" s="73" t="str">
        <f t="shared" si="376"/>
        <v/>
      </c>
      <c r="AP579" s="73" t="str">
        <f t="shared" si="377"/>
        <v/>
      </c>
    </row>
    <row r="580" spans="1:42" s="31" customFormat="1" x14ac:dyDescent="0.6">
      <c r="A580" s="70" t="str">
        <f t="shared" si="343"/>
        <v/>
      </c>
      <c r="B580" s="70" t="str">
        <f>IF(E580&lt;=$F$9,VLOOKUP(KALKULATOR!A580,Robocze!$B$23:$C$102,2),"")</f>
        <v/>
      </c>
      <c r="C580" s="70" t="str">
        <f t="shared" si="346"/>
        <v/>
      </c>
      <c r="D580" s="71" t="str">
        <f t="shared" si="347"/>
        <v/>
      </c>
      <c r="E580" s="77" t="str">
        <f t="shared" si="348"/>
        <v/>
      </c>
      <c r="F580" s="72" t="str">
        <f t="shared" si="349"/>
        <v/>
      </c>
      <c r="G580" s="73" t="str">
        <f>IFERROR(IF(AND(F580&lt;=$F$9,$F$5=Robocze!$B$4,$E580&lt;=$F$9,MONTH($F$8)=MONTH(E580)),$F$4,0)+IF(AND(F580&lt;=$F$9,$F$5=Robocze!$B$3,E580&lt;=$F$9),KALKULATOR!$F$4/12,0),"")</f>
        <v/>
      </c>
      <c r="H580" s="73" t="str">
        <f t="shared" si="350"/>
        <v/>
      </c>
      <c r="I580" s="74" t="str">
        <f t="shared" si="351"/>
        <v/>
      </c>
      <c r="J580" s="73" t="str">
        <f t="shared" si="352"/>
        <v/>
      </c>
      <c r="K580" s="75" t="str">
        <f t="shared" si="353"/>
        <v/>
      </c>
      <c r="L580" s="73" t="str">
        <f t="shared" si="354"/>
        <v/>
      </c>
      <c r="M580" s="73" t="str">
        <f t="shared" si="355"/>
        <v/>
      </c>
      <c r="N580" s="73" t="str">
        <f t="shared" si="356"/>
        <v/>
      </c>
      <c r="O580" s="73" t="str">
        <f t="shared" si="357"/>
        <v/>
      </c>
      <c r="P580" s="73" t="str">
        <f t="shared" si="358"/>
        <v/>
      </c>
      <c r="Q580" s="73" t="str">
        <f t="shared" si="359"/>
        <v/>
      </c>
      <c r="R580" s="73"/>
      <c r="S580" s="76" t="str">
        <f t="shared" si="360"/>
        <v/>
      </c>
      <c r="T580" s="73" t="str">
        <f t="shared" si="361"/>
        <v/>
      </c>
      <c r="U580" s="73" t="str">
        <f t="shared" si="362"/>
        <v/>
      </c>
      <c r="V580" s="76" t="str">
        <f t="shared" si="363"/>
        <v/>
      </c>
      <c r="W580" s="73" t="str">
        <f t="shared" si="364"/>
        <v/>
      </c>
      <c r="X580" s="73" t="str">
        <f>IF(B580&lt;&gt;"",IF(MONTH(E580)=MONTH($F$13),SUMIF($C$22:C959,"="&amp;(C580-1),$G$22:G959),0)*S580,"")</f>
        <v/>
      </c>
      <c r="Y580" s="73" t="str">
        <f>IF(B580&lt;&gt;"",SUM($X$22:X580),"")</f>
        <v/>
      </c>
      <c r="Z580" s="73" t="str">
        <f t="shared" si="365"/>
        <v/>
      </c>
      <c r="AA580" s="73" t="str">
        <f t="shared" si="366"/>
        <v/>
      </c>
      <c r="AB580" s="73" t="str">
        <f t="shared" si="367"/>
        <v/>
      </c>
      <c r="AC580" s="73" t="str">
        <f t="shared" si="368"/>
        <v/>
      </c>
      <c r="AD580" s="73" t="str">
        <f>IFERROR($U580*(1-$V580)+SUM($W$22:$W580)+$AB580,"")</f>
        <v/>
      </c>
      <c r="AE580" s="73" t="b">
        <f t="shared" si="344"/>
        <v>1</v>
      </c>
      <c r="AF580" s="73" t="e">
        <f>IF(AND(AE580=TRUE,D580&gt;=65),$U580*(1-10%)+SUM($W$22:$W580)+$AB580,AD580)</f>
        <v>#VALUE!</v>
      </c>
      <c r="AG580" s="73" t="str">
        <f t="shared" si="369"/>
        <v/>
      </c>
      <c r="AH580" s="73" t="str">
        <f t="shared" si="370"/>
        <v/>
      </c>
      <c r="AI580" s="73" t="str">
        <f t="shared" si="371"/>
        <v/>
      </c>
      <c r="AJ580" s="73" t="str">
        <f t="shared" si="372"/>
        <v/>
      </c>
      <c r="AK580" s="73" t="b">
        <f t="shared" si="345"/>
        <v>1</v>
      </c>
      <c r="AL580" s="73" t="str">
        <f t="shared" si="373"/>
        <v/>
      </c>
      <c r="AM580" s="73" t="str">
        <f t="shared" si="374"/>
        <v/>
      </c>
      <c r="AN580" s="73" t="str">
        <f t="shared" si="375"/>
        <v/>
      </c>
      <c r="AO580" s="73" t="str">
        <f t="shared" si="376"/>
        <v/>
      </c>
      <c r="AP580" s="73" t="str">
        <f t="shared" si="377"/>
        <v/>
      </c>
    </row>
    <row r="581" spans="1:42" s="31" customFormat="1" x14ac:dyDescent="0.6">
      <c r="A581" s="70" t="str">
        <f t="shared" si="343"/>
        <v/>
      </c>
      <c r="B581" s="70" t="str">
        <f>IF(E581&lt;=$F$9,VLOOKUP(KALKULATOR!A581,Robocze!$B$23:$C$102,2),"")</f>
        <v/>
      </c>
      <c r="C581" s="70" t="str">
        <f t="shared" si="346"/>
        <v/>
      </c>
      <c r="D581" s="71" t="str">
        <f t="shared" si="347"/>
        <v/>
      </c>
      <c r="E581" s="77" t="str">
        <f t="shared" si="348"/>
        <v/>
      </c>
      <c r="F581" s="72" t="str">
        <f t="shared" si="349"/>
        <v/>
      </c>
      <c r="G581" s="73" t="str">
        <f>IFERROR(IF(AND(F581&lt;=$F$9,$F$5=Robocze!$B$4,$E581&lt;=$F$9,MONTH($F$8)=MONTH(E581)),$F$4,0)+IF(AND(F581&lt;=$F$9,$F$5=Robocze!$B$3,E581&lt;=$F$9),KALKULATOR!$F$4/12,0),"")</f>
        <v/>
      </c>
      <c r="H581" s="73" t="str">
        <f t="shared" si="350"/>
        <v/>
      </c>
      <c r="I581" s="74" t="str">
        <f t="shared" si="351"/>
        <v/>
      </c>
      <c r="J581" s="73" t="str">
        <f t="shared" si="352"/>
        <v/>
      </c>
      <c r="K581" s="75" t="str">
        <f t="shared" si="353"/>
        <v/>
      </c>
      <c r="L581" s="73" t="str">
        <f t="shared" si="354"/>
        <v/>
      </c>
      <c r="M581" s="73" t="str">
        <f t="shared" si="355"/>
        <v/>
      </c>
      <c r="N581" s="73" t="str">
        <f t="shared" si="356"/>
        <v/>
      </c>
      <c r="O581" s="73" t="str">
        <f t="shared" si="357"/>
        <v/>
      </c>
      <c r="P581" s="73" t="str">
        <f t="shared" si="358"/>
        <v/>
      </c>
      <c r="Q581" s="73" t="str">
        <f t="shared" si="359"/>
        <v/>
      </c>
      <c r="R581" s="73"/>
      <c r="S581" s="76" t="str">
        <f t="shared" si="360"/>
        <v/>
      </c>
      <c r="T581" s="73" t="str">
        <f t="shared" si="361"/>
        <v/>
      </c>
      <c r="U581" s="73" t="str">
        <f t="shared" si="362"/>
        <v/>
      </c>
      <c r="V581" s="76" t="str">
        <f t="shared" si="363"/>
        <v/>
      </c>
      <c r="W581" s="73" t="str">
        <f t="shared" si="364"/>
        <v/>
      </c>
      <c r="X581" s="73" t="str">
        <f>IF(B581&lt;&gt;"",IF(MONTH(E581)=MONTH($F$13),SUMIF($C$22:C960,"="&amp;(C581-1),$G$22:G960),0)*S581,"")</f>
        <v/>
      </c>
      <c r="Y581" s="73" t="str">
        <f>IF(B581&lt;&gt;"",SUM($X$22:X581),"")</f>
        <v/>
      </c>
      <c r="Z581" s="73" t="str">
        <f t="shared" si="365"/>
        <v/>
      </c>
      <c r="AA581" s="73" t="str">
        <f t="shared" si="366"/>
        <v/>
      </c>
      <c r="AB581" s="73" t="str">
        <f t="shared" si="367"/>
        <v/>
      </c>
      <c r="AC581" s="73" t="str">
        <f t="shared" si="368"/>
        <v/>
      </c>
      <c r="AD581" s="73" t="str">
        <f>IFERROR($U581*(1-$V581)+SUM($W$22:$W581)+$AB581,"")</f>
        <v/>
      </c>
      <c r="AE581" s="73" t="b">
        <f t="shared" si="344"/>
        <v>1</v>
      </c>
      <c r="AF581" s="73" t="e">
        <f>IF(AND(AE581=TRUE,D581&gt;=65),$U581*(1-10%)+SUM($W$22:$W581)+$AB581,AD581)</f>
        <v>#VALUE!</v>
      </c>
      <c r="AG581" s="73" t="str">
        <f t="shared" si="369"/>
        <v/>
      </c>
      <c r="AH581" s="73" t="str">
        <f t="shared" si="370"/>
        <v/>
      </c>
      <c r="AI581" s="73" t="str">
        <f t="shared" si="371"/>
        <v/>
      </c>
      <c r="AJ581" s="73" t="str">
        <f t="shared" si="372"/>
        <v/>
      </c>
      <c r="AK581" s="73" t="b">
        <f t="shared" si="345"/>
        <v>1</v>
      </c>
      <c r="AL581" s="73" t="str">
        <f t="shared" si="373"/>
        <v/>
      </c>
      <c r="AM581" s="73" t="str">
        <f t="shared" si="374"/>
        <v/>
      </c>
      <c r="AN581" s="73" t="str">
        <f t="shared" si="375"/>
        <v/>
      </c>
      <c r="AO581" s="73" t="str">
        <f t="shared" si="376"/>
        <v/>
      </c>
      <c r="AP581" s="73" t="str">
        <f t="shared" si="377"/>
        <v/>
      </c>
    </row>
    <row r="582" spans="1:42" s="31" customFormat="1" x14ac:dyDescent="0.6">
      <c r="A582" s="70" t="str">
        <f t="shared" si="343"/>
        <v/>
      </c>
      <c r="B582" s="70" t="str">
        <f>IF(E582&lt;=$F$9,VLOOKUP(KALKULATOR!A582,Robocze!$B$23:$C$102,2),"")</f>
        <v/>
      </c>
      <c r="C582" s="70" t="str">
        <f t="shared" si="346"/>
        <v/>
      </c>
      <c r="D582" s="71" t="str">
        <f t="shared" si="347"/>
        <v/>
      </c>
      <c r="E582" s="77" t="str">
        <f t="shared" si="348"/>
        <v/>
      </c>
      <c r="F582" s="72" t="str">
        <f t="shared" si="349"/>
        <v/>
      </c>
      <c r="G582" s="73" t="str">
        <f>IFERROR(IF(AND(F582&lt;=$F$9,$F$5=Robocze!$B$4,$E582&lt;=$F$9,MONTH($F$8)=MONTH(E582)),$F$4,0)+IF(AND(F582&lt;=$F$9,$F$5=Robocze!$B$3,E582&lt;=$F$9),KALKULATOR!$F$4/12,0),"")</f>
        <v/>
      </c>
      <c r="H582" s="73" t="str">
        <f t="shared" si="350"/>
        <v/>
      </c>
      <c r="I582" s="74" t="str">
        <f t="shared" si="351"/>
        <v/>
      </c>
      <c r="J582" s="73" t="str">
        <f t="shared" si="352"/>
        <v/>
      </c>
      <c r="K582" s="75" t="str">
        <f t="shared" si="353"/>
        <v/>
      </c>
      <c r="L582" s="73" t="str">
        <f t="shared" si="354"/>
        <v/>
      </c>
      <c r="M582" s="73" t="str">
        <f t="shared" si="355"/>
        <v/>
      </c>
      <c r="N582" s="73" t="str">
        <f t="shared" si="356"/>
        <v/>
      </c>
      <c r="O582" s="73" t="str">
        <f t="shared" si="357"/>
        <v/>
      </c>
      <c r="P582" s="73" t="str">
        <f t="shared" si="358"/>
        <v/>
      </c>
      <c r="Q582" s="73" t="str">
        <f t="shared" si="359"/>
        <v/>
      </c>
      <c r="R582" s="73"/>
      <c r="S582" s="76" t="str">
        <f t="shared" si="360"/>
        <v/>
      </c>
      <c r="T582" s="73" t="str">
        <f t="shared" si="361"/>
        <v/>
      </c>
      <c r="U582" s="73" t="str">
        <f t="shared" si="362"/>
        <v/>
      </c>
      <c r="V582" s="76" t="str">
        <f t="shared" si="363"/>
        <v/>
      </c>
      <c r="W582" s="73" t="str">
        <f t="shared" si="364"/>
        <v/>
      </c>
      <c r="X582" s="73" t="str">
        <f>IF(B582&lt;&gt;"",IF(MONTH(E582)=MONTH($F$13),SUMIF($C$22:C961,"="&amp;(C582-1),$G$22:G961),0)*S582,"")</f>
        <v/>
      </c>
      <c r="Y582" s="73" t="str">
        <f>IF(B582&lt;&gt;"",SUM($X$22:X582),"")</f>
        <v/>
      </c>
      <c r="Z582" s="73" t="str">
        <f t="shared" si="365"/>
        <v/>
      </c>
      <c r="AA582" s="73" t="str">
        <f t="shared" si="366"/>
        <v/>
      </c>
      <c r="AB582" s="73" t="str">
        <f t="shared" si="367"/>
        <v/>
      </c>
      <c r="AC582" s="73" t="str">
        <f t="shared" si="368"/>
        <v/>
      </c>
      <c r="AD582" s="73" t="str">
        <f>IFERROR($U582*(1-$V582)+SUM($W$22:$W582)+$AB582,"")</f>
        <v/>
      </c>
      <c r="AE582" s="73" t="b">
        <f t="shared" si="344"/>
        <v>1</v>
      </c>
      <c r="AF582" s="73" t="e">
        <f>IF(AND(AE582=TRUE,D582&gt;=65),$U582*(1-10%)+SUM($W$22:$W582)+$AB582,AD582)</f>
        <v>#VALUE!</v>
      </c>
      <c r="AG582" s="73" t="str">
        <f t="shared" si="369"/>
        <v/>
      </c>
      <c r="AH582" s="73" t="str">
        <f t="shared" si="370"/>
        <v/>
      </c>
      <c r="AI582" s="73" t="str">
        <f t="shared" si="371"/>
        <v/>
      </c>
      <c r="AJ582" s="73" t="str">
        <f t="shared" si="372"/>
        <v/>
      </c>
      <c r="AK582" s="73" t="b">
        <f t="shared" si="345"/>
        <v>1</v>
      </c>
      <c r="AL582" s="73" t="str">
        <f t="shared" si="373"/>
        <v/>
      </c>
      <c r="AM582" s="73" t="str">
        <f t="shared" si="374"/>
        <v/>
      </c>
      <c r="AN582" s="73" t="str">
        <f t="shared" si="375"/>
        <v/>
      </c>
      <c r="AO582" s="73" t="str">
        <f t="shared" si="376"/>
        <v/>
      </c>
      <c r="AP582" s="73" t="str">
        <f t="shared" si="377"/>
        <v/>
      </c>
    </row>
    <row r="583" spans="1:42" s="31" customFormat="1" x14ac:dyDescent="0.6">
      <c r="A583" s="70" t="str">
        <f t="shared" si="343"/>
        <v/>
      </c>
      <c r="B583" s="70" t="str">
        <f>IF(E583&lt;=$F$9,VLOOKUP(KALKULATOR!A583,Robocze!$B$23:$C$102,2),"")</f>
        <v/>
      </c>
      <c r="C583" s="70" t="str">
        <f t="shared" si="346"/>
        <v/>
      </c>
      <c r="D583" s="71" t="str">
        <f t="shared" si="347"/>
        <v/>
      </c>
      <c r="E583" s="77" t="str">
        <f t="shared" si="348"/>
        <v/>
      </c>
      <c r="F583" s="72" t="str">
        <f t="shared" si="349"/>
        <v/>
      </c>
      <c r="G583" s="73" t="str">
        <f>IFERROR(IF(AND(F583&lt;=$F$9,$F$5=Robocze!$B$4,$E583&lt;=$F$9,MONTH($F$8)=MONTH(E583)),$F$4,0)+IF(AND(F583&lt;=$F$9,$F$5=Robocze!$B$3,E583&lt;=$F$9),KALKULATOR!$F$4/12,0),"")</f>
        <v/>
      </c>
      <c r="H583" s="73" t="str">
        <f t="shared" si="350"/>
        <v/>
      </c>
      <c r="I583" s="74" t="str">
        <f t="shared" si="351"/>
        <v/>
      </c>
      <c r="J583" s="73" t="str">
        <f t="shared" si="352"/>
        <v/>
      </c>
      <c r="K583" s="75" t="str">
        <f t="shared" si="353"/>
        <v/>
      </c>
      <c r="L583" s="73" t="str">
        <f t="shared" si="354"/>
        <v/>
      </c>
      <c r="M583" s="73" t="str">
        <f t="shared" si="355"/>
        <v/>
      </c>
      <c r="N583" s="73" t="str">
        <f t="shared" si="356"/>
        <v/>
      </c>
      <c r="O583" s="73" t="str">
        <f t="shared" si="357"/>
        <v/>
      </c>
      <c r="P583" s="73" t="str">
        <f t="shared" si="358"/>
        <v/>
      </c>
      <c r="Q583" s="73" t="str">
        <f t="shared" si="359"/>
        <v/>
      </c>
      <c r="R583" s="73"/>
      <c r="S583" s="76" t="str">
        <f t="shared" si="360"/>
        <v/>
      </c>
      <c r="T583" s="73" t="str">
        <f t="shared" si="361"/>
        <v/>
      </c>
      <c r="U583" s="73" t="str">
        <f t="shared" si="362"/>
        <v/>
      </c>
      <c r="V583" s="76" t="str">
        <f t="shared" si="363"/>
        <v/>
      </c>
      <c r="W583" s="73" t="str">
        <f t="shared" si="364"/>
        <v/>
      </c>
      <c r="X583" s="73" t="str">
        <f>IF(B583&lt;&gt;"",IF(MONTH(E583)=MONTH($F$13),SUMIF($C$22:C962,"="&amp;(C583-1),$G$22:G962),0)*S583,"")</f>
        <v/>
      </c>
      <c r="Y583" s="73" t="str">
        <f>IF(B583&lt;&gt;"",SUM($X$22:X583),"")</f>
        <v/>
      </c>
      <c r="Z583" s="73" t="str">
        <f t="shared" si="365"/>
        <v/>
      </c>
      <c r="AA583" s="73" t="str">
        <f t="shared" si="366"/>
        <v/>
      </c>
      <c r="AB583" s="73" t="str">
        <f t="shared" si="367"/>
        <v/>
      </c>
      <c r="AC583" s="73" t="str">
        <f t="shared" si="368"/>
        <v/>
      </c>
      <c r="AD583" s="73" t="str">
        <f>IFERROR($U583*(1-$V583)+SUM($W$22:$W583)+$AB583,"")</f>
        <v/>
      </c>
      <c r="AE583" s="73" t="b">
        <f t="shared" si="344"/>
        <v>1</v>
      </c>
      <c r="AF583" s="73" t="e">
        <f>IF(AND(AE583=TRUE,D583&gt;=65),$U583*(1-10%)+SUM($W$22:$W583)+$AB583,AD583)</f>
        <v>#VALUE!</v>
      </c>
      <c r="AG583" s="73" t="str">
        <f t="shared" si="369"/>
        <v/>
      </c>
      <c r="AH583" s="73" t="str">
        <f t="shared" si="370"/>
        <v/>
      </c>
      <c r="AI583" s="73" t="str">
        <f t="shared" si="371"/>
        <v/>
      </c>
      <c r="AJ583" s="73" t="str">
        <f t="shared" si="372"/>
        <v/>
      </c>
      <c r="AK583" s="73" t="b">
        <f t="shared" si="345"/>
        <v>1</v>
      </c>
      <c r="AL583" s="73" t="str">
        <f t="shared" si="373"/>
        <v/>
      </c>
      <c r="AM583" s="73" t="str">
        <f t="shared" si="374"/>
        <v/>
      </c>
      <c r="AN583" s="73" t="str">
        <f t="shared" si="375"/>
        <v/>
      </c>
      <c r="AO583" s="73" t="str">
        <f t="shared" si="376"/>
        <v/>
      </c>
      <c r="AP583" s="73" t="str">
        <f t="shared" si="377"/>
        <v/>
      </c>
    </row>
    <row r="584" spans="1:42" s="31" customFormat="1" x14ac:dyDescent="0.6">
      <c r="A584" s="70" t="str">
        <f t="shared" si="343"/>
        <v/>
      </c>
      <c r="B584" s="70" t="str">
        <f>IF(E584&lt;=$F$9,VLOOKUP(KALKULATOR!A584,Robocze!$B$23:$C$102,2),"")</f>
        <v/>
      </c>
      <c r="C584" s="70" t="str">
        <f t="shared" si="346"/>
        <v/>
      </c>
      <c r="D584" s="71" t="str">
        <f t="shared" si="347"/>
        <v/>
      </c>
      <c r="E584" s="77" t="str">
        <f t="shared" si="348"/>
        <v/>
      </c>
      <c r="F584" s="72" t="str">
        <f t="shared" si="349"/>
        <v/>
      </c>
      <c r="G584" s="73" t="str">
        <f>IFERROR(IF(AND(F584&lt;=$F$9,$F$5=Robocze!$B$4,$E584&lt;=$F$9,MONTH($F$8)=MONTH(E584)),$F$4,0)+IF(AND(F584&lt;=$F$9,$F$5=Robocze!$B$3,E584&lt;=$F$9),KALKULATOR!$F$4/12,0),"")</f>
        <v/>
      </c>
      <c r="H584" s="73" t="str">
        <f t="shared" si="350"/>
        <v/>
      </c>
      <c r="I584" s="74" t="str">
        <f t="shared" si="351"/>
        <v/>
      </c>
      <c r="J584" s="73" t="str">
        <f t="shared" si="352"/>
        <v/>
      </c>
      <c r="K584" s="75" t="str">
        <f t="shared" si="353"/>
        <v/>
      </c>
      <c r="L584" s="73" t="str">
        <f t="shared" si="354"/>
        <v/>
      </c>
      <c r="M584" s="73" t="str">
        <f t="shared" si="355"/>
        <v/>
      </c>
      <c r="N584" s="73" t="str">
        <f t="shared" si="356"/>
        <v/>
      </c>
      <c r="O584" s="73" t="str">
        <f t="shared" si="357"/>
        <v/>
      </c>
      <c r="P584" s="73" t="str">
        <f t="shared" si="358"/>
        <v/>
      </c>
      <c r="Q584" s="73" t="str">
        <f t="shared" si="359"/>
        <v/>
      </c>
      <c r="R584" s="73"/>
      <c r="S584" s="76" t="str">
        <f t="shared" si="360"/>
        <v/>
      </c>
      <c r="T584" s="73" t="str">
        <f t="shared" si="361"/>
        <v/>
      </c>
      <c r="U584" s="73" t="str">
        <f t="shared" si="362"/>
        <v/>
      </c>
      <c r="V584" s="76" t="str">
        <f t="shared" si="363"/>
        <v/>
      </c>
      <c r="W584" s="73" t="str">
        <f t="shared" si="364"/>
        <v/>
      </c>
      <c r="X584" s="73" t="str">
        <f>IF(B584&lt;&gt;"",IF(MONTH(E584)=MONTH($F$13),SUMIF($C$22:C963,"="&amp;(C584-1),$G$22:G963),0)*S584,"")</f>
        <v/>
      </c>
      <c r="Y584" s="73" t="str">
        <f>IF(B584&lt;&gt;"",SUM($X$22:X584),"")</f>
        <v/>
      </c>
      <c r="Z584" s="73" t="str">
        <f t="shared" si="365"/>
        <v/>
      </c>
      <c r="AA584" s="73" t="str">
        <f t="shared" si="366"/>
        <v/>
      </c>
      <c r="AB584" s="73" t="str">
        <f t="shared" si="367"/>
        <v/>
      </c>
      <c r="AC584" s="73" t="str">
        <f t="shared" si="368"/>
        <v/>
      </c>
      <c r="AD584" s="73" t="str">
        <f>IFERROR($U584*(1-$V584)+SUM($W$22:$W584)+$AB584,"")</f>
        <v/>
      </c>
      <c r="AE584" s="73" t="b">
        <f t="shared" si="344"/>
        <v>1</v>
      </c>
      <c r="AF584" s="73" t="e">
        <f>IF(AND(AE584=TRUE,D584&gt;=65),$U584*(1-10%)+SUM($W$22:$W584)+$AB584,AD584)</f>
        <v>#VALUE!</v>
      </c>
      <c r="AG584" s="73" t="str">
        <f t="shared" si="369"/>
        <v/>
      </c>
      <c r="AH584" s="73" t="str">
        <f t="shared" si="370"/>
        <v/>
      </c>
      <c r="AI584" s="73" t="str">
        <f t="shared" si="371"/>
        <v/>
      </c>
      <c r="AJ584" s="73" t="str">
        <f t="shared" si="372"/>
        <v/>
      </c>
      <c r="AK584" s="73" t="b">
        <f t="shared" si="345"/>
        <v>1</v>
      </c>
      <c r="AL584" s="73" t="str">
        <f t="shared" si="373"/>
        <v/>
      </c>
      <c r="AM584" s="73" t="str">
        <f t="shared" si="374"/>
        <v/>
      </c>
      <c r="AN584" s="73" t="str">
        <f t="shared" si="375"/>
        <v/>
      </c>
      <c r="AO584" s="73" t="str">
        <f t="shared" si="376"/>
        <v/>
      </c>
      <c r="AP584" s="73" t="str">
        <f t="shared" si="377"/>
        <v/>
      </c>
    </row>
    <row r="585" spans="1:42" s="31" customFormat="1" x14ac:dyDescent="0.6">
      <c r="A585" s="70" t="str">
        <f t="shared" si="343"/>
        <v/>
      </c>
      <c r="B585" s="70" t="str">
        <f>IF(E585&lt;=$F$9,VLOOKUP(KALKULATOR!A585,Robocze!$B$23:$C$102,2),"")</f>
        <v/>
      </c>
      <c r="C585" s="70" t="str">
        <f t="shared" si="346"/>
        <v/>
      </c>
      <c r="D585" s="71" t="str">
        <f t="shared" si="347"/>
        <v/>
      </c>
      <c r="E585" s="77" t="str">
        <f t="shared" si="348"/>
        <v/>
      </c>
      <c r="F585" s="72" t="str">
        <f t="shared" si="349"/>
        <v/>
      </c>
      <c r="G585" s="73" t="str">
        <f>IFERROR(IF(AND(F585&lt;=$F$9,$F$5=Robocze!$B$4,$E585&lt;=$F$9,MONTH($F$8)=MONTH(E585)),$F$4,0)+IF(AND(F585&lt;=$F$9,$F$5=Robocze!$B$3,E585&lt;=$F$9),KALKULATOR!$F$4/12,0),"")</f>
        <v/>
      </c>
      <c r="H585" s="73" t="str">
        <f t="shared" si="350"/>
        <v/>
      </c>
      <c r="I585" s="74" t="str">
        <f t="shared" si="351"/>
        <v/>
      </c>
      <c r="J585" s="73" t="str">
        <f t="shared" si="352"/>
        <v/>
      </c>
      <c r="K585" s="75" t="str">
        <f t="shared" si="353"/>
        <v/>
      </c>
      <c r="L585" s="73" t="str">
        <f t="shared" si="354"/>
        <v/>
      </c>
      <c r="M585" s="73" t="str">
        <f t="shared" si="355"/>
        <v/>
      </c>
      <c r="N585" s="73" t="str">
        <f t="shared" si="356"/>
        <v/>
      </c>
      <c r="O585" s="73" t="str">
        <f t="shared" si="357"/>
        <v/>
      </c>
      <c r="P585" s="73" t="str">
        <f t="shared" si="358"/>
        <v/>
      </c>
      <c r="Q585" s="73" t="str">
        <f t="shared" si="359"/>
        <v/>
      </c>
      <c r="R585" s="73"/>
      <c r="S585" s="76" t="str">
        <f t="shared" si="360"/>
        <v/>
      </c>
      <c r="T585" s="73" t="str">
        <f t="shared" si="361"/>
        <v/>
      </c>
      <c r="U585" s="73" t="str">
        <f t="shared" si="362"/>
        <v/>
      </c>
      <c r="V585" s="76" t="str">
        <f t="shared" si="363"/>
        <v/>
      </c>
      <c r="W585" s="73" t="str">
        <f t="shared" si="364"/>
        <v/>
      </c>
      <c r="X585" s="73" t="str">
        <f>IF(B585&lt;&gt;"",IF(MONTH(E585)=MONTH($F$13),SUMIF($C$22:C964,"="&amp;(C585-1),$G$22:G964),0)*S585,"")</f>
        <v/>
      </c>
      <c r="Y585" s="73" t="str">
        <f>IF(B585&lt;&gt;"",SUM($X$22:X585),"")</f>
        <v/>
      </c>
      <c r="Z585" s="73" t="str">
        <f t="shared" si="365"/>
        <v/>
      </c>
      <c r="AA585" s="73" t="str">
        <f t="shared" si="366"/>
        <v/>
      </c>
      <c r="AB585" s="73" t="str">
        <f t="shared" si="367"/>
        <v/>
      </c>
      <c r="AC585" s="73" t="str">
        <f t="shared" si="368"/>
        <v/>
      </c>
      <c r="AD585" s="73" t="str">
        <f>IFERROR($U585*(1-$V585)+SUM($W$22:$W585)+$AB585,"")</f>
        <v/>
      </c>
      <c r="AE585" s="73" t="b">
        <f t="shared" si="344"/>
        <v>1</v>
      </c>
      <c r="AF585" s="73" t="e">
        <f>IF(AND(AE585=TRUE,D585&gt;=65),$U585*(1-10%)+SUM($W$22:$W585)+$AB585,AD585)</f>
        <v>#VALUE!</v>
      </c>
      <c r="AG585" s="73" t="str">
        <f t="shared" si="369"/>
        <v/>
      </c>
      <c r="AH585" s="73" t="str">
        <f t="shared" si="370"/>
        <v/>
      </c>
      <c r="AI585" s="73" t="str">
        <f t="shared" si="371"/>
        <v/>
      </c>
      <c r="AJ585" s="73" t="str">
        <f t="shared" si="372"/>
        <v/>
      </c>
      <c r="AK585" s="73" t="b">
        <f t="shared" si="345"/>
        <v>1</v>
      </c>
      <c r="AL585" s="73" t="str">
        <f t="shared" si="373"/>
        <v/>
      </c>
      <c r="AM585" s="73" t="str">
        <f t="shared" si="374"/>
        <v/>
      </c>
      <c r="AN585" s="73" t="str">
        <f t="shared" si="375"/>
        <v/>
      </c>
      <c r="AO585" s="73" t="str">
        <f t="shared" si="376"/>
        <v/>
      </c>
      <c r="AP585" s="73" t="str">
        <f t="shared" si="377"/>
        <v/>
      </c>
    </row>
    <row r="586" spans="1:42" s="31" customFormat="1" x14ac:dyDescent="0.6">
      <c r="A586" s="70" t="str">
        <f t="shared" si="343"/>
        <v/>
      </c>
      <c r="B586" s="70" t="str">
        <f>IF(E586&lt;=$F$9,VLOOKUP(KALKULATOR!A586,Robocze!$B$23:$C$102,2),"")</f>
        <v/>
      </c>
      <c r="C586" s="70" t="str">
        <f t="shared" si="346"/>
        <v/>
      </c>
      <c r="D586" s="71" t="str">
        <f t="shared" si="347"/>
        <v/>
      </c>
      <c r="E586" s="77" t="str">
        <f t="shared" si="348"/>
        <v/>
      </c>
      <c r="F586" s="72" t="str">
        <f t="shared" si="349"/>
        <v/>
      </c>
      <c r="G586" s="73" t="str">
        <f>IFERROR(IF(AND(F586&lt;=$F$9,$F$5=Robocze!$B$4,$E586&lt;=$F$9,MONTH($F$8)=MONTH(E586)),$F$4,0)+IF(AND(F586&lt;=$F$9,$F$5=Robocze!$B$3,E586&lt;=$F$9),KALKULATOR!$F$4/12,0),"")</f>
        <v/>
      </c>
      <c r="H586" s="73" t="str">
        <f t="shared" si="350"/>
        <v/>
      </c>
      <c r="I586" s="74" t="str">
        <f t="shared" si="351"/>
        <v/>
      </c>
      <c r="J586" s="73" t="str">
        <f t="shared" si="352"/>
        <v/>
      </c>
      <c r="K586" s="75" t="str">
        <f t="shared" si="353"/>
        <v/>
      </c>
      <c r="L586" s="73" t="str">
        <f t="shared" si="354"/>
        <v/>
      </c>
      <c r="M586" s="73" t="str">
        <f t="shared" si="355"/>
        <v/>
      </c>
      <c r="N586" s="73" t="str">
        <f t="shared" si="356"/>
        <v/>
      </c>
      <c r="O586" s="73" t="str">
        <f t="shared" si="357"/>
        <v/>
      </c>
      <c r="P586" s="73" t="str">
        <f t="shared" si="358"/>
        <v/>
      </c>
      <c r="Q586" s="73" t="str">
        <f t="shared" si="359"/>
        <v/>
      </c>
      <c r="R586" s="73"/>
      <c r="S586" s="76" t="str">
        <f t="shared" si="360"/>
        <v/>
      </c>
      <c r="T586" s="73" t="str">
        <f t="shared" si="361"/>
        <v/>
      </c>
      <c r="U586" s="73" t="str">
        <f t="shared" si="362"/>
        <v/>
      </c>
      <c r="V586" s="76" t="str">
        <f t="shared" si="363"/>
        <v/>
      </c>
      <c r="W586" s="73" t="str">
        <f t="shared" si="364"/>
        <v/>
      </c>
      <c r="X586" s="73" t="str">
        <f>IF(B586&lt;&gt;"",IF(MONTH(E586)=MONTH($F$13),SUMIF($C$22:C965,"="&amp;(C586-1),$G$22:G965),0)*S586,"")</f>
        <v/>
      </c>
      <c r="Y586" s="73" t="str">
        <f>IF(B586&lt;&gt;"",SUM($X$22:X586),"")</f>
        <v/>
      </c>
      <c r="Z586" s="73" t="str">
        <f t="shared" si="365"/>
        <v/>
      </c>
      <c r="AA586" s="73" t="str">
        <f t="shared" si="366"/>
        <v/>
      </c>
      <c r="AB586" s="73" t="str">
        <f t="shared" si="367"/>
        <v/>
      </c>
      <c r="AC586" s="73" t="str">
        <f t="shared" si="368"/>
        <v/>
      </c>
      <c r="AD586" s="73" t="str">
        <f>IFERROR($U586*(1-$V586)+SUM($W$22:$W586)+$AB586,"")</f>
        <v/>
      </c>
      <c r="AE586" s="73" t="b">
        <f t="shared" si="344"/>
        <v>1</v>
      </c>
      <c r="AF586" s="73" t="e">
        <f>IF(AND(AE586=TRUE,D586&gt;=65),$U586*(1-10%)+SUM($W$22:$W586)+$AB586,AD586)</f>
        <v>#VALUE!</v>
      </c>
      <c r="AG586" s="73" t="str">
        <f t="shared" si="369"/>
        <v/>
      </c>
      <c r="AH586" s="73" t="str">
        <f t="shared" si="370"/>
        <v/>
      </c>
      <c r="AI586" s="73" t="str">
        <f t="shared" si="371"/>
        <v/>
      </c>
      <c r="AJ586" s="73" t="str">
        <f t="shared" si="372"/>
        <v/>
      </c>
      <c r="AK586" s="73" t="b">
        <f t="shared" si="345"/>
        <v>1</v>
      </c>
      <c r="AL586" s="73" t="str">
        <f t="shared" si="373"/>
        <v/>
      </c>
      <c r="AM586" s="73" t="str">
        <f t="shared" si="374"/>
        <v/>
      </c>
      <c r="AN586" s="73" t="str">
        <f t="shared" si="375"/>
        <v/>
      </c>
      <c r="AO586" s="73" t="str">
        <f t="shared" si="376"/>
        <v/>
      </c>
      <c r="AP586" s="73" t="str">
        <f t="shared" si="377"/>
        <v/>
      </c>
    </row>
    <row r="587" spans="1:42" s="31" customFormat="1" x14ac:dyDescent="0.6">
      <c r="A587" s="70" t="str">
        <f t="shared" si="343"/>
        <v/>
      </c>
      <c r="B587" s="70" t="str">
        <f>IF(E587&lt;=$F$9,VLOOKUP(KALKULATOR!A587,Robocze!$B$23:$C$102,2),"")</f>
        <v/>
      </c>
      <c r="C587" s="70" t="str">
        <f t="shared" si="346"/>
        <v/>
      </c>
      <c r="D587" s="71" t="str">
        <f t="shared" si="347"/>
        <v/>
      </c>
      <c r="E587" s="77" t="str">
        <f t="shared" si="348"/>
        <v/>
      </c>
      <c r="F587" s="72" t="str">
        <f t="shared" si="349"/>
        <v/>
      </c>
      <c r="G587" s="73" t="str">
        <f>IFERROR(IF(AND(F587&lt;=$F$9,$F$5=Robocze!$B$4,$E587&lt;=$F$9,MONTH($F$8)=MONTH(E587)),$F$4,0)+IF(AND(F587&lt;=$F$9,$F$5=Robocze!$B$3,E587&lt;=$F$9),KALKULATOR!$F$4/12,0),"")</f>
        <v/>
      </c>
      <c r="H587" s="73" t="str">
        <f t="shared" si="350"/>
        <v/>
      </c>
      <c r="I587" s="74" t="str">
        <f t="shared" si="351"/>
        <v/>
      </c>
      <c r="J587" s="73" t="str">
        <f t="shared" si="352"/>
        <v/>
      </c>
      <c r="K587" s="75" t="str">
        <f t="shared" si="353"/>
        <v/>
      </c>
      <c r="L587" s="73" t="str">
        <f t="shared" si="354"/>
        <v/>
      </c>
      <c r="M587" s="73" t="str">
        <f t="shared" si="355"/>
        <v/>
      </c>
      <c r="N587" s="73" t="str">
        <f t="shared" si="356"/>
        <v/>
      </c>
      <c r="O587" s="73" t="str">
        <f t="shared" si="357"/>
        <v/>
      </c>
      <c r="P587" s="73" t="str">
        <f t="shared" si="358"/>
        <v/>
      </c>
      <c r="Q587" s="73" t="str">
        <f t="shared" si="359"/>
        <v/>
      </c>
      <c r="R587" s="73"/>
      <c r="S587" s="76" t="str">
        <f t="shared" si="360"/>
        <v/>
      </c>
      <c r="T587" s="73" t="str">
        <f t="shared" si="361"/>
        <v/>
      </c>
      <c r="U587" s="73" t="str">
        <f t="shared" si="362"/>
        <v/>
      </c>
      <c r="V587" s="76" t="str">
        <f t="shared" si="363"/>
        <v/>
      </c>
      <c r="W587" s="73" t="str">
        <f t="shared" si="364"/>
        <v/>
      </c>
      <c r="X587" s="73" t="str">
        <f>IF(B587&lt;&gt;"",IF(MONTH(E587)=MONTH($F$13),SUMIF($C$22:C966,"="&amp;(C587-1),$G$22:G966),0)*S587,"")</f>
        <v/>
      </c>
      <c r="Y587" s="73" t="str">
        <f>IF(B587&lt;&gt;"",SUM($X$22:X587),"")</f>
        <v/>
      </c>
      <c r="Z587" s="73" t="str">
        <f t="shared" si="365"/>
        <v/>
      </c>
      <c r="AA587" s="73" t="str">
        <f t="shared" si="366"/>
        <v/>
      </c>
      <c r="AB587" s="73" t="str">
        <f t="shared" si="367"/>
        <v/>
      </c>
      <c r="AC587" s="73" t="str">
        <f t="shared" si="368"/>
        <v/>
      </c>
      <c r="AD587" s="73" t="str">
        <f>IFERROR($U587*(1-$V587)+SUM($W$22:$W587)+$AB587,"")</f>
        <v/>
      </c>
      <c r="AE587" s="73" t="b">
        <f t="shared" si="344"/>
        <v>1</v>
      </c>
      <c r="AF587" s="73" t="e">
        <f>IF(AND(AE587=TRUE,D587&gt;=65),$U587*(1-10%)+SUM($W$22:$W587)+$AB587,AD587)</f>
        <v>#VALUE!</v>
      </c>
      <c r="AG587" s="73" t="str">
        <f t="shared" si="369"/>
        <v/>
      </c>
      <c r="AH587" s="73" t="str">
        <f t="shared" si="370"/>
        <v/>
      </c>
      <c r="AI587" s="73" t="str">
        <f t="shared" si="371"/>
        <v/>
      </c>
      <c r="AJ587" s="73" t="str">
        <f t="shared" si="372"/>
        <v/>
      </c>
      <c r="AK587" s="73" t="b">
        <f t="shared" si="345"/>
        <v>1</v>
      </c>
      <c r="AL587" s="73" t="str">
        <f t="shared" si="373"/>
        <v/>
      </c>
      <c r="AM587" s="73" t="str">
        <f t="shared" si="374"/>
        <v/>
      </c>
      <c r="AN587" s="73" t="str">
        <f t="shared" si="375"/>
        <v/>
      </c>
      <c r="AO587" s="73" t="str">
        <f t="shared" si="376"/>
        <v/>
      </c>
      <c r="AP587" s="73" t="str">
        <f t="shared" si="377"/>
        <v/>
      </c>
    </row>
    <row r="588" spans="1:42" s="31" customFormat="1" x14ac:dyDescent="0.6">
      <c r="A588" s="70" t="str">
        <f t="shared" si="343"/>
        <v/>
      </c>
      <c r="B588" s="70" t="str">
        <f>IF(E588&lt;=$F$9,VLOOKUP(KALKULATOR!A588,Robocze!$B$23:$C$102,2),"")</f>
        <v/>
      </c>
      <c r="C588" s="70" t="str">
        <f t="shared" si="346"/>
        <v/>
      </c>
      <c r="D588" s="71" t="str">
        <f t="shared" si="347"/>
        <v/>
      </c>
      <c r="E588" s="77" t="str">
        <f t="shared" si="348"/>
        <v/>
      </c>
      <c r="F588" s="72" t="str">
        <f t="shared" si="349"/>
        <v/>
      </c>
      <c r="G588" s="73" t="str">
        <f>IFERROR(IF(AND(F588&lt;=$F$9,$F$5=Robocze!$B$4,$E588&lt;=$F$9,MONTH($F$8)=MONTH(E588)),$F$4,0)+IF(AND(F588&lt;=$F$9,$F$5=Robocze!$B$3,E588&lt;=$F$9),KALKULATOR!$F$4/12,0),"")</f>
        <v/>
      </c>
      <c r="H588" s="73" t="str">
        <f t="shared" si="350"/>
        <v/>
      </c>
      <c r="I588" s="74" t="str">
        <f t="shared" si="351"/>
        <v/>
      </c>
      <c r="J588" s="73" t="str">
        <f t="shared" si="352"/>
        <v/>
      </c>
      <c r="K588" s="75" t="str">
        <f t="shared" si="353"/>
        <v/>
      </c>
      <c r="L588" s="73" t="str">
        <f t="shared" si="354"/>
        <v/>
      </c>
      <c r="M588" s="73" t="str">
        <f t="shared" si="355"/>
        <v/>
      </c>
      <c r="N588" s="73" t="str">
        <f t="shared" si="356"/>
        <v/>
      </c>
      <c r="O588" s="73" t="str">
        <f t="shared" si="357"/>
        <v/>
      </c>
      <c r="P588" s="73" t="str">
        <f t="shared" si="358"/>
        <v/>
      </c>
      <c r="Q588" s="73" t="str">
        <f t="shared" si="359"/>
        <v/>
      </c>
      <c r="R588" s="73"/>
      <c r="S588" s="76" t="str">
        <f t="shared" si="360"/>
        <v/>
      </c>
      <c r="T588" s="73" t="str">
        <f t="shared" si="361"/>
        <v/>
      </c>
      <c r="U588" s="73" t="str">
        <f t="shared" si="362"/>
        <v/>
      </c>
      <c r="V588" s="76" t="str">
        <f t="shared" si="363"/>
        <v/>
      </c>
      <c r="W588" s="73" t="str">
        <f t="shared" si="364"/>
        <v/>
      </c>
      <c r="X588" s="73" t="str">
        <f>IF(B588&lt;&gt;"",IF(MONTH(E588)=MONTH($F$13),SUMIF($C$22:C967,"="&amp;(C588-1),$G$22:G967),0)*S588,"")</f>
        <v/>
      </c>
      <c r="Y588" s="73" t="str">
        <f>IF(B588&lt;&gt;"",SUM($X$22:X588),"")</f>
        <v/>
      </c>
      <c r="Z588" s="73" t="str">
        <f t="shared" si="365"/>
        <v/>
      </c>
      <c r="AA588" s="73" t="str">
        <f t="shared" si="366"/>
        <v/>
      </c>
      <c r="AB588" s="73" t="str">
        <f t="shared" si="367"/>
        <v/>
      </c>
      <c r="AC588" s="73" t="str">
        <f t="shared" si="368"/>
        <v/>
      </c>
      <c r="AD588" s="73" t="str">
        <f>IFERROR($U588*(1-$V588)+SUM($W$22:$W588)+$AB588,"")</f>
        <v/>
      </c>
      <c r="AE588" s="73" t="b">
        <f t="shared" si="344"/>
        <v>1</v>
      </c>
      <c r="AF588" s="73" t="e">
        <f>IF(AND(AE588=TRUE,D588&gt;=65),$U588*(1-10%)+SUM($W$22:$W588)+$AB588,AD588)</f>
        <v>#VALUE!</v>
      </c>
      <c r="AG588" s="73" t="str">
        <f t="shared" si="369"/>
        <v/>
      </c>
      <c r="AH588" s="73" t="str">
        <f t="shared" si="370"/>
        <v/>
      </c>
      <c r="AI588" s="73" t="str">
        <f t="shared" si="371"/>
        <v/>
      </c>
      <c r="AJ588" s="73" t="str">
        <f t="shared" si="372"/>
        <v/>
      </c>
      <c r="AK588" s="73" t="b">
        <f t="shared" si="345"/>
        <v>1</v>
      </c>
      <c r="AL588" s="73" t="str">
        <f t="shared" si="373"/>
        <v/>
      </c>
      <c r="AM588" s="73" t="str">
        <f t="shared" si="374"/>
        <v/>
      </c>
      <c r="AN588" s="73" t="str">
        <f t="shared" si="375"/>
        <v/>
      </c>
      <c r="AO588" s="73" t="str">
        <f t="shared" si="376"/>
        <v/>
      </c>
      <c r="AP588" s="73" t="str">
        <f t="shared" si="377"/>
        <v/>
      </c>
    </row>
    <row r="589" spans="1:42" s="31" customFormat="1" x14ac:dyDescent="0.6">
      <c r="A589" s="70" t="str">
        <f t="shared" si="343"/>
        <v/>
      </c>
      <c r="B589" s="70" t="str">
        <f>IF(E589&lt;=$F$9,VLOOKUP(KALKULATOR!A589,Robocze!$B$23:$C$102,2),"")</f>
        <v/>
      </c>
      <c r="C589" s="70" t="str">
        <f t="shared" si="346"/>
        <v/>
      </c>
      <c r="D589" s="71" t="str">
        <f t="shared" si="347"/>
        <v/>
      </c>
      <c r="E589" s="77" t="str">
        <f t="shared" si="348"/>
        <v/>
      </c>
      <c r="F589" s="72" t="str">
        <f t="shared" si="349"/>
        <v/>
      </c>
      <c r="G589" s="73" t="str">
        <f>IFERROR(IF(AND(F589&lt;=$F$9,$F$5=Robocze!$B$4,$E589&lt;=$F$9,MONTH($F$8)=MONTH(E589)),$F$4,0)+IF(AND(F589&lt;=$F$9,$F$5=Robocze!$B$3,E589&lt;=$F$9),KALKULATOR!$F$4/12,0),"")</f>
        <v/>
      </c>
      <c r="H589" s="73" t="str">
        <f t="shared" si="350"/>
        <v/>
      </c>
      <c r="I589" s="74" t="str">
        <f t="shared" si="351"/>
        <v/>
      </c>
      <c r="J589" s="73" t="str">
        <f t="shared" si="352"/>
        <v/>
      </c>
      <c r="K589" s="75" t="str">
        <f t="shared" si="353"/>
        <v/>
      </c>
      <c r="L589" s="73" t="str">
        <f t="shared" si="354"/>
        <v/>
      </c>
      <c r="M589" s="73" t="str">
        <f t="shared" si="355"/>
        <v/>
      </c>
      <c r="N589" s="73" t="str">
        <f t="shared" si="356"/>
        <v/>
      </c>
      <c r="O589" s="73" t="str">
        <f t="shared" si="357"/>
        <v/>
      </c>
      <c r="P589" s="73" t="str">
        <f t="shared" si="358"/>
        <v/>
      </c>
      <c r="Q589" s="73" t="str">
        <f t="shared" si="359"/>
        <v/>
      </c>
      <c r="R589" s="73"/>
      <c r="S589" s="76" t="str">
        <f t="shared" si="360"/>
        <v/>
      </c>
      <c r="T589" s="73" t="str">
        <f t="shared" si="361"/>
        <v/>
      </c>
      <c r="U589" s="73" t="str">
        <f t="shared" si="362"/>
        <v/>
      </c>
      <c r="V589" s="76" t="str">
        <f t="shared" si="363"/>
        <v/>
      </c>
      <c r="W589" s="73" t="str">
        <f t="shared" si="364"/>
        <v/>
      </c>
      <c r="X589" s="73" t="str">
        <f>IF(B589&lt;&gt;"",IF(MONTH(E589)=MONTH($F$13),SUMIF($C$22:C968,"="&amp;(C589-1),$G$22:G968),0)*S589,"")</f>
        <v/>
      </c>
      <c r="Y589" s="73" t="str">
        <f>IF(B589&lt;&gt;"",SUM($X$22:X589),"")</f>
        <v/>
      </c>
      <c r="Z589" s="73" t="str">
        <f t="shared" si="365"/>
        <v/>
      </c>
      <c r="AA589" s="73" t="str">
        <f t="shared" si="366"/>
        <v/>
      </c>
      <c r="AB589" s="73" t="str">
        <f t="shared" si="367"/>
        <v/>
      </c>
      <c r="AC589" s="73" t="str">
        <f t="shared" si="368"/>
        <v/>
      </c>
      <c r="AD589" s="73" t="str">
        <f>IFERROR($U589*(1-$V589)+SUM($W$22:$W589)+$AB589,"")</f>
        <v/>
      </c>
      <c r="AE589" s="73" t="b">
        <f t="shared" si="344"/>
        <v>1</v>
      </c>
      <c r="AF589" s="73" t="e">
        <f>IF(AND(AE589=TRUE,D589&gt;=65),$U589*(1-10%)+SUM($W$22:$W589)+$AB589,AD589)</f>
        <v>#VALUE!</v>
      </c>
      <c r="AG589" s="73" t="str">
        <f t="shared" si="369"/>
        <v/>
      </c>
      <c r="AH589" s="73" t="str">
        <f t="shared" si="370"/>
        <v/>
      </c>
      <c r="AI589" s="73" t="str">
        <f t="shared" si="371"/>
        <v/>
      </c>
      <c r="AJ589" s="73" t="str">
        <f t="shared" si="372"/>
        <v/>
      </c>
      <c r="AK589" s="73" t="b">
        <f t="shared" si="345"/>
        <v>1</v>
      </c>
      <c r="AL589" s="73" t="str">
        <f t="shared" si="373"/>
        <v/>
      </c>
      <c r="AM589" s="73" t="str">
        <f t="shared" si="374"/>
        <v/>
      </c>
      <c r="AN589" s="73" t="str">
        <f t="shared" si="375"/>
        <v/>
      </c>
      <c r="AO589" s="73" t="str">
        <f t="shared" si="376"/>
        <v/>
      </c>
      <c r="AP589" s="73" t="str">
        <f t="shared" si="377"/>
        <v/>
      </c>
    </row>
    <row r="590" spans="1:42" s="69" customFormat="1" x14ac:dyDescent="0.6">
      <c r="A590" s="78" t="str">
        <f t="shared" si="343"/>
        <v/>
      </c>
      <c r="B590" s="78" t="str">
        <f>IF(E590&lt;=$F$9,VLOOKUP(KALKULATOR!A590,Robocze!$B$23:$C$102,2),"")</f>
        <v/>
      </c>
      <c r="C590" s="78" t="str">
        <f t="shared" si="346"/>
        <v/>
      </c>
      <c r="D590" s="79" t="str">
        <f t="shared" si="347"/>
        <v/>
      </c>
      <c r="E590" s="80" t="str">
        <f t="shared" si="348"/>
        <v/>
      </c>
      <c r="F590" s="81" t="str">
        <f t="shared" si="349"/>
        <v/>
      </c>
      <c r="G590" s="82" t="str">
        <f>IFERROR(IF(AND(F590&lt;=$F$9,$F$5=Robocze!$B$4,$E590&lt;=$F$9,MONTH($F$8)=MONTH(E590)),$F$4,0)+IF(AND(F590&lt;=$F$9,$F$5=Robocze!$B$3,E590&lt;=$F$9),KALKULATOR!$F$4/12,0),"")</f>
        <v/>
      </c>
      <c r="H590" s="82" t="str">
        <f t="shared" si="350"/>
        <v/>
      </c>
      <c r="I590" s="83" t="str">
        <f t="shared" si="351"/>
        <v/>
      </c>
      <c r="J590" s="82" t="str">
        <f t="shared" si="352"/>
        <v/>
      </c>
      <c r="K590" s="84" t="str">
        <f t="shared" si="353"/>
        <v/>
      </c>
      <c r="L590" s="82" t="str">
        <f t="shared" si="354"/>
        <v/>
      </c>
      <c r="M590" s="82" t="str">
        <f t="shared" si="355"/>
        <v/>
      </c>
      <c r="N590" s="82" t="str">
        <f t="shared" si="356"/>
        <v/>
      </c>
      <c r="O590" s="82" t="str">
        <f t="shared" si="357"/>
        <v/>
      </c>
      <c r="P590" s="82" t="str">
        <f t="shared" si="358"/>
        <v/>
      </c>
      <c r="Q590" s="82" t="str">
        <f t="shared" si="359"/>
        <v/>
      </c>
      <c r="R590" s="82"/>
      <c r="S590" s="85" t="str">
        <f t="shared" si="360"/>
        <v/>
      </c>
      <c r="T590" s="82" t="str">
        <f t="shared" si="361"/>
        <v/>
      </c>
      <c r="U590" s="82" t="str">
        <f t="shared" si="362"/>
        <v/>
      </c>
      <c r="V590" s="85" t="str">
        <f t="shared" si="363"/>
        <v/>
      </c>
      <c r="W590" s="82" t="str">
        <f t="shared" si="364"/>
        <v/>
      </c>
      <c r="X590" s="82" t="str">
        <f>IF(B590&lt;&gt;"",IF(MONTH(E590)=MONTH($F$13),SUMIF($C$22:C969,"="&amp;(C590-1),$G$22:G969),0)*S590,"")</f>
        <v/>
      </c>
      <c r="Y590" s="82" t="str">
        <f>IF(B590&lt;&gt;"",SUM($X$22:X590),"")</f>
        <v/>
      </c>
      <c r="Z590" s="82" t="str">
        <f t="shared" si="365"/>
        <v/>
      </c>
      <c r="AA590" s="82" t="str">
        <f t="shared" si="366"/>
        <v/>
      </c>
      <c r="AB590" s="82" t="str">
        <f t="shared" si="367"/>
        <v/>
      </c>
      <c r="AC590" s="82" t="str">
        <f t="shared" si="368"/>
        <v/>
      </c>
      <c r="AD590" s="82" t="str">
        <f>IFERROR($U590*(1-$V590)+SUM($W$22:$W590)+$AB590,"")</f>
        <v/>
      </c>
      <c r="AE590" s="73" t="b">
        <f t="shared" si="344"/>
        <v>1</v>
      </c>
      <c r="AF590" s="82" t="e">
        <f>IF(AND(AE590=TRUE,D590&gt;=65),$U590*(1-10%)+SUM($W$22:$W590)+$AB590,AD590)</f>
        <v>#VALUE!</v>
      </c>
      <c r="AG590" s="82" t="str">
        <f t="shared" si="369"/>
        <v/>
      </c>
      <c r="AH590" s="82" t="str">
        <f t="shared" si="370"/>
        <v/>
      </c>
      <c r="AI590" s="82" t="str">
        <f t="shared" si="371"/>
        <v/>
      </c>
      <c r="AJ590" s="82" t="str">
        <f t="shared" si="372"/>
        <v/>
      </c>
      <c r="AK590" s="73" t="b">
        <f t="shared" si="345"/>
        <v>1</v>
      </c>
      <c r="AL590" s="82" t="str">
        <f t="shared" si="373"/>
        <v/>
      </c>
      <c r="AM590" s="82" t="str">
        <f t="shared" si="374"/>
        <v/>
      </c>
      <c r="AN590" s="82" t="str">
        <f t="shared" si="375"/>
        <v/>
      </c>
      <c r="AO590" s="82" t="str">
        <f t="shared" si="376"/>
        <v/>
      </c>
      <c r="AP590" s="82" t="str">
        <f t="shared" si="377"/>
        <v/>
      </c>
    </row>
    <row r="591" spans="1:42" s="31" customFormat="1" x14ac:dyDescent="0.6">
      <c r="A591" s="70" t="str">
        <f t="shared" si="343"/>
        <v/>
      </c>
      <c r="B591" s="70" t="str">
        <f>IF(E591&lt;=$F$9,VLOOKUP(KALKULATOR!A591,Robocze!$B$23:$C$102,2),"")</f>
        <v/>
      </c>
      <c r="C591" s="70" t="str">
        <f t="shared" si="346"/>
        <v/>
      </c>
      <c r="D591" s="71" t="str">
        <f t="shared" si="347"/>
        <v/>
      </c>
      <c r="E591" s="72" t="str">
        <f t="shared" si="348"/>
        <v/>
      </c>
      <c r="F591" s="72" t="str">
        <f t="shared" si="349"/>
        <v/>
      </c>
      <c r="G591" s="73" t="str">
        <f>IFERROR(IF(AND(F591&lt;=$F$9,$F$5=Robocze!$B$4,$E591&lt;=$F$9,MONTH($F$8)=MONTH(E591)),$F$4,0)+IF(AND(F591&lt;=$F$9,$F$5=Robocze!$B$3,E591&lt;=$F$9),KALKULATOR!$F$4/12,0),"")</f>
        <v/>
      </c>
      <c r="H591" s="73" t="str">
        <f t="shared" si="350"/>
        <v/>
      </c>
      <c r="I591" s="74" t="str">
        <f t="shared" si="351"/>
        <v/>
      </c>
      <c r="J591" s="73" t="str">
        <f t="shared" si="352"/>
        <v/>
      </c>
      <c r="K591" s="75" t="str">
        <f t="shared" si="353"/>
        <v/>
      </c>
      <c r="L591" s="73" t="str">
        <f t="shared" si="354"/>
        <v/>
      </c>
      <c r="M591" s="73" t="str">
        <f t="shared" si="355"/>
        <v/>
      </c>
      <c r="N591" s="73" t="str">
        <f t="shared" si="356"/>
        <v/>
      </c>
      <c r="O591" s="73" t="str">
        <f t="shared" si="357"/>
        <v/>
      </c>
      <c r="P591" s="73" t="str">
        <f t="shared" si="358"/>
        <v/>
      </c>
      <c r="Q591" s="73" t="str">
        <f t="shared" si="359"/>
        <v/>
      </c>
      <c r="R591" s="73"/>
      <c r="S591" s="76" t="str">
        <f t="shared" si="360"/>
        <v/>
      </c>
      <c r="T591" s="73" t="str">
        <f t="shared" si="361"/>
        <v/>
      </c>
      <c r="U591" s="73" t="str">
        <f t="shared" si="362"/>
        <v/>
      </c>
      <c r="V591" s="76" t="str">
        <f t="shared" si="363"/>
        <v/>
      </c>
      <c r="W591" s="73" t="str">
        <f t="shared" si="364"/>
        <v/>
      </c>
      <c r="X591" s="73" t="str">
        <f>IF(B591&lt;&gt;"",IF(MONTH(E591)=MONTH($F$13),SUMIF($C$22:C970,"="&amp;(C591-1),$G$22:G970),0)*S591,"")</f>
        <v/>
      </c>
      <c r="Y591" s="73" t="str">
        <f>IF(B591&lt;&gt;"",SUM($X$22:X591),"")</f>
        <v/>
      </c>
      <c r="Z591" s="73" t="str">
        <f t="shared" si="365"/>
        <v/>
      </c>
      <c r="AA591" s="73" t="str">
        <f t="shared" si="366"/>
        <v/>
      </c>
      <c r="AB591" s="73" t="str">
        <f t="shared" si="367"/>
        <v/>
      </c>
      <c r="AC591" s="73" t="str">
        <f t="shared" si="368"/>
        <v/>
      </c>
      <c r="AD591" s="73" t="str">
        <f>IFERROR($U591*(1-$V591)+SUM($W$22:$W591)+$AB591,"")</f>
        <v/>
      </c>
      <c r="AE591" s="73" t="b">
        <f t="shared" si="344"/>
        <v>1</v>
      </c>
      <c r="AF591" s="73" t="e">
        <f>IF(AND(AE591=TRUE,D591&gt;=65),$U591*(1-10%)+SUM($W$22:$W591)+$AB591,AD591)</f>
        <v>#VALUE!</v>
      </c>
      <c r="AG591" s="73" t="str">
        <f t="shared" si="369"/>
        <v/>
      </c>
      <c r="AH591" s="73" t="str">
        <f t="shared" si="370"/>
        <v/>
      </c>
      <c r="AI591" s="73" t="str">
        <f t="shared" si="371"/>
        <v/>
      </c>
      <c r="AJ591" s="73" t="str">
        <f t="shared" si="372"/>
        <v/>
      </c>
      <c r="AK591" s="73" t="b">
        <f t="shared" si="345"/>
        <v>1</v>
      </c>
      <c r="AL591" s="73" t="str">
        <f t="shared" si="373"/>
        <v/>
      </c>
      <c r="AM591" s="73" t="str">
        <f t="shared" si="374"/>
        <v/>
      </c>
      <c r="AN591" s="73" t="str">
        <f t="shared" si="375"/>
        <v/>
      </c>
      <c r="AO591" s="73" t="str">
        <f t="shared" si="376"/>
        <v/>
      </c>
      <c r="AP591" s="73" t="str">
        <f t="shared" si="377"/>
        <v/>
      </c>
    </row>
    <row r="592" spans="1:42" s="31" customFormat="1" x14ac:dyDescent="0.6">
      <c r="A592" s="70" t="str">
        <f t="shared" si="343"/>
        <v/>
      </c>
      <c r="B592" s="70" t="str">
        <f>IF(E592&lt;=$F$9,VLOOKUP(KALKULATOR!A592,Robocze!$B$23:$C$102,2),"")</f>
        <v/>
      </c>
      <c r="C592" s="70" t="str">
        <f t="shared" si="346"/>
        <v/>
      </c>
      <c r="D592" s="71" t="str">
        <f t="shared" si="347"/>
        <v/>
      </c>
      <c r="E592" s="77" t="str">
        <f t="shared" si="348"/>
        <v/>
      </c>
      <c r="F592" s="72" t="str">
        <f t="shared" si="349"/>
        <v/>
      </c>
      <c r="G592" s="73" t="str">
        <f>IFERROR(IF(AND(F592&lt;=$F$9,$F$5=Robocze!$B$4,$E592&lt;=$F$9,MONTH($F$8)=MONTH(E592)),$F$4,0)+IF(AND(F592&lt;=$F$9,$F$5=Robocze!$B$3,E592&lt;=$F$9),KALKULATOR!$F$4/12,0),"")</f>
        <v/>
      </c>
      <c r="H592" s="73" t="str">
        <f t="shared" si="350"/>
        <v/>
      </c>
      <c r="I592" s="74" t="str">
        <f t="shared" si="351"/>
        <v/>
      </c>
      <c r="J592" s="73" t="str">
        <f t="shared" si="352"/>
        <v/>
      </c>
      <c r="K592" s="75" t="str">
        <f t="shared" si="353"/>
        <v/>
      </c>
      <c r="L592" s="73" t="str">
        <f t="shared" si="354"/>
        <v/>
      </c>
      <c r="M592" s="73" t="str">
        <f t="shared" si="355"/>
        <v/>
      </c>
      <c r="N592" s="73" t="str">
        <f t="shared" si="356"/>
        <v/>
      </c>
      <c r="O592" s="73" t="str">
        <f t="shared" si="357"/>
        <v/>
      </c>
      <c r="P592" s="73" t="str">
        <f t="shared" si="358"/>
        <v/>
      </c>
      <c r="Q592" s="73" t="str">
        <f t="shared" si="359"/>
        <v/>
      </c>
      <c r="R592" s="73"/>
      <c r="S592" s="76" t="str">
        <f t="shared" si="360"/>
        <v/>
      </c>
      <c r="T592" s="73" t="str">
        <f t="shared" si="361"/>
        <v/>
      </c>
      <c r="U592" s="73" t="str">
        <f t="shared" si="362"/>
        <v/>
      </c>
      <c r="V592" s="76" t="str">
        <f t="shared" si="363"/>
        <v/>
      </c>
      <c r="W592" s="73" t="str">
        <f t="shared" si="364"/>
        <v/>
      </c>
      <c r="X592" s="73" t="str">
        <f>IF(B592&lt;&gt;"",IF(MONTH(E592)=MONTH($F$13),SUMIF($C$22:C971,"="&amp;(C592-1),$G$22:G971),0)*S592,"")</f>
        <v/>
      </c>
      <c r="Y592" s="73" t="str">
        <f>IF(B592&lt;&gt;"",SUM($X$22:X592),"")</f>
        <v/>
      </c>
      <c r="Z592" s="73" t="str">
        <f t="shared" si="365"/>
        <v/>
      </c>
      <c r="AA592" s="73" t="str">
        <f t="shared" si="366"/>
        <v/>
      </c>
      <c r="AB592" s="73" t="str">
        <f t="shared" si="367"/>
        <v/>
      </c>
      <c r="AC592" s="73" t="str">
        <f t="shared" si="368"/>
        <v/>
      </c>
      <c r="AD592" s="73" t="str">
        <f>IFERROR($U592*(1-$V592)+SUM($W$22:$W592)+$AB592,"")</f>
        <v/>
      </c>
      <c r="AE592" s="73" t="b">
        <f t="shared" si="344"/>
        <v>1</v>
      </c>
      <c r="AF592" s="73" t="e">
        <f>IF(AND(AE592=TRUE,D592&gt;=65),$U592*(1-10%)+SUM($W$22:$W592)+$AB592,AD592)</f>
        <v>#VALUE!</v>
      </c>
      <c r="AG592" s="73" t="str">
        <f t="shared" si="369"/>
        <v/>
      </c>
      <c r="AH592" s="73" t="str">
        <f t="shared" si="370"/>
        <v/>
      </c>
      <c r="AI592" s="73" t="str">
        <f t="shared" si="371"/>
        <v/>
      </c>
      <c r="AJ592" s="73" t="str">
        <f t="shared" si="372"/>
        <v/>
      </c>
      <c r="AK592" s="73" t="b">
        <f t="shared" si="345"/>
        <v>1</v>
      </c>
      <c r="AL592" s="73" t="str">
        <f t="shared" si="373"/>
        <v/>
      </c>
      <c r="AM592" s="73" t="str">
        <f t="shared" si="374"/>
        <v/>
      </c>
      <c r="AN592" s="73" t="str">
        <f t="shared" si="375"/>
        <v/>
      </c>
      <c r="AO592" s="73" t="str">
        <f t="shared" si="376"/>
        <v/>
      </c>
      <c r="AP592" s="73" t="str">
        <f t="shared" si="377"/>
        <v/>
      </c>
    </row>
    <row r="593" spans="1:42" s="31" customFormat="1" x14ac:dyDescent="0.6">
      <c r="A593" s="70" t="str">
        <f t="shared" si="343"/>
        <v/>
      </c>
      <c r="B593" s="70" t="str">
        <f>IF(E593&lt;=$F$9,VLOOKUP(KALKULATOR!A593,Robocze!$B$23:$C$102,2),"")</f>
        <v/>
      </c>
      <c r="C593" s="70" t="str">
        <f t="shared" si="346"/>
        <v/>
      </c>
      <c r="D593" s="71" t="str">
        <f t="shared" si="347"/>
        <v/>
      </c>
      <c r="E593" s="77" t="str">
        <f t="shared" si="348"/>
        <v/>
      </c>
      <c r="F593" s="72" t="str">
        <f t="shared" si="349"/>
        <v/>
      </c>
      <c r="G593" s="73" t="str">
        <f>IFERROR(IF(AND(F593&lt;=$F$9,$F$5=Robocze!$B$4,$E593&lt;=$F$9,MONTH($F$8)=MONTH(E593)),$F$4,0)+IF(AND(F593&lt;=$F$9,$F$5=Robocze!$B$3,E593&lt;=$F$9),KALKULATOR!$F$4/12,0),"")</f>
        <v/>
      </c>
      <c r="H593" s="73" t="str">
        <f t="shared" si="350"/>
        <v/>
      </c>
      <c r="I593" s="74" t="str">
        <f t="shared" si="351"/>
        <v/>
      </c>
      <c r="J593" s="73" t="str">
        <f t="shared" si="352"/>
        <v/>
      </c>
      <c r="K593" s="75" t="str">
        <f t="shared" si="353"/>
        <v/>
      </c>
      <c r="L593" s="73" t="str">
        <f t="shared" si="354"/>
        <v/>
      </c>
      <c r="M593" s="73" t="str">
        <f t="shared" si="355"/>
        <v/>
      </c>
      <c r="N593" s="73" t="str">
        <f t="shared" si="356"/>
        <v/>
      </c>
      <c r="O593" s="73" t="str">
        <f t="shared" si="357"/>
        <v/>
      </c>
      <c r="P593" s="73" t="str">
        <f t="shared" si="358"/>
        <v/>
      </c>
      <c r="Q593" s="73" t="str">
        <f t="shared" si="359"/>
        <v/>
      </c>
      <c r="R593" s="73"/>
      <c r="S593" s="76" t="str">
        <f t="shared" si="360"/>
        <v/>
      </c>
      <c r="T593" s="73" t="str">
        <f t="shared" si="361"/>
        <v/>
      </c>
      <c r="U593" s="73" t="str">
        <f t="shared" si="362"/>
        <v/>
      </c>
      <c r="V593" s="76" t="str">
        <f t="shared" si="363"/>
        <v/>
      </c>
      <c r="W593" s="73" t="str">
        <f t="shared" si="364"/>
        <v/>
      </c>
      <c r="X593" s="73" t="str">
        <f>IF(B593&lt;&gt;"",IF(MONTH(E593)=MONTH($F$13),SUMIF($C$22:C972,"="&amp;(C593-1),$G$22:G972),0)*S593,"")</f>
        <v/>
      </c>
      <c r="Y593" s="73" t="str">
        <f>IF(B593&lt;&gt;"",SUM($X$22:X593),"")</f>
        <v/>
      </c>
      <c r="Z593" s="73" t="str">
        <f t="shared" si="365"/>
        <v/>
      </c>
      <c r="AA593" s="73" t="str">
        <f t="shared" si="366"/>
        <v/>
      </c>
      <c r="AB593" s="73" t="str">
        <f t="shared" si="367"/>
        <v/>
      </c>
      <c r="AC593" s="73" t="str">
        <f t="shared" si="368"/>
        <v/>
      </c>
      <c r="AD593" s="73" t="str">
        <f>IFERROR($U593*(1-$V593)+SUM($W$22:$W593)+$AB593,"")</f>
        <v/>
      </c>
      <c r="AE593" s="73" t="b">
        <f t="shared" si="344"/>
        <v>1</v>
      </c>
      <c r="AF593" s="73" t="e">
        <f>IF(AND(AE593=TRUE,D593&gt;=65),$U593*(1-10%)+SUM($W$22:$W593)+$AB593,AD593)</f>
        <v>#VALUE!</v>
      </c>
      <c r="AG593" s="73" t="str">
        <f t="shared" si="369"/>
        <v/>
      </c>
      <c r="AH593" s="73" t="str">
        <f t="shared" si="370"/>
        <v/>
      </c>
      <c r="AI593" s="73" t="str">
        <f t="shared" si="371"/>
        <v/>
      </c>
      <c r="AJ593" s="73" t="str">
        <f t="shared" si="372"/>
        <v/>
      </c>
      <c r="AK593" s="73" t="b">
        <f t="shared" si="345"/>
        <v>1</v>
      </c>
      <c r="AL593" s="73" t="str">
        <f t="shared" si="373"/>
        <v/>
      </c>
      <c r="AM593" s="73" t="str">
        <f t="shared" si="374"/>
        <v/>
      </c>
      <c r="AN593" s="73" t="str">
        <f t="shared" si="375"/>
        <v/>
      </c>
      <c r="AO593" s="73" t="str">
        <f t="shared" si="376"/>
        <v/>
      </c>
      <c r="AP593" s="73" t="str">
        <f t="shared" si="377"/>
        <v/>
      </c>
    </row>
    <row r="594" spans="1:42" s="31" customFormat="1" x14ac:dyDescent="0.6">
      <c r="A594" s="70" t="str">
        <f t="shared" si="343"/>
        <v/>
      </c>
      <c r="B594" s="70" t="str">
        <f>IF(E594&lt;=$F$9,VLOOKUP(KALKULATOR!A594,Robocze!$B$23:$C$102,2),"")</f>
        <v/>
      </c>
      <c r="C594" s="70" t="str">
        <f t="shared" si="346"/>
        <v/>
      </c>
      <c r="D594" s="71" t="str">
        <f t="shared" si="347"/>
        <v/>
      </c>
      <c r="E594" s="77" t="str">
        <f t="shared" si="348"/>
        <v/>
      </c>
      <c r="F594" s="72" t="str">
        <f t="shared" si="349"/>
        <v/>
      </c>
      <c r="G594" s="73" t="str">
        <f>IFERROR(IF(AND(F594&lt;=$F$9,$F$5=Robocze!$B$4,$E594&lt;=$F$9,MONTH($F$8)=MONTH(E594)),$F$4,0)+IF(AND(F594&lt;=$F$9,$F$5=Robocze!$B$3,E594&lt;=$F$9),KALKULATOR!$F$4/12,0),"")</f>
        <v/>
      </c>
      <c r="H594" s="73" t="str">
        <f t="shared" si="350"/>
        <v/>
      </c>
      <c r="I594" s="74" t="str">
        <f t="shared" si="351"/>
        <v/>
      </c>
      <c r="J594" s="73" t="str">
        <f t="shared" si="352"/>
        <v/>
      </c>
      <c r="K594" s="75" t="str">
        <f t="shared" si="353"/>
        <v/>
      </c>
      <c r="L594" s="73" t="str">
        <f t="shared" si="354"/>
        <v/>
      </c>
      <c r="M594" s="73" t="str">
        <f t="shared" si="355"/>
        <v/>
      </c>
      <c r="N594" s="73" t="str">
        <f t="shared" si="356"/>
        <v/>
      </c>
      <c r="O594" s="73" t="str">
        <f t="shared" si="357"/>
        <v/>
      </c>
      <c r="P594" s="73" t="str">
        <f t="shared" si="358"/>
        <v/>
      </c>
      <c r="Q594" s="73" t="str">
        <f t="shared" si="359"/>
        <v/>
      </c>
      <c r="R594" s="73"/>
      <c r="S594" s="76" t="str">
        <f t="shared" si="360"/>
        <v/>
      </c>
      <c r="T594" s="73" t="str">
        <f t="shared" si="361"/>
        <v/>
      </c>
      <c r="U594" s="73" t="str">
        <f t="shared" si="362"/>
        <v/>
      </c>
      <c r="V594" s="76" t="str">
        <f t="shared" si="363"/>
        <v/>
      </c>
      <c r="W594" s="73" t="str">
        <f t="shared" si="364"/>
        <v/>
      </c>
      <c r="X594" s="73" t="str">
        <f>IF(B594&lt;&gt;"",IF(MONTH(E594)=MONTH($F$13),SUMIF($C$22:C973,"="&amp;(C594-1),$G$22:G973),0)*S594,"")</f>
        <v/>
      </c>
      <c r="Y594" s="73" t="str">
        <f>IF(B594&lt;&gt;"",SUM($X$22:X594),"")</f>
        <v/>
      </c>
      <c r="Z594" s="73" t="str">
        <f t="shared" si="365"/>
        <v/>
      </c>
      <c r="AA594" s="73" t="str">
        <f t="shared" si="366"/>
        <v/>
      </c>
      <c r="AB594" s="73" t="str">
        <f t="shared" si="367"/>
        <v/>
      </c>
      <c r="AC594" s="73" t="str">
        <f t="shared" si="368"/>
        <v/>
      </c>
      <c r="AD594" s="73" t="str">
        <f>IFERROR($U594*(1-$V594)+SUM($W$22:$W594)+$AB594,"")</f>
        <v/>
      </c>
      <c r="AE594" s="73" t="b">
        <f t="shared" si="344"/>
        <v>1</v>
      </c>
      <c r="AF594" s="73" t="e">
        <f>IF(AND(AE594=TRUE,D594&gt;=65),$U594*(1-10%)+SUM($W$22:$W594)+$AB594,AD594)</f>
        <v>#VALUE!</v>
      </c>
      <c r="AG594" s="73" t="str">
        <f t="shared" si="369"/>
        <v/>
      </c>
      <c r="AH594" s="73" t="str">
        <f t="shared" si="370"/>
        <v/>
      </c>
      <c r="AI594" s="73" t="str">
        <f t="shared" si="371"/>
        <v/>
      </c>
      <c r="AJ594" s="73" t="str">
        <f t="shared" si="372"/>
        <v/>
      </c>
      <c r="AK594" s="73" t="b">
        <f t="shared" si="345"/>
        <v>1</v>
      </c>
      <c r="AL594" s="73" t="str">
        <f t="shared" si="373"/>
        <v/>
      </c>
      <c r="AM594" s="73" t="str">
        <f t="shared" si="374"/>
        <v/>
      </c>
      <c r="AN594" s="73" t="str">
        <f t="shared" si="375"/>
        <v/>
      </c>
      <c r="AO594" s="73" t="str">
        <f t="shared" si="376"/>
        <v/>
      </c>
      <c r="AP594" s="73" t="str">
        <f t="shared" si="377"/>
        <v/>
      </c>
    </row>
    <row r="595" spans="1:42" s="31" customFormat="1" x14ac:dyDescent="0.6">
      <c r="A595" s="70" t="str">
        <f t="shared" si="343"/>
        <v/>
      </c>
      <c r="B595" s="70" t="str">
        <f>IF(E595&lt;=$F$9,VLOOKUP(KALKULATOR!A595,Robocze!$B$23:$C$102,2),"")</f>
        <v/>
      </c>
      <c r="C595" s="70" t="str">
        <f t="shared" si="346"/>
        <v/>
      </c>
      <c r="D595" s="71" t="str">
        <f t="shared" si="347"/>
        <v/>
      </c>
      <c r="E595" s="77" t="str">
        <f t="shared" si="348"/>
        <v/>
      </c>
      <c r="F595" s="72" t="str">
        <f t="shared" si="349"/>
        <v/>
      </c>
      <c r="G595" s="73" t="str">
        <f>IFERROR(IF(AND(F595&lt;=$F$9,$F$5=Robocze!$B$4,$E595&lt;=$F$9,MONTH($F$8)=MONTH(E595)),$F$4,0)+IF(AND(F595&lt;=$F$9,$F$5=Robocze!$B$3,E595&lt;=$F$9),KALKULATOR!$F$4/12,0),"")</f>
        <v/>
      </c>
      <c r="H595" s="73" t="str">
        <f t="shared" si="350"/>
        <v/>
      </c>
      <c r="I595" s="74" t="str">
        <f t="shared" si="351"/>
        <v/>
      </c>
      <c r="J595" s="73" t="str">
        <f t="shared" si="352"/>
        <v/>
      </c>
      <c r="K595" s="75" t="str">
        <f t="shared" si="353"/>
        <v/>
      </c>
      <c r="L595" s="73" t="str">
        <f t="shared" si="354"/>
        <v/>
      </c>
      <c r="M595" s="73" t="str">
        <f t="shared" si="355"/>
        <v/>
      </c>
      <c r="N595" s="73" t="str">
        <f t="shared" si="356"/>
        <v/>
      </c>
      <c r="O595" s="73" t="str">
        <f t="shared" si="357"/>
        <v/>
      </c>
      <c r="P595" s="73" t="str">
        <f t="shared" si="358"/>
        <v/>
      </c>
      <c r="Q595" s="73" t="str">
        <f t="shared" si="359"/>
        <v/>
      </c>
      <c r="R595" s="73"/>
      <c r="S595" s="76" t="str">
        <f t="shared" si="360"/>
        <v/>
      </c>
      <c r="T595" s="73" t="str">
        <f t="shared" si="361"/>
        <v/>
      </c>
      <c r="U595" s="73" t="str">
        <f t="shared" si="362"/>
        <v/>
      </c>
      <c r="V595" s="76" t="str">
        <f t="shared" si="363"/>
        <v/>
      </c>
      <c r="W595" s="73" t="str">
        <f t="shared" si="364"/>
        <v/>
      </c>
      <c r="X595" s="73" t="str">
        <f>IF(B595&lt;&gt;"",IF(MONTH(E595)=MONTH($F$13),SUMIF($C$22:C974,"="&amp;(C595-1),$G$22:G974),0)*S595,"")</f>
        <v/>
      </c>
      <c r="Y595" s="73" t="str">
        <f>IF(B595&lt;&gt;"",SUM($X$22:X595),"")</f>
        <v/>
      </c>
      <c r="Z595" s="73" t="str">
        <f t="shared" si="365"/>
        <v/>
      </c>
      <c r="AA595" s="73" t="str">
        <f t="shared" si="366"/>
        <v/>
      </c>
      <c r="AB595" s="73" t="str">
        <f t="shared" si="367"/>
        <v/>
      </c>
      <c r="AC595" s="73" t="str">
        <f t="shared" si="368"/>
        <v/>
      </c>
      <c r="AD595" s="73" t="str">
        <f>IFERROR($U595*(1-$V595)+SUM($W$22:$W595)+$AB595,"")</f>
        <v/>
      </c>
      <c r="AE595" s="73" t="b">
        <f t="shared" si="344"/>
        <v>1</v>
      </c>
      <c r="AF595" s="73" t="e">
        <f>IF(AND(AE595=TRUE,D595&gt;=65),$U595*(1-10%)+SUM($W$22:$W595)+$AB595,AD595)</f>
        <v>#VALUE!</v>
      </c>
      <c r="AG595" s="73" t="str">
        <f t="shared" si="369"/>
        <v/>
      </c>
      <c r="AH595" s="73" t="str">
        <f t="shared" si="370"/>
        <v/>
      </c>
      <c r="AI595" s="73" t="str">
        <f t="shared" si="371"/>
        <v/>
      </c>
      <c r="AJ595" s="73" t="str">
        <f t="shared" si="372"/>
        <v/>
      </c>
      <c r="AK595" s="73" t="b">
        <f t="shared" si="345"/>
        <v>1</v>
      </c>
      <c r="AL595" s="73" t="str">
        <f t="shared" si="373"/>
        <v/>
      </c>
      <c r="AM595" s="73" t="str">
        <f t="shared" si="374"/>
        <v/>
      </c>
      <c r="AN595" s="73" t="str">
        <f t="shared" si="375"/>
        <v/>
      </c>
      <c r="AO595" s="73" t="str">
        <f t="shared" si="376"/>
        <v/>
      </c>
      <c r="AP595" s="73" t="str">
        <f t="shared" si="377"/>
        <v/>
      </c>
    </row>
    <row r="596" spans="1:42" s="31" customFormat="1" x14ac:dyDescent="0.6">
      <c r="A596" s="70" t="str">
        <f t="shared" si="343"/>
        <v/>
      </c>
      <c r="B596" s="70" t="str">
        <f>IF(E596&lt;=$F$9,VLOOKUP(KALKULATOR!A596,Robocze!$B$23:$C$102,2),"")</f>
        <v/>
      </c>
      <c r="C596" s="70" t="str">
        <f t="shared" si="346"/>
        <v/>
      </c>
      <c r="D596" s="71" t="str">
        <f t="shared" si="347"/>
        <v/>
      </c>
      <c r="E596" s="77" t="str">
        <f t="shared" si="348"/>
        <v/>
      </c>
      <c r="F596" s="72" t="str">
        <f t="shared" si="349"/>
        <v/>
      </c>
      <c r="G596" s="73" t="str">
        <f>IFERROR(IF(AND(F596&lt;=$F$9,$F$5=Robocze!$B$4,$E596&lt;=$F$9,MONTH($F$8)=MONTH(E596)),$F$4,0)+IF(AND(F596&lt;=$F$9,$F$5=Robocze!$B$3,E596&lt;=$F$9),KALKULATOR!$F$4/12,0),"")</f>
        <v/>
      </c>
      <c r="H596" s="73" t="str">
        <f t="shared" si="350"/>
        <v/>
      </c>
      <c r="I596" s="74" t="str">
        <f t="shared" si="351"/>
        <v/>
      </c>
      <c r="J596" s="73" t="str">
        <f t="shared" si="352"/>
        <v/>
      </c>
      <c r="K596" s="75" t="str">
        <f t="shared" si="353"/>
        <v/>
      </c>
      <c r="L596" s="73" t="str">
        <f t="shared" si="354"/>
        <v/>
      </c>
      <c r="M596" s="73" t="str">
        <f t="shared" si="355"/>
        <v/>
      </c>
      <c r="N596" s="73" t="str">
        <f t="shared" si="356"/>
        <v/>
      </c>
      <c r="O596" s="73" t="str">
        <f t="shared" si="357"/>
        <v/>
      </c>
      <c r="P596" s="73" t="str">
        <f t="shared" si="358"/>
        <v/>
      </c>
      <c r="Q596" s="73" t="str">
        <f t="shared" si="359"/>
        <v/>
      </c>
      <c r="R596" s="73"/>
      <c r="S596" s="76" t="str">
        <f t="shared" si="360"/>
        <v/>
      </c>
      <c r="T596" s="73" t="str">
        <f t="shared" si="361"/>
        <v/>
      </c>
      <c r="U596" s="73" t="str">
        <f t="shared" si="362"/>
        <v/>
      </c>
      <c r="V596" s="76" t="str">
        <f t="shared" si="363"/>
        <v/>
      </c>
      <c r="W596" s="73" t="str">
        <f t="shared" si="364"/>
        <v/>
      </c>
      <c r="X596" s="73" t="str">
        <f>IF(B596&lt;&gt;"",IF(MONTH(E596)=MONTH($F$13),SUMIF($C$22:C975,"="&amp;(C596-1),$G$22:G975),0)*S596,"")</f>
        <v/>
      </c>
      <c r="Y596" s="73" t="str">
        <f>IF(B596&lt;&gt;"",SUM($X$22:X596),"")</f>
        <v/>
      </c>
      <c r="Z596" s="73" t="str">
        <f t="shared" si="365"/>
        <v/>
      </c>
      <c r="AA596" s="73" t="str">
        <f t="shared" si="366"/>
        <v/>
      </c>
      <c r="AB596" s="73" t="str">
        <f t="shared" si="367"/>
        <v/>
      </c>
      <c r="AC596" s="73" t="str">
        <f t="shared" si="368"/>
        <v/>
      </c>
      <c r="AD596" s="73" t="str">
        <f>IFERROR($U596*(1-$V596)+SUM($W$22:$W596)+$AB596,"")</f>
        <v/>
      </c>
      <c r="AE596" s="73" t="b">
        <f t="shared" si="344"/>
        <v>1</v>
      </c>
      <c r="AF596" s="73" t="e">
        <f>IF(AND(AE596=TRUE,D596&gt;=65),$U596*(1-10%)+SUM($W$22:$W596)+$AB596,AD596)</f>
        <v>#VALUE!</v>
      </c>
      <c r="AG596" s="73" t="str">
        <f t="shared" si="369"/>
        <v/>
      </c>
      <c r="AH596" s="73" t="str">
        <f t="shared" si="370"/>
        <v/>
      </c>
      <c r="AI596" s="73" t="str">
        <f t="shared" si="371"/>
        <v/>
      </c>
      <c r="AJ596" s="73" t="str">
        <f t="shared" si="372"/>
        <v/>
      </c>
      <c r="AK596" s="73" t="b">
        <f t="shared" si="345"/>
        <v>1</v>
      </c>
      <c r="AL596" s="73" t="str">
        <f t="shared" si="373"/>
        <v/>
      </c>
      <c r="AM596" s="73" t="str">
        <f t="shared" si="374"/>
        <v/>
      </c>
      <c r="AN596" s="73" t="str">
        <f t="shared" si="375"/>
        <v/>
      </c>
      <c r="AO596" s="73" t="str">
        <f t="shared" si="376"/>
        <v/>
      </c>
      <c r="AP596" s="73" t="str">
        <f t="shared" si="377"/>
        <v/>
      </c>
    </row>
    <row r="597" spans="1:42" s="31" customFormat="1" x14ac:dyDescent="0.6">
      <c r="A597" s="70" t="str">
        <f t="shared" si="343"/>
        <v/>
      </c>
      <c r="B597" s="70" t="str">
        <f>IF(E597&lt;=$F$9,VLOOKUP(KALKULATOR!A597,Robocze!$B$23:$C$102,2),"")</f>
        <v/>
      </c>
      <c r="C597" s="70" t="str">
        <f t="shared" si="346"/>
        <v/>
      </c>
      <c r="D597" s="71" t="str">
        <f t="shared" si="347"/>
        <v/>
      </c>
      <c r="E597" s="77" t="str">
        <f t="shared" si="348"/>
        <v/>
      </c>
      <c r="F597" s="72" t="str">
        <f t="shared" si="349"/>
        <v/>
      </c>
      <c r="G597" s="73" t="str">
        <f>IFERROR(IF(AND(F597&lt;=$F$9,$F$5=Robocze!$B$4,$E597&lt;=$F$9,MONTH($F$8)=MONTH(E597)),$F$4,0)+IF(AND(F597&lt;=$F$9,$F$5=Robocze!$B$3,E597&lt;=$F$9),KALKULATOR!$F$4/12,0),"")</f>
        <v/>
      </c>
      <c r="H597" s="73" t="str">
        <f t="shared" si="350"/>
        <v/>
      </c>
      <c r="I597" s="74" t="str">
        <f t="shared" si="351"/>
        <v/>
      </c>
      <c r="J597" s="73" t="str">
        <f t="shared" si="352"/>
        <v/>
      </c>
      <c r="K597" s="75" t="str">
        <f t="shared" si="353"/>
        <v/>
      </c>
      <c r="L597" s="73" t="str">
        <f t="shared" si="354"/>
        <v/>
      </c>
      <c r="M597" s="73" t="str">
        <f t="shared" si="355"/>
        <v/>
      </c>
      <c r="N597" s="73" t="str">
        <f t="shared" si="356"/>
        <v/>
      </c>
      <c r="O597" s="73" t="str">
        <f t="shared" si="357"/>
        <v/>
      </c>
      <c r="P597" s="73" t="str">
        <f t="shared" si="358"/>
        <v/>
      </c>
      <c r="Q597" s="73" t="str">
        <f t="shared" si="359"/>
        <v/>
      </c>
      <c r="R597" s="73"/>
      <c r="S597" s="76" t="str">
        <f t="shared" si="360"/>
        <v/>
      </c>
      <c r="T597" s="73" t="str">
        <f t="shared" si="361"/>
        <v/>
      </c>
      <c r="U597" s="73" t="str">
        <f t="shared" si="362"/>
        <v/>
      </c>
      <c r="V597" s="76" t="str">
        <f t="shared" si="363"/>
        <v/>
      </c>
      <c r="W597" s="73" t="str">
        <f t="shared" si="364"/>
        <v/>
      </c>
      <c r="X597" s="73" t="str">
        <f>IF(B597&lt;&gt;"",IF(MONTH(E597)=MONTH($F$13),SUMIF($C$22:C976,"="&amp;(C597-1),$G$22:G976),0)*S597,"")</f>
        <v/>
      </c>
      <c r="Y597" s="73" t="str">
        <f>IF(B597&lt;&gt;"",SUM($X$22:X597),"")</f>
        <v/>
      </c>
      <c r="Z597" s="73" t="str">
        <f t="shared" si="365"/>
        <v/>
      </c>
      <c r="AA597" s="73" t="str">
        <f t="shared" si="366"/>
        <v/>
      </c>
      <c r="AB597" s="73" t="str">
        <f t="shared" si="367"/>
        <v/>
      </c>
      <c r="AC597" s="73" t="str">
        <f t="shared" si="368"/>
        <v/>
      </c>
      <c r="AD597" s="73" t="str">
        <f>IFERROR($U597*(1-$V597)+SUM($W$22:$W597)+$AB597,"")</f>
        <v/>
      </c>
      <c r="AE597" s="73" t="b">
        <f t="shared" si="344"/>
        <v>1</v>
      </c>
      <c r="AF597" s="73" t="e">
        <f>IF(AND(AE597=TRUE,D597&gt;=65),$U597*(1-10%)+SUM($W$22:$W597)+$AB597,AD597)</f>
        <v>#VALUE!</v>
      </c>
      <c r="AG597" s="73" t="str">
        <f t="shared" si="369"/>
        <v/>
      </c>
      <c r="AH597" s="73" t="str">
        <f t="shared" si="370"/>
        <v/>
      </c>
      <c r="AI597" s="73" t="str">
        <f t="shared" si="371"/>
        <v/>
      </c>
      <c r="AJ597" s="73" t="str">
        <f t="shared" si="372"/>
        <v/>
      </c>
      <c r="AK597" s="73" t="b">
        <f t="shared" si="345"/>
        <v>1</v>
      </c>
      <c r="AL597" s="73" t="str">
        <f t="shared" si="373"/>
        <v/>
      </c>
      <c r="AM597" s="73" t="str">
        <f t="shared" si="374"/>
        <v/>
      </c>
      <c r="AN597" s="73" t="str">
        <f t="shared" si="375"/>
        <v/>
      </c>
      <c r="AO597" s="73" t="str">
        <f t="shared" si="376"/>
        <v/>
      </c>
      <c r="AP597" s="73" t="str">
        <f t="shared" si="377"/>
        <v/>
      </c>
    </row>
    <row r="598" spans="1:42" s="31" customFormat="1" x14ac:dyDescent="0.6">
      <c r="A598" s="70" t="str">
        <f t="shared" ref="A598:A644" si="378">IFERROR(IF((A597+1)&lt;=$F$7*12,A597+1,""),"")</f>
        <v/>
      </c>
      <c r="B598" s="70" t="str">
        <f>IF(E598&lt;=$F$9,VLOOKUP(KALKULATOR!A598,Robocze!$B$23:$C$102,2),"")</f>
        <v/>
      </c>
      <c r="C598" s="70" t="str">
        <f t="shared" si="346"/>
        <v/>
      </c>
      <c r="D598" s="71" t="str">
        <f t="shared" si="347"/>
        <v/>
      </c>
      <c r="E598" s="77" t="str">
        <f t="shared" si="348"/>
        <v/>
      </c>
      <c r="F598" s="72" t="str">
        <f t="shared" si="349"/>
        <v/>
      </c>
      <c r="G598" s="73" t="str">
        <f>IFERROR(IF(AND(F598&lt;=$F$9,$F$5=Robocze!$B$4,$E598&lt;=$F$9,MONTH($F$8)=MONTH(E598)),$F$4,0)+IF(AND(F598&lt;=$F$9,$F$5=Robocze!$B$3,E598&lt;=$F$9),KALKULATOR!$F$4/12,0),"")</f>
        <v/>
      </c>
      <c r="H598" s="73" t="str">
        <f t="shared" si="350"/>
        <v/>
      </c>
      <c r="I598" s="74" t="str">
        <f t="shared" si="351"/>
        <v/>
      </c>
      <c r="J598" s="73" t="str">
        <f t="shared" si="352"/>
        <v/>
      </c>
      <c r="K598" s="75" t="str">
        <f t="shared" si="353"/>
        <v/>
      </c>
      <c r="L598" s="73" t="str">
        <f t="shared" si="354"/>
        <v/>
      </c>
      <c r="M598" s="73" t="str">
        <f t="shared" si="355"/>
        <v/>
      </c>
      <c r="N598" s="73" t="str">
        <f t="shared" si="356"/>
        <v/>
      </c>
      <c r="O598" s="73" t="str">
        <f t="shared" si="357"/>
        <v/>
      </c>
      <c r="P598" s="73" t="str">
        <f t="shared" si="358"/>
        <v/>
      </c>
      <c r="Q598" s="73" t="str">
        <f t="shared" si="359"/>
        <v/>
      </c>
      <c r="R598" s="73"/>
      <c r="S598" s="76" t="str">
        <f t="shared" si="360"/>
        <v/>
      </c>
      <c r="T598" s="73" t="str">
        <f t="shared" si="361"/>
        <v/>
      </c>
      <c r="U598" s="73" t="str">
        <f t="shared" si="362"/>
        <v/>
      </c>
      <c r="V598" s="76" t="str">
        <f t="shared" si="363"/>
        <v/>
      </c>
      <c r="W598" s="73" t="str">
        <f t="shared" si="364"/>
        <v/>
      </c>
      <c r="X598" s="73" t="str">
        <f>IF(B598&lt;&gt;"",IF(MONTH(E598)=MONTH($F$13),SUMIF($C$22:C977,"="&amp;(C598-1),$G$22:G977),0)*S598,"")</f>
        <v/>
      </c>
      <c r="Y598" s="73" t="str">
        <f>IF(B598&lt;&gt;"",SUM($X$22:X598),"")</f>
        <v/>
      </c>
      <c r="Z598" s="73" t="str">
        <f t="shared" si="365"/>
        <v/>
      </c>
      <c r="AA598" s="73" t="str">
        <f t="shared" si="366"/>
        <v/>
      </c>
      <c r="AB598" s="73" t="str">
        <f t="shared" si="367"/>
        <v/>
      </c>
      <c r="AC598" s="73" t="str">
        <f t="shared" si="368"/>
        <v/>
      </c>
      <c r="AD598" s="73" t="str">
        <f>IFERROR($U598*(1-$V598)+SUM($W$22:$W598)+$AB598,"")</f>
        <v/>
      </c>
      <c r="AE598" s="73" t="b">
        <f t="shared" si="344"/>
        <v>1</v>
      </c>
      <c r="AF598" s="73" t="e">
        <f>IF(AND(AE598=TRUE,D598&gt;=65),$U598*(1-10%)+SUM($W$22:$W598)+$AB598,AD598)</f>
        <v>#VALUE!</v>
      </c>
      <c r="AG598" s="73" t="str">
        <f t="shared" si="369"/>
        <v/>
      </c>
      <c r="AH598" s="73" t="str">
        <f t="shared" si="370"/>
        <v/>
      </c>
      <c r="AI598" s="73" t="str">
        <f t="shared" si="371"/>
        <v/>
      </c>
      <c r="AJ598" s="73" t="str">
        <f t="shared" si="372"/>
        <v/>
      </c>
      <c r="AK598" s="73" t="b">
        <f t="shared" si="345"/>
        <v>1</v>
      </c>
      <c r="AL598" s="73" t="str">
        <f t="shared" si="373"/>
        <v/>
      </c>
      <c r="AM598" s="73" t="str">
        <f t="shared" si="374"/>
        <v/>
      </c>
      <c r="AN598" s="73" t="str">
        <f t="shared" si="375"/>
        <v/>
      </c>
      <c r="AO598" s="73" t="str">
        <f t="shared" si="376"/>
        <v/>
      </c>
      <c r="AP598" s="73" t="str">
        <f t="shared" si="377"/>
        <v/>
      </c>
    </row>
    <row r="599" spans="1:42" s="31" customFormat="1" x14ac:dyDescent="0.6">
      <c r="A599" s="70" t="str">
        <f t="shared" si="378"/>
        <v/>
      </c>
      <c r="B599" s="70" t="str">
        <f>IF(E599&lt;=$F$9,VLOOKUP(KALKULATOR!A599,Robocze!$B$23:$C$102,2),"")</f>
        <v/>
      </c>
      <c r="C599" s="70" t="str">
        <f t="shared" si="346"/>
        <v/>
      </c>
      <c r="D599" s="71" t="str">
        <f t="shared" si="347"/>
        <v/>
      </c>
      <c r="E599" s="77" t="str">
        <f t="shared" si="348"/>
        <v/>
      </c>
      <c r="F599" s="72" t="str">
        <f t="shared" si="349"/>
        <v/>
      </c>
      <c r="G599" s="73" t="str">
        <f>IFERROR(IF(AND(F599&lt;=$F$9,$F$5=Robocze!$B$4,$E599&lt;=$F$9,MONTH($F$8)=MONTH(E599)),$F$4,0)+IF(AND(F599&lt;=$F$9,$F$5=Robocze!$B$3,E599&lt;=$F$9),KALKULATOR!$F$4/12,0),"")</f>
        <v/>
      </c>
      <c r="H599" s="73" t="str">
        <f t="shared" si="350"/>
        <v/>
      </c>
      <c r="I599" s="74" t="str">
        <f t="shared" si="351"/>
        <v/>
      </c>
      <c r="J599" s="73" t="str">
        <f t="shared" si="352"/>
        <v/>
      </c>
      <c r="K599" s="75" t="str">
        <f t="shared" si="353"/>
        <v/>
      </c>
      <c r="L599" s="73" t="str">
        <f t="shared" si="354"/>
        <v/>
      </c>
      <c r="M599" s="73" t="str">
        <f t="shared" si="355"/>
        <v/>
      </c>
      <c r="N599" s="73" t="str">
        <f t="shared" si="356"/>
        <v/>
      </c>
      <c r="O599" s="73" t="str">
        <f t="shared" si="357"/>
        <v/>
      </c>
      <c r="P599" s="73" t="str">
        <f t="shared" si="358"/>
        <v/>
      </c>
      <c r="Q599" s="73" t="str">
        <f t="shared" si="359"/>
        <v/>
      </c>
      <c r="R599" s="73"/>
      <c r="S599" s="76" t="str">
        <f t="shared" si="360"/>
        <v/>
      </c>
      <c r="T599" s="73" t="str">
        <f t="shared" si="361"/>
        <v/>
      </c>
      <c r="U599" s="73" t="str">
        <f t="shared" si="362"/>
        <v/>
      </c>
      <c r="V599" s="76" t="str">
        <f t="shared" si="363"/>
        <v/>
      </c>
      <c r="W599" s="73" t="str">
        <f t="shared" si="364"/>
        <v/>
      </c>
      <c r="X599" s="73" t="str">
        <f>IF(B599&lt;&gt;"",IF(MONTH(E599)=MONTH($F$13),SUMIF($C$22:C978,"="&amp;(C599-1),$G$22:G978),0)*S599,"")</f>
        <v/>
      </c>
      <c r="Y599" s="73" t="str">
        <f>IF(B599&lt;&gt;"",SUM($X$22:X599),"")</f>
        <v/>
      </c>
      <c r="Z599" s="73" t="str">
        <f t="shared" si="365"/>
        <v/>
      </c>
      <c r="AA599" s="73" t="str">
        <f t="shared" si="366"/>
        <v/>
      </c>
      <c r="AB599" s="73" t="str">
        <f t="shared" si="367"/>
        <v/>
      </c>
      <c r="AC599" s="73" t="str">
        <f t="shared" si="368"/>
        <v/>
      </c>
      <c r="AD599" s="73" t="str">
        <f>IFERROR($U599*(1-$V599)+SUM($W$22:$W599)+$AB599,"")</f>
        <v/>
      </c>
      <c r="AE599" s="73" t="b">
        <f t="shared" ref="AE599:AE621" si="379">IFERROR(IF(AE598=TRUE,AE598,AND(YEAR(E599)-YEAR($F$8)&gt;=5,D599&gt;=65)),"")</f>
        <v>1</v>
      </c>
      <c r="AF599" s="73" t="e">
        <f>IF(AND(AE599=TRUE,D599&gt;=65),$U599*(1-10%)+SUM($W$22:$W599)+$AB599,AD599)</f>
        <v>#VALUE!</v>
      </c>
      <c r="AG599" s="73" t="str">
        <f t="shared" si="369"/>
        <v/>
      </c>
      <c r="AH599" s="73" t="str">
        <f t="shared" si="370"/>
        <v/>
      </c>
      <c r="AI599" s="73" t="str">
        <f t="shared" si="371"/>
        <v/>
      </c>
      <c r="AJ599" s="73" t="str">
        <f t="shared" si="372"/>
        <v/>
      </c>
      <c r="AK599" s="73" t="b">
        <f t="shared" ref="AK599:AK621" si="380">IFERROR(IF(AK598=TRUE,AK598,AND(YEAR(E599)-YEAR($F$8)&gt;=5,D599&gt;=55,OR(D599&gt;=60,D599&gt;=$F$10))),"")</f>
        <v>1</v>
      </c>
      <c r="AL599" s="73" t="str">
        <f t="shared" si="373"/>
        <v/>
      </c>
      <c r="AM599" s="73" t="str">
        <f t="shared" si="374"/>
        <v/>
      </c>
      <c r="AN599" s="73" t="str">
        <f t="shared" si="375"/>
        <v/>
      </c>
      <c r="AO599" s="73" t="str">
        <f t="shared" si="376"/>
        <v/>
      </c>
      <c r="AP599" s="73" t="str">
        <f t="shared" si="377"/>
        <v/>
      </c>
    </row>
    <row r="600" spans="1:42" s="31" customFormat="1" x14ac:dyDescent="0.6">
      <c r="A600" s="70" t="str">
        <f t="shared" si="378"/>
        <v/>
      </c>
      <c r="B600" s="70" t="str">
        <f>IF(E600&lt;=$F$9,VLOOKUP(KALKULATOR!A600,Robocze!$B$23:$C$102,2),"")</f>
        <v/>
      </c>
      <c r="C600" s="70" t="str">
        <f t="shared" si="346"/>
        <v/>
      </c>
      <c r="D600" s="71" t="str">
        <f t="shared" si="347"/>
        <v/>
      </c>
      <c r="E600" s="77" t="str">
        <f t="shared" si="348"/>
        <v/>
      </c>
      <c r="F600" s="72" t="str">
        <f t="shared" si="349"/>
        <v/>
      </c>
      <c r="G600" s="73" t="str">
        <f>IFERROR(IF(AND(F600&lt;=$F$9,$F$5=Robocze!$B$4,$E600&lt;=$F$9,MONTH($F$8)=MONTH(E600)),$F$4,0)+IF(AND(F600&lt;=$F$9,$F$5=Robocze!$B$3,E600&lt;=$F$9),KALKULATOR!$F$4/12,0),"")</f>
        <v/>
      </c>
      <c r="H600" s="73" t="str">
        <f t="shared" si="350"/>
        <v/>
      </c>
      <c r="I600" s="74" t="str">
        <f t="shared" si="351"/>
        <v/>
      </c>
      <c r="J600" s="73" t="str">
        <f t="shared" si="352"/>
        <v/>
      </c>
      <c r="K600" s="75" t="str">
        <f t="shared" si="353"/>
        <v/>
      </c>
      <c r="L600" s="73" t="str">
        <f t="shared" si="354"/>
        <v/>
      </c>
      <c r="M600" s="73" t="str">
        <f t="shared" si="355"/>
        <v/>
      </c>
      <c r="N600" s="73" t="str">
        <f t="shared" si="356"/>
        <v/>
      </c>
      <c r="O600" s="73" t="str">
        <f t="shared" si="357"/>
        <v/>
      </c>
      <c r="P600" s="73" t="str">
        <f t="shared" si="358"/>
        <v/>
      </c>
      <c r="Q600" s="73" t="str">
        <f t="shared" si="359"/>
        <v/>
      </c>
      <c r="R600" s="73"/>
      <c r="S600" s="76" t="str">
        <f t="shared" si="360"/>
        <v/>
      </c>
      <c r="T600" s="73" t="str">
        <f t="shared" si="361"/>
        <v/>
      </c>
      <c r="U600" s="73" t="str">
        <f t="shared" si="362"/>
        <v/>
      </c>
      <c r="V600" s="76" t="str">
        <f t="shared" si="363"/>
        <v/>
      </c>
      <c r="W600" s="73" t="str">
        <f t="shared" si="364"/>
        <v/>
      </c>
      <c r="X600" s="73" t="str">
        <f>IF(B600&lt;&gt;"",IF(MONTH(E600)=MONTH($F$13),SUMIF($C$22:C979,"="&amp;(C600-1),$G$22:G979),0)*S600,"")</f>
        <v/>
      </c>
      <c r="Y600" s="73" t="str">
        <f>IF(B600&lt;&gt;"",SUM($X$22:X600),"")</f>
        <v/>
      </c>
      <c r="Z600" s="73" t="str">
        <f t="shared" si="365"/>
        <v/>
      </c>
      <c r="AA600" s="73" t="str">
        <f t="shared" si="366"/>
        <v/>
      </c>
      <c r="AB600" s="73" t="str">
        <f t="shared" si="367"/>
        <v/>
      </c>
      <c r="AC600" s="73" t="str">
        <f t="shared" si="368"/>
        <v/>
      </c>
      <c r="AD600" s="73" t="str">
        <f>IFERROR($U600*(1-$V600)+SUM($W$22:$W600)+$AB600,"")</f>
        <v/>
      </c>
      <c r="AE600" s="73" t="b">
        <f t="shared" si="379"/>
        <v>1</v>
      </c>
      <c r="AF600" s="73" t="e">
        <f>IF(AND(AE600=TRUE,D600&gt;=65),$U600*(1-10%)+SUM($W$22:$W600)+$AB600,AD600)</f>
        <v>#VALUE!</v>
      </c>
      <c r="AG600" s="73" t="str">
        <f t="shared" si="369"/>
        <v/>
      </c>
      <c r="AH600" s="73" t="str">
        <f t="shared" si="370"/>
        <v/>
      </c>
      <c r="AI600" s="73" t="str">
        <f t="shared" si="371"/>
        <v/>
      </c>
      <c r="AJ600" s="73" t="str">
        <f t="shared" si="372"/>
        <v/>
      </c>
      <c r="AK600" s="73" t="b">
        <f t="shared" si="380"/>
        <v>1</v>
      </c>
      <c r="AL600" s="73" t="str">
        <f t="shared" si="373"/>
        <v/>
      </c>
      <c r="AM600" s="73" t="str">
        <f t="shared" si="374"/>
        <v/>
      </c>
      <c r="AN600" s="73" t="str">
        <f t="shared" si="375"/>
        <v/>
      </c>
      <c r="AO600" s="73" t="str">
        <f t="shared" si="376"/>
        <v/>
      </c>
      <c r="AP600" s="73" t="str">
        <f t="shared" si="377"/>
        <v/>
      </c>
    </row>
    <row r="601" spans="1:42" s="31" customFormat="1" x14ac:dyDescent="0.6">
      <c r="A601" s="70" t="str">
        <f t="shared" si="378"/>
        <v/>
      </c>
      <c r="B601" s="70" t="str">
        <f>IF(E601&lt;=$F$9,VLOOKUP(KALKULATOR!A601,Robocze!$B$23:$C$102,2),"")</f>
        <v/>
      </c>
      <c r="C601" s="70" t="str">
        <f t="shared" si="346"/>
        <v/>
      </c>
      <c r="D601" s="71" t="str">
        <f t="shared" si="347"/>
        <v/>
      </c>
      <c r="E601" s="77" t="str">
        <f t="shared" si="348"/>
        <v/>
      </c>
      <c r="F601" s="72" t="str">
        <f t="shared" si="349"/>
        <v/>
      </c>
      <c r="G601" s="73" t="str">
        <f>IFERROR(IF(AND(F601&lt;=$F$9,$F$5=Robocze!$B$4,$E601&lt;=$F$9,MONTH($F$8)=MONTH(E601)),$F$4,0)+IF(AND(F601&lt;=$F$9,$F$5=Robocze!$B$3,E601&lt;=$F$9),KALKULATOR!$F$4/12,0),"")</f>
        <v/>
      </c>
      <c r="H601" s="73" t="str">
        <f t="shared" si="350"/>
        <v/>
      </c>
      <c r="I601" s="74" t="str">
        <f t="shared" si="351"/>
        <v/>
      </c>
      <c r="J601" s="73" t="str">
        <f t="shared" si="352"/>
        <v/>
      </c>
      <c r="K601" s="75" t="str">
        <f t="shared" si="353"/>
        <v/>
      </c>
      <c r="L601" s="73" t="str">
        <f t="shared" si="354"/>
        <v/>
      </c>
      <c r="M601" s="73" t="str">
        <f t="shared" si="355"/>
        <v/>
      </c>
      <c r="N601" s="73" t="str">
        <f t="shared" si="356"/>
        <v/>
      </c>
      <c r="O601" s="73" t="str">
        <f t="shared" si="357"/>
        <v/>
      </c>
      <c r="P601" s="73" t="str">
        <f t="shared" si="358"/>
        <v/>
      </c>
      <c r="Q601" s="73" t="str">
        <f t="shared" si="359"/>
        <v/>
      </c>
      <c r="R601" s="73"/>
      <c r="S601" s="76" t="str">
        <f t="shared" si="360"/>
        <v/>
      </c>
      <c r="T601" s="73" t="str">
        <f t="shared" si="361"/>
        <v/>
      </c>
      <c r="U601" s="73" t="str">
        <f t="shared" si="362"/>
        <v/>
      </c>
      <c r="V601" s="76" t="str">
        <f t="shared" si="363"/>
        <v/>
      </c>
      <c r="W601" s="73" t="str">
        <f t="shared" si="364"/>
        <v/>
      </c>
      <c r="X601" s="73" t="str">
        <f>IF(B601&lt;&gt;"",IF(MONTH(E601)=MONTH($F$13),SUMIF($C$22:C980,"="&amp;(C601-1),$G$22:G980),0)*S601,"")</f>
        <v/>
      </c>
      <c r="Y601" s="73" t="str">
        <f>IF(B601&lt;&gt;"",SUM($X$22:X601),"")</f>
        <v/>
      </c>
      <c r="Z601" s="73" t="str">
        <f t="shared" si="365"/>
        <v/>
      </c>
      <c r="AA601" s="73" t="str">
        <f t="shared" si="366"/>
        <v/>
      </c>
      <c r="AB601" s="73" t="str">
        <f t="shared" si="367"/>
        <v/>
      </c>
      <c r="AC601" s="73" t="str">
        <f t="shared" si="368"/>
        <v/>
      </c>
      <c r="AD601" s="73" t="str">
        <f>IFERROR($U601*(1-$V601)+SUM($W$22:$W601)+$AB601,"")</f>
        <v/>
      </c>
      <c r="AE601" s="73" t="b">
        <f t="shared" si="379"/>
        <v>1</v>
      </c>
      <c r="AF601" s="73" t="e">
        <f>IF(AND(AE601=TRUE,D601&gt;=65),$U601*(1-10%)+SUM($W$22:$W601)+$AB601,AD601)</f>
        <v>#VALUE!</v>
      </c>
      <c r="AG601" s="73" t="str">
        <f t="shared" si="369"/>
        <v/>
      </c>
      <c r="AH601" s="73" t="str">
        <f t="shared" si="370"/>
        <v/>
      </c>
      <c r="AI601" s="73" t="str">
        <f t="shared" si="371"/>
        <v/>
      </c>
      <c r="AJ601" s="73" t="str">
        <f t="shared" si="372"/>
        <v/>
      </c>
      <c r="AK601" s="73" t="b">
        <f t="shared" si="380"/>
        <v>1</v>
      </c>
      <c r="AL601" s="73" t="str">
        <f t="shared" si="373"/>
        <v/>
      </c>
      <c r="AM601" s="73" t="str">
        <f t="shared" si="374"/>
        <v/>
      </c>
      <c r="AN601" s="73" t="str">
        <f t="shared" si="375"/>
        <v/>
      </c>
      <c r="AO601" s="73" t="str">
        <f t="shared" si="376"/>
        <v/>
      </c>
      <c r="AP601" s="73" t="str">
        <f t="shared" si="377"/>
        <v/>
      </c>
    </row>
    <row r="602" spans="1:42" s="69" customFormat="1" x14ac:dyDescent="0.6">
      <c r="A602" s="78" t="str">
        <f t="shared" si="378"/>
        <v/>
      </c>
      <c r="B602" s="78" t="str">
        <f>IF(E602&lt;=$F$9,VLOOKUP(KALKULATOR!A602,Robocze!$B$23:$C$102,2),"")</f>
        <v/>
      </c>
      <c r="C602" s="78" t="str">
        <f t="shared" si="346"/>
        <v/>
      </c>
      <c r="D602" s="79" t="str">
        <f t="shared" si="347"/>
        <v/>
      </c>
      <c r="E602" s="80" t="str">
        <f t="shared" si="348"/>
        <v/>
      </c>
      <c r="F602" s="81" t="str">
        <f t="shared" si="349"/>
        <v/>
      </c>
      <c r="G602" s="82" t="str">
        <f>IFERROR(IF(AND(F602&lt;=$F$9,$F$5=Robocze!$B$4,$E602&lt;=$F$9,MONTH($F$8)=MONTH(E602)),$F$4,0)+IF(AND(F602&lt;=$F$9,$F$5=Robocze!$B$3,E602&lt;=$F$9),KALKULATOR!$F$4/12,0),"")</f>
        <v/>
      </c>
      <c r="H602" s="82" t="str">
        <f t="shared" si="350"/>
        <v/>
      </c>
      <c r="I602" s="83" t="str">
        <f t="shared" si="351"/>
        <v/>
      </c>
      <c r="J602" s="82" t="str">
        <f t="shared" si="352"/>
        <v/>
      </c>
      <c r="K602" s="84" t="str">
        <f t="shared" si="353"/>
        <v/>
      </c>
      <c r="L602" s="82" t="str">
        <f t="shared" si="354"/>
        <v/>
      </c>
      <c r="M602" s="82" t="str">
        <f t="shared" si="355"/>
        <v/>
      </c>
      <c r="N602" s="82" t="str">
        <f t="shared" si="356"/>
        <v/>
      </c>
      <c r="O602" s="82" t="str">
        <f t="shared" si="357"/>
        <v/>
      </c>
      <c r="P602" s="82" t="str">
        <f t="shared" si="358"/>
        <v/>
      </c>
      <c r="Q602" s="82" t="str">
        <f t="shared" si="359"/>
        <v/>
      </c>
      <c r="R602" s="82"/>
      <c r="S602" s="85" t="str">
        <f t="shared" si="360"/>
        <v/>
      </c>
      <c r="T602" s="82" t="str">
        <f t="shared" si="361"/>
        <v/>
      </c>
      <c r="U602" s="82" t="str">
        <f t="shared" si="362"/>
        <v/>
      </c>
      <c r="V602" s="85" t="str">
        <f t="shared" si="363"/>
        <v/>
      </c>
      <c r="W602" s="82" t="str">
        <f t="shared" si="364"/>
        <v/>
      </c>
      <c r="X602" s="82" t="str">
        <f>IF(B602&lt;&gt;"",IF(MONTH(E602)=MONTH($F$13),SUMIF($C$22:C981,"="&amp;(C602-1),$G$22:G981),0)*S602,"")</f>
        <v/>
      </c>
      <c r="Y602" s="82" t="str">
        <f>IF(B602&lt;&gt;"",SUM($X$22:X602),"")</f>
        <v/>
      </c>
      <c r="Z602" s="82" t="str">
        <f t="shared" si="365"/>
        <v/>
      </c>
      <c r="AA602" s="82" t="str">
        <f t="shared" si="366"/>
        <v/>
      </c>
      <c r="AB602" s="82" t="str">
        <f t="shared" si="367"/>
        <v/>
      </c>
      <c r="AC602" s="82" t="str">
        <f t="shared" si="368"/>
        <v/>
      </c>
      <c r="AD602" s="82" t="str">
        <f>IFERROR($U602*(1-$V602)+SUM($W$22:$W602)+$AB602,"")</f>
        <v/>
      </c>
      <c r="AE602" s="73" t="b">
        <f t="shared" si="379"/>
        <v>1</v>
      </c>
      <c r="AF602" s="82" t="e">
        <f>IF(AND(AE602=TRUE,D602&gt;=65),$U602*(1-10%)+SUM($W$22:$W602)+$AB602,AD602)</f>
        <v>#VALUE!</v>
      </c>
      <c r="AG602" s="82" t="str">
        <f t="shared" si="369"/>
        <v/>
      </c>
      <c r="AH602" s="82" t="str">
        <f t="shared" si="370"/>
        <v/>
      </c>
      <c r="AI602" s="82" t="str">
        <f t="shared" si="371"/>
        <v/>
      </c>
      <c r="AJ602" s="82" t="str">
        <f t="shared" si="372"/>
        <v/>
      </c>
      <c r="AK602" s="73" t="b">
        <f t="shared" si="380"/>
        <v>1</v>
      </c>
      <c r="AL602" s="82" t="str">
        <f t="shared" si="373"/>
        <v/>
      </c>
      <c r="AM602" s="82" t="str">
        <f t="shared" si="374"/>
        <v/>
      </c>
      <c r="AN602" s="82" t="str">
        <f t="shared" si="375"/>
        <v/>
      </c>
      <c r="AO602" s="82" t="str">
        <f t="shared" si="376"/>
        <v/>
      </c>
      <c r="AP602" s="82" t="str">
        <f t="shared" si="377"/>
        <v/>
      </c>
    </row>
    <row r="603" spans="1:42" s="69" customFormat="1" x14ac:dyDescent="0.6">
      <c r="A603" s="78" t="str">
        <f t="shared" si="378"/>
        <v/>
      </c>
      <c r="B603" s="78" t="str">
        <f>IF(E603&lt;=$F$9,VLOOKUP(KALKULATOR!A603,Robocze!$B$23:$C$102,2),"")</f>
        <v/>
      </c>
      <c r="C603" s="78" t="str">
        <f t="shared" si="346"/>
        <v/>
      </c>
      <c r="D603" s="79" t="str">
        <f t="shared" si="347"/>
        <v/>
      </c>
      <c r="E603" s="80" t="str">
        <f t="shared" si="348"/>
        <v/>
      </c>
      <c r="F603" s="81" t="str">
        <f t="shared" si="349"/>
        <v/>
      </c>
      <c r="G603" s="82" t="str">
        <f>IFERROR(IF(AND(F603&lt;=$F$9,$F$5=Robocze!$B$4,$E603&lt;=$F$9,MONTH($F$8)=MONTH(E603)),$F$4,0)+IF(AND(F603&lt;=$F$9,$F$5=Robocze!$B$3,E603&lt;=$F$9),KALKULATOR!$F$4/12,0),"")</f>
        <v/>
      </c>
      <c r="H603" s="82" t="str">
        <f t="shared" si="350"/>
        <v/>
      </c>
      <c r="I603" s="83" t="str">
        <f t="shared" si="351"/>
        <v/>
      </c>
      <c r="J603" s="82" t="str">
        <f t="shared" si="352"/>
        <v/>
      </c>
      <c r="K603" s="84" t="str">
        <f t="shared" si="353"/>
        <v/>
      </c>
      <c r="L603" s="82" t="str">
        <f t="shared" si="354"/>
        <v/>
      </c>
      <c r="M603" s="82" t="str">
        <f t="shared" si="355"/>
        <v/>
      </c>
      <c r="N603" s="82" t="str">
        <f t="shared" si="356"/>
        <v/>
      </c>
      <c r="O603" s="82" t="str">
        <f t="shared" si="357"/>
        <v/>
      </c>
      <c r="P603" s="82" t="str">
        <f t="shared" si="358"/>
        <v/>
      </c>
      <c r="Q603" s="82" t="str">
        <f t="shared" si="359"/>
        <v/>
      </c>
      <c r="R603" s="82"/>
      <c r="S603" s="85" t="str">
        <f t="shared" si="360"/>
        <v/>
      </c>
      <c r="T603" s="82" t="str">
        <f t="shared" si="361"/>
        <v/>
      </c>
      <c r="U603" s="82" t="str">
        <f t="shared" si="362"/>
        <v/>
      </c>
      <c r="V603" s="85" t="str">
        <f t="shared" si="363"/>
        <v/>
      </c>
      <c r="W603" s="82" t="str">
        <f t="shared" si="364"/>
        <v/>
      </c>
      <c r="X603" s="82" t="str">
        <f>IF(B603&lt;&gt;"",IF(MONTH(E603)=MONTH($F$13),SUMIF($C$22:C982,"="&amp;(C603-1),$G$22:G982),0)*S603,"")</f>
        <v/>
      </c>
      <c r="Y603" s="82" t="str">
        <f>IF(B603&lt;&gt;"",SUM($X$22:X603),"")</f>
        <v/>
      </c>
      <c r="Z603" s="82" t="str">
        <f t="shared" si="365"/>
        <v/>
      </c>
      <c r="AA603" s="82" t="str">
        <f t="shared" si="366"/>
        <v/>
      </c>
      <c r="AB603" s="82" t="str">
        <f t="shared" si="367"/>
        <v/>
      </c>
      <c r="AC603" s="82" t="str">
        <f t="shared" si="368"/>
        <v/>
      </c>
      <c r="AD603" s="82" t="str">
        <f>IFERROR($U603*(1-$V603)+SUM($W$22:$W603)+$AB603,"")</f>
        <v/>
      </c>
      <c r="AE603" s="73" t="b">
        <f t="shared" si="379"/>
        <v>1</v>
      </c>
      <c r="AF603" s="82" t="e">
        <f>IF(AND(AE603=TRUE,D603&gt;=65),$U603*(1-10%)+SUM($W$22:$W603)+$AB603,AD603)</f>
        <v>#VALUE!</v>
      </c>
      <c r="AG603" s="82" t="str">
        <f t="shared" si="369"/>
        <v/>
      </c>
      <c r="AH603" s="82" t="str">
        <f t="shared" si="370"/>
        <v/>
      </c>
      <c r="AI603" s="82" t="str">
        <f t="shared" si="371"/>
        <v/>
      </c>
      <c r="AJ603" s="82" t="str">
        <f t="shared" si="372"/>
        <v/>
      </c>
      <c r="AK603" s="73" t="b">
        <f t="shared" si="380"/>
        <v>1</v>
      </c>
      <c r="AL603" s="82" t="str">
        <f t="shared" si="373"/>
        <v/>
      </c>
      <c r="AM603" s="82" t="str">
        <f t="shared" si="374"/>
        <v/>
      </c>
      <c r="AN603" s="82" t="str">
        <f t="shared" si="375"/>
        <v/>
      </c>
      <c r="AO603" s="82" t="str">
        <f t="shared" si="376"/>
        <v/>
      </c>
      <c r="AP603" s="82" t="str">
        <f t="shared" si="377"/>
        <v/>
      </c>
    </row>
    <row r="604" spans="1:42" s="31" customFormat="1" x14ac:dyDescent="0.6">
      <c r="A604" s="70" t="str">
        <f t="shared" si="378"/>
        <v/>
      </c>
      <c r="B604" s="70" t="str">
        <f>IF(E604&lt;=$F$9,VLOOKUP(KALKULATOR!A604,Robocze!$B$23:$C$102,2),"")</f>
        <v/>
      </c>
      <c r="C604" s="70" t="str">
        <f t="shared" si="346"/>
        <v/>
      </c>
      <c r="D604" s="71" t="str">
        <f t="shared" si="347"/>
        <v/>
      </c>
      <c r="E604" s="72" t="str">
        <f t="shared" si="348"/>
        <v/>
      </c>
      <c r="F604" s="72" t="str">
        <f t="shared" si="349"/>
        <v/>
      </c>
      <c r="G604" s="73" t="str">
        <f>IFERROR(IF(AND(F604&lt;=$F$9,$F$5=Robocze!$B$4,$E604&lt;=$F$9,MONTH($F$8)=MONTH(E604)),$F$4,0)+IF(AND(F604&lt;=$F$9,$F$5=Robocze!$B$3,E604&lt;=$F$9),KALKULATOR!$F$4/12,0),"")</f>
        <v/>
      </c>
      <c r="H604" s="73" t="str">
        <f t="shared" si="350"/>
        <v/>
      </c>
      <c r="I604" s="74" t="str">
        <f t="shared" si="351"/>
        <v/>
      </c>
      <c r="J604" s="73" t="str">
        <f t="shared" si="352"/>
        <v/>
      </c>
      <c r="K604" s="75" t="str">
        <f t="shared" si="353"/>
        <v/>
      </c>
      <c r="L604" s="73" t="str">
        <f t="shared" si="354"/>
        <v/>
      </c>
      <c r="M604" s="73" t="str">
        <f t="shared" si="355"/>
        <v/>
      </c>
      <c r="N604" s="73" t="str">
        <f t="shared" si="356"/>
        <v/>
      </c>
      <c r="O604" s="73" t="str">
        <f t="shared" si="357"/>
        <v/>
      </c>
      <c r="P604" s="73" t="str">
        <f t="shared" si="358"/>
        <v/>
      </c>
      <c r="Q604" s="73" t="str">
        <f t="shared" si="359"/>
        <v/>
      </c>
      <c r="R604" s="73"/>
      <c r="S604" s="76" t="str">
        <f t="shared" si="360"/>
        <v/>
      </c>
      <c r="T604" s="73" t="str">
        <f t="shared" si="361"/>
        <v/>
      </c>
      <c r="U604" s="73" t="str">
        <f t="shared" si="362"/>
        <v/>
      </c>
      <c r="V604" s="76" t="str">
        <f t="shared" si="363"/>
        <v/>
      </c>
      <c r="W604" s="73" t="str">
        <f t="shared" si="364"/>
        <v/>
      </c>
      <c r="X604" s="73" t="str">
        <f>IF(B604&lt;&gt;"",IF(MONTH(E604)=MONTH($F$13),SUMIF($C$22:C983,"="&amp;(C604-1),$G$22:G983),0)*S604,"")</f>
        <v/>
      </c>
      <c r="Y604" s="73" t="str">
        <f>IF(B604&lt;&gt;"",SUM($X$22:X604),"")</f>
        <v/>
      </c>
      <c r="Z604" s="73" t="str">
        <f t="shared" si="365"/>
        <v/>
      </c>
      <c r="AA604" s="73" t="str">
        <f t="shared" si="366"/>
        <v/>
      </c>
      <c r="AB604" s="73" t="str">
        <f t="shared" si="367"/>
        <v/>
      </c>
      <c r="AC604" s="73" t="str">
        <f t="shared" si="368"/>
        <v/>
      </c>
      <c r="AD604" s="73" t="str">
        <f>IFERROR($U604*(1-$V604)+SUM($W$22:$W604)+$AB604,"")</f>
        <v/>
      </c>
      <c r="AE604" s="73" t="b">
        <f t="shared" si="379"/>
        <v>1</v>
      </c>
      <c r="AF604" s="73" t="e">
        <f>IF(AND(AE604=TRUE,D604&gt;=65),$U604*(1-10%)+SUM($W$22:$W604)+$AB604,AD604)</f>
        <v>#VALUE!</v>
      </c>
      <c r="AG604" s="73" t="str">
        <f t="shared" si="369"/>
        <v/>
      </c>
      <c r="AH604" s="73" t="str">
        <f t="shared" si="370"/>
        <v/>
      </c>
      <c r="AI604" s="73" t="str">
        <f t="shared" si="371"/>
        <v/>
      </c>
      <c r="AJ604" s="73" t="str">
        <f t="shared" si="372"/>
        <v/>
      </c>
      <c r="AK604" s="73" t="b">
        <f t="shared" si="380"/>
        <v>1</v>
      </c>
      <c r="AL604" s="73" t="str">
        <f t="shared" si="373"/>
        <v/>
      </c>
      <c r="AM604" s="73" t="str">
        <f t="shared" si="374"/>
        <v/>
      </c>
      <c r="AN604" s="73" t="str">
        <f t="shared" si="375"/>
        <v/>
      </c>
      <c r="AO604" s="73" t="str">
        <f t="shared" si="376"/>
        <v/>
      </c>
      <c r="AP604" s="73" t="str">
        <f t="shared" si="377"/>
        <v/>
      </c>
    </row>
    <row r="605" spans="1:42" s="31" customFormat="1" x14ac:dyDescent="0.6">
      <c r="A605" s="70" t="str">
        <f t="shared" si="378"/>
        <v/>
      </c>
      <c r="B605" s="70" t="str">
        <f>IF(E605&lt;=$F$9,VLOOKUP(KALKULATOR!A605,Robocze!$B$23:$C$102,2),"")</f>
        <v/>
      </c>
      <c r="C605" s="70" t="str">
        <f t="shared" si="346"/>
        <v/>
      </c>
      <c r="D605" s="71" t="str">
        <f t="shared" si="347"/>
        <v/>
      </c>
      <c r="E605" s="77" t="str">
        <f t="shared" si="348"/>
        <v/>
      </c>
      <c r="F605" s="72" t="str">
        <f t="shared" si="349"/>
        <v/>
      </c>
      <c r="G605" s="73" t="str">
        <f>IFERROR(IF(AND(F605&lt;=$F$9,$F$5=Robocze!$B$4,$E605&lt;=$F$9,MONTH($F$8)=MONTH(E605)),$F$4,0)+IF(AND(F605&lt;=$F$9,$F$5=Robocze!$B$3,E605&lt;=$F$9),KALKULATOR!$F$4/12,0),"")</f>
        <v/>
      </c>
      <c r="H605" s="73" t="str">
        <f t="shared" si="350"/>
        <v/>
      </c>
      <c r="I605" s="74" t="str">
        <f t="shared" si="351"/>
        <v/>
      </c>
      <c r="J605" s="73" t="str">
        <f t="shared" si="352"/>
        <v/>
      </c>
      <c r="K605" s="75" t="str">
        <f t="shared" si="353"/>
        <v/>
      </c>
      <c r="L605" s="73" t="str">
        <f t="shared" si="354"/>
        <v/>
      </c>
      <c r="M605" s="73" t="str">
        <f t="shared" si="355"/>
        <v/>
      </c>
      <c r="N605" s="73" t="str">
        <f t="shared" si="356"/>
        <v/>
      </c>
      <c r="O605" s="73" t="str">
        <f t="shared" si="357"/>
        <v/>
      </c>
      <c r="P605" s="73" t="str">
        <f t="shared" si="358"/>
        <v/>
      </c>
      <c r="Q605" s="73" t="str">
        <f t="shared" si="359"/>
        <v/>
      </c>
      <c r="R605" s="73"/>
      <c r="S605" s="76" t="str">
        <f t="shared" si="360"/>
        <v/>
      </c>
      <c r="T605" s="73" t="str">
        <f t="shared" si="361"/>
        <v/>
      </c>
      <c r="U605" s="73" t="str">
        <f t="shared" si="362"/>
        <v/>
      </c>
      <c r="V605" s="76" t="str">
        <f t="shared" si="363"/>
        <v/>
      </c>
      <c r="W605" s="73" t="str">
        <f t="shared" si="364"/>
        <v/>
      </c>
      <c r="X605" s="73" t="str">
        <f>IF(B605&lt;&gt;"",IF(MONTH(E605)=MONTH($F$13),SUMIF($C$22:C984,"="&amp;(C605-1),$G$22:G984),0)*S605,"")</f>
        <v/>
      </c>
      <c r="Y605" s="73" t="str">
        <f>IF(B605&lt;&gt;"",SUM($X$22:X605),"")</f>
        <v/>
      </c>
      <c r="Z605" s="73" t="str">
        <f t="shared" si="365"/>
        <v/>
      </c>
      <c r="AA605" s="73" t="str">
        <f t="shared" si="366"/>
        <v/>
      </c>
      <c r="AB605" s="73" t="str">
        <f t="shared" si="367"/>
        <v/>
      </c>
      <c r="AC605" s="73" t="str">
        <f t="shared" si="368"/>
        <v/>
      </c>
      <c r="AD605" s="73" t="str">
        <f>IFERROR($U605*(1-$V605)+SUM($W$22:$W605)+$AB605,"")</f>
        <v/>
      </c>
      <c r="AE605" s="73" t="b">
        <f t="shared" si="379"/>
        <v>1</v>
      </c>
      <c r="AF605" s="73" t="e">
        <f>IF(AND(AE605=TRUE,D605&gt;=65),$U605*(1-10%)+SUM($W$22:$W605)+$AB605,AD605)</f>
        <v>#VALUE!</v>
      </c>
      <c r="AG605" s="73" t="str">
        <f t="shared" si="369"/>
        <v/>
      </c>
      <c r="AH605" s="73" t="str">
        <f t="shared" si="370"/>
        <v/>
      </c>
      <c r="AI605" s="73" t="str">
        <f t="shared" si="371"/>
        <v/>
      </c>
      <c r="AJ605" s="73" t="str">
        <f t="shared" si="372"/>
        <v/>
      </c>
      <c r="AK605" s="73" t="b">
        <f t="shared" si="380"/>
        <v>1</v>
      </c>
      <c r="AL605" s="73" t="str">
        <f t="shared" si="373"/>
        <v/>
      </c>
      <c r="AM605" s="73" t="str">
        <f t="shared" si="374"/>
        <v/>
      </c>
      <c r="AN605" s="73" t="str">
        <f t="shared" si="375"/>
        <v/>
      </c>
      <c r="AO605" s="73" t="str">
        <f t="shared" si="376"/>
        <v/>
      </c>
      <c r="AP605" s="73" t="str">
        <f t="shared" si="377"/>
        <v/>
      </c>
    </row>
    <row r="606" spans="1:42" s="31" customFormat="1" x14ac:dyDescent="0.6">
      <c r="A606" s="70" t="str">
        <f t="shared" si="378"/>
        <v/>
      </c>
      <c r="B606" s="70" t="str">
        <f>IF(E606&lt;=$F$9,VLOOKUP(KALKULATOR!A606,Robocze!$B$23:$C$102,2),"")</f>
        <v/>
      </c>
      <c r="C606" s="70" t="str">
        <f t="shared" si="346"/>
        <v/>
      </c>
      <c r="D606" s="71" t="str">
        <f t="shared" si="347"/>
        <v/>
      </c>
      <c r="E606" s="77" t="str">
        <f t="shared" si="348"/>
        <v/>
      </c>
      <c r="F606" s="72" t="str">
        <f t="shared" si="349"/>
        <v/>
      </c>
      <c r="G606" s="73" t="str">
        <f>IFERROR(IF(AND(F606&lt;=$F$9,$F$5=Robocze!$B$4,$E606&lt;=$F$9,MONTH($F$8)=MONTH(E606)),$F$4,0)+IF(AND(F606&lt;=$F$9,$F$5=Robocze!$B$3,E606&lt;=$F$9),KALKULATOR!$F$4/12,0),"")</f>
        <v/>
      </c>
      <c r="H606" s="73" t="str">
        <f t="shared" si="350"/>
        <v/>
      </c>
      <c r="I606" s="74" t="str">
        <f t="shared" si="351"/>
        <v/>
      </c>
      <c r="J606" s="73" t="str">
        <f t="shared" si="352"/>
        <v/>
      </c>
      <c r="K606" s="75" t="str">
        <f t="shared" si="353"/>
        <v/>
      </c>
      <c r="L606" s="73" t="str">
        <f t="shared" si="354"/>
        <v/>
      </c>
      <c r="M606" s="73" t="str">
        <f t="shared" si="355"/>
        <v/>
      </c>
      <c r="N606" s="73" t="str">
        <f t="shared" si="356"/>
        <v/>
      </c>
      <c r="O606" s="73" t="str">
        <f t="shared" si="357"/>
        <v/>
      </c>
      <c r="P606" s="73" t="str">
        <f t="shared" si="358"/>
        <v/>
      </c>
      <c r="Q606" s="73" t="str">
        <f t="shared" si="359"/>
        <v/>
      </c>
      <c r="R606" s="73"/>
      <c r="S606" s="76" t="str">
        <f t="shared" si="360"/>
        <v/>
      </c>
      <c r="T606" s="73" t="str">
        <f t="shared" si="361"/>
        <v/>
      </c>
      <c r="U606" s="73" t="str">
        <f t="shared" si="362"/>
        <v/>
      </c>
      <c r="V606" s="76" t="str">
        <f t="shared" si="363"/>
        <v/>
      </c>
      <c r="W606" s="73" t="str">
        <f t="shared" si="364"/>
        <v/>
      </c>
      <c r="X606" s="73" t="str">
        <f>IF(B606&lt;&gt;"",IF(MONTH(E606)=MONTH($F$13),SUMIF($C$22:C985,"="&amp;(C606-1),$G$22:G985),0)*S606,"")</f>
        <v/>
      </c>
      <c r="Y606" s="73" t="str">
        <f>IF(B606&lt;&gt;"",SUM($X$22:X606),"")</f>
        <v/>
      </c>
      <c r="Z606" s="73" t="str">
        <f t="shared" si="365"/>
        <v/>
      </c>
      <c r="AA606" s="73" t="str">
        <f t="shared" si="366"/>
        <v/>
      </c>
      <c r="AB606" s="73" t="str">
        <f t="shared" si="367"/>
        <v/>
      </c>
      <c r="AC606" s="73" t="str">
        <f t="shared" si="368"/>
        <v/>
      </c>
      <c r="AD606" s="73" t="str">
        <f>IFERROR($U606*(1-$V606)+SUM($W$22:$W606)+$AB606,"")</f>
        <v/>
      </c>
      <c r="AE606" s="73" t="b">
        <f t="shared" si="379"/>
        <v>1</v>
      </c>
      <c r="AF606" s="73" t="e">
        <f>IF(AND(AE606=TRUE,D606&gt;=65),$U606*(1-10%)+SUM($W$22:$W606)+$AB606,AD606)</f>
        <v>#VALUE!</v>
      </c>
      <c r="AG606" s="73" t="str">
        <f t="shared" si="369"/>
        <v/>
      </c>
      <c r="AH606" s="73" t="str">
        <f t="shared" si="370"/>
        <v/>
      </c>
      <c r="AI606" s="73" t="str">
        <f t="shared" si="371"/>
        <v/>
      </c>
      <c r="AJ606" s="73" t="str">
        <f t="shared" si="372"/>
        <v/>
      </c>
      <c r="AK606" s="73" t="b">
        <f t="shared" si="380"/>
        <v>1</v>
      </c>
      <c r="AL606" s="73" t="str">
        <f t="shared" si="373"/>
        <v/>
      </c>
      <c r="AM606" s="73" t="str">
        <f t="shared" si="374"/>
        <v/>
      </c>
      <c r="AN606" s="73" t="str">
        <f t="shared" si="375"/>
        <v/>
      </c>
      <c r="AO606" s="73" t="str">
        <f t="shared" si="376"/>
        <v/>
      </c>
      <c r="AP606" s="73" t="str">
        <f t="shared" si="377"/>
        <v/>
      </c>
    </row>
    <row r="607" spans="1:42" s="31" customFormat="1" x14ac:dyDescent="0.6">
      <c r="A607" s="70" t="str">
        <f t="shared" si="378"/>
        <v/>
      </c>
      <c r="B607" s="70" t="str">
        <f>IF(E607&lt;=$F$9,VLOOKUP(KALKULATOR!A607,Robocze!$B$23:$C$102,2),"")</f>
        <v/>
      </c>
      <c r="C607" s="70" t="str">
        <f t="shared" si="346"/>
        <v/>
      </c>
      <c r="D607" s="71" t="str">
        <f t="shared" si="347"/>
        <v/>
      </c>
      <c r="E607" s="77" t="str">
        <f t="shared" si="348"/>
        <v/>
      </c>
      <c r="F607" s="72" t="str">
        <f t="shared" si="349"/>
        <v/>
      </c>
      <c r="G607" s="73" t="str">
        <f>IFERROR(IF(AND(F607&lt;=$F$9,$F$5=Robocze!$B$4,$E607&lt;=$F$9,MONTH($F$8)=MONTH(E607)),$F$4,0)+IF(AND(F607&lt;=$F$9,$F$5=Robocze!$B$3,E607&lt;=$F$9),KALKULATOR!$F$4/12,0),"")</f>
        <v/>
      </c>
      <c r="H607" s="73" t="str">
        <f t="shared" si="350"/>
        <v/>
      </c>
      <c r="I607" s="74" t="str">
        <f t="shared" si="351"/>
        <v/>
      </c>
      <c r="J607" s="73" t="str">
        <f t="shared" si="352"/>
        <v/>
      </c>
      <c r="K607" s="75" t="str">
        <f t="shared" si="353"/>
        <v/>
      </c>
      <c r="L607" s="73" t="str">
        <f t="shared" si="354"/>
        <v/>
      </c>
      <c r="M607" s="73" t="str">
        <f t="shared" si="355"/>
        <v/>
      </c>
      <c r="N607" s="73" t="str">
        <f t="shared" si="356"/>
        <v/>
      </c>
      <c r="O607" s="73" t="str">
        <f t="shared" si="357"/>
        <v/>
      </c>
      <c r="P607" s="73" t="str">
        <f t="shared" si="358"/>
        <v/>
      </c>
      <c r="Q607" s="73" t="str">
        <f t="shared" si="359"/>
        <v/>
      </c>
      <c r="R607" s="73"/>
      <c r="S607" s="76" t="str">
        <f t="shared" si="360"/>
        <v/>
      </c>
      <c r="T607" s="73" t="str">
        <f t="shared" si="361"/>
        <v/>
      </c>
      <c r="U607" s="73" t="str">
        <f t="shared" si="362"/>
        <v/>
      </c>
      <c r="V607" s="76" t="str">
        <f t="shared" si="363"/>
        <v/>
      </c>
      <c r="W607" s="73" t="str">
        <f t="shared" si="364"/>
        <v/>
      </c>
      <c r="X607" s="73" t="str">
        <f>IF(B607&lt;&gt;"",IF(MONTH(E607)=MONTH($F$13),SUMIF($C$22:C986,"="&amp;(C607-1),$G$22:G986),0)*S607,"")</f>
        <v/>
      </c>
      <c r="Y607" s="73" t="str">
        <f>IF(B607&lt;&gt;"",SUM($X$22:X607),"")</f>
        <v/>
      </c>
      <c r="Z607" s="73" t="str">
        <f t="shared" si="365"/>
        <v/>
      </c>
      <c r="AA607" s="73" t="str">
        <f t="shared" si="366"/>
        <v/>
      </c>
      <c r="AB607" s="73" t="str">
        <f t="shared" si="367"/>
        <v/>
      </c>
      <c r="AC607" s="73" t="str">
        <f t="shared" si="368"/>
        <v/>
      </c>
      <c r="AD607" s="73" t="str">
        <f>IFERROR($U607*(1-$V607)+SUM($W$22:$W607)+$AB607,"")</f>
        <v/>
      </c>
      <c r="AE607" s="73" t="b">
        <f t="shared" si="379"/>
        <v>1</v>
      </c>
      <c r="AF607" s="73" t="e">
        <f>IF(AND(AE607=TRUE,D607&gt;=65),$U607*(1-10%)+SUM($W$22:$W607)+$AB607,AD607)</f>
        <v>#VALUE!</v>
      </c>
      <c r="AG607" s="73" t="str">
        <f t="shared" si="369"/>
        <v/>
      </c>
      <c r="AH607" s="73" t="str">
        <f t="shared" si="370"/>
        <v/>
      </c>
      <c r="AI607" s="73" t="str">
        <f t="shared" si="371"/>
        <v/>
      </c>
      <c r="AJ607" s="73" t="str">
        <f t="shared" si="372"/>
        <v/>
      </c>
      <c r="AK607" s="73" t="b">
        <f t="shared" si="380"/>
        <v>1</v>
      </c>
      <c r="AL607" s="73" t="str">
        <f t="shared" si="373"/>
        <v/>
      </c>
      <c r="AM607" s="73" t="str">
        <f t="shared" si="374"/>
        <v/>
      </c>
      <c r="AN607" s="73" t="str">
        <f t="shared" si="375"/>
        <v/>
      </c>
      <c r="AO607" s="73" t="str">
        <f t="shared" si="376"/>
        <v/>
      </c>
      <c r="AP607" s="73" t="str">
        <f t="shared" si="377"/>
        <v/>
      </c>
    </row>
    <row r="608" spans="1:42" s="31" customFormat="1" x14ac:dyDescent="0.6">
      <c r="A608" s="70" t="str">
        <f t="shared" si="378"/>
        <v/>
      </c>
      <c r="B608" s="70" t="str">
        <f>IF(E608&lt;=$F$9,VLOOKUP(KALKULATOR!A608,Robocze!$B$23:$C$102,2),"")</f>
        <v/>
      </c>
      <c r="C608" s="70" t="str">
        <f t="shared" si="346"/>
        <v/>
      </c>
      <c r="D608" s="71" t="str">
        <f t="shared" si="347"/>
        <v/>
      </c>
      <c r="E608" s="77" t="str">
        <f t="shared" si="348"/>
        <v/>
      </c>
      <c r="F608" s="72" t="str">
        <f t="shared" si="349"/>
        <v/>
      </c>
      <c r="G608" s="73" t="str">
        <f>IFERROR(IF(AND(F608&lt;=$F$9,$F$5=Robocze!$B$4,$E608&lt;=$F$9,MONTH($F$8)=MONTH(E608)),$F$4,0)+IF(AND(F608&lt;=$F$9,$F$5=Robocze!$B$3,E608&lt;=$F$9),KALKULATOR!$F$4/12,0),"")</f>
        <v/>
      </c>
      <c r="H608" s="73" t="str">
        <f t="shared" si="350"/>
        <v/>
      </c>
      <c r="I608" s="74" t="str">
        <f t="shared" si="351"/>
        <v/>
      </c>
      <c r="J608" s="73" t="str">
        <f t="shared" si="352"/>
        <v/>
      </c>
      <c r="K608" s="75" t="str">
        <f t="shared" si="353"/>
        <v/>
      </c>
      <c r="L608" s="73" t="str">
        <f t="shared" si="354"/>
        <v/>
      </c>
      <c r="M608" s="73" t="str">
        <f t="shared" si="355"/>
        <v/>
      </c>
      <c r="N608" s="73" t="str">
        <f t="shared" si="356"/>
        <v/>
      </c>
      <c r="O608" s="73" t="str">
        <f t="shared" si="357"/>
        <v/>
      </c>
      <c r="P608" s="73" t="str">
        <f t="shared" si="358"/>
        <v/>
      </c>
      <c r="Q608" s="73" t="str">
        <f t="shared" si="359"/>
        <v/>
      </c>
      <c r="R608" s="73"/>
      <c r="S608" s="76" t="str">
        <f t="shared" si="360"/>
        <v/>
      </c>
      <c r="T608" s="73" t="str">
        <f t="shared" si="361"/>
        <v/>
      </c>
      <c r="U608" s="73" t="str">
        <f t="shared" si="362"/>
        <v/>
      </c>
      <c r="V608" s="76" t="str">
        <f t="shared" si="363"/>
        <v/>
      </c>
      <c r="W608" s="73" t="str">
        <f t="shared" si="364"/>
        <v/>
      </c>
      <c r="X608" s="73" t="str">
        <f>IF(B608&lt;&gt;"",IF(MONTH(E608)=MONTH($F$13),SUMIF($C$22:C987,"="&amp;(C608-1),$G$22:G987),0)*S608,"")</f>
        <v/>
      </c>
      <c r="Y608" s="73" t="str">
        <f>IF(B608&lt;&gt;"",SUM($X$22:X608),"")</f>
        <v/>
      </c>
      <c r="Z608" s="73" t="str">
        <f t="shared" si="365"/>
        <v/>
      </c>
      <c r="AA608" s="73" t="str">
        <f t="shared" si="366"/>
        <v/>
      </c>
      <c r="AB608" s="73" t="str">
        <f t="shared" si="367"/>
        <v/>
      </c>
      <c r="AC608" s="73" t="str">
        <f t="shared" si="368"/>
        <v/>
      </c>
      <c r="AD608" s="73" t="str">
        <f>IFERROR($U608*(1-$V608)+SUM($W$22:$W608)+$AB608,"")</f>
        <v/>
      </c>
      <c r="AE608" s="73" t="b">
        <f t="shared" si="379"/>
        <v>1</v>
      </c>
      <c r="AF608" s="73" t="e">
        <f>IF(AND(AE608=TRUE,D608&gt;=65),$U608*(1-10%)+SUM($W$22:$W608)+$AB608,AD608)</f>
        <v>#VALUE!</v>
      </c>
      <c r="AG608" s="73" t="str">
        <f t="shared" si="369"/>
        <v/>
      </c>
      <c r="AH608" s="73" t="str">
        <f t="shared" si="370"/>
        <v/>
      </c>
      <c r="AI608" s="73" t="str">
        <f t="shared" si="371"/>
        <v/>
      </c>
      <c r="AJ608" s="73" t="str">
        <f t="shared" si="372"/>
        <v/>
      </c>
      <c r="AK608" s="73" t="b">
        <f t="shared" si="380"/>
        <v>1</v>
      </c>
      <c r="AL608" s="73" t="str">
        <f t="shared" si="373"/>
        <v/>
      </c>
      <c r="AM608" s="73" t="str">
        <f t="shared" si="374"/>
        <v/>
      </c>
      <c r="AN608" s="73" t="str">
        <f t="shared" si="375"/>
        <v/>
      </c>
      <c r="AO608" s="73" t="str">
        <f t="shared" si="376"/>
        <v/>
      </c>
      <c r="AP608" s="73" t="str">
        <f t="shared" si="377"/>
        <v/>
      </c>
    </row>
    <row r="609" spans="1:42" s="31" customFormat="1" x14ac:dyDescent="0.6">
      <c r="A609" s="70" t="str">
        <f t="shared" si="378"/>
        <v/>
      </c>
      <c r="B609" s="70" t="str">
        <f>IF(E609&lt;=$F$9,VLOOKUP(KALKULATOR!A609,Robocze!$B$23:$C$102,2),"")</f>
        <v/>
      </c>
      <c r="C609" s="70" t="str">
        <f t="shared" si="346"/>
        <v/>
      </c>
      <c r="D609" s="71" t="str">
        <f t="shared" si="347"/>
        <v/>
      </c>
      <c r="E609" s="77" t="str">
        <f t="shared" si="348"/>
        <v/>
      </c>
      <c r="F609" s="72" t="str">
        <f t="shared" si="349"/>
        <v/>
      </c>
      <c r="G609" s="73" t="str">
        <f>IFERROR(IF(AND(F609&lt;=$F$9,$F$5=Robocze!$B$4,$E609&lt;=$F$9,MONTH($F$8)=MONTH(E609)),$F$4,0)+IF(AND(F609&lt;=$F$9,$F$5=Robocze!$B$3,E609&lt;=$F$9),KALKULATOR!$F$4/12,0),"")</f>
        <v/>
      </c>
      <c r="H609" s="73" t="str">
        <f t="shared" si="350"/>
        <v/>
      </c>
      <c r="I609" s="74" t="str">
        <f t="shared" si="351"/>
        <v/>
      </c>
      <c r="J609" s="73" t="str">
        <f t="shared" si="352"/>
        <v/>
      </c>
      <c r="K609" s="75" t="str">
        <f t="shared" si="353"/>
        <v/>
      </c>
      <c r="L609" s="73" t="str">
        <f t="shared" si="354"/>
        <v/>
      </c>
      <c r="M609" s="73" t="str">
        <f t="shared" si="355"/>
        <v/>
      </c>
      <c r="N609" s="73" t="str">
        <f t="shared" si="356"/>
        <v/>
      </c>
      <c r="O609" s="73" t="str">
        <f t="shared" si="357"/>
        <v/>
      </c>
      <c r="P609" s="73" t="str">
        <f t="shared" si="358"/>
        <v/>
      </c>
      <c r="Q609" s="73" t="str">
        <f t="shared" si="359"/>
        <v/>
      </c>
      <c r="R609" s="73"/>
      <c r="S609" s="76" t="str">
        <f t="shared" si="360"/>
        <v/>
      </c>
      <c r="T609" s="73" t="str">
        <f t="shared" si="361"/>
        <v/>
      </c>
      <c r="U609" s="73" t="str">
        <f t="shared" si="362"/>
        <v/>
      </c>
      <c r="V609" s="76" t="str">
        <f t="shared" si="363"/>
        <v/>
      </c>
      <c r="W609" s="73" t="str">
        <f t="shared" si="364"/>
        <v/>
      </c>
      <c r="X609" s="73" t="str">
        <f>IF(B609&lt;&gt;"",IF(MONTH(E609)=MONTH($F$13),SUMIF($C$22:C988,"="&amp;(C609-1),$G$22:G988),0)*S609,"")</f>
        <v/>
      </c>
      <c r="Y609" s="73" t="str">
        <f>IF(B609&lt;&gt;"",SUM($X$22:X609),"")</f>
        <v/>
      </c>
      <c r="Z609" s="73" t="str">
        <f t="shared" si="365"/>
        <v/>
      </c>
      <c r="AA609" s="73" t="str">
        <f t="shared" si="366"/>
        <v/>
      </c>
      <c r="AB609" s="73" t="str">
        <f t="shared" si="367"/>
        <v/>
      </c>
      <c r="AC609" s="73" t="str">
        <f t="shared" si="368"/>
        <v/>
      </c>
      <c r="AD609" s="73" t="str">
        <f>IFERROR($U609*(1-$V609)+SUM($W$22:$W609)+$AB609,"")</f>
        <v/>
      </c>
      <c r="AE609" s="73" t="b">
        <f t="shared" si="379"/>
        <v>1</v>
      </c>
      <c r="AF609" s="73" t="e">
        <f>IF(AND(AE609=TRUE,D609&gt;=65),$U609*(1-10%)+SUM($W$22:$W609)+$AB609,AD609)</f>
        <v>#VALUE!</v>
      </c>
      <c r="AG609" s="73" t="str">
        <f t="shared" si="369"/>
        <v/>
      </c>
      <c r="AH609" s="73" t="str">
        <f t="shared" si="370"/>
        <v/>
      </c>
      <c r="AI609" s="73" t="str">
        <f t="shared" si="371"/>
        <v/>
      </c>
      <c r="AJ609" s="73" t="str">
        <f t="shared" si="372"/>
        <v/>
      </c>
      <c r="AK609" s="73" t="b">
        <f t="shared" si="380"/>
        <v>1</v>
      </c>
      <c r="AL609" s="73" t="str">
        <f t="shared" si="373"/>
        <v/>
      </c>
      <c r="AM609" s="73" t="str">
        <f t="shared" si="374"/>
        <v/>
      </c>
      <c r="AN609" s="73" t="str">
        <f t="shared" si="375"/>
        <v/>
      </c>
      <c r="AO609" s="73" t="str">
        <f t="shared" si="376"/>
        <v/>
      </c>
      <c r="AP609" s="73" t="str">
        <f t="shared" si="377"/>
        <v/>
      </c>
    </row>
    <row r="610" spans="1:42" s="31" customFormat="1" x14ac:dyDescent="0.6">
      <c r="A610" s="70" t="str">
        <f t="shared" si="378"/>
        <v/>
      </c>
      <c r="B610" s="70" t="str">
        <f>IF(E610&lt;=$F$9,VLOOKUP(KALKULATOR!A610,Robocze!$B$23:$C$102,2),"")</f>
        <v/>
      </c>
      <c r="C610" s="70" t="str">
        <f t="shared" si="346"/>
        <v/>
      </c>
      <c r="D610" s="71" t="str">
        <f t="shared" si="347"/>
        <v/>
      </c>
      <c r="E610" s="77" t="str">
        <f t="shared" si="348"/>
        <v/>
      </c>
      <c r="F610" s="72" t="str">
        <f t="shared" si="349"/>
        <v/>
      </c>
      <c r="G610" s="73" t="str">
        <f>IFERROR(IF(AND(F610&lt;=$F$9,$F$5=Robocze!$B$4,$E610&lt;=$F$9,MONTH($F$8)=MONTH(E610)),$F$4,0)+IF(AND(F610&lt;=$F$9,$F$5=Robocze!$B$3,E610&lt;=$F$9),KALKULATOR!$F$4/12,0),"")</f>
        <v/>
      </c>
      <c r="H610" s="73" t="str">
        <f t="shared" si="350"/>
        <v/>
      </c>
      <c r="I610" s="74" t="str">
        <f t="shared" si="351"/>
        <v/>
      </c>
      <c r="J610" s="73" t="str">
        <f t="shared" si="352"/>
        <v/>
      </c>
      <c r="K610" s="75" t="str">
        <f t="shared" si="353"/>
        <v/>
      </c>
      <c r="L610" s="73" t="str">
        <f t="shared" si="354"/>
        <v/>
      </c>
      <c r="M610" s="73" t="str">
        <f t="shared" si="355"/>
        <v/>
      </c>
      <c r="N610" s="73" t="str">
        <f t="shared" si="356"/>
        <v/>
      </c>
      <c r="O610" s="73" t="str">
        <f t="shared" si="357"/>
        <v/>
      </c>
      <c r="P610" s="73" t="str">
        <f t="shared" si="358"/>
        <v/>
      </c>
      <c r="Q610" s="73" t="str">
        <f t="shared" si="359"/>
        <v/>
      </c>
      <c r="R610" s="73"/>
      <c r="S610" s="76" t="str">
        <f t="shared" si="360"/>
        <v/>
      </c>
      <c r="T610" s="73" t="str">
        <f t="shared" si="361"/>
        <v/>
      </c>
      <c r="U610" s="73" t="str">
        <f t="shared" si="362"/>
        <v/>
      </c>
      <c r="V610" s="76" t="str">
        <f t="shared" si="363"/>
        <v/>
      </c>
      <c r="W610" s="73" t="str">
        <f t="shared" si="364"/>
        <v/>
      </c>
      <c r="X610" s="73" t="str">
        <f>IF(B610&lt;&gt;"",IF(MONTH(E610)=MONTH($F$13),SUMIF($C$22:C989,"="&amp;(C610-1),$G$22:G989),0)*S610,"")</f>
        <v/>
      </c>
      <c r="Y610" s="73" t="str">
        <f>IF(B610&lt;&gt;"",SUM($X$22:X610),"")</f>
        <v/>
      </c>
      <c r="Z610" s="73" t="str">
        <f t="shared" si="365"/>
        <v/>
      </c>
      <c r="AA610" s="73" t="str">
        <f t="shared" si="366"/>
        <v/>
      </c>
      <c r="AB610" s="73" t="str">
        <f t="shared" si="367"/>
        <v/>
      </c>
      <c r="AC610" s="73" t="str">
        <f t="shared" si="368"/>
        <v/>
      </c>
      <c r="AD610" s="73" t="str">
        <f>IFERROR($U610*(1-$V610)+SUM($W$22:$W610)+$AB610,"")</f>
        <v/>
      </c>
      <c r="AE610" s="73" t="b">
        <f t="shared" si="379"/>
        <v>1</v>
      </c>
      <c r="AF610" s="73" t="e">
        <f>IF(AND(AE610=TRUE,D610&gt;=65),$U610*(1-10%)+SUM($W$22:$W610)+$AB610,AD610)</f>
        <v>#VALUE!</v>
      </c>
      <c r="AG610" s="73" t="str">
        <f t="shared" si="369"/>
        <v/>
      </c>
      <c r="AH610" s="73" t="str">
        <f t="shared" si="370"/>
        <v/>
      </c>
      <c r="AI610" s="73" t="str">
        <f t="shared" si="371"/>
        <v/>
      </c>
      <c r="AJ610" s="73" t="str">
        <f t="shared" si="372"/>
        <v/>
      </c>
      <c r="AK610" s="73" t="b">
        <f t="shared" si="380"/>
        <v>1</v>
      </c>
      <c r="AL610" s="73" t="str">
        <f t="shared" si="373"/>
        <v/>
      </c>
      <c r="AM610" s="73" t="str">
        <f t="shared" si="374"/>
        <v/>
      </c>
      <c r="AN610" s="73" t="str">
        <f t="shared" si="375"/>
        <v/>
      </c>
      <c r="AO610" s="73" t="str">
        <f t="shared" si="376"/>
        <v/>
      </c>
      <c r="AP610" s="73" t="str">
        <f t="shared" si="377"/>
        <v/>
      </c>
    </row>
    <row r="611" spans="1:42" s="31" customFormat="1" x14ac:dyDescent="0.6">
      <c r="A611" s="70" t="str">
        <f t="shared" si="378"/>
        <v/>
      </c>
      <c r="B611" s="70" t="str">
        <f>IF(E611&lt;=$F$9,VLOOKUP(KALKULATOR!A611,Robocze!$B$23:$C$102,2),"")</f>
        <v/>
      </c>
      <c r="C611" s="70" t="str">
        <f t="shared" si="346"/>
        <v/>
      </c>
      <c r="D611" s="71" t="str">
        <f t="shared" si="347"/>
        <v/>
      </c>
      <c r="E611" s="77" t="str">
        <f t="shared" si="348"/>
        <v/>
      </c>
      <c r="F611" s="72" t="str">
        <f t="shared" si="349"/>
        <v/>
      </c>
      <c r="G611" s="73" t="str">
        <f>IFERROR(IF(AND(F611&lt;=$F$9,$F$5=Robocze!$B$4,$E611&lt;=$F$9,MONTH($F$8)=MONTH(E611)),$F$4,0)+IF(AND(F611&lt;=$F$9,$F$5=Robocze!$B$3,E611&lt;=$F$9),KALKULATOR!$F$4/12,0),"")</f>
        <v/>
      </c>
      <c r="H611" s="73" t="str">
        <f t="shared" si="350"/>
        <v/>
      </c>
      <c r="I611" s="74" t="str">
        <f t="shared" si="351"/>
        <v/>
      </c>
      <c r="J611" s="73" t="str">
        <f t="shared" si="352"/>
        <v/>
      </c>
      <c r="K611" s="75" t="str">
        <f t="shared" si="353"/>
        <v/>
      </c>
      <c r="L611" s="73" t="str">
        <f t="shared" si="354"/>
        <v/>
      </c>
      <c r="M611" s="73" t="str">
        <f t="shared" si="355"/>
        <v/>
      </c>
      <c r="N611" s="73" t="str">
        <f t="shared" si="356"/>
        <v/>
      </c>
      <c r="O611" s="73" t="str">
        <f t="shared" si="357"/>
        <v/>
      </c>
      <c r="P611" s="73" t="str">
        <f t="shared" si="358"/>
        <v/>
      </c>
      <c r="Q611" s="73" t="str">
        <f t="shared" si="359"/>
        <v/>
      </c>
      <c r="R611" s="73"/>
      <c r="S611" s="76" t="str">
        <f t="shared" si="360"/>
        <v/>
      </c>
      <c r="T611" s="73" t="str">
        <f t="shared" si="361"/>
        <v/>
      </c>
      <c r="U611" s="73" t="str">
        <f t="shared" si="362"/>
        <v/>
      </c>
      <c r="V611" s="76" t="str">
        <f t="shared" si="363"/>
        <v/>
      </c>
      <c r="W611" s="73" t="str">
        <f t="shared" si="364"/>
        <v/>
      </c>
      <c r="X611" s="73" t="str">
        <f>IF(B611&lt;&gt;"",IF(MONTH(E611)=MONTH($F$13),SUMIF($C$22:C990,"="&amp;(C611-1),$G$22:G990),0)*S611,"")</f>
        <v/>
      </c>
      <c r="Y611" s="73" t="str">
        <f>IF(B611&lt;&gt;"",SUM($X$22:X611),"")</f>
        <v/>
      </c>
      <c r="Z611" s="73" t="str">
        <f t="shared" si="365"/>
        <v/>
      </c>
      <c r="AA611" s="73" t="str">
        <f t="shared" si="366"/>
        <v/>
      </c>
      <c r="AB611" s="73" t="str">
        <f t="shared" si="367"/>
        <v/>
      </c>
      <c r="AC611" s="73" t="str">
        <f t="shared" si="368"/>
        <v/>
      </c>
      <c r="AD611" s="73" t="str">
        <f>IFERROR($U611*(1-$V611)+SUM($W$22:$W611)+$AB611,"")</f>
        <v/>
      </c>
      <c r="AE611" s="73" t="b">
        <f t="shared" si="379"/>
        <v>1</v>
      </c>
      <c r="AF611" s="73" t="e">
        <f>IF(AND(AE611=TRUE,D611&gt;=65),$U611*(1-10%)+SUM($W$22:$W611)+$AB611,AD611)</f>
        <v>#VALUE!</v>
      </c>
      <c r="AG611" s="73" t="str">
        <f t="shared" si="369"/>
        <v/>
      </c>
      <c r="AH611" s="73" t="str">
        <f t="shared" si="370"/>
        <v/>
      </c>
      <c r="AI611" s="73" t="str">
        <f t="shared" si="371"/>
        <v/>
      </c>
      <c r="AJ611" s="73" t="str">
        <f t="shared" si="372"/>
        <v/>
      </c>
      <c r="AK611" s="73" t="b">
        <f t="shared" si="380"/>
        <v>1</v>
      </c>
      <c r="AL611" s="73" t="str">
        <f t="shared" si="373"/>
        <v/>
      </c>
      <c r="AM611" s="73" t="str">
        <f t="shared" si="374"/>
        <v/>
      </c>
      <c r="AN611" s="73" t="str">
        <f t="shared" si="375"/>
        <v/>
      </c>
      <c r="AO611" s="73" t="str">
        <f t="shared" si="376"/>
        <v/>
      </c>
      <c r="AP611" s="73" t="str">
        <f t="shared" si="377"/>
        <v/>
      </c>
    </row>
    <row r="612" spans="1:42" s="31" customFormat="1" x14ac:dyDescent="0.6">
      <c r="A612" s="70" t="str">
        <f t="shared" si="378"/>
        <v/>
      </c>
      <c r="B612" s="70" t="str">
        <f>IF(E612&lt;=$F$9,VLOOKUP(KALKULATOR!A612,Robocze!$B$23:$C$102,2),"")</f>
        <v/>
      </c>
      <c r="C612" s="70" t="str">
        <f t="shared" ref="C612:C644" si="381">IF(B612="","",YEAR(E612))</f>
        <v/>
      </c>
      <c r="D612" s="71" t="str">
        <f t="shared" ref="D612:D644" si="382">IF(B612="","",D611+1/12)</f>
        <v/>
      </c>
      <c r="E612" s="77" t="str">
        <f t="shared" ref="E612:E644" si="383">IF(OR(B611="",E611&gt;$F$9,A612=""),"",EDATE(E611,1))</f>
        <v/>
      </c>
      <c r="F612" s="72" t="str">
        <f t="shared" ref="F612:F644" si="384">IFERROR(EOMONTH(E612,0),"")</f>
        <v/>
      </c>
      <c r="G612" s="73" t="str">
        <f>IFERROR(IF(AND(F612&lt;=$F$9,$F$5=Robocze!$B$4,$E612&lt;=$F$9,MONTH($F$8)=MONTH(E612)),$F$4,0)+IF(AND(F612&lt;=$F$9,$F$5=Robocze!$B$3,E612&lt;=$F$9),KALKULATOR!$F$4/12,0),"")</f>
        <v/>
      </c>
      <c r="H612" s="73" t="str">
        <f t="shared" ref="H612:H644" si="385">IFERROR(H611+G612,"")</f>
        <v/>
      </c>
      <c r="I612" s="74" t="str">
        <f t="shared" ref="I612:I644" si="386">IF(E612&lt;=$F$9,$F$2,"")</f>
        <v/>
      </c>
      <c r="J612" s="73" t="str">
        <f t="shared" ref="J612:J644" si="387">IFERROR(IF(MONTH($F$8)=MONTH(E612),$F$15,0),"")</f>
        <v/>
      </c>
      <c r="K612" s="75" t="str">
        <f t="shared" ref="K612:K644" si="388">IFERROR(IF(AND(MOD(A612,12)=0,A612&lt;&gt;""),A612/12,""),"")</f>
        <v/>
      </c>
      <c r="L612" s="73" t="str">
        <f t="shared" ref="L612:L644" si="389">H612</f>
        <v/>
      </c>
      <c r="M612" s="73" t="str">
        <f t="shared" ref="M612:M644" si="390">IFERROR(AF612,"")</f>
        <v/>
      </c>
      <c r="N612" s="73" t="str">
        <f t="shared" ref="N612:N644" si="391">IFERROR(AD612,"")</f>
        <v/>
      </c>
      <c r="O612" s="73" t="str">
        <f t="shared" ref="O612:O644" si="392">IFERROR(AL612,"")</f>
        <v/>
      </c>
      <c r="P612" s="73" t="str">
        <f t="shared" ref="P612:P644" si="393">AJ612</f>
        <v/>
      </c>
      <c r="Q612" s="73" t="str">
        <f t="shared" ref="Q612:Q644" si="394">AP612</f>
        <v/>
      </c>
      <c r="R612" s="73"/>
      <c r="S612" s="76" t="str">
        <f t="shared" ref="S612:S644" si="395">IF(B612&lt;&gt;"",$F$11,"")</f>
        <v/>
      </c>
      <c r="T612" s="73" t="str">
        <f t="shared" ref="T612:T644" si="396">IF(B612&lt;&gt;"",(U611-J612+G612)*(I612/12),"")</f>
        <v/>
      </c>
      <c r="U612" s="73" t="str">
        <f t="shared" ref="U612:U644" si="397">IF(B612&lt;&gt;"",U611+T612-J612+G612,"")</f>
        <v/>
      </c>
      <c r="V612" s="76" t="str">
        <f t="shared" ref="V612:V644" si="398">IF(B612&lt;&gt;"",$F$12,"")</f>
        <v/>
      </c>
      <c r="W612" s="73" t="str">
        <f t="shared" ref="W612:W644" si="399">IF(B612&lt;&gt;"",G612*S612,"")</f>
        <v/>
      </c>
      <c r="X612" s="73" t="str">
        <f>IF(B612&lt;&gt;"",IF(MONTH(E612)=MONTH($F$13),SUMIF($C$22:C991,"="&amp;(C612-1),$G$22:G991),0)*S612,"")</f>
        <v/>
      </c>
      <c r="Y612" s="73" t="str">
        <f>IF(B612&lt;&gt;"",SUM($X$22:X612),"")</f>
        <v/>
      </c>
      <c r="Z612" s="73" t="str">
        <f t="shared" ref="Z612:Z644" si="400">IF(B612&lt;&gt;"",(AC611+X612)*I612/12,"")</f>
        <v/>
      </c>
      <c r="AA612" s="73" t="str">
        <f t="shared" ref="AA612:AA644" si="401">IF(B612&lt;&gt;"",MAX(0,Z612*$F$14),"")</f>
        <v/>
      </c>
      <c r="AB612" s="73" t="str">
        <f t="shared" ref="AB612:AB644" si="402">IF(B612&lt;&gt;"",AB611+Z612-AA612,"")</f>
        <v/>
      </c>
      <c r="AC612" s="73" t="str">
        <f t="shared" ref="AC612:AC644" si="403">IF(B612&lt;&gt;"",AC611+Z612-AA612+X612,"")</f>
        <v/>
      </c>
      <c r="AD612" s="73" t="str">
        <f>IFERROR($U612*(1-$V612)+SUM($W$22:$W612)+$AB612,"")</f>
        <v/>
      </c>
      <c r="AE612" s="73" t="b">
        <f t="shared" si="379"/>
        <v>1</v>
      </c>
      <c r="AF612" s="73" t="e">
        <f>IF(AND(AE612=TRUE,D612&gt;=65),$U612*(1-10%)+SUM($W$22:$W612)+$AB612,AD612)</f>
        <v>#VALUE!</v>
      </c>
      <c r="AG612" s="73" t="str">
        <f t="shared" ref="AG612:AG644" si="404">IF(B612&lt;&gt;"",(AI611+G612)*I612/12-J612,"")</f>
        <v/>
      </c>
      <c r="AH612" s="73" t="str">
        <f t="shared" ref="AH612:AH644" si="405">IF(B612&lt;&gt;"",AH611+AG612,"")</f>
        <v/>
      </c>
      <c r="AI612" s="73" t="str">
        <f t="shared" ref="AI612:AI644" si="406">IF(B612&lt;&gt;"",H612+AH612,"")</f>
        <v/>
      </c>
      <c r="AJ612" s="73" t="str">
        <f t="shared" ref="AJ612:AJ644" si="407">IF(B612&lt;&gt;"",IF(AI612&gt;H612,AI612-AH612*$F$14,AI612),"")</f>
        <v/>
      </c>
      <c r="AK612" s="73" t="b">
        <f t="shared" si="380"/>
        <v>1</v>
      </c>
      <c r="AL612" s="73" t="str">
        <f t="shared" ref="AL612:AL644" si="408">IF(AK612=TRUE,AI612,AJ612)</f>
        <v/>
      </c>
      <c r="AM612" s="73" t="str">
        <f t="shared" ref="AM612:AM644" si="409">IF(B612&lt;&gt;"",(AP611+G612)*I612/12,"")</f>
        <v/>
      </c>
      <c r="AN612" s="73" t="str">
        <f t="shared" ref="AN612:AN644" si="410">IF(B612&lt;&gt;"",MAX(0,AM612*$F$14),"")</f>
        <v/>
      </c>
      <c r="AO612" s="73" t="str">
        <f t="shared" ref="AO612:AO644" si="411">IF(B612&lt;&gt;"",AP612-H612,"")</f>
        <v/>
      </c>
      <c r="AP612" s="73" t="str">
        <f t="shared" ref="AP612:AP644" si="412">IF(B612&lt;&gt;"",AP611+G612+AM612-AN612,"")</f>
        <v/>
      </c>
    </row>
    <row r="613" spans="1:42" s="31" customFormat="1" x14ac:dyDescent="0.6">
      <c r="A613" s="70" t="str">
        <f t="shared" si="378"/>
        <v/>
      </c>
      <c r="B613" s="70" t="str">
        <f>IF(E613&lt;=$F$9,VLOOKUP(KALKULATOR!A613,Robocze!$B$23:$C$102,2),"")</f>
        <v/>
      </c>
      <c r="C613" s="70" t="str">
        <f t="shared" si="381"/>
        <v/>
      </c>
      <c r="D613" s="71" t="str">
        <f t="shared" si="382"/>
        <v/>
      </c>
      <c r="E613" s="77" t="str">
        <f t="shared" si="383"/>
        <v/>
      </c>
      <c r="F613" s="72" t="str">
        <f t="shared" si="384"/>
        <v/>
      </c>
      <c r="G613" s="73" t="str">
        <f>IFERROR(IF(AND(F613&lt;=$F$9,$F$5=Robocze!$B$4,$E613&lt;=$F$9,MONTH($F$8)=MONTH(E613)),$F$4,0)+IF(AND(F613&lt;=$F$9,$F$5=Robocze!$B$3,E613&lt;=$F$9),KALKULATOR!$F$4/12,0),"")</f>
        <v/>
      </c>
      <c r="H613" s="73" t="str">
        <f t="shared" si="385"/>
        <v/>
      </c>
      <c r="I613" s="74" t="str">
        <f t="shared" si="386"/>
        <v/>
      </c>
      <c r="J613" s="73" t="str">
        <f t="shared" si="387"/>
        <v/>
      </c>
      <c r="K613" s="75" t="str">
        <f t="shared" si="388"/>
        <v/>
      </c>
      <c r="L613" s="73" t="str">
        <f t="shared" si="389"/>
        <v/>
      </c>
      <c r="M613" s="73" t="str">
        <f t="shared" si="390"/>
        <v/>
      </c>
      <c r="N613" s="73" t="str">
        <f t="shared" si="391"/>
        <v/>
      </c>
      <c r="O613" s="73" t="str">
        <f t="shared" si="392"/>
        <v/>
      </c>
      <c r="P613" s="73" t="str">
        <f t="shared" si="393"/>
        <v/>
      </c>
      <c r="Q613" s="73" t="str">
        <f t="shared" si="394"/>
        <v/>
      </c>
      <c r="R613" s="73"/>
      <c r="S613" s="76" t="str">
        <f t="shared" si="395"/>
        <v/>
      </c>
      <c r="T613" s="73" t="str">
        <f t="shared" si="396"/>
        <v/>
      </c>
      <c r="U613" s="73" t="str">
        <f t="shared" si="397"/>
        <v/>
      </c>
      <c r="V613" s="76" t="str">
        <f t="shared" si="398"/>
        <v/>
      </c>
      <c r="W613" s="73" t="str">
        <f t="shared" si="399"/>
        <v/>
      </c>
      <c r="X613" s="73" t="str">
        <f>IF(B613&lt;&gt;"",IF(MONTH(E613)=MONTH($F$13),SUMIF($C$22:C992,"="&amp;(C613-1),$G$22:G992),0)*S613,"")</f>
        <v/>
      </c>
      <c r="Y613" s="73" t="str">
        <f>IF(B613&lt;&gt;"",SUM($X$22:X613),"")</f>
        <v/>
      </c>
      <c r="Z613" s="73" t="str">
        <f t="shared" si="400"/>
        <v/>
      </c>
      <c r="AA613" s="73" t="str">
        <f t="shared" si="401"/>
        <v/>
      </c>
      <c r="AB613" s="73" t="str">
        <f t="shared" si="402"/>
        <v/>
      </c>
      <c r="AC613" s="73" t="str">
        <f t="shared" si="403"/>
        <v/>
      </c>
      <c r="AD613" s="73" t="str">
        <f>IFERROR($U613*(1-$V613)+SUM($W$22:$W613)+$AB613,"")</f>
        <v/>
      </c>
      <c r="AE613" s="73" t="b">
        <f t="shared" si="379"/>
        <v>1</v>
      </c>
      <c r="AF613" s="73" t="e">
        <f>IF(AND(AE613=TRUE,D613&gt;=65),$U613*(1-10%)+SUM($W$22:$W613)+$AB613,AD613)</f>
        <v>#VALUE!</v>
      </c>
      <c r="AG613" s="73" t="str">
        <f t="shared" si="404"/>
        <v/>
      </c>
      <c r="AH613" s="73" t="str">
        <f t="shared" si="405"/>
        <v/>
      </c>
      <c r="AI613" s="73" t="str">
        <f t="shared" si="406"/>
        <v/>
      </c>
      <c r="AJ613" s="73" t="str">
        <f t="shared" si="407"/>
        <v/>
      </c>
      <c r="AK613" s="73" t="b">
        <f t="shared" si="380"/>
        <v>1</v>
      </c>
      <c r="AL613" s="73" t="str">
        <f t="shared" si="408"/>
        <v/>
      </c>
      <c r="AM613" s="73" t="str">
        <f t="shared" si="409"/>
        <v/>
      </c>
      <c r="AN613" s="73" t="str">
        <f t="shared" si="410"/>
        <v/>
      </c>
      <c r="AO613" s="73" t="str">
        <f t="shared" si="411"/>
        <v/>
      </c>
      <c r="AP613" s="73" t="str">
        <f t="shared" si="412"/>
        <v/>
      </c>
    </row>
    <row r="614" spans="1:42" s="31" customFormat="1" x14ac:dyDescent="0.6">
      <c r="A614" s="70" t="str">
        <f t="shared" si="378"/>
        <v/>
      </c>
      <c r="B614" s="70" t="str">
        <f>IF(E614&lt;=$F$9,VLOOKUP(KALKULATOR!A614,Robocze!$B$23:$C$102,2),"")</f>
        <v/>
      </c>
      <c r="C614" s="70" t="str">
        <f t="shared" si="381"/>
        <v/>
      </c>
      <c r="D614" s="71" t="str">
        <f t="shared" si="382"/>
        <v/>
      </c>
      <c r="E614" s="77" t="str">
        <f t="shared" si="383"/>
        <v/>
      </c>
      <c r="F614" s="72" t="str">
        <f t="shared" si="384"/>
        <v/>
      </c>
      <c r="G614" s="73" t="str">
        <f>IFERROR(IF(AND(F614&lt;=$F$9,$F$5=Robocze!$B$4,$E614&lt;=$F$9,MONTH($F$8)=MONTH(E614)),$F$4,0)+IF(AND(F614&lt;=$F$9,$F$5=Robocze!$B$3,E614&lt;=$F$9),KALKULATOR!$F$4/12,0),"")</f>
        <v/>
      </c>
      <c r="H614" s="73" t="str">
        <f t="shared" si="385"/>
        <v/>
      </c>
      <c r="I614" s="74" t="str">
        <f t="shared" si="386"/>
        <v/>
      </c>
      <c r="J614" s="73" t="str">
        <f t="shared" si="387"/>
        <v/>
      </c>
      <c r="K614" s="75" t="str">
        <f t="shared" si="388"/>
        <v/>
      </c>
      <c r="L614" s="73" t="str">
        <f t="shared" si="389"/>
        <v/>
      </c>
      <c r="M614" s="73" t="str">
        <f t="shared" si="390"/>
        <v/>
      </c>
      <c r="N614" s="73" t="str">
        <f t="shared" si="391"/>
        <v/>
      </c>
      <c r="O614" s="73" t="str">
        <f t="shared" si="392"/>
        <v/>
      </c>
      <c r="P614" s="73" t="str">
        <f t="shared" si="393"/>
        <v/>
      </c>
      <c r="Q614" s="73" t="str">
        <f t="shared" si="394"/>
        <v/>
      </c>
      <c r="R614" s="73"/>
      <c r="S614" s="76" t="str">
        <f t="shared" si="395"/>
        <v/>
      </c>
      <c r="T614" s="73" t="str">
        <f t="shared" si="396"/>
        <v/>
      </c>
      <c r="U614" s="73" t="str">
        <f t="shared" si="397"/>
        <v/>
      </c>
      <c r="V614" s="76" t="str">
        <f t="shared" si="398"/>
        <v/>
      </c>
      <c r="W614" s="73" t="str">
        <f t="shared" si="399"/>
        <v/>
      </c>
      <c r="X614" s="73" t="str">
        <f>IF(B614&lt;&gt;"",IF(MONTH(E614)=MONTH($F$13),SUMIF($C$22:C993,"="&amp;(C614-1),$G$22:G993),0)*S614,"")</f>
        <v/>
      </c>
      <c r="Y614" s="73" t="str">
        <f>IF(B614&lt;&gt;"",SUM($X$22:X614),"")</f>
        <v/>
      </c>
      <c r="Z614" s="73" t="str">
        <f t="shared" si="400"/>
        <v/>
      </c>
      <c r="AA614" s="73" t="str">
        <f t="shared" si="401"/>
        <v/>
      </c>
      <c r="AB614" s="73" t="str">
        <f t="shared" si="402"/>
        <v/>
      </c>
      <c r="AC614" s="73" t="str">
        <f t="shared" si="403"/>
        <v/>
      </c>
      <c r="AD614" s="73" t="str">
        <f>IFERROR($U614*(1-$V614)+SUM($W$22:$W614)+$AB614,"")</f>
        <v/>
      </c>
      <c r="AE614" s="73" t="b">
        <f t="shared" si="379"/>
        <v>1</v>
      </c>
      <c r="AF614" s="73" t="e">
        <f>IF(AND(AE614=TRUE,D614&gt;=65),$U614*(1-10%)+SUM($W$22:$W614)+$AB614,AD614)</f>
        <v>#VALUE!</v>
      </c>
      <c r="AG614" s="73" t="str">
        <f t="shared" si="404"/>
        <v/>
      </c>
      <c r="AH614" s="73" t="str">
        <f t="shared" si="405"/>
        <v/>
      </c>
      <c r="AI614" s="73" t="str">
        <f t="shared" si="406"/>
        <v/>
      </c>
      <c r="AJ614" s="73" t="str">
        <f t="shared" si="407"/>
        <v/>
      </c>
      <c r="AK614" s="73" t="b">
        <f t="shared" si="380"/>
        <v>1</v>
      </c>
      <c r="AL614" s="73" t="str">
        <f t="shared" si="408"/>
        <v/>
      </c>
      <c r="AM614" s="73" t="str">
        <f t="shared" si="409"/>
        <v/>
      </c>
      <c r="AN614" s="73" t="str">
        <f t="shared" si="410"/>
        <v/>
      </c>
      <c r="AO614" s="73" t="str">
        <f t="shared" si="411"/>
        <v/>
      </c>
      <c r="AP614" s="73" t="str">
        <f t="shared" si="412"/>
        <v/>
      </c>
    </row>
    <row r="615" spans="1:42" s="69" customFormat="1" x14ac:dyDescent="0.6">
      <c r="A615" s="78" t="str">
        <f t="shared" si="378"/>
        <v/>
      </c>
      <c r="B615" s="78" t="str">
        <f>IF(E615&lt;=$F$9,VLOOKUP(KALKULATOR!A615,Robocze!$B$23:$C$102,2),"")</f>
        <v/>
      </c>
      <c r="C615" s="78" t="str">
        <f t="shared" si="381"/>
        <v/>
      </c>
      <c r="D615" s="79" t="str">
        <f t="shared" si="382"/>
        <v/>
      </c>
      <c r="E615" s="80" t="str">
        <f t="shared" si="383"/>
        <v/>
      </c>
      <c r="F615" s="81" t="str">
        <f t="shared" si="384"/>
        <v/>
      </c>
      <c r="G615" s="82" t="str">
        <f>IFERROR(IF(AND(F615&lt;=$F$9,$F$5=Robocze!$B$4,$E615&lt;=$F$9,MONTH($F$8)=MONTH(E615)),$F$4,0)+IF(AND(F615&lt;=$F$9,$F$5=Robocze!$B$3,E615&lt;=$F$9),KALKULATOR!$F$4/12,0),"")</f>
        <v/>
      </c>
      <c r="H615" s="82" t="str">
        <f t="shared" si="385"/>
        <v/>
      </c>
      <c r="I615" s="83" t="str">
        <f t="shared" si="386"/>
        <v/>
      </c>
      <c r="J615" s="82" t="str">
        <f t="shared" si="387"/>
        <v/>
      </c>
      <c r="K615" s="84" t="str">
        <f t="shared" si="388"/>
        <v/>
      </c>
      <c r="L615" s="82" t="str">
        <f t="shared" si="389"/>
        <v/>
      </c>
      <c r="M615" s="82" t="str">
        <f t="shared" si="390"/>
        <v/>
      </c>
      <c r="N615" s="82" t="str">
        <f t="shared" si="391"/>
        <v/>
      </c>
      <c r="O615" s="82" t="str">
        <f t="shared" si="392"/>
        <v/>
      </c>
      <c r="P615" s="82" t="str">
        <f t="shared" si="393"/>
        <v/>
      </c>
      <c r="Q615" s="82" t="str">
        <f t="shared" si="394"/>
        <v/>
      </c>
      <c r="R615" s="82"/>
      <c r="S615" s="85" t="str">
        <f t="shared" si="395"/>
        <v/>
      </c>
      <c r="T615" s="82" t="str">
        <f t="shared" si="396"/>
        <v/>
      </c>
      <c r="U615" s="82" t="str">
        <f t="shared" si="397"/>
        <v/>
      </c>
      <c r="V615" s="85" t="str">
        <f t="shared" si="398"/>
        <v/>
      </c>
      <c r="W615" s="82" t="str">
        <f t="shared" si="399"/>
        <v/>
      </c>
      <c r="X615" s="82" t="str">
        <f>IF(B615&lt;&gt;"",IF(MONTH(E615)=MONTH($F$13),SUMIF($C$22:C994,"="&amp;(C615-1),$G$22:G994),0)*S615,"")</f>
        <v/>
      </c>
      <c r="Y615" s="82" t="str">
        <f>IF(B615&lt;&gt;"",SUM($X$22:X615),"")</f>
        <v/>
      </c>
      <c r="Z615" s="82" t="str">
        <f t="shared" si="400"/>
        <v/>
      </c>
      <c r="AA615" s="82" t="str">
        <f t="shared" si="401"/>
        <v/>
      </c>
      <c r="AB615" s="82" t="str">
        <f t="shared" si="402"/>
        <v/>
      </c>
      <c r="AC615" s="82" t="str">
        <f t="shared" si="403"/>
        <v/>
      </c>
      <c r="AD615" s="82" t="str">
        <f>IFERROR($U615*(1-$V615)+SUM($W$22:$W615)+$AB615,"")</f>
        <v/>
      </c>
      <c r="AE615" s="73" t="b">
        <f t="shared" si="379"/>
        <v>1</v>
      </c>
      <c r="AF615" s="82" t="e">
        <f>IF(AND(AE615=TRUE,D615&gt;=65),$U615*(1-10%)+SUM($W$22:$W615)+$AB615,AD615)</f>
        <v>#VALUE!</v>
      </c>
      <c r="AG615" s="82" t="str">
        <f t="shared" si="404"/>
        <v/>
      </c>
      <c r="AH615" s="82" t="str">
        <f t="shared" si="405"/>
        <v/>
      </c>
      <c r="AI615" s="82" t="str">
        <f t="shared" si="406"/>
        <v/>
      </c>
      <c r="AJ615" s="82" t="str">
        <f t="shared" si="407"/>
        <v/>
      </c>
      <c r="AK615" s="73" t="b">
        <f t="shared" si="380"/>
        <v>1</v>
      </c>
      <c r="AL615" s="82" t="str">
        <f t="shared" si="408"/>
        <v/>
      </c>
      <c r="AM615" s="82" t="str">
        <f t="shared" si="409"/>
        <v/>
      </c>
      <c r="AN615" s="82" t="str">
        <f t="shared" si="410"/>
        <v/>
      </c>
      <c r="AO615" s="82" t="str">
        <f t="shared" si="411"/>
        <v/>
      </c>
      <c r="AP615" s="82" t="str">
        <f t="shared" si="412"/>
        <v/>
      </c>
    </row>
    <row r="616" spans="1:42" s="31" customFormat="1" x14ac:dyDescent="0.6">
      <c r="A616" s="70" t="str">
        <f t="shared" si="378"/>
        <v/>
      </c>
      <c r="B616" s="70" t="str">
        <f>IF(E616&lt;=$F$9,VLOOKUP(KALKULATOR!A616,Robocze!$B$23:$C$102,2),"")</f>
        <v/>
      </c>
      <c r="C616" s="70" t="str">
        <f t="shared" si="381"/>
        <v/>
      </c>
      <c r="D616" s="71" t="str">
        <f t="shared" si="382"/>
        <v/>
      </c>
      <c r="E616" s="72" t="str">
        <f t="shared" si="383"/>
        <v/>
      </c>
      <c r="F616" s="72" t="str">
        <f t="shared" si="384"/>
        <v/>
      </c>
      <c r="G616" s="73" t="str">
        <f>IFERROR(IF(AND(F616&lt;=$F$9,$F$5=Robocze!$B$4,$E616&lt;=$F$9,MONTH($F$8)=MONTH(E616)),$F$4,0)+IF(AND(F616&lt;=$F$9,$F$5=Robocze!$B$3,E616&lt;=$F$9),KALKULATOR!$F$4/12,0),"")</f>
        <v/>
      </c>
      <c r="H616" s="73" t="str">
        <f t="shared" si="385"/>
        <v/>
      </c>
      <c r="I616" s="74" t="str">
        <f t="shared" si="386"/>
        <v/>
      </c>
      <c r="J616" s="73" t="str">
        <f t="shared" si="387"/>
        <v/>
      </c>
      <c r="K616" s="75" t="str">
        <f t="shared" si="388"/>
        <v/>
      </c>
      <c r="L616" s="73" t="str">
        <f t="shared" si="389"/>
        <v/>
      </c>
      <c r="M616" s="73" t="str">
        <f t="shared" si="390"/>
        <v/>
      </c>
      <c r="N616" s="73" t="str">
        <f t="shared" si="391"/>
        <v/>
      </c>
      <c r="O616" s="73" t="str">
        <f t="shared" si="392"/>
        <v/>
      </c>
      <c r="P616" s="73" t="str">
        <f t="shared" si="393"/>
        <v/>
      </c>
      <c r="Q616" s="73" t="str">
        <f t="shared" si="394"/>
        <v/>
      </c>
      <c r="R616" s="73"/>
      <c r="S616" s="76" t="str">
        <f t="shared" si="395"/>
        <v/>
      </c>
      <c r="T616" s="73" t="str">
        <f t="shared" si="396"/>
        <v/>
      </c>
      <c r="U616" s="73" t="str">
        <f t="shared" si="397"/>
        <v/>
      </c>
      <c r="V616" s="76" t="str">
        <f t="shared" si="398"/>
        <v/>
      </c>
      <c r="W616" s="73" t="str">
        <f t="shared" si="399"/>
        <v/>
      </c>
      <c r="X616" s="73" t="str">
        <f>IF(B616&lt;&gt;"",IF(MONTH(E616)=MONTH($F$13),SUMIF($C$22:C995,"="&amp;(C616-1),$G$22:G995),0)*S616,"")</f>
        <v/>
      </c>
      <c r="Y616" s="73" t="str">
        <f>IF(B616&lt;&gt;"",SUM($X$22:X616),"")</f>
        <v/>
      </c>
      <c r="Z616" s="73" t="str">
        <f t="shared" si="400"/>
        <v/>
      </c>
      <c r="AA616" s="73" t="str">
        <f t="shared" si="401"/>
        <v/>
      </c>
      <c r="AB616" s="73" t="str">
        <f t="shared" si="402"/>
        <v/>
      </c>
      <c r="AC616" s="73" t="str">
        <f t="shared" si="403"/>
        <v/>
      </c>
      <c r="AD616" s="73" t="str">
        <f>IFERROR($U616*(1-$V616)+SUM($W$22:$W616)+$AB616,"")</f>
        <v/>
      </c>
      <c r="AE616" s="73" t="b">
        <f t="shared" si="379"/>
        <v>1</v>
      </c>
      <c r="AF616" s="73" t="e">
        <f>IF(AND(AE616=TRUE,D616&gt;=65),$U616*(1-10%)+SUM($W$22:$W616)+$AB616,AD616)</f>
        <v>#VALUE!</v>
      </c>
      <c r="AG616" s="73" t="str">
        <f t="shared" si="404"/>
        <v/>
      </c>
      <c r="AH616" s="73" t="str">
        <f t="shared" si="405"/>
        <v/>
      </c>
      <c r="AI616" s="73" t="str">
        <f t="shared" si="406"/>
        <v/>
      </c>
      <c r="AJ616" s="73" t="str">
        <f t="shared" si="407"/>
        <v/>
      </c>
      <c r="AK616" s="73" t="b">
        <f t="shared" si="380"/>
        <v>1</v>
      </c>
      <c r="AL616" s="73" t="str">
        <f t="shared" si="408"/>
        <v/>
      </c>
      <c r="AM616" s="73" t="str">
        <f t="shared" si="409"/>
        <v/>
      </c>
      <c r="AN616" s="73" t="str">
        <f t="shared" si="410"/>
        <v/>
      </c>
      <c r="AO616" s="73" t="str">
        <f t="shared" si="411"/>
        <v/>
      </c>
      <c r="AP616" s="73" t="str">
        <f t="shared" si="412"/>
        <v/>
      </c>
    </row>
    <row r="617" spans="1:42" s="31" customFormat="1" x14ac:dyDescent="0.6">
      <c r="A617" s="70" t="str">
        <f t="shared" si="378"/>
        <v/>
      </c>
      <c r="B617" s="70" t="str">
        <f>IF(E617&lt;=$F$9,VLOOKUP(KALKULATOR!A617,Robocze!$B$23:$C$102,2),"")</f>
        <v/>
      </c>
      <c r="C617" s="70" t="str">
        <f t="shared" si="381"/>
        <v/>
      </c>
      <c r="D617" s="71" t="str">
        <f t="shared" si="382"/>
        <v/>
      </c>
      <c r="E617" s="77" t="str">
        <f t="shared" si="383"/>
        <v/>
      </c>
      <c r="F617" s="72" t="str">
        <f t="shared" si="384"/>
        <v/>
      </c>
      <c r="G617" s="73" t="str">
        <f>IFERROR(IF(AND(F617&lt;=$F$9,$F$5=Robocze!$B$4,$E617&lt;=$F$9,MONTH($F$8)=MONTH(E617)),$F$4,0)+IF(AND(F617&lt;=$F$9,$F$5=Robocze!$B$3,E617&lt;=$F$9),KALKULATOR!$F$4/12,0),"")</f>
        <v/>
      </c>
      <c r="H617" s="73" t="str">
        <f t="shared" si="385"/>
        <v/>
      </c>
      <c r="I617" s="74" t="str">
        <f t="shared" si="386"/>
        <v/>
      </c>
      <c r="J617" s="73" t="str">
        <f t="shared" si="387"/>
        <v/>
      </c>
      <c r="K617" s="75" t="str">
        <f t="shared" si="388"/>
        <v/>
      </c>
      <c r="L617" s="73" t="str">
        <f t="shared" si="389"/>
        <v/>
      </c>
      <c r="M617" s="73" t="str">
        <f t="shared" si="390"/>
        <v/>
      </c>
      <c r="N617" s="73" t="str">
        <f t="shared" si="391"/>
        <v/>
      </c>
      <c r="O617" s="73" t="str">
        <f t="shared" si="392"/>
        <v/>
      </c>
      <c r="P617" s="73" t="str">
        <f t="shared" si="393"/>
        <v/>
      </c>
      <c r="Q617" s="73" t="str">
        <f t="shared" si="394"/>
        <v/>
      </c>
      <c r="R617" s="73"/>
      <c r="S617" s="76" t="str">
        <f t="shared" si="395"/>
        <v/>
      </c>
      <c r="T617" s="73" t="str">
        <f t="shared" si="396"/>
        <v/>
      </c>
      <c r="U617" s="73" t="str">
        <f t="shared" si="397"/>
        <v/>
      </c>
      <c r="V617" s="76" t="str">
        <f t="shared" si="398"/>
        <v/>
      </c>
      <c r="W617" s="73" t="str">
        <f t="shared" si="399"/>
        <v/>
      </c>
      <c r="X617" s="73" t="str">
        <f>IF(B617&lt;&gt;"",IF(MONTH(E617)=MONTH($F$13),SUMIF($C$22:C996,"="&amp;(C617-1),$G$22:G996),0)*S617,"")</f>
        <v/>
      </c>
      <c r="Y617" s="73" t="str">
        <f>IF(B617&lt;&gt;"",SUM($X$22:X617),"")</f>
        <v/>
      </c>
      <c r="Z617" s="73" t="str">
        <f t="shared" si="400"/>
        <v/>
      </c>
      <c r="AA617" s="73" t="str">
        <f t="shared" si="401"/>
        <v/>
      </c>
      <c r="AB617" s="73" t="str">
        <f t="shared" si="402"/>
        <v/>
      </c>
      <c r="AC617" s="73" t="str">
        <f t="shared" si="403"/>
        <v/>
      </c>
      <c r="AD617" s="73" t="str">
        <f>IFERROR($U617*(1-$V617)+SUM($W$22:$W617)+$AB617,"")</f>
        <v/>
      </c>
      <c r="AE617" s="73" t="b">
        <f t="shared" si="379"/>
        <v>1</v>
      </c>
      <c r="AF617" s="73" t="e">
        <f>IF(AND(AE617=TRUE,D617&gt;=65),$U617*(1-10%)+SUM($W$22:$W617)+$AB617,AD617)</f>
        <v>#VALUE!</v>
      </c>
      <c r="AG617" s="73" t="str">
        <f t="shared" si="404"/>
        <v/>
      </c>
      <c r="AH617" s="73" t="str">
        <f t="shared" si="405"/>
        <v/>
      </c>
      <c r="AI617" s="73" t="str">
        <f t="shared" si="406"/>
        <v/>
      </c>
      <c r="AJ617" s="73" t="str">
        <f t="shared" si="407"/>
        <v/>
      </c>
      <c r="AK617" s="73" t="b">
        <f t="shared" si="380"/>
        <v>1</v>
      </c>
      <c r="AL617" s="73" t="str">
        <f t="shared" si="408"/>
        <v/>
      </c>
      <c r="AM617" s="73" t="str">
        <f t="shared" si="409"/>
        <v/>
      </c>
      <c r="AN617" s="73" t="str">
        <f t="shared" si="410"/>
        <v/>
      </c>
      <c r="AO617" s="73" t="str">
        <f t="shared" si="411"/>
        <v/>
      </c>
      <c r="AP617" s="73" t="str">
        <f t="shared" si="412"/>
        <v/>
      </c>
    </row>
    <row r="618" spans="1:42" s="31" customFormat="1" x14ac:dyDescent="0.6">
      <c r="A618" s="70" t="str">
        <f t="shared" si="378"/>
        <v/>
      </c>
      <c r="B618" s="70" t="str">
        <f>IF(E618&lt;=$F$9,VLOOKUP(KALKULATOR!A618,Robocze!$B$23:$C$102,2),"")</f>
        <v/>
      </c>
      <c r="C618" s="70" t="str">
        <f t="shared" si="381"/>
        <v/>
      </c>
      <c r="D618" s="71" t="str">
        <f t="shared" si="382"/>
        <v/>
      </c>
      <c r="E618" s="77" t="str">
        <f t="shared" si="383"/>
        <v/>
      </c>
      <c r="F618" s="72" t="str">
        <f t="shared" si="384"/>
        <v/>
      </c>
      <c r="G618" s="73" t="str">
        <f>IFERROR(IF(AND(F618&lt;=$F$9,$F$5=Robocze!$B$4,$E618&lt;=$F$9,MONTH($F$8)=MONTH(E618)),$F$4,0)+IF(AND(F618&lt;=$F$9,$F$5=Robocze!$B$3,E618&lt;=$F$9),KALKULATOR!$F$4/12,0),"")</f>
        <v/>
      </c>
      <c r="H618" s="73" t="str">
        <f t="shared" si="385"/>
        <v/>
      </c>
      <c r="I618" s="74" t="str">
        <f t="shared" si="386"/>
        <v/>
      </c>
      <c r="J618" s="73" t="str">
        <f t="shared" si="387"/>
        <v/>
      </c>
      <c r="K618" s="75" t="str">
        <f t="shared" si="388"/>
        <v/>
      </c>
      <c r="L618" s="73" t="str">
        <f t="shared" si="389"/>
        <v/>
      </c>
      <c r="M618" s="73" t="str">
        <f t="shared" si="390"/>
        <v/>
      </c>
      <c r="N618" s="73" t="str">
        <f t="shared" si="391"/>
        <v/>
      </c>
      <c r="O618" s="73" t="str">
        <f t="shared" si="392"/>
        <v/>
      </c>
      <c r="P618" s="73" t="str">
        <f t="shared" si="393"/>
        <v/>
      </c>
      <c r="Q618" s="73" t="str">
        <f t="shared" si="394"/>
        <v/>
      </c>
      <c r="R618" s="73"/>
      <c r="S618" s="76" t="str">
        <f t="shared" si="395"/>
        <v/>
      </c>
      <c r="T618" s="73" t="str">
        <f t="shared" si="396"/>
        <v/>
      </c>
      <c r="U618" s="73" t="str">
        <f t="shared" si="397"/>
        <v/>
      </c>
      <c r="V618" s="76" t="str">
        <f t="shared" si="398"/>
        <v/>
      </c>
      <c r="W618" s="73" t="str">
        <f t="shared" si="399"/>
        <v/>
      </c>
      <c r="X618" s="73" t="str">
        <f>IF(B618&lt;&gt;"",IF(MONTH(E618)=MONTH($F$13),SUMIF($C$22:C997,"="&amp;(C618-1),$G$22:G997),0)*S618,"")</f>
        <v/>
      </c>
      <c r="Y618" s="73" t="str">
        <f>IF(B618&lt;&gt;"",SUM($X$22:X618),"")</f>
        <v/>
      </c>
      <c r="Z618" s="73" t="str">
        <f t="shared" si="400"/>
        <v/>
      </c>
      <c r="AA618" s="73" t="str">
        <f t="shared" si="401"/>
        <v/>
      </c>
      <c r="AB618" s="73" t="str">
        <f t="shared" si="402"/>
        <v/>
      </c>
      <c r="AC618" s="73" t="str">
        <f t="shared" si="403"/>
        <v/>
      </c>
      <c r="AD618" s="73" t="str">
        <f>IFERROR($U618*(1-$V618)+SUM($W$22:$W618)+$AB618,"")</f>
        <v/>
      </c>
      <c r="AE618" s="73" t="b">
        <f t="shared" si="379"/>
        <v>1</v>
      </c>
      <c r="AF618" s="73" t="e">
        <f>IF(AND(AE618=TRUE,D618&gt;=65),$U618*(1-10%)+SUM($W$22:$W618)+$AB618,AD618)</f>
        <v>#VALUE!</v>
      </c>
      <c r="AG618" s="73" t="str">
        <f t="shared" si="404"/>
        <v/>
      </c>
      <c r="AH618" s="73" t="str">
        <f t="shared" si="405"/>
        <v/>
      </c>
      <c r="AI618" s="73" t="str">
        <f t="shared" si="406"/>
        <v/>
      </c>
      <c r="AJ618" s="73" t="str">
        <f t="shared" si="407"/>
        <v/>
      </c>
      <c r="AK618" s="73" t="b">
        <f t="shared" si="380"/>
        <v>1</v>
      </c>
      <c r="AL618" s="73" t="str">
        <f t="shared" si="408"/>
        <v/>
      </c>
      <c r="AM618" s="73" t="str">
        <f t="shared" si="409"/>
        <v/>
      </c>
      <c r="AN618" s="73" t="str">
        <f t="shared" si="410"/>
        <v/>
      </c>
      <c r="AO618" s="73" t="str">
        <f t="shared" si="411"/>
        <v/>
      </c>
      <c r="AP618" s="73" t="str">
        <f t="shared" si="412"/>
        <v/>
      </c>
    </row>
    <row r="619" spans="1:42" s="31" customFormat="1" x14ac:dyDescent="0.6">
      <c r="A619" s="70" t="str">
        <f t="shared" si="378"/>
        <v/>
      </c>
      <c r="B619" s="70" t="str">
        <f>IF(E619&lt;=$F$9,VLOOKUP(KALKULATOR!A619,Robocze!$B$23:$C$102,2),"")</f>
        <v/>
      </c>
      <c r="C619" s="70" t="str">
        <f t="shared" si="381"/>
        <v/>
      </c>
      <c r="D619" s="71" t="str">
        <f t="shared" si="382"/>
        <v/>
      </c>
      <c r="E619" s="77" t="str">
        <f t="shared" si="383"/>
        <v/>
      </c>
      <c r="F619" s="72" t="str">
        <f t="shared" si="384"/>
        <v/>
      </c>
      <c r="G619" s="73" t="str">
        <f>IFERROR(IF(AND(F619&lt;=$F$9,$F$5=Robocze!$B$4,$E619&lt;=$F$9,MONTH($F$8)=MONTH(E619)),$F$4,0)+IF(AND(F619&lt;=$F$9,$F$5=Robocze!$B$3,E619&lt;=$F$9),KALKULATOR!$F$4/12,0),"")</f>
        <v/>
      </c>
      <c r="H619" s="73" t="str">
        <f t="shared" si="385"/>
        <v/>
      </c>
      <c r="I619" s="74" t="str">
        <f t="shared" si="386"/>
        <v/>
      </c>
      <c r="J619" s="73" t="str">
        <f t="shared" si="387"/>
        <v/>
      </c>
      <c r="K619" s="75" t="str">
        <f t="shared" si="388"/>
        <v/>
      </c>
      <c r="L619" s="73" t="str">
        <f t="shared" si="389"/>
        <v/>
      </c>
      <c r="M619" s="73" t="str">
        <f t="shared" si="390"/>
        <v/>
      </c>
      <c r="N619" s="73" t="str">
        <f t="shared" si="391"/>
        <v/>
      </c>
      <c r="O619" s="73" t="str">
        <f t="shared" si="392"/>
        <v/>
      </c>
      <c r="P619" s="73" t="str">
        <f t="shared" si="393"/>
        <v/>
      </c>
      <c r="Q619" s="73" t="str">
        <f t="shared" si="394"/>
        <v/>
      </c>
      <c r="R619" s="73"/>
      <c r="S619" s="76" t="str">
        <f t="shared" si="395"/>
        <v/>
      </c>
      <c r="T619" s="73" t="str">
        <f t="shared" si="396"/>
        <v/>
      </c>
      <c r="U619" s="73" t="str">
        <f t="shared" si="397"/>
        <v/>
      </c>
      <c r="V619" s="76" t="str">
        <f t="shared" si="398"/>
        <v/>
      </c>
      <c r="W619" s="73" t="str">
        <f t="shared" si="399"/>
        <v/>
      </c>
      <c r="X619" s="73" t="str">
        <f>IF(B619&lt;&gt;"",IF(MONTH(E619)=MONTH($F$13),SUMIF($C$22:C998,"="&amp;(C619-1),$G$22:G998),0)*S619,"")</f>
        <v/>
      </c>
      <c r="Y619" s="73" t="str">
        <f>IF(B619&lt;&gt;"",SUM($X$22:X619),"")</f>
        <v/>
      </c>
      <c r="Z619" s="73" t="str">
        <f t="shared" si="400"/>
        <v/>
      </c>
      <c r="AA619" s="73" t="str">
        <f t="shared" si="401"/>
        <v/>
      </c>
      <c r="AB619" s="73" t="str">
        <f t="shared" si="402"/>
        <v/>
      </c>
      <c r="AC619" s="73" t="str">
        <f t="shared" si="403"/>
        <v/>
      </c>
      <c r="AD619" s="73" t="str">
        <f>IFERROR($U619*(1-$V619)+SUM($W$22:$W619)+$AB619,"")</f>
        <v/>
      </c>
      <c r="AE619" s="73" t="b">
        <f t="shared" si="379"/>
        <v>1</v>
      </c>
      <c r="AF619" s="73" t="e">
        <f>IF(AND(AE619=TRUE,D619&gt;=65),$U619*(1-10%)+SUM($W$22:$W619)+$AB619,AD619)</f>
        <v>#VALUE!</v>
      </c>
      <c r="AG619" s="73" t="str">
        <f t="shared" si="404"/>
        <v/>
      </c>
      <c r="AH619" s="73" t="str">
        <f t="shared" si="405"/>
        <v/>
      </c>
      <c r="AI619" s="73" t="str">
        <f t="shared" si="406"/>
        <v/>
      </c>
      <c r="AJ619" s="73" t="str">
        <f t="shared" si="407"/>
        <v/>
      </c>
      <c r="AK619" s="73" t="b">
        <f t="shared" si="380"/>
        <v>1</v>
      </c>
      <c r="AL619" s="73" t="str">
        <f t="shared" si="408"/>
        <v/>
      </c>
      <c r="AM619" s="73" t="str">
        <f t="shared" si="409"/>
        <v/>
      </c>
      <c r="AN619" s="73" t="str">
        <f t="shared" si="410"/>
        <v/>
      </c>
      <c r="AO619" s="73" t="str">
        <f t="shared" si="411"/>
        <v/>
      </c>
      <c r="AP619" s="73" t="str">
        <f t="shared" si="412"/>
        <v/>
      </c>
    </row>
    <row r="620" spans="1:42" s="31" customFormat="1" x14ac:dyDescent="0.6">
      <c r="A620" s="70" t="str">
        <f t="shared" si="378"/>
        <v/>
      </c>
      <c r="B620" s="70" t="str">
        <f>IF(E620&lt;=$F$9,VLOOKUP(KALKULATOR!A620,Robocze!$B$23:$C$102,2),"")</f>
        <v/>
      </c>
      <c r="C620" s="70" t="str">
        <f t="shared" si="381"/>
        <v/>
      </c>
      <c r="D620" s="71" t="str">
        <f t="shared" si="382"/>
        <v/>
      </c>
      <c r="E620" s="77" t="str">
        <f t="shared" si="383"/>
        <v/>
      </c>
      <c r="F620" s="72" t="str">
        <f t="shared" si="384"/>
        <v/>
      </c>
      <c r="G620" s="73" t="str">
        <f>IFERROR(IF(AND(F620&lt;=$F$9,$F$5=Robocze!$B$4,$E620&lt;=$F$9,MONTH($F$8)=MONTH(E620)),$F$4,0)+IF(AND(F620&lt;=$F$9,$F$5=Robocze!$B$3,E620&lt;=$F$9),KALKULATOR!$F$4/12,0),"")</f>
        <v/>
      </c>
      <c r="H620" s="73" t="str">
        <f t="shared" si="385"/>
        <v/>
      </c>
      <c r="I620" s="74" t="str">
        <f t="shared" si="386"/>
        <v/>
      </c>
      <c r="J620" s="73" t="str">
        <f t="shared" si="387"/>
        <v/>
      </c>
      <c r="K620" s="75" t="str">
        <f t="shared" si="388"/>
        <v/>
      </c>
      <c r="L620" s="73" t="str">
        <f t="shared" si="389"/>
        <v/>
      </c>
      <c r="M620" s="73" t="str">
        <f t="shared" si="390"/>
        <v/>
      </c>
      <c r="N620" s="73" t="str">
        <f t="shared" si="391"/>
        <v/>
      </c>
      <c r="O620" s="73" t="str">
        <f t="shared" si="392"/>
        <v/>
      </c>
      <c r="P620" s="73" t="str">
        <f t="shared" si="393"/>
        <v/>
      </c>
      <c r="Q620" s="73" t="str">
        <f t="shared" si="394"/>
        <v/>
      </c>
      <c r="R620" s="73"/>
      <c r="S620" s="76" t="str">
        <f t="shared" si="395"/>
        <v/>
      </c>
      <c r="T620" s="73" t="str">
        <f t="shared" si="396"/>
        <v/>
      </c>
      <c r="U620" s="73" t="str">
        <f t="shared" si="397"/>
        <v/>
      </c>
      <c r="V620" s="76" t="str">
        <f t="shared" si="398"/>
        <v/>
      </c>
      <c r="W620" s="73" t="str">
        <f t="shared" si="399"/>
        <v/>
      </c>
      <c r="X620" s="73" t="str">
        <f>IF(B620&lt;&gt;"",IF(MONTH(E620)=MONTH($F$13),SUMIF($C$22:C999,"="&amp;(C620-1),$G$22:G999),0)*S620,"")</f>
        <v/>
      </c>
      <c r="Y620" s="73" t="str">
        <f>IF(B620&lt;&gt;"",SUM($X$22:X620),"")</f>
        <v/>
      </c>
      <c r="Z620" s="73" t="str">
        <f t="shared" si="400"/>
        <v/>
      </c>
      <c r="AA620" s="73" t="str">
        <f t="shared" si="401"/>
        <v/>
      </c>
      <c r="AB620" s="73" t="str">
        <f t="shared" si="402"/>
        <v/>
      </c>
      <c r="AC620" s="73" t="str">
        <f t="shared" si="403"/>
        <v/>
      </c>
      <c r="AD620" s="73" t="str">
        <f>IFERROR($U620*(1-$V620)+SUM($W$22:$W620)+$AB620,"")</f>
        <v/>
      </c>
      <c r="AE620" s="73" t="b">
        <f t="shared" si="379"/>
        <v>1</v>
      </c>
      <c r="AF620" s="73" t="e">
        <f>IF(AND(AE620=TRUE,D620&gt;=65),$U620*(1-10%)+SUM($W$22:$W620)+$AB620,AD620)</f>
        <v>#VALUE!</v>
      </c>
      <c r="AG620" s="73" t="str">
        <f t="shared" si="404"/>
        <v/>
      </c>
      <c r="AH620" s="73" t="str">
        <f t="shared" si="405"/>
        <v/>
      </c>
      <c r="AI620" s="73" t="str">
        <f t="shared" si="406"/>
        <v/>
      </c>
      <c r="AJ620" s="73" t="str">
        <f t="shared" si="407"/>
        <v/>
      </c>
      <c r="AK620" s="73" t="b">
        <f t="shared" si="380"/>
        <v>1</v>
      </c>
      <c r="AL620" s="73" t="str">
        <f t="shared" si="408"/>
        <v/>
      </c>
      <c r="AM620" s="73" t="str">
        <f t="shared" si="409"/>
        <v/>
      </c>
      <c r="AN620" s="73" t="str">
        <f t="shared" si="410"/>
        <v/>
      </c>
      <c r="AO620" s="73" t="str">
        <f t="shared" si="411"/>
        <v/>
      </c>
      <c r="AP620" s="73" t="str">
        <f t="shared" si="412"/>
        <v/>
      </c>
    </row>
    <row r="621" spans="1:42" s="31" customFormat="1" x14ac:dyDescent="0.6">
      <c r="A621" s="70" t="str">
        <f t="shared" si="378"/>
        <v/>
      </c>
      <c r="B621" s="70" t="str">
        <f>IF(E621&lt;=$F$9,VLOOKUP(KALKULATOR!A621,Robocze!$B$23:$C$102,2),"")</f>
        <v/>
      </c>
      <c r="C621" s="70" t="str">
        <f t="shared" si="381"/>
        <v/>
      </c>
      <c r="D621" s="71" t="str">
        <f t="shared" si="382"/>
        <v/>
      </c>
      <c r="E621" s="77" t="str">
        <f t="shared" si="383"/>
        <v/>
      </c>
      <c r="F621" s="72" t="str">
        <f t="shared" si="384"/>
        <v/>
      </c>
      <c r="G621" s="73" t="str">
        <f>IFERROR(IF(AND(F621&lt;=$F$9,$F$5=Robocze!$B$4,$E621&lt;=$F$9,MONTH($F$8)=MONTH(E621)),$F$4,0)+IF(AND(F621&lt;=$F$9,$F$5=Robocze!$B$3,E621&lt;=$F$9),KALKULATOR!$F$4/12,0),"")</f>
        <v/>
      </c>
      <c r="H621" s="73" t="str">
        <f t="shared" si="385"/>
        <v/>
      </c>
      <c r="I621" s="74" t="str">
        <f t="shared" si="386"/>
        <v/>
      </c>
      <c r="J621" s="73" t="str">
        <f t="shared" si="387"/>
        <v/>
      </c>
      <c r="K621" s="75" t="str">
        <f t="shared" si="388"/>
        <v/>
      </c>
      <c r="L621" s="73" t="str">
        <f t="shared" si="389"/>
        <v/>
      </c>
      <c r="M621" s="73" t="str">
        <f t="shared" si="390"/>
        <v/>
      </c>
      <c r="N621" s="73" t="str">
        <f t="shared" si="391"/>
        <v/>
      </c>
      <c r="O621" s="73" t="str">
        <f t="shared" si="392"/>
        <v/>
      </c>
      <c r="P621" s="73" t="str">
        <f t="shared" si="393"/>
        <v/>
      </c>
      <c r="Q621" s="73" t="str">
        <f t="shared" si="394"/>
        <v/>
      </c>
      <c r="R621" s="73"/>
      <c r="S621" s="76" t="str">
        <f t="shared" si="395"/>
        <v/>
      </c>
      <c r="T621" s="73" t="str">
        <f t="shared" si="396"/>
        <v/>
      </c>
      <c r="U621" s="73" t="str">
        <f t="shared" si="397"/>
        <v/>
      </c>
      <c r="V621" s="76" t="str">
        <f t="shared" si="398"/>
        <v/>
      </c>
      <c r="W621" s="73" t="str">
        <f t="shared" si="399"/>
        <v/>
      </c>
      <c r="X621" s="73" t="str">
        <f>IF(B621&lt;&gt;"",IF(MONTH(E621)=MONTH($F$13),SUMIF($C$22:C1000,"="&amp;(C621-1),$G$22:G1000),0)*S621,"")</f>
        <v/>
      </c>
      <c r="Y621" s="73" t="str">
        <f>IF(B621&lt;&gt;"",SUM($X$22:X621),"")</f>
        <v/>
      </c>
      <c r="Z621" s="73" t="str">
        <f t="shared" si="400"/>
        <v/>
      </c>
      <c r="AA621" s="73" t="str">
        <f t="shared" si="401"/>
        <v/>
      </c>
      <c r="AB621" s="73" t="str">
        <f t="shared" si="402"/>
        <v/>
      </c>
      <c r="AC621" s="73" t="str">
        <f t="shared" si="403"/>
        <v/>
      </c>
      <c r="AD621" s="73" t="str">
        <f>IFERROR($U621*(1-$V621)+SUM($W$22:$W621)+$AB621,"")</f>
        <v/>
      </c>
      <c r="AE621" s="73" t="b">
        <f t="shared" si="379"/>
        <v>1</v>
      </c>
      <c r="AF621" s="73" t="e">
        <f>IF(AND(AE621=TRUE,D621&gt;=65),$U621*(1-10%)+SUM($W$22:$W621)+$AB621,AD621)</f>
        <v>#VALUE!</v>
      </c>
      <c r="AG621" s="73" t="str">
        <f t="shared" si="404"/>
        <v/>
      </c>
      <c r="AH621" s="73" t="str">
        <f t="shared" si="405"/>
        <v/>
      </c>
      <c r="AI621" s="73" t="str">
        <f t="shared" si="406"/>
        <v/>
      </c>
      <c r="AJ621" s="73" t="str">
        <f t="shared" si="407"/>
        <v/>
      </c>
      <c r="AK621" s="73" t="b">
        <f t="shared" si="380"/>
        <v>1</v>
      </c>
      <c r="AL621" s="73" t="str">
        <f t="shared" si="408"/>
        <v/>
      </c>
      <c r="AM621" s="73" t="str">
        <f t="shared" si="409"/>
        <v/>
      </c>
      <c r="AN621" s="73" t="str">
        <f t="shared" si="410"/>
        <v/>
      </c>
      <c r="AO621" s="73" t="str">
        <f t="shared" si="411"/>
        <v/>
      </c>
      <c r="AP621" s="73" t="str">
        <f t="shared" si="412"/>
        <v/>
      </c>
    </row>
    <row r="622" spans="1:42" s="31" customFormat="1" x14ac:dyDescent="0.6">
      <c r="A622" s="70"/>
      <c r="B622" s="70"/>
      <c r="C622" s="70"/>
      <c r="D622" s="71"/>
      <c r="E622" s="77"/>
      <c r="F622" s="72"/>
      <c r="G622" s="73"/>
      <c r="H622" s="73"/>
      <c r="I622" s="74"/>
      <c r="J622" s="73"/>
      <c r="K622" s="75"/>
      <c r="L622" s="73"/>
      <c r="M622" s="73"/>
      <c r="N622" s="73"/>
      <c r="O622" s="73"/>
      <c r="P622" s="73"/>
      <c r="Q622" s="73"/>
      <c r="R622" s="73"/>
      <c r="S622" s="76"/>
      <c r="T622" s="73"/>
      <c r="U622" s="73"/>
      <c r="V622" s="76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</row>
    <row r="623" spans="1:42" s="69" customFormat="1" x14ac:dyDescent="0.6">
      <c r="A623" s="78"/>
      <c r="B623" s="78"/>
      <c r="C623" s="78"/>
      <c r="D623" s="79"/>
      <c r="E623" s="80"/>
      <c r="F623" s="81"/>
      <c r="G623" s="82"/>
      <c r="H623" s="82"/>
      <c r="I623" s="83"/>
      <c r="J623" s="82"/>
      <c r="K623" s="84"/>
      <c r="L623" s="82"/>
      <c r="M623" s="82"/>
      <c r="N623" s="82"/>
      <c r="O623" s="82"/>
      <c r="P623" s="82"/>
      <c r="Q623" s="82"/>
      <c r="R623" s="82"/>
      <c r="S623" s="85"/>
      <c r="T623" s="82"/>
      <c r="U623" s="82"/>
      <c r="V623" s="85"/>
      <c r="W623" s="82"/>
      <c r="X623" s="82"/>
      <c r="Y623" s="82"/>
      <c r="Z623" s="82"/>
      <c r="AA623" s="82"/>
      <c r="AB623" s="82"/>
      <c r="AC623" s="82"/>
      <c r="AD623" s="82"/>
      <c r="AE623" s="73"/>
      <c r="AF623" s="82"/>
      <c r="AG623" s="82"/>
      <c r="AH623" s="82"/>
      <c r="AI623" s="82"/>
      <c r="AJ623" s="82"/>
      <c r="AK623" s="73"/>
      <c r="AL623" s="82"/>
      <c r="AM623" s="82"/>
      <c r="AN623" s="82"/>
      <c r="AO623" s="82"/>
      <c r="AP623" s="82"/>
    </row>
    <row r="624" spans="1:42" s="69" customFormat="1" x14ac:dyDescent="0.6">
      <c r="A624" s="78"/>
      <c r="B624" s="78"/>
      <c r="C624" s="78"/>
      <c r="D624" s="79"/>
      <c r="E624" s="80"/>
      <c r="F624" s="81"/>
      <c r="G624" s="82"/>
      <c r="H624" s="82"/>
      <c r="I624" s="83"/>
      <c r="J624" s="82"/>
      <c r="K624" s="84"/>
      <c r="L624" s="82"/>
      <c r="M624" s="82"/>
      <c r="N624" s="82"/>
      <c r="O624" s="82"/>
      <c r="P624" s="82"/>
      <c r="Q624" s="82"/>
      <c r="R624" s="82"/>
      <c r="S624" s="85"/>
      <c r="T624" s="82"/>
      <c r="U624" s="82"/>
      <c r="V624" s="85"/>
      <c r="W624" s="82"/>
      <c r="X624" s="82"/>
      <c r="Y624" s="82"/>
      <c r="Z624" s="82"/>
      <c r="AA624" s="82"/>
      <c r="AB624" s="82"/>
      <c r="AC624" s="82"/>
      <c r="AD624" s="82"/>
      <c r="AE624" s="73"/>
      <c r="AF624" s="82"/>
      <c r="AG624" s="82"/>
      <c r="AH624" s="82"/>
      <c r="AI624" s="82"/>
      <c r="AJ624" s="82"/>
      <c r="AK624" s="73"/>
      <c r="AL624" s="82"/>
      <c r="AM624" s="82"/>
      <c r="AN624" s="82"/>
      <c r="AO624" s="82"/>
      <c r="AP624" s="82"/>
    </row>
    <row r="625" spans="1:42" s="69" customFormat="1" x14ac:dyDescent="0.6">
      <c r="A625" s="78"/>
      <c r="B625" s="78"/>
      <c r="C625" s="78"/>
      <c r="D625" s="79"/>
      <c r="E625" s="80"/>
      <c r="F625" s="81"/>
      <c r="G625" s="82"/>
      <c r="H625" s="82"/>
      <c r="I625" s="83"/>
      <c r="J625" s="82"/>
      <c r="K625" s="84"/>
      <c r="L625" s="82"/>
      <c r="M625" s="82"/>
      <c r="N625" s="82"/>
      <c r="O625" s="82"/>
      <c r="P625" s="82"/>
      <c r="Q625" s="82"/>
      <c r="R625" s="82"/>
      <c r="S625" s="85"/>
      <c r="T625" s="82"/>
      <c r="U625" s="82"/>
      <c r="V625" s="85"/>
      <c r="W625" s="82"/>
      <c r="X625" s="82"/>
      <c r="Y625" s="82"/>
      <c r="Z625" s="82"/>
      <c r="AA625" s="82"/>
      <c r="AB625" s="82"/>
      <c r="AC625" s="82"/>
      <c r="AD625" s="82"/>
      <c r="AE625" s="73"/>
      <c r="AF625" s="82"/>
      <c r="AG625" s="82"/>
      <c r="AH625" s="82"/>
      <c r="AI625" s="82"/>
      <c r="AJ625" s="82"/>
      <c r="AK625" s="73"/>
      <c r="AL625" s="82"/>
      <c r="AM625" s="82"/>
      <c r="AN625" s="82"/>
      <c r="AO625" s="82"/>
      <c r="AP625" s="82"/>
    </row>
    <row r="626" spans="1:42" s="69" customFormat="1" x14ac:dyDescent="0.6">
      <c r="A626" s="78"/>
      <c r="B626" s="78"/>
      <c r="C626" s="78"/>
      <c r="D626" s="79"/>
      <c r="E626" s="80"/>
      <c r="F626" s="81"/>
      <c r="G626" s="82"/>
      <c r="H626" s="82"/>
      <c r="I626" s="83"/>
      <c r="J626" s="82"/>
      <c r="K626" s="84"/>
      <c r="L626" s="82"/>
      <c r="M626" s="82"/>
      <c r="N626" s="82"/>
      <c r="O626" s="82"/>
      <c r="P626" s="82"/>
      <c r="Q626" s="82"/>
      <c r="R626" s="82"/>
      <c r="S626" s="85"/>
      <c r="T626" s="82"/>
      <c r="U626" s="82"/>
      <c r="V626" s="85"/>
      <c r="W626" s="82"/>
      <c r="X626" s="82"/>
      <c r="Y626" s="82"/>
      <c r="Z626" s="82"/>
      <c r="AA626" s="82"/>
      <c r="AB626" s="82"/>
      <c r="AC626" s="82"/>
      <c r="AD626" s="82"/>
      <c r="AE626" s="73"/>
      <c r="AF626" s="82"/>
      <c r="AG626" s="82"/>
      <c r="AH626" s="82"/>
      <c r="AI626" s="82"/>
      <c r="AJ626" s="82"/>
      <c r="AK626" s="73"/>
      <c r="AL626" s="82"/>
      <c r="AM626" s="82"/>
      <c r="AN626" s="82"/>
      <c r="AO626" s="82"/>
      <c r="AP626" s="82"/>
    </row>
    <row r="627" spans="1:42" s="69" customFormat="1" x14ac:dyDescent="0.6">
      <c r="A627" s="78"/>
      <c r="B627" s="78"/>
      <c r="C627" s="78"/>
      <c r="D627" s="79"/>
      <c r="E627" s="80"/>
      <c r="F627" s="81"/>
      <c r="G627" s="82"/>
      <c r="H627" s="82"/>
      <c r="I627" s="83"/>
      <c r="J627" s="82"/>
      <c r="K627" s="84"/>
      <c r="L627" s="82"/>
      <c r="M627" s="82"/>
      <c r="N627" s="82"/>
      <c r="O627" s="82"/>
      <c r="P627" s="82"/>
      <c r="Q627" s="82"/>
      <c r="R627" s="82"/>
      <c r="S627" s="85"/>
      <c r="T627" s="82"/>
      <c r="U627" s="82"/>
      <c r="V627" s="85"/>
      <c r="W627" s="82"/>
      <c r="X627" s="82"/>
      <c r="Y627" s="82"/>
      <c r="Z627" s="82"/>
      <c r="AA627" s="82"/>
      <c r="AB627" s="82"/>
      <c r="AC627" s="82"/>
      <c r="AD627" s="82"/>
      <c r="AE627" s="73"/>
      <c r="AF627" s="82"/>
      <c r="AG627" s="82"/>
      <c r="AH627" s="82"/>
      <c r="AI627" s="82"/>
      <c r="AJ627" s="82"/>
      <c r="AK627" s="73"/>
      <c r="AL627" s="82"/>
      <c r="AM627" s="82"/>
      <c r="AN627" s="82"/>
      <c r="AO627" s="82"/>
      <c r="AP627" s="82"/>
    </row>
    <row r="628" spans="1:42" s="69" customFormat="1" x14ac:dyDescent="0.6">
      <c r="A628" s="78"/>
      <c r="B628" s="78"/>
      <c r="C628" s="78"/>
      <c r="D628" s="79"/>
      <c r="E628" s="80"/>
      <c r="F628" s="81"/>
      <c r="G628" s="82"/>
      <c r="H628" s="82"/>
      <c r="I628" s="83"/>
      <c r="J628" s="82"/>
      <c r="K628" s="84"/>
      <c r="L628" s="82"/>
      <c r="M628" s="82"/>
      <c r="N628" s="82"/>
      <c r="O628" s="82"/>
      <c r="P628" s="82"/>
      <c r="Q628" s="82"/>
      <c r="R628" s="82"/>
      <c r="S628" s="85"/>
      <c r="T628" s="82"/>
      <c r="U628" s="82"/>
      <c r="V628" s="85"/>
      <c r="W628" s="82"/>
      <c r="X628" s="82"/>
      <c r="Y628" s="82"/>
      <c r="Z628" s="82"/>
      <c r="AA628" s="82"/>
      <c r="AB628" s="82"/>
      <c r="AC628" s="82"/>
      <c r="AD628" s="82"/>
      <c r="AE628" s="73"/>
      <c r="AF628" s="82"/>
      <c r="AG628" s="82"/>
      <c r="AH628" s="82"/>
      <c r="AI628" s="82"/>
      <c r="AJ628" s="82"/>
      <c r="AK628" s="73"/>
      <c r="AL628" s="82"/>
      <c r="AM628" s="82"/>
      <c r="AN628" s="82"/>
      <c r="AO628" s="82"/>
      <c r="AP628" s="82"/>
    </row>
    <row r="629" spans="1:42" s="69" customFormat="1" x14ac:dyDescent="0.6">
      <c r="A629" s="78"/>
      <c r="B629" s="78"/>
      <c r="C629" s="78"/>
      <c r="D629" s="79"/>
      <c r="E629" s="80"/>
      <c r="F629" s="81"/>
      <c r="G629" s="82"/>
      <c r="H629" s="82"/>
      <c r="I629" s="83"/>
      <c r="J629" s="82"/>
      <c r="K629" s="84"/>
      <c r="L629" s="82"/>
      <c r="M629" s="82"/>
      <c r="N629" s="82"/>
      <c r="O629" s="82"/>
      <c r="P629" s="82"/>
      <c r="Q629" s="82"/>
      <c r="R629" s="82"/>
      <c r="S629" s="85"/>
      <c r="T629" s="82"/>
      <c r="U629" s="82"/>
      <c r="V629" s="85"/>
      <c r="W629" s="82"/>
      <c r="X629" s="82"/>
      <c r="Y629" s="82"/>
      <c r="Z629" s="82"/>
      <c r="AA629" s="82"/>
      <c r="AB629" s="82"/>
      <c r="AC629" s="82"/>
      <c r="AD629" s="82"/>
      <c r="AE629" s="73"/>
      <c r="AF629" s="82"/>
      <c r="AG629" s="82"/>
      <c r="AH629" s="82"/>
      <c r="AI629" s="82"/>
      <c r="AJ629" s="82"/>
      <c r="AK629" s="73"/>
      <c r="AL629" s="82"/>
      <c r="AM629" s="82"/>
      <c r="AN629" s="82"/>
      <c r="AO629" s="82"/>
      <c r="AP629" s="82"/>
    </row>
    <row r="630" spans="1:42" s="69" customFormat="1" x14ac:dyDescent="0.6">
      <c r="A630" s="78"/>
      <c r="B630" s="78"/>
      <c r="C630" s="78"/>
      <c r="D630" s="79"/>
      <c r="E630" s="80"/>
      <c r="F630" s="81"/>
      <c r="G630" s="82"/>
      <c r="H630" s="82"/>
      <c r="I630" s="83"/>
      <c r="J630" s="82"/>
      <c r="K630" s="84"/>
      <c r="L630" s="82"/>
      <c r="M630" s="82"/>
      <c r="N630" s="82"/>
      <c r="O630" s="82"/>
      <c r="P630" s="82"/>
      <c r="Q630" s="82"/>
      <c r="R630" s="82"/>
      <c r="S630" s="85"/>
      <c r="T630" s="82"/>
      <c r="U630" s="82"/>
      <c r="V630" s="85"/>
      <c r="W630" s="82"/>
      <c r="X630" s="82"/>
      <c r="Y630" s="82"/>
      <c r="Z630" s="82"/>
      <c r="AA630" s="82"/>
      <c r="AB630" s="82"/>
      <c r="AC630" s="82"/>
      <c r="AD630" s="82"/>
      <c r="AE630" s="73"/>
      <c r="AF630" s="82"/>
      <c r="AG630" s="82"/>
      <c r="AH630" s="82"/>
      <c r="AI630" s="82"/>
      <c r="AJ630" s="82"/>
      <c r="AK630" s="73"/>
      <c r="AL630" s="82"/>
      <c r="AM630" s="82"/>
      <c r="AN630" s="82"/>
      <c r="AO630" s="82"/>
      <c r="AP630" s="82"/>
    </row>
    <row r="631" spans="1:42" s="69" customFormat="1" x14ac:dyDescent="0.6">
      <c r="A631" s="78"/>
      <c r="B631" s="78"/>
      <c r="C631" s="78"/>
      <c r="D631" s="79"/>
      <c r="E631" s="80"/>
      <c r="F631" s="81"/>
      <c r="G631" s="82"/>
      <c r="H631" s="82"/>
      <c r="I631" s="83"/>
      <c r="J631" s="82"/>
      <c r="K631" s="84"/>
      <c r="L631" s="82"/>
      <c r="M631" s="82"/>
      <c r="N631" s="82"/>
      <c r="O631" s="82"/>
      <c r="P631" s="82"/>
      <c r="Q631" s="82"/>
      <c r="R631" s="82"/>
      <c r="S631" s="85"/>
      <c r="T631" s="82"/>
      <c r="U631" s="82"/>
      <c r="V631" s="85"/>
      <c r="W631" s="82"/>
      <c r="X631" s="82"/>
      <c r="Y631" s="82"/>
      <c r="Z631" s="82"/>
      <c r="AA631" s="82"/>
      <c r="AB631" s="82"/>
      <c r="AC631" s="82"/>
      <c r="AD631" s="82"/>
      <c r="AE631" s="73"/>
      <c r="AF631" s="82"/>
      <c r="AG631" s="82"/>
      <c r="AH631" s="82"/>
      <c r="AI631" s="82"/>
      <c r="AJ631" s="82"/>
      <c r="AK631" s="73"/>
      <c r="AL631" s="82"/>
      <c r="AM631" s="82"/>
      <c r="AN631" s="82"/>
      <c r="AO631" s="82"/>
      <c r="AP631" s="82"/>
    </row>
    <row r="632" spans="1:42" s="69" customFormat="1" x14ac:dyDescent="0.6">
      <c r="A632" s="78"/>
      <c r="B632" s="78"/>
      <c r="C632" s="78"/>
      <c r="D632" s="79"/>
      <c r="E632" s="80"/>
      <c r="F632" s="81"/>
      <c r="G632" s="82"/>
      <c r="H632" s="82"/>
      <c r="I632" s="83"/>
      <c r="J632" s="82"/>
      <c r="K632" s="84"/>
      <c r="L632" s="82"/>
      <c r="M632" s="82"/>
      <c r="N632" s="82"/>
      <c r="O632" s="82"/>
      <c r="P632" s="82"/>
      <c r="Q632" s="82"/>
      <c r="R632" s="82"/>
      <c r="S632" s="85"/>
      <c r="T632" s="82"/>
      <c r="U632" s="82"/>
      <c r="V632" s="85"/>
      <c r="W632" s="82"/>
      <c r="X632" s="82"/>
      <c r="Y632" s="82"/>
      <c r="Z632" s="82"/>
      <c r="AA632" s="82"/>
      <c r="AB632" s="82"/>
      <c r="AC632" s="82"/>
      <c r="AD632" s="82"/>
      <c r="AE632" s="73"/>
      <c r="AF632" s="82"/>
      <c r="AG632" s="82"/>
      <c r="AH632" s="82"/>
      <c r="AI632" s="82"/>
      <c r="AJ632" s="82"/>
      <c r="AK632" s="73"/>
      <c r="AL632" s="82"/>
      <c r="AM632" s="82"/>
      <c r="AN632" s="82"/>
      <c r="AO632" s="82"/>
      <c r="AP632" s="82"/>
    </row>
    <row r="633" spans="1:42" s="69" customFormat="1" x14ac:dyDescent="0.6">
      <c r="A633" s="78"/>
      <c r="B633" s="78"/>
      <c r="C633" s="78"/>
      <c r="D633" s="79"/>
      <c r="E633" s="80"/>
      <c r="F633" s="81"/>
      <c r="G633" s="82"/>
      <c r="H633" s="82"/>
      <c r="I633" s="83"/>
      <c r="J633" s="82"/>
      <c r="K633" s="84"/>
      <c r="L633" s="82"/>
      <c r="M633" s="82"/>
      <c r="N633" s="82"/>
      <c r="O633" s="82"/>
      <c r="P633" s="82"/>
      <c r="Q633" s="82"/>
      <c r="R633" s="82"/>
      <c r="S633" s="85"/>
      <c r="T633" s="82"/>
      <c r="U633" s="82"/>
      <c r="V633" s="85"/>
      <c r="W633" s="82"/>
      <c r="X633" s="82"/>
      <c r="Y633" s="82"/>
      <c r="Z633" s="82"/>
      <c r="AA633" s="82"/>
      <c r="AB633" s="82"/>
      <c r="AC633" s="82"/>
      <c r="AD633" s="82"/>
      <c r="AE633" s="73"/>
      <c r="AF633" s="82"/>
      <c r="AG633" s="82"/>
      <c r="AH633" s="82"/>
      <c r="AI633" s="82"/>
      <c r="AJ633" s="82"/>
      <c r="AK633" s="73"/>
      <c r="AL633" s="82"/>
      <c r="AM633" s="82"/>
      <c r="AN633" s="82"/>
      <c r="AO633" s="82"/>
      <c r="AP633" s="82"/>
    </row>
    <row r="634" spans="1:42" s="69" customFormat="1" x14ac:dyDescent="0.6">
      <c r="A634" s="78"/>
      <c r="B634" s="78"/>
      <c r="C634" s="78"/>
      <c r="D634" s="79"/>
      <c r="E634" s="80"/>
      <c r="F634" s="81"/>
      <c r="G634" s="82"/>
      <c r="H634" s="82"/>
      <c r="I634" s="83"/>
      <c r="J634" s="82"/>
      <c r="K634" s="84"/>
      <c r="L634" s="82"/>
      <c r="M634" s="82"/>
      <c r="N634" s="82"/>
      <c r="O634" s="82"/>
      <c r="P634" s="82"/>
      <c r="Q634" s="82"/>
      <c r="R634" s="82"/>
      <c r="S634" s="85"/>
      <c r="T634" s="82"/>
      <c r="U634" s="82"/>
      <c r="V634" s="85"/>
      <c r="W634" s="82"/>
      <c r="X634" s="82"/>
      <c r="Y634" s="82"/>
      <c r="Z634" s="82"/>
      <c r="AA634" s="82"/>
      <c r="AB634" s="82"/>
      <c r="AC634" s="82"/>
      <c r="AD634" s="82"/>
      <c r="AE634" s="73"/>
      <c r="AF634" s="82"/>
      <c r="AG634" s="82"/>
      <c r="AH634" s="82"/>
      <c r="AI634" s="82"/>
      <c r="AJ634" s="82"/>
      <c r="AK634" s="73"/>
      <c r="AL634" s="82"/>
      <c r="AM634" s="82"/>
      <c r="AN634" s="82"/>
      <c r="AO634" s="82"/>
      <c r="AP634" s="82"/>
    </row>
    <row r="635" spans="1:42" s="69" customFormat="1" x14ac:dyDescent="0.6">
      <c r="A635" s="78"/>
      <c r="B635" s="78"/>
      <c r="C635" s="78"/>
      <c r="D635" s="79"/>
      <c r="E635" s="80"/>
      <c r="F635" s="81"/>
      <c r="G635" s="82"/>
      <c r="H635" s="82"/>
      <c r="I635" s="83"/>
      <c r="J635" s="82"/>
      <c r="K635" s="84"/>
      <c r="L635" s="82"/>
      <c r="M635" s="82"/>
      <c r="N635" s="82"/>
      <c r="O635" s="82"/>
      <c r="P635" s="82"/>
      <c r="Q635" s="82"/>
      <c r="R635" s="82"/>
      <c r="S635" s="85"/>
      <c r="T635" s="82"/>
      <c r="U635" s="82"/>
      <c r="V635" s="85"/>
      <c r="W635" s="82"/>
      <c r="X635" s="82"/>
      <c r="Y635" s="82"/>
      <c r="Z635" s="82"/>
      <c r="AA635" s="82"/>
      <c r="AB635" s="82"/>
      <c r="AC635" s="82"/>
      <c r="AD635" s="82"/>
      <c r="AE635" s="73"/>
      <c r="AF635" s="82"/>
      <c r="AG635" s="82"/>
      <c r="AH635" s="82"/>
      <c r="AI635" s="82"/>
      <c r="AJ635" s="82"/>
      <c r="AK635" s="73"/>
      <c r="AL635" s="82"/>
      <c r="AM635" s="82"/>
      <c r="AN635" s="82"/>
      <c r="AO635" s="82"/>
      <c r="AP635" s="82"/>
    </row>
    <row r="636" spans="1:42" s="69" customFormat="1" x14ac:dyDescent="0.6">
      <c r="A636" s="78"/>
      <c r="B636" s="78"/>
      <c r="C636" s="78"/>
      <c r="D636" s="79"/>
      <c r="E636" s="80"/>
      <c r="F636" s="81"/>
      <c r="G636" s="82"/>
      <c r="H636" s="82"/>
      <c r="I636" s="83"/>
      <c r="J636" s="82"/>
      <c r="K636" s="84"/>
      <c r="L636" s="82"/>
      <c r="M636" s="82"/>
      <c r="N636" s="82"/>
      <c r="O636" s="82"/>
      <c r="P636" s="82"/>
      <c r="Q636" s="82"/>
      <c r="R636" s="82"/>
      <c r="S636" s="85"/>
      <c r="T636" s="82"/>
      <c r="U636" s="82"/>
      <c r="V636" s="85"/>
      <c r="W636" s="82"/>
      <c r="X636" s="82"/>
      <c r="Y636" s="82"/>
      <c r="Z636" s="82"/>
      <c r="AA636" s="82"/>
      <c r="AB636" s="82"/>
      <c r="AC636" s="82"/>
      <c r="AD636" s="82"/>
      <c r="AE636" s="73"/>
      <c r="AF636" s="82"/>
      <c r="AG636" s="82"/>
      <c r="AH636" s="82"/>
      <c r="AI636" s="82"/>
      <c r="AJ636" s="82"/>
      <c r="AK636" s="73"/>
      <c r="AL636" s="82"/>
      <c r="AM636" s="82"/>
      <c r="AN636" s="82"/>
      <c r="AO636" s="82"/>
      <c r="AP636" s="82"/>
    </row>
    <row r="637" spans="1:42" s="69" customFormat="1" x14ac:dyDescent="0.6">
      <c r="A637" s="78"/>
      <c r="B637" s="78"/>
      <c r="C637" s="78"/>
      <c r="D637" s="79"/>
      <c r="E637" s="80"/>
      <c r="F637" s="81"/>
      <c r="G637" s="82"/>
      <c r="H637" s="82"/>
      <c r="I637" s="83"/>
      <c r="J637" s="82"/>
      <c r="K637" s="84"/>
      <c r="L637" s="82"/>
      <c r="M637" s="82"/>
      <c r="N637" s="82"/>
      <c r="O637" s="82"/>
      <c r="P637" s="82"/>
      <c r="Q637" s="82"/>
      <c r="R637" s="82"/>
      <c r="S637" s="85"/>
      <c r="T637" s="82"/>
      <c r="U637" s="82"/>
      <c r="V637" s="85"/>
      <c r="W637" s="82"/>
      <c r="X637" s="82"/>
      <c r="Y637" s="82"/>
      <c r="Z637" s="82"/>
      <c r="AA637" s="82"/>
      <c r="AB637" s="82"/>
      <c r="AC637" s="82"/>
      <c r="AD637" s="82"/>
      <c r="AE637" s="73"/>
      <c r="AF637" s="82"/>
      <c r="AG637" s="82"/>
      <c r="AH637" s="82"/>
      <c r="AI637" s="82"/>
      <c r="AJ637" s="82"/>
      <c r="AK637" s="73"/>
      <c r="AL637" s="82"/>
      <c r="AM637" s="82"/>
      <c r="AN637" s="82"/>
      <c r="AO637" s="82"/>
      <c r="AP637" s="82"/>
    </row>
    <row r="638" spans="1:42" s="69" customFormat="1" x14ac:dyDescent="0.6">
      <c r="A638" s="78"/>
      <c r="B638" s="78"/>
      <c r="C638" s="78"/>
      <c r="D638" s="79"/>
      <c r="E638" s="80"/>
      <c r="F638" s="81"/>
      <c r="G638" s="82"/>
      <c r="H638" s="82"/>
      <c r="I638" s="83"/>
      <c r="J638" s="82"/>
      <c r="K638" s="84"/>
      <c r="L638" s="82"/>
      <c r="M638" s="82"/>
      <c r="N638" s="82"/>
      <c r="O638" s="82"/>
      <c r="P638" s="82"/>
      <c r="Q638" s="82"/>
      <c r="R638" s="82"/>
      <c r="S638" s="85"/>
      <c r="T638" s="82"/>
      <c r="U638" s="82"/>
      <c r="V638" s="85"/>
      <c r="W638" s="82"/>
      <c r="X638" s="82"/>
      <c r="Y638" s="82"/>
      <c r="Z638" s="82"/>
      <c r="AA638" s="82"/>
      <c r="AB638" s="82"/>
      <c r="AC638" s="82"/>
      <c r="AD638" s="82"/>
      <c r="AE638" s="73"/>
      <c r="AF638" s="82"/>
      <c r="AG638" s="82"/>
      <c r="AH638" s="82"/>
      <c r="AI638" s="82"/>
      <c r="AJ638" s="82"/>
      <c r="AK638" s="73"/>
      <c r="AL638" s="82"/>
      <c r="AM638" s="82"/>
      <c r="AN638" s="82"/>
      <c r="AO638" s="82"/>
      <c r="AP638" s="82"/>
    </row>
    <row r="639" spans="1:42" s="69" customFormat="1" x14ac:dyDescent="0.6">
      <c r="A639" s="78"/>
      <c r="B639" s="78"/>
      <c r="C639" s="78"/>
      <c r="D639" s="79"/>
      <c r="E639" s="80"/>
      <c r="F639" s="81"/>
      <c r="G639" s="82"/>
      <c r="H639" s="82"/>
      <c r="I639" s="83"/>
      <c r="J639" s="82"/>
      <c r="K639" s="84"/>
      <c r="L639" s="82"/>
      <c r="M639" s="82"/>
      <c r="N639" s="82"/>
      <c r="O639" s="82"/>
      <c r="P639" s="82"/>
      <c r="Q639" s="82"/>
      <c r="R639" s="82"/>
      <c r="S639" s="85"/>
      <c r="T639" s="82"/>
      <c r="U639" s="82"/>
      <c r="V639" s="85"/>
      <c r="W639" s="82"/>
      <c r="X639" s="82"/>
      <c r="Y639" s="82"/>
      <c r="Z639" s="82"/>
      <c r="AA639" s="82"/>
      <c r="AB639" s="82"/>
      <c r="AC639" s="82"/>
      <c r="AD639" s="82"/>
      <c r="AE639" s="73"/>
      <c r="AF639" s="82"/>
      <c r="AG639" s="82"/>
      <c r="AH639" s="82"/>
      <c r="AI639" s="82"/>
      <c r="AJ639" s="82"/>
      <c r="AK639" s="73"/>
      <c r="AL639" s="82"/>
      <c r="AM639" s="82"/>
      <c r="AN639" s="82"/>
      <c r="AO639" s="82"/>
      <c r="AP639" s="82"/>
    </row>
    <row r="640" spans="1:42" s="69" customFormat="1" x14ac:dyDescent="0.6">
      <c r="A640" s="78"/>
      <c r="B640" s="78"/>
      <c r="C640" s="78"/>
      <c r="D640" s="79"/>
      <c r="E640" s="80"/>
      <c r="F640" s="81"/>
      <c r="G640" s="82"/>
      <c r="H640" s="82"/>
      <c r="I640" s="83"/>
      <c r="J640" s="82"/>
      <c r="K640" s="84"/>
      <c r="L640" s="82"/>
      <c r="M640" s="82"/>
      <c r="N640" s="82"/>
      <c r="O640" s="82"/>
      <c r="P640" s="82"/>
      <c r="Q640" s="82"/>
      <c r="R640" s="82"/>
      <c r="S640" s="85"/>
      <c r="T640" s="82"/>
      <c r="U640" s="82"/>
      <c r="V640" s="85"/>
      <c r="W640" s="82"/>
      <c r="X640" s="82"/>
      <c r="Y640" s="82"/>
      <c r="Z640" s="82"/>
      <c r="AA640" s="82"/>
      <c r="AB640" s="82"/>
      <c r="AC640" s="82"/>
      <c r="AD640" s="82"/>
      <c r="AE640" s="73"/>
      <c r="AF640" s="82"/>
      <c r="AG640" s="82"/>
      <c r="AH640" s="82"/>
      <c r="AI640" s="82"/>
      <c r="AJ640" s="82"/>
      <c r="AK640" s="73"/>
      <c r="AL640" s="82"/>
      <c r="AM640" s="82"/>
      <c r="AN640" s="82"/>
      <c r="AO640" s="82"/>
      <c r="AP640" s="82"/>
    </row>
    <row r="641" spans="1:42" s="69" customFormat="1" x14ac:dyDescent="0.6">
      <c r="A641" s="78"/>
      <c r="B641" s="78"/>
      <c r="C641" s="78"/>
      <c r="D641" s="79"/>
      <c r="E641" s="80"/>
      <c r="F641" s="81"/>
      <c r="G641" s="82"/>
      <c r="H641" s="82"/>
      <c r="I641" s="83"/>
      <c r="J641" s="82"/>
      <c r="K641" s="84"/>
      <c r="L641" s="82"/>
      <c r="M641" s="82"/>
      <c r="N641" s="82"/>
      <c r="O641" s="82"/>
      <c r="P641" s="82"/>
      <c r="Q641" s="82"/>
      <c r="R641" s="82"/>
      <c r="S641" s="85"/>
      <c r="T641" s="82"/>
      <c r="U641" s="82"/>
      <c r="V641" s="85"/>
      <c r="W641" s="82"/>
      <c r="X641" s="82"/>
      <c r="Y641" s="82"/>
      <c r="Z641" s="82"/>
      <c r="AA641" s="82"/>
      <c r="AB641" s="82"/>
      <c r="AC641" s="82"/>
      <c r="AD641" s="82"/>
      <c r="AE641" s="73"/>
      <c r="AF641" s="82"/>
      <c r="AG641" s="82"/>
      <c r="AH641" s="82"/>
      <c r="AI641" s="82"/>
      <c r="AJ641" s="82"/>
      <c r="AK641" s="73"/>
      <c r="AL641" s="82"/>
      <c r="AM641" s="82"/>
      <c r="AN641" s="82"/>
      <c r="AO641" s="82"/>
      <c r="AP641" s="82"/>
    </row>
    <row r="642" spans="1:42" s="69" customFormat="1" x14ac:dyDescent="0.6">
      <c r="A642" s="78"/>
      <c r="B642" s="78"/>
      <c r="C642" s="78"/>
      <c r="D642" s="79"/>
      <c r="E642" s="80"/>
      <c r="F642" s="81"/>
      <c r="G642" s="82"/>
      <c r="H642" s="82"/>
      <c r="I642" s="83"/>
      <c r="J642" s="82"/>
      <c r="K642" s="84"/>
      <c r="L642" s="82"/>
      <c r="M642" s="82"/>
      <c r="N642" s="82"/>
      <c r="O642" s="82"/>
      <c r="P642" s="82"/>
      <c r="Q642" s="82"/>
      <c r="R642" s="82"/>
      <c r="S642" s="85"/>
      <c r="T642" s="82"/>
      <c r="U642" s="82"/>
      <c r="V642" s="85"/>
      <c r="W642" s="82"/>
      <c r="X642" s="82"/>
      <c r="Y642" s="82"/>
      <c r="Z642" s="82"/>
      <c r="AA642" s="82"/>
      <c r="AB642" s="82"/>
      <c r="AC642" s="82"/>
      <c r="AD642" s="82"/>
      <c r="AE642" s="73"/>
      <c r="AF642" s="82"/>
      <c r="AG642" s="82"/>
      <c r="AH642" s="82"/>
      <c r="AI642" s="82"/>
      <c r="AJ642" s="82"/>
      <c r="AK642" s="73"/>
      <c r="AL642" s="82"/>
      <c r="AM642" s="82"/>
      <c r="AN642" s="82"/>
      <c r="AO642" s="82"/>
      <c r="AP642" s="82"/>
    </row>
    <row r="643" spans="1:42" s="69" customFormat="1" x14ac:dyDescent="0.6">
      <c r="A643" s="78"/>
      <c r="B643" s="78"/>
      <c r="C643" s="78"/>
      <c r="D643" s="79"/>
      <c r="E643" s="80"/>
      <c r="F643" s="81"/>
      <c r="G643" s="82"/>
      <c r="H643" s="82"/>
      <c r="I643" s="83"/>
      <c r="J643" s="82"/>
      <c r="K643" s="84"/>
      <c r="L643" s="82"/>
      <c r="M643" s="82"/>
      <c r="N643" s="82"/>
      <c r="O643" s="82"/>
      <c r="P643" s="82"/>
      <c r="Q643" s="82"/>
      <c r="R643" s="82"/>
      <c r="S643" s="85"/>
      <c r="T643" s="82"/>
      <c r="U643" s="82"/>
      <c r="V643" s="85"/>
      <c r="W643" s="82"/>
      <c r="X643" s="82"/>
      <c r="Y643" s="82"/>
      <c r="Z643" s="82"/>
      <c r="AA643" s="82"/>
      <c r="AB643" s="82"/>
      <c r="AC643" s="82"/>
      <c r="AD643" s="82"/>
      <c r="AE643" s="73"/>
      <c r="AF643" s="82"/>
      <c r="AG643" s="82"/>
      <c r="AH643" s="82"/>
      <c r="AI643" s="82"/>
      <c r="AJ643" s="82"/>
      <c r="AK643" s="73"/>
      <c r="AL643" s="82"/>
      <c r="AM643" s="82"/>
      <c r="AN643" s="82"/>
      <c r="AO643" s="82"/>
      <c r="AP643" s="82"/>
    </row>
    <row r="644" spans="1:42" s="69" customFormat="1" x14ac:dyDescent="0.6">
      <c r="A644" s="78"/>
      <c r="B644" s="78"/>
      <c r="C644" s="78"/>
      <c r="D644" s="79"/>
      <c r="E644" s="80"/>
      <c r="F644" s="81"/>
      <c r="G644" s="82"/>
      <c r="H644" s="82"/>
      <c r="I644" s="83"/>
      <c r="J644" s="82"/>
      <c r="K644" s="84"/>
      <c r="L644" s="82"/>
      <c r="M644" s="82"/>
      <c r="N644" s="82"/>
      <c r="O644" s="82"/>
      <c r="P644" s="82"/>
      <c r="Q644" s="82"/>
      <c r="R644" s="82"/>
      <c r="S644" s="85"/>
      <c r="T644" s="82"/>
      <c r="U644" s="82"/>
      <c r="V644" s="85"/>
      <c r="W644" s="82"/>
      <c r="X644" s="82"/>
      <c r="Y644" s="82"/>
      <c r="Z644" s="82"/>
      <c r="AA644" s="82"/>
      <c r="AB644" s="82"/>
      <c r="AC644" s="82"/>
      <c r="AD644" s="82"/>
      <c r="AE644" s="73"/>
      <c r="AF644" s="82"/>
      <c r="AG644" s="82"/>
      <c r="AH644" s="82"/>
      <c r="AI644" s="82"/>
      <c r="AJ644" s="82"/>
      <c r="AK644" s="73"/>
      <c r="AL644" s="82"/>
      <c r="AM644" s="82"/>
      <c r="AN644" s="82"/>
      <c r="AO644" s="82"/>
      <c r="AP644" s="82"/>
    </row>
    <row r="645" spans="1:42" s="69" customFormat="1" x14ac:dyDescent="0.6">
      <c r="A645" s="78"/>
      <c r="B645" s="78"/>
      <c r="C645" s="78"/>
      <c r="D645" s="79"/>
      <c r="E645" s="80"/>
      <c r="F645" s="81"/>
      <c r="G645" s="82"/>
      <c r="H645" s="82"/>
      <c r="I645" s="83"/>
      <c r="J645" s="82"/>
      <c r="K645" s="84"/>
      <c r="L645" s="82"/>
      <c r="M645" s="82"/>
      <c r="N645" s="82"/>
      <c r="O645" s="82"/>
      <c r="P645" s="82"/>
      <c r="Q645" s="82"/>
      <c r="R645" s="82"/>
      <c r="S645" s="85"/>
      <c r="T645" s="82"/>
      <c r="U645" s="82"/>
      <c r="V645" s="85"/>
      <c r="W645" s="82"/>
      <c r="X645" s="82"/>
      <c r="Y645" s="82"/>
      <c r="Z645" s="82"/>
      <c r="AA645" s="82"/>
      <c r="AB645" s="82"/>
      <c r="AC645" s="82"/>
      <c r="AD645" s="82"/>
      <c r="AE645" s="73"/>
      <c r="AF645" s="73"/>
      <c r="AG645" s="82"/>
      <c r="AH645" s="82"/>
      <c r="AI645" s="82"/>
      <c r="AJ645" s="82"/>
      <c r="AK645" s="73"/>
      <c r="AL645" s="82"/>
      <c r="AM645" s="82"/>
      <c r="AN645" s="82"/>
      <c r="AO645" s="82"/>
      <c r="AP645" s="82"/>
    </row>
    <row r="646" spans="1:42" s="69" customFormat="1" x14ac:dyDescent="0.6">
      <c r="A646" s="70"/>
      <c r="B646" s="70"/>
      <c r="C646" s="70"/>
      <c r="D646" s="71"/>
      <c r="E646" s="72"/>
      <c r="F646" s="72"/>
      <c r="G646" s="73"/>
      <c r="H646" s="73"/>
      <c r="I646" s="74"/>
      <c r="J646" s="73"/>
      <c r="K646" s="75"/>
      <c r="L646" s="73"/>
      <c r="M646" s="73"/>
      <c r="N646" s="73"/>
      <c r="O646" s="73"/>
      <c r="P646" s="73"/>
      <c r="Q646" s="73"/>
      <c r="R646" s="73"/>
      <c r="S646" s="76"/>
      <c r="T646" s="73"/>
      <c r="U646" s="73"/>
      <c r="V646" s="76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</row>
    <row r="647" spans="1:42" s="69" customFormat="1" x14ac:dyDescent="0.6">
      <c r="A647" s="70"/>
      <c r="B647" s="70"/>
      <c r="C647" s="70"/>
      <c r="D647" s="71"/>
      <c r="E647" s="77"/>
      <c r="F647" s="72"/>
      <c r="G647" s="73"/>
      <c r="H647" s="73"/>
      <c r="I647" s="74"/>
      <c r="J647" s="73"/>
      <c r="K647" s="75"/>
      <c r="L647" s="73"/>
      <c r="M647" s="73"/>
      <c r="N647" s="73"/>
      <c r="O647" s="73"/>
      <c r="P647" s="73"/>
      <c r="Q647" s="73"/>
      <c r="R647" s="73"/>
      <c r="S647" s="76"/>
      <c r="T647" s="73"/>
      <c r="U647" s="73"/>
      <c r="V647" s="76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</row>
    <row r="648" spans="1:42" s="69" customFormat="1" x14ac:dyDescent="0.6">
      <c r="A648" s="70"/>
      <c r="B648" s="70"/>
      <c r="C648" s="70"/>
      <c r="D648" s="71"/>
      <c r="E648" s="77"/>
      <c r="F648" s="72"/>
      <c r="G648" s="73"/>
      <c r="H648" s="73"/>
      <c r="I648" s="74"/>
      <c r="J648" s="73"/>
      <c r="K648" s="75"/>
      <c r="L648" s="73"/>
      <c r="M648" s="73"/>
      <c r="N648" s="73"/>
      <c r="O648" s="73"/>
      <c r="P648" s="73"/>
      <c r="Q648" s="73"/>
      <c r="R648" s="73"/>
      <c r="S648" s="76"/>
      <c r="T648" s="73"/>
      <c r="U648" s="73"/>
      <c r="V648" s="76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</row>
    <row r="649" spans="1:42" s="69" customFormat="1" x14ac:dyDescent="0.6">
      <c r="A649" s="70"/>
      <c r="B649" s="70"/>
      <c r="C649" s="70"/>
      <c r="D649" s="71"/>
      <c r="E649" s="77"/>
      <c r="F649" s="72"/>
      <c r="G649" s="73"/>
      <c r="H649" s="73"/>
      <c r="I649" s="74"/>
      <c r="J649" s="73"/>
      <c r="K649" s="75"/>
      <c r="L649" s="73"/>
      <c r="M649" s="73"/>
      <c r="N649" s="73"/>
      <c r="O649" s="73"/>
      <c r="P649" s="73"/>
      <c r="Q649" s="73"/>
      <c r="R649" s="73"/>
      <c r="S649" s="76"/>
      <c r="T649" s="73"/>
      <c r="U649" s="73"/>
      <c r="V649" s="76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</row>
    <row r="650" spans="1:42" s="69" customFormat="1" x14ac:dyDescent="0.6">
      <c r="A650" s="70"/>
      <c r="B650" s="70"/>
      <c r="C650" s="70"/>
      <c r="D650" s="71"/>
      <c r="E650" s="77"/>
      <c r="F650" s="72"/>
      <c r="G650" s="73"/>
      <c r="H650" s="73"/>
      <c r="I650" s="74"/>
      <c r="J650" s="73"/>
      <c r="K650" s="75"/>
      <c r="L650" s="73"/>
      <c r="M650" s="73"/>
      <c r="N650" s="73"/>
      <c r="O650" s="73"/>
      <c r="P650" s="73"/>
      <c r="Q650" s="73"/>
      <c r="R650" s="73"/>
      <c r="S650" s="76"/>
      <c r="T650" s="73"/>
      <c r="U650" s="73"/>
      <c r="V650" s="76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</row>
    <row r="651" spans="1:42" s="69" customFormat="1" x14ac:dyDescent="0.6">
      <c r="A651" s="70"/>
      <c r="B651" s="70"/>
      <c r="C651" s="70"/>
      <c r="D651" s="71"/>
      <c r="E651" s="77"/>
      <c r="F651" s="72"/>
      <c r="G651" s="73"/>
      <c r="H651" s="73"/>
      <c r="I651" s="74"/>
      <c r="J651" s="73"/>
      <c r="K651" s="75"/>
      <c r="L651" s="73"/>
      <c r="M651" s="73"/>
      <c r="N651" s="73"/>
      <c r="O651" s="73"/>
      <c r="P651" s="73"/>
      <c r="Q651" s="73"/>
      <c r="R651" s="73"/>
      <c r="S651" s="76"/>
      <c r="T651" s="73"/>
      <c r="U651" s="73"/>
      <c r="V651" s="76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</row>
    <row r="652" spans="1:42" s="69" customFormat="1" x14ac:dyDescent="0.6">
      <c r="A652" s="70"/>
      <c r="B652" s="70"/>
      <c r="C652" s="70"/>
      <c r="D652" s="71"/>
      <c r="E652" s="77"/>
      <c r="F652" s="72"/>
      <c r="G652" s="73"/>
      <c r="H652" s="73"/>
      <c r="I652" s="74"/>
      <c r="J652" s="73"/>
      <c r="K652" s="75"/>
      <c r="L652" s="73"/>
      <c r="M652" s="73"/>
      <c r="N652" s="73"/>
      <c r="O652" s="73"/>
      <c r="P652" s="73"/>
      <c r="Q652" s="73"/>
      <c r="R652" s="73"/>
      <c r="S652" s="76"/>
      <c r="T652" s="73"/>
      <c r="U652" s="73"/>
      <c r="V652" s="76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</row>
    <row r="653" spans="1:42" s="69" customFormat="1" x14ac:dyDescent="0.6">
      <c r="A653" s="70"/>
      <c r="B653" s="70"/>
      <c r="C653" s="70"/>
      <c r="D653" s="71"/>
      <c r="E653" s="77"/>
      <c r="F653" s="72"/>
      <c r="G653" s="73"/>
      <c r="H653" s="73"/>
      <c r="I653" s="74"/>
      <c r="J653" s="73"/>
      <c r="K653" s="75"/>
      <c r="L653" s="73"/>
      <c r="M653" s="73"/>
      <c r="N653" s="73"/>
      <c r="O653" s="73"/>
      <c r="P653" s="73"/>
      <c r="Q653" s="73"/>
      <c r="R653" s="73"/>
      <c r="S653" s="76"/>
      <c r="T653" s="73"/>
      <c r="U653" s="73"/>
      <c r="V653" s="76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</row>
    <row r="654" spans="1:42" s="69" customFormat="1" x14ac:dyDescent="0.6">
      <c r="A654" s="70"/>
      <c r="B654" s="70"/>
      <c r="C654" s="70"/>
      <c r="D654" s="71"/>
      <c r="E654" s="77"/>
      <c r="F654" s="72"/>
      <c r="G654" s="73"/>
      <c r="H654" s="73"/>
      <c r="I654" s="74"/>
      <c r="J654" s="73"/>
      <c r="K654" s="75"/>
      <c r="L654" s="73"/>
      <c r="M654" s="73"/>
      <c r="N654" s="73"/>
      <c r="O654" s="73"/>
      <c r="P654" s="73"/>
      <c r="Q654" s="73"/>
      <c r="R654" s="73"/>
      <c r="S654" s="76"/>
      <c r="T654" s="73"/>
      <c r="U654" s="73"/>
      <c r="V654" s="76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</row>
    <row r="655" spans="1:42" s="69" customFormat="1" x14ac:dyDescent="0.6">
      <c r="A655" s="70"/>
      <c r="B655" s="70"/>
      <c r="C655" s="70"/>
      <c r="D655" s="71"/>
      <c r="E655" s="77"/>
      <c r="F655" s="72"/>
      <c r="G655" s="73"/>
      <c r="H655" s="73"/>
      <c r="I655" s="74"/>
      <c r="J655" s="73"/>
      <c r="K655" s="75"/>
      <c r="L655" s="73"/>
      <c r="M655" s="73"/>
      <c r="N655" s="73"/>
      <c r="O655" s="73"/>
      <c r="P655" s="73"/>
      <c r="Q655" s="73"/>
      <c r="R655" s="73"/>
      <c r="S655" s="76"/>
      <c r="T655" s="73"/>
      <c r="U655" s="73"/>
      <c r="V655" s="76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</row>
    <row r="656" spans="1:42" s="69" customFormat="1" x14ac:dyDescent="0.6">
      <c r="A656" s="70"/>
      <c r="B656" s="70"/>
      <c r="C656" s="70"/>
      <c r="D656" s="71"/>
      <c r="E656" s="77"/>
      <c r="F656" s="72"/>
      <c r="G656" s="73"/>
      <c r="H656" s="73"/>
      <c r="I656" s="74"/>
      <c r="J656" s="73"/>
      <c r="K656" s="75"/>
      <c r="L656" s="73"/>
      <c r="M656" s="73"/>
      <c r="N656" s="73"/>
      <c r="O656" s="73"/>
      <c r="P656" s="73"/>
      <c r="Q656" s="73"/>
      <c r="R656" s="73"/>
      <c r="S656" s="76"/>
      <c r="T656" s="73"/>
      <c r="U656" s="73"/>
      <c r="V656" s="76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</row>
    <row r="657" spans="1:42" s="69" customFormat="1" x14ac:dyDescent="0.6">
      <c r="A657" s="78"/>
      <c r="B657" s="78"/>
      <c r="C657" s="78"/>
      <c r="D657" s="79"/>
      <c r="E657" s="80"/>
      <c r="F657" s="81"/>
      <c r="G657" s="82"/>
      <c r="H657" s="82"/>
      <c r="I657" s="83"/>
      <c r="J657" s="82"/>
      <c r="K657" s="84"/>
      <c r="L657" s="82"/>
      <c r="M657" s="82"/>
      <c r="N657" s="82"/>
      <c r="O657" s="82"/>
      <c r="P657" s="82"/>
      <c r="Q657" s="82"/>
      <c r="R657" s="82"/>
      <c r="S657" s="85"/>
      <c r="T657" s="82"/>
      <c r="U657" s="82"/>
      <c r="V657" s="85"/>
      <c r="W657" s="82"/>
      <c r="X657" s="82"/>
      <c r="Y657" s="82"/>
      <c r="Z657" s="82"/>
      <c r="AA657" s="82"/>
      <c r="AB657" s="82"/>
      <c r="AC657" s="82"/>
      <c r="AD657" s="82"/>
      <c r="AE657" s="73"/>
      <c r="AF657" s="73"/>
      <c r="AG657" s="82"/>
      <c r="AH657" s="82"/>
      <c r="AI657" s="82"/>
      <c r="AJ657" s="82"/>
      <c r="AK657" s="73"/>
      <c r="AL657" s="82"/>
      <c r="AM657" s="82"/>
      <c r="AN657" s="82"/>
      <c r="AO657" s="82"/>
      <c r="AP657" s="82"/>
    </row>
    <row r="658" spans="1:42" s="69" customFormat="1" x14ac:dyDescent="0.6">
      <c r="A658" s="70"/>
      <c r="B658" s="70"/>
      <c r="C658" s="70"/>
      <c r="D658" s="71"/>
      <c r="E658" s="72"/>
      <c r="F658" s="72"/>
      <c r="G658" s="73"/>
      <c r="H658" s="73"/>
      <c r="I658" s="74"/>
      <c r="J658" s="73"/>
      <c r="K658" s="75"/>
      <c r="L658" s="73"/>
      <c r="M658" s="73"/>
      <c r="N658" s="73"/>
      <c r="O658" s="73"/>
      <c r="P658" s="73"/>
      <c r="Q658" s="73"/>
      <c r="R658" s="73"/>
      <c r="S658" s="76"/>
      <c r="T658" s="73"/>
      <c r="U658" s="73"/>
      <c r="V658" s="76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</row>
    <row r="659" spans="1:42" s="69" customFormat="1" x14ac:dyDescent="0.6">
      <c r="A659" s="70"/>
      <c r="B659" s="70"/>
      <c r="C659" s="70"/>
      <c r="D659" s="71"/>
      <c r="E659" s="77"/>
      <c r="F659" s="72"/>
      <c r="G659" s="73"/>
      <c r="H659" s="73"/>
      <c r="I659" s="74"/>
      <c r="J659" s="73"/>
      <c r="K659" s="75"/>
      <c r="L659" s="73"/>
      <c r="M659" s="73"/>
      <c r="N659" s="73"/>
      <c r="O659" s="73"/>
      <c r="P659" s="73"/>
      <c r="Q659" s="73"/>
      <c r="R659" s="73"/>
      <c r="S659" s="76"/>
      <c r="T659" s="73"/>
      <c r="U659" s="73"/>
      <c r="V659" s="76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</row>
    <row r="660" spans="1:42" s="69" customFormat="1" x14ac:dyDescent="0.6">
      <c r="A660" s="70"/>
      <c r="B660" s="70"/>
      <c r="C660" s="70"/>
      <c r="D660" s="71"/>
      <c r="E660" s="77"/>
      <c r="F660" s="72"/>
      <c r="G660" s="73"/>
      <c r="H660" s="73"/>
      <c r="I660" s="74"/>
      <c r="J660" s="73"/>
      <c r="K660" s="75"/>
      <c r="L660" s="73"/>
      <c r="M660" s="73"/>
      <c r="N660" s="73"/>
      <c r="O660" s="73"/>
      <c r="P660" s="73"/>
      <c r="Q660" s="73"/>
      <c r="R660" s="73"/>
      <c r="S660" s="76"/>
      <c r="T660" s="73"/>
      <c r="U660" s="73"/>
      <c r="V660" s="76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</row>
    <row r="661" spans="1:42" s="69" customFormat="1" x14ac:dyDescent="0.6">
      <c r="A661" s="70"/>
      <c r="B661" s="70"/>
      <c r="C661" s="70"/>
      <c r="D661" s="71"/>
      <c r="E661" s="77"/>
      <c r="F661" s="72"/>
      <c r="G661" s="73"/>
      <c r="H661" s="73"/>
      <c r="I661" s="74"/>
      <c r="J661" s="73"/>
      <c r="K661" s="75"/>
      <c r="L661" s="73"/>
      <c r="M661" s="73"/>
      <c r="N661" s="73"/>
      <c r="O661" s="73"/>
      <c r="P661" s="73"/>
      <c r="Q661" s="73"/>
      <c r="R661" s="73"/>
      <c r="S661" s="76"/>
      <c r="T661" s="73"/>
      <c r="U661" s="73"/>
      <c r="V661" s="76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</row>
    <row r="662" spans="1:42" s="69" customFormat="1" x14ac:dyDescent="0.6">
      <c r="A662" s="70"/>
      <c r="B662" s="70"/>
      <c r="C662" s="70"/>
      <c r="D662" s="71"/>
      <c r="E662" s="77"/>
      <c r="F662" s="72"/>
      <c r="G662" s="73"/>
      <c r="H662" s="73"/>
      <c r="I662" s="74"/>
      <c r="J662" s="73"/>
      <c r="K662" s="75"/>
      <c r="L662" s="73"/>
      <c r="M662" s="73"/>
      <c r="N662" s="73"/>
      <c r="O662" s="73"/>
      <c r="P662" s="73"/>
      <c r="Q662" s="73"/>
      <c r="R662" s="73"/>
      <c r="S662" s="76"/>
      <c r="T662" s="73"/>
      <c r="U662" s="73"/>
      <c r="V662" s="76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</row>
    <row r="663" spans="1:42" s="69" customFormat="1" x14ac:dyDescent="0.6">
      <c r="A663" s="70"/>
      <c r="B663" s="70"/>
      <c r="C663" s="70"/>
      <c r="D663" s="71"/>
      <c r="E663" s="77"/>
      <c r="F663" s="72"/>
      <c r="G663" s="73"/>
      <c r="H663" s="73"/>
      <c r="I663" s="74"/>
      <c r="J663" s="73"/>
      <c r="K663" s="75"/>
      <c r="L663" s="73"/>
      <c r="M663" s="73"/>
      <c r="N663" s="73"/>
      <c r="O663" s="73"/>
      <c r="P663" s="73"/>
      <c r="Q663" s="73"/>
      <c r="R663" s="73"/>
      <c r="S663" s="76"/>
      <c r="T663" s="73"/>
      <c r="U663" s="73"/>
      <c r="V663" s="76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</row>
    <row r="664" spans="1:42" s="69" customFormat="1" x14ac:dyDescent="0.6">
      <c r="A664" s="70"/>
      <c r="B664" s="70"/>
      <c r="C664" s="70"/>
      <c r="D664" s="71"/>
      <c r="E664" s="77"/>
      <c r="F664" s="72"/>
      <c r="G664" s="73"/>
      <c r="H664" s="73"/>
      <c r="I664" s="74"/>
      <c r="J664" s="73"/>
      <c r="K664" s="75"/>
      <c r="L664" s="73"/>
      <c r="M664" s="73"/>
      <c r="N664" s="73"/>
      <c r="O664" s="73"/>
      <c r="P664" s="73"/>
      <c r="Q664" s="73"/>
      <c r="R664" s="73"/>
      <c r="S664" s="76"/>
      <c r="T664" s="73"/>
      <c r="U664" s="73"/>
      <c r="V664" s="76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  <c r="AO664" s="73"/>
      <c r="AP664" s="73"/>
    </row>
    <row r="665" spans="1:42" s="69" customFormat="1" x14ac:dyDescent="0.6">
      <c r="A665" s="70"/>
      <c r="B665" s="70"/>
      <c r="C665" s="70"/>
      <c r="D665" s="71"/>
      <c r="E665" s="77"/>
      <c r="F665" s="72"/>
      <c r="G665" s="73"/>
      <c r="H665" s="73"/>
      <c r="I665" s="74"/>
      <c r="J665" s="73"/>
      <c r="K665" s="75"/>
      <c r="L665" s="73"/>
      <c r="M665" s="73"/>
      <c r="N665" s="73"/>
      <c r="O665" s="73"/>
      <c r="P665" s="73"/>
      <c r="Q665" s="73"/>
      <c r="R665" s="73"/>
      <c r="S665" s="76"/>
      <c r="T665" s="73"/>
      <c r="U665" s="73"/>
      <c r="V665" s="76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</row>
    <row r="666" spans="1:42" s="69" customFormat="1" x14ac:dyDescent="0.6">
      <c r="A666" s="70"/>
      <c r="B666" s="70"/>
      <c r="C666" s="70"/>
      <c r="D666" s="71"/>
      <c r="E666" s="77"/>
      <c r="F666" s="72"/>
      <c r="G666" s="73"/>
      <c r="H666" s="73"/>
      <c r="I666" s="74"/>
      <c r="J666" s="73"/>
      <c r="K666" s="75"/>
      <c r="L666" s="73"/>
      <c r="M666" s="73"/>
      <c r="N666" s="73"/>
      <c r="O666" s="73"/>
      <c r="P666" s="73"/>
      <c r="Q666" s="73"/>
      <c r="R666" s="73"/>
      <c r="S666" s="76"/>
      <c r="T666" s="73"/>
      <c r="U666" s="73"/>
      <c r="V666" s="76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</row>
    <row r="667" spans="1:42" s="69" customFormat="1" x14ac:dyDescent="0.6">
      <c r="A667" s="70"/>
      <c r="B667" s="70"/>
      <c r="C667" s="70"/>
      <c r="D667" s="71"/>
      <c r="E667" s="77"/>
      <c r="F667" s="72"/>
      <c r="G667" s="73"/>
      <c r="H667" s="73"/>
      <c r="I667" s="74"/>
      <c r="J667" s="73"/>
      <c r="K667" s="75"/>
      <c r="L667" s="73"/>
      <c r="M667" s="73"/>
      <c r="N667" s="73"/>
      <c r="O667" s="73"/>
      <c r="P667" s="73"/>
      <c r="Q667" s="73"/>
      <c r="R667" s="73"/>
      <c r="S667" s="76"/>
      <c r="T667" s="73"/>
      <c r="U667" s="73"/>
      <c r="V667" s="76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</row>
    <row r="668" spans="1:42" s="69" customFormat="1" x14ac:dyDescent="0.6">
      <c r="A668" s="70"/>
      <c r="B668" s="70"/>
      <c r="C668" s="70"/>
      <c r="D668" s="71"/>
      <c r="E668" s="77"/>
      <c r="F668" s="72"/>
      <c r="G668" s="73"/>
      <c r="H668" s="73"/>
      <c r="I668" s="74"/>
      <c r="J668" s="73"/>
      <c r="K668" s="75"/>
      <c r="L668" s="73"/>
      <c r="M668" s="73"/>
      <c r="N668" s="73"/>
      <c r="O668" s="73"/>
      <c r="P668" s="73"/>
      <c r="Q668" s="73"/>
      <c r="R668" s="73"/>
      <c r="S668" s="76"/>
      <c r="T668" s="73"/>
      <c r="U668" s="73"/>
      <c r="V668" s="76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/>
    </row>
    <row r="669" spans="1:42" s="69" customFormat="1" x14ac:dyDescent="0.6">
      <c r="A669" s="78"/>
      <c r="B669" s="78"/>
      <c r="C669" s="78"/>
      <c r="D669" s="79"/>
      <c r="E669" s="80"/>
      <c r="F669" s="81"/>
      <c r="G669" s="82"/>
      <c r="H669" s="82"/>
      <c r="I669" s="83"/>
      <c r="J669" s="82"/>
      <c r="K669" s="84"/>
      <c r="L669" s="82"/>
      <c r="M669" s="82"/>
      <c r="N669" s="82"/>
      <c r="O669" s="82"/>
      <c r="P669" s="82"/>
      <c r="Q669" s="82"/>
      <c r="R669" s="82"/>
      <c r="S669" s="85"/>
      <c r="T669" s="82"/>
      <c r="U669" s="82"/>
      <c r="V669" s="85"/>
      <c r="W669" s="82"/>
      <c r="X669" s="82"/>
      <c r="Y669" s="82"/>
      <c r="Z669" s="82"/>
      <c r="AA669" s="82"/>
      <c r="AB669" s="82"/>
      <c r="AC669" s="82"/>
      <c r="AD669" s="82"/>
      <c r="AE669" s="73"/>
      <c r="AF669" s="73"/>
      <c r="AG669" s="82"/>
      <c r="AH669" s="82"/>
      <c r="AI669" s="82"/>
      <c r="AJ669" s="82"/>
      <c r="AK669" s="73"/>
      <c r="AL669" s="82"/>
      <c r="AM669" s="82"/>
      <c r="AN669" s="82"/>
      <c r="AO669" s="82"/>
      <c r="AP669" s="82"/>
    </row>
    <row r="670" spans="1:42" s="69" customFormat="1" x14ac:dyDescent="0.6">
      <c r="A670" s="70"/>
      <c r="B670" s="70"/>
      <c r="C670" s="70"/>
      <c r="D670" s="71"/>
      <c r="E670" s="72"/>
      <c r="F670" s="72"/>
      <c r="G670" s="73"/>
      <c r="H670" s="73"/>
      <c r="I670" s="74"/>
      <c r="J670" s="73"/>
      <c r="K670" s="75"/>
      <c r="L670" s="73"/>
      <c r="M670" s="73"/>
      <c r="N670" s="73"/>
      <c r="O670" s="73"/>
      <c r="P670" s="73"/>
      <c r="Q670" s="73"/>
      <c r="R670" s="73"/>
      <c r="S670" s="76"/>
      <c r="T670" s="73"/>
      <c r="U670" s="73"/>
      <c r="V670" s="76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</row>
    <row r="671" spans="1:42" s="69" customFormat="1" x14ac:dyDescent="0.6">
      <c r="A671" s="70"/>
      <c r="B671" s="70"/>
      <c r="C671" s="70"/>
      <c r="D671" s="71"/>
      <c r="E671" s="77"/>
      <c r="F671" s="72"/>
      <c r="G671" s="73"/>
      <c r="H671" s="73"/>
      <c r="I671" s="74"/>
      <c r="J671" s="73"/>
      <c r="K671" s="75"/>
      <c r="L671" s="73"/>
      <c r="M671" s="73"/>
      <c r="N671" s="73"/>
      <c r="O671" s="73"/>
      <c r="P671" s="73"/>
      <c r="Q671" s="73"/>
      <c r="R671" s="73"/>
      <c r="S671" s="76"/>
      <c r="T671" s="73"/>
      <c r="U671" s="73"/>
      <c r="V671" s="76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</row>
    <row r="672" spans="1:42" s="69" customFormat="1" x14ac:dyDescent="0.6">
      <c r="A672" s="70"/>
      <c r="B672" s="70"/>
      <c r="C672" s="70"/>
      <c r="D672" s="71"/>
      <c r="E672" s="77"/>
      <c r="F672" s="72"/>
      <c r="G672" s="73"/>
      <c r="H672" s="73"/>
      <c r="I672" s="74"/>
      <c r="J672" s="73"/>
      <c r="K672" s="75"/>
      <c r="L672" s="73"/>
      <c r="M672" s="73"/>
      <c r="N672" s="73"/>
      <c r="O672" s="73"/>
      <c r="P672" s="73"/>
      <c r="Q672" s="73"/>
      <c r="R672" s="73"/>
      <c r="S672" s="76"/>
      <c r="T672" s="73"/>
      <c r="U672" s="73"/>
      <c r="V672" s="76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</row>
    <row r="673" spans="1:42" s="69" customFormat="1" x14ac:dyDescent="0.6">
      <c r="A673" s="70"/>
      <c r="B673" s="70"/>
      <c r="C673" s="70"/>
      <c r="D673" s="71"/>
      <c r="E673" s="77"/>
      <c r="F673" s="72"/>
      <c r="G673" s="73"/>
      <c r="H673" s="73"/>
      <c r="I673" s="74"/>
      <c r="J673" s="73"/>
      <c r="K673" s="75"/>
      <c r="L673" s="73"/>
      <c r="M673" s="73"/>
      <c r="N673" s="73"/>
      <c r="O673" s="73"/>
      <c r="P673" s="73"/>
      <c r="Q673" s="73"/>
      <c r="R673" s="73"/>
      <c r="S673" s="76"/>
      <c r="T673" s="73"/>
      <c r="U673" s="73"/>
      <c r="V673" s="76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</row>
    <row r="674" spans="1:42" s="69" customFormat="1" x14ac:dyDescent="0.6">
      <c r="A674" s="70"/>
      <c r="B674" s="70"/>
      <c r="C674" s="70"/>
      <c r="D674" s="71"/>
      <c r="E674" s="77"/>
      <c r="F674" s="72"/>
      <c r="G674" s="73"/>
      <c r="H674" s="73"/>
      <c r="I674" s="74"/>
      <c r="J674" s="73"/>
      <c r="K674" s="75"/>
      <c r="L674" s="73"/>
      <c r="M674" s="73"/>
      <c r="N674" s="73"/>
      <c r="O674" s="73"/>
      <c r="P674" s="73"/>
      <c r="Q674" s="73"/>
      <c r="R674" s="73"/>
      <c r="S674" s="76"/>
      <c r="T674" s="73"/>
      <c r="U674" s="73"/>
      <c r="V674" s="76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</row>
    <row r="675" spans="1:42" s="69" customFormat="1" x14ac:dyDescent="0.6">
      <c r="A675" s="70"/>
      <c r="B675" s="70"/>
      <c r="C675" s="70"/>
      <c r="D675" s="71"/>
      <c r="E675" s="77"/>
      <c r="F675" s="72"/>
      <c r="G675" s="73"/>
      <c r="H675" s="73"/>
      <c r="I675" s="74"/>
      <c r="J675" s="73"/>
      <c r="K675" s="75"/>
      <c r="L675" s="73"/>
      <c r="M675" s="73"/>
      <c r="N675" s="73"/>
      <c r="O675" s="73"/>
      <c r="P675" s="73"/>
      <c r="Q675" s="73"/>
      <c r="R675" s="73"/>
      <c r="S675" s="76"/>
      <c r="T675" s="73"/>
      <c r="U675" s="73"/>
      <c r="V675" s="76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</row>
    <row r="676" spans="1:42" s="69" customFormat="1" x14ac:dyDescent="0.6">
      <c r="A676" s="70"/>
      <c r="B676" s="70"/>
      <c r="C676" s="70"/>
      <c r="D676" s="71"/>
      <c r="E676" s="77"/>
      <c r="F676" s="72"/>
      <c r="G676" s="73"/>
      <c r="H676" s="73"/>
      <c r="I676" s="74"/>
      <c r="J676" s="73"/>
      <c r="K676" s="75"/>
      <c r="L676" s="73"/>
      <c r="M676" s="73"/>
      <c r="N676" s="73"/>
      <c r="O676" s="73"/>
      <c r="P676" s="73"/>
      <c r="Q676" s="73"/>
      <c r="R676" s="73"/>
      <c r="S676" s="76"/>
      <c r="T676" s="73"/>
      <c r="U676" s="73"/>
      <c r="V676" s="76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</row>
    <row r="677" spans="1:42" s="69" customFormat="1" x14ac:dyDescent="0.6">
      <c r="A677" s="70"/>
      <c r="B677" s="70"/>
      <c r="C677" s="70"/>
      <c r="D677" s="71"/>
      <c r="E677" s="77"/>
      <c r="F677" s="72"/>
      <c r="G677" s="73"/>
      <c r="H677" s="73"/>
      <c r="I677" s="74"/>
      <c r="J677" s="73"/>
      <c r="K677" s="75"/>
      <c r="L677" s="73"/>
      <c r="M677" s="73"/>
      <c r="N677" s="73"/>
      <c r="O677" s="73"/>
      <c r="P677" s="73"/>
      <c r="Q677" s="73"/>
      <c r="R677" s="73"/>
      <c r="S677" s="76"/>
      <c r="T677" s="73"/>
      <c r="U677" s="73"/>
      <c r="V677" s="76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</row>
    <row r="678" spans="1:42" s="69" customFormat="1" x14ac:dyDescent="0.6">
      <c r="A678" s="70"/>
      <c r="B678" s="70"/>
      <c r="C678" s="70"/>
      <c r="D678" s="71"/>
      <c r="E678" s="77"/>
      <c r="F678" s="72"/>
      <c r="G678" s="73"/>
      <c r="H678" s="73"/>
      <c r="I678" s="74"/>
      <c r="J678" s="73"/>
      <c r="K678" s="75"/>
      <c r="L678" s="73"/>
      <c r="M678" s="73"/>
      <c r="N678" s="73"/>
      <c r="O678" s="73"/>
      <c r="P678" s="73"/>
      <c r="Q678" s="73"/>
      <c r="R678" s="73"/>
      <c r="S678" s="76"/>
      <c r="T678" s="73"/>
      <c r="U678" s="73"/>
      <c r="V678" s="76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</row>
    <row r="679" spans="1:42" s="69" customFormat="1" x14ac:dyDescent="0.6">
      <c r="A679" s="70"/>
      <c r="B679" s="70"/>
      <c r="C679" s="70"/>
      <c r="D679" s="71"/>
      <c r="E679" s="77"/>
      <c r="F679" s="72"/>
      <c r="G679" s="73"/>
      <c r="H679" s="73"/>
      <c r="I679" s="74"/>
      <c r="J679" s="73"/>
      <c r="K679" s="75"/>
      <c r="L679" s="73"/>
      <c r="M679" s="73"/>
      <c r="N679" s="73"/>
      <c r="O679" s="73"/>
      <c r="P679" s="73"/>
      <c r="Q679" s="73"/>
      <c r="R679" s="73"/>
      <c r="S679" s="76"/>
      <c r="T679" s="73"/>
      <c r="U679" s="73"/>
      <c r="V679" s="76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</row>
    <row r="680" spans="1:42" s="69" customFormat="1" x14ac:dyDescent="0.6">
      <c r="A680" s="70"/>
      <c r="B680" s="70"/>
      <c r="C680" s="70"/>
      <c r="D680" s="71"/>
      <c r="E680" s="77"/>
      <c r="F680" s="72"/>
      <c r="G680" s="73"/>
      <c r="H680" s="73"/>
      <c r="I680" s="74"/>
      <c r="J680" s="73"/>
      <c r="K680" s="75"/>
      <c r="L680" s="73"/>
      <c r="M680" s="73"/>
      <c r="N680" s="73"/>
      <c r="O680" s="73"/>
      <c r="P680" s="73"/>
      <c r="Q680" s="73"/>
      <c r="R680" s="73"/>
      <c r="S680" s="76"/>
      <c r="T680" s="73"/>
      <c r="U680" s="73"/>
      <c r="V680" s="76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</row>
    <row r="681" spans="1:42" s="69" customFormat="1" x14ac:dyDescent="0.6">
      <c r="A681" s="78"/>
      <c r="B681" s="78"/>
      <c r="C681" s="78"/>
      <c r="D681" s="79"/>
      <c r="E681" s="80"/>
      <c r="F681" s="81"/>
      <c r="G681" s="82"/>
      <c r="H681" s="82"/>
      <c r="I681" s="83"/>
      <c r="J681" s="82"/>
      <c r="K681" s="84"/>
      <c r="L681" s="82"/>
      <c r="M681" s="82"/>
      <c r="N681" s="82"/>
      <c r="O681" s="82"/>
      <c r="P681" s="82"/>
      <c r="Q681" s="82"/>
      <c r="R681" s="82"/>
      <c r="S681" s="85"/>
      <c r="T681" s="82"/>
      <c r="U681" s="82"/>
      <c r="V681" s="85"/>
      <c r="W681" s="82"/>
      <c r="X681" s="82"/>
      <c r="Y681" s="82"/>
      <c r="Z681" s="82"/>
      <c r="AA681" s="82"/>
      <c r="AB681" s="82"/>
      <c r="AC681" s="82"/>
      <c r="AD681" s="82"/>
      <c r="AE681" s="73"/>
      <c r="AF681" s="73"/>
      <c r="AG681" s="82"/>
      <c r="AH681" s="82"/>
      <c r="AI681" s="82"/>
      <c r="AJ681" s="82"/>
      <c r="AK681" s="73"/>
      <c r="AL681" s="82"/>
      <c r="AM681" s="82"/>
      <c r="AN681" s="82"/>
      <c r="AO681" s="82"/>
      <c r="AP681" s="82"/>
    </row>
    <row r="682" spans="1:42" s="69" customFormat="1" x14ac:dyDescent="0.6">
      <c r="A682" s="70"/>
      <c r="B682" s="70"/>
      <c r="C682" s="70"/>
      <c r="D682" s="71"/>
      <c r="E682" s="72"/>
      <c r="F682" s="72"/>
      <c r="G682" s="73"/>
      <c r="H682" s="73"/>
      <c r="I682" s="74"/>
      <c r="J682" s="73"/>
      <c r="K682" s="75"/>
      <c r="L682" s="73"/>
      <c r="M682" s="73"/>
      <c r="N682" s="73"/>
      <c r="O682" s="73"/>
      <c r="P682" s="73"/>
      <c r="Q682" s="73"/>
      <c r="R682" s="73"/>
      <c r="S682" s="76"/>
      <c r="T682" s="73"/>
      <c r="U682" s="73"/>
      <c r="V682" s="76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</row>
    <row r="683" spans="1:42" s="69" customFormat="1" x14ac:dyDescent="0.6">
      <c r="A683" s="70"/>
      <c r="B683" s="70"/>
      <c r="C683" s="70"/>
      <c r="D683" s="71"/>
      <c r="E683" s="77"/>
      <c r="F683" s="72"/>
      <c r="G683" s="73"/>
      <c r="H683" s="73"/>
      <c r="I683" s="74"/>
      <c r="J683" s="73"/>
      <c r="K683" s="75"/>
      <c r="L683" s="73"/>
      <c r="M683" s="73"/>
      <c r="N683" s="73"/>
      <c r="O683" s="73"/>
      <c r="P683" s="73"/>
      <c r="Q683" s="73"/>
      <c r="R683" s="73"/>
      <c r="S683" s="76"/>
      <c r="T683" s="73"/>
      <c r="U683" s="73"/>
      <c r="V683" s="76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</row>
    <row r="684" spans="1:42" s="69" customFormat="1" x14ac:dyDescent="0.6">
      <c r="A684" s="70"/>
      <c r="B684" s="70"/>
      <c r="C684" s="70"/>
      <c r="D684" s="71"/>
      <c r="E684" s="77"/>
      <c r="F684" s="72"/>
      <c r="G684" s="73"/>
      <c r="H684" s="73"/>
      <c r="I684" s="74"/>
      <c r="J684" s="73"/>
      <c r="K684" s="75"/>
      <c r="L684" s="73"/>
      <c r="M684" s="73"/>
      <c r="N684" s="73"/>
      <c r="O684" s="73"/>
      <c r="P684" s="73"/>
      <c r="Q684" s="73"/>
      <c r="R684" s="73"/>
      <c r="S684" s="76"/>
      <c r="T684" s="73"/>
      <c r="U684" s="73"/>
      <c r="V684" s="76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</row>
    <row r="685" spans="1:42" s="69" customFormat="1" x14ac:dyDescent="0.6">
      <c r="A685" s="70"/>
      <c r="B685" s="70"/>
      <c r="C685" s="70"/>
      <c r="D685" s="71"/>
      <c r="E685" s="77"/>
      <c r="F685" s="72"/>
      <c r="G685" s="73"/>
      <c r="H685" s="73"/>
      <c r="I685" s="74"/>
      <c r="J685" s="73"/>
      <c r="K685" s="75"/>
      <c r="L685" s="73"/>
      <c r="M685" s="73"/>
      <c r="N685" s="73"/>
      <c r="O685" s="73"/>
      <c r="P685" s="73"/>
      <c r="Q685" s="73"/>
      <c r="R685" s="73"/>
      <c r="S685" s="76"/>
      <c r="T685" s="73"/>
      <c r="U685" s="73"/>
      <c r="V685" s="76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</row>
    <row r="686" spans="1:42" s="69" customFormat="1" x14ac:dyDescent="0.6">
      <c r="A686" s="70"/>
      <c r="B686" s="70"/>
      <c r="C686" s="70"/>
      <c r="D686" s="71"/>
      <c r="E686" s="77"/>
      <c r="F686" s="72"/>
      <c r="G686" s="73"/>
      <c r="H686" s="73"/>
      <c r="I686" s="74"/>
      <c r="J686" s="73"/>
      <c r="K686" s="75"/>
      <c r="L686" s="73"/>
      <c r="M686" s="73"/>
      <c r="N686" s="73"/>
      <c r="O686" s="73"/>
      <c r="P686" s="73"/>
      <c r="Q686" s="73"/>
      <c r="R686" s="73"/>
      <c r="S686" s="76"/>
      <c r="T686" s="73"/>
      <c r="U686" s="73"/>
      <c r="V686" s="76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</row>
    <row r="687" spans="1:42" s="69" customFormat="1" x14ac:dyDescent="0.6">
      <c r="A687" s="70"/>
      <c r="B687" s="70"/>
      <c r="C687" s="70"/>
      <c r="D687" s="71"/>
      <c r="E687" s="77"/>
      <c r="F687" s="72"/>
      <c r="G687" s="73"/>
      <c r="H687" s="73"/>
      <c r="I687" s="74"/>
      <c r="J687" s="73"/>
      <c r="K687" s="75"/>
      <c r="L687" s="73"/>
      <c r="M687" s="73"/>
      <c r="N687" s="73"/>
      <c r="O687" s="73"/>
      <c r="P687" s="73"/>
      <c r="Q687" s="73"/>
      <c r="R687" s="73"/>
      <c r="S687" s="76"/>
      <c r="T687" s="73"/>
      <c r="U687" s="73"/>
      <c r="V687" s="76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</row>
    <row r="688" spans="1:42" s="69" customFormat="1" x14ac:dyDescent="0.6">
      <c r="A688" s="70"/>
      <c r="B688" s="70"/>
      <c r="C688" s="70"/>
      <c r="D688" s="71"/>
      <c r="E688" s="77"/>
      <c r="F688" s="72"/>
      <c r="G688" s="73"/>
      <c r="H688" s="73"/>
      <c r="I688" s="74"/>
      <c r="J688" s="73"/>
      <c r="K688" s="75"/>
      <c r="L688" s="73"/>
      <c r="M688" s="73"/>
      <c r="N688" s="73"/>
      <c r="O688" s="73"/>
      <c r="P688" s="73"/>
      <c r="Q688" s="73"/>
      <c r="R688" s="73"/>
      <c r="S688" s="76"/>
      <c r="T688" s="73"/>
      <c r="U688" s="73"/>
      <c r="V688" s="76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</row>
    <row r="689" spans="1:42" s="69" customFormat="1" x14ac:dyDescent="0.6">
      <c r="A689" s="70"/>
      <c r="B689" s="70"/>
      <c r="C689" s="70"/>
      <c r="D689" s="71"/>
      <c r="E689" s="77"/>
      <c r="F689" s="72"/>
      <c r="G689" s="73"/>
      <c r="H689" s="73"/>
      <c r="I689" s="74"/>
      <c r="J689" s="73"/>
      <c r="K689" s="75"/>
      <c r="L689" s="73"/>
      <c r="M689" s="73"/>
      <c r="N689" s="73"/>
      <c r="O689" s="73"/>
      <c r="P689" s="73"/>
      <c r="Q689" s="73"/>
      <c r="R689" s="73"/>
      <c r="S689" s="76"/>
      <c r="T689" s="73"/>
      <c r="U689" s="73"/>
      <c r="V689" s="76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  <c r="AO689" s="73"/>
      <c r="AP689" s="73"/>
    </row>
    <row r="690" spans="1:42" s="69" customFormat="1" x14ac:dyDescent="0.6">
      <c r="A690" s="70"/>
      <c r="B690" s="70"/>
      <c r="C690" s="70"/>
      <c r="D690" s="71"/>
      <c r="E690" s="77"/>
      <c r="F690" s="72"/>
      <c r="G690" s="73"/>
      <c r="H690" s="73"/>
      <c r="I690" s="74"/>
      <c r="J690" s="73"/>
      <c r="K690" s="75"/>
      <c r="L690" s="73"/>
      <c r="M690" s="73"/>
      <c r="N690" s="73"/>
      <c r="O690" s="73"/>
      <c r="P690" s="73"/>
      <c r="Q690" s="73"/>
      <c r="R690" s="73"/>
      <c r="S690" s="76"/>
      <c r="T690" s="73"/>
      <c r="U690" s="73"/>
      <c r="V690" s="76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</row>
    <row r="691" spans="1:42" s="69" customFormat="1" x14ac:dyDescent="0.6">
      <c r="A691" s="70"/>
      <c r="B691" s="70"/>
      <c r="C691" s="70"/>
      <c r="D691" s="71"/>
      <c r="E691" s="77"/>
      <c r="F691" s="72"/>
      <c r="G691" s="73"/>
      <c r="H691" s="73"/>
      <c r="I691" s="74"/>
      <c r="J691" s="73"/>
      <c r="K691" s="75"/>
      <c r="L691" s="73"/>
      <c r="M691" s="73"/>
      <c r="N691" s="73"/>
      <c r="O691" s="73"/>
      <c r="P691" s="73"/>
      <c r="Q691" s="73"/>
      <c r="R691" s="73"/>
      <c r="S691" s="76"/>
      <c r="T691" s="73"/>
      <c r="U691" s="73"/>
      <c r="V691" s="76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</row>
    <row r="692" spans="1:42" s="69" customFormat="1" x14ac:dyDescent="0.6">
      <c r="A692" s="70"/>
      <c r="B692" s="70"/>
      <c r="C692" s="70"/>
      <c r="D692" s="71"/>
      <c r="E692" s="77"/>
      <c r="F692" s="72"/>
      <c r="G692" s="73"/>
      <c r="H692" s="73"/>
      <c r="I692" s="74"/>
      <c r="J692" s="73"/>
      <c r="K692" s="75"/>
      <c r="L692" s="73"/>
      <c r="M692" s="73"/>
      <c r="N692" s="73"/>
      <c r="O692" s="73"/>
      <c r="P692" s="73"/>
      <c r="Q692" s="73"/>
      <c r="R692" s="73"/>
      <c r="S692" s="76"/>
      <c r="T692" s="73"/>
      <c r="U692" s="73"/>
      <c r="V692" s="76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</row>
    <row r="693" spans="1:42" s="69" customFormat="1" x14ac:dyDescent="0.6">
      <c r="A693" s="78"/>
      <c r="B693" s="78"/>
      <c r="C693" s="78"/>
      <c r="D693" s="79"/>
      <c r="E693" s="80"/>
      <c r="F693" s="81"/>
      <c r="G693" s="82"/>
      <c r="H693" s="82"/>
      <c r="I693" s="83"/>
      <c r="J693" s="82"/>
      <c r="K693" s="84"/>
      <c r="L693" s="82"/>
      <c r="M693" s="82"/>
      <c r="N693" s="82"/>
      <c r="O693" s="82"/>
      <c r="P693" s="82"/>
      <c r="Q693" s="82"/>
      <c r="R693" s="82"/>
      <c r="S693" s="85"/>
      <c r="T693" s="82"/>
      <c r="U693" s="82"/>
      <c r="V693" s="85"/>
      <c r="W693" s="82"/>
      <c r="X693" s="82"/>
      <c r="Y693" s="82"/>
      <c r="Z693" s="82"/>
      <c r="AA693" s="82"/>
      <c r="AB693" s="82"/>
      <c r="AC693" s="82"/>
      <c r="AD693" s="82"/>
      <c r="AE693" s="73"/>
      <c r="AF693" s="73"/>
      <c r="AG693" s="82"/>
      <c r="AH693" s="82"/>
      <c r="AI693" s="82"/>
      <c r="AJ693" s="82"/>
      <c r="AK693" s="73"/>
      <c r="AL693" s="82"/>
      <c r="AM693" s="82"/>
      <c r="AN693" s="82"/>
      <c r="AO693" s="82"/>
      <c r="AP693" s="82"/>
    </row>
    <row r="694" spans="1:42" s="69" customFormat="1" x14ac:dyDescent="0.6">
      <c r="A694" s="70"/>
      <c r="B694" s="70"/>
      <c r="C694" s="70"/>
      <c r="D694" s="71"/>
      <c r="E694" s="72"/>
      <c r="F694" s="72"/>
      <c r="G694" s="73"/>
      <c r="H694" s="73"/>
      <c r="I694" s="74"/>
      <c r="J694" s="73"/>
      <c r="K694" s="75"/>
      <c r="L694" s="73"/>
      <c r="M694" s="73"/>
      <c r="N694" s="73"/>
      <c r="O694" s="73"/>
      <c r="P694" s="73"/>
      <c r="Q694" s="73"/>
      <c r="R694" s="73"/>
      <c r="S694" s="76"/>
      <c r="T694" s="73"/>
      <c r="U694" s="73"/>
      <c r="V694" s="76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</row>
    <row r="695" spans="1:42" s="69" customFormat="1" x14ac:dyDescent="0.6">
      <c r="A695" s="70"/>
      <c r="B695" s="70"/>
      <c r="C695" s="70"/>
      <c r="D695" s="71"/>
      <c r="E695" s="77"/>
      <c r="F695" s="72"/>
      <c r="G695" s="73"/>
      <c r="H695" s="73"/>
      <c r="I695" s="74"/>
      <c r="J695" s="73"/>
      <c r="K695" s="75"/>
      <c r="L695" s="73"/>
      <c r="M695" s="73"/>
      <c r="N695" s="73"/>
      <c r="O695" s="73"/>
      <c r="P695" s="73"/>
      <c r="Q695" s="73"/>
      <c r="R695" s="73"/>
      <c r="S695" s="76"/>
      <c r="T695" s="73"/>
      <c r="U695" s="73"/>
      <c r="V695" s="76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</row>
    <row r="696" spans="1:42" s="69" customFormat="1" x14ac:dyDescent="0.6">
      <c r="A696" s="70"/>
      <c r="B696" s="70"/>
      <c r="C696" s="70"/>
      <c r="D696" s="71"/>
      <c r="E696" s="77"/>
      <c r="F696" s="72"/>
      <c r="G696" s="73"/>
      <c r="H696" s="73"/>
      <c r="I696" s="74"/>
      <c r="J696" s="73"/>
      <c r="K696" s="75"/>
      <c r="L696" s="73"/>
      <c r="M696" s="73"/>
      <c r="N696" s="73"/>
      <c r="O696" s="73"/>
      <c r="P696" s="73"/>
      <c r="Q696" s="73"/>
      <c r="R696" s="73"/>
      <c r="S696" s="76"/>
      <c r="T696" s="73"/>
      <c r="U696" s="73"/>
      <c r="V696" s="76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</row>
    <row r="697" spans="1:42" s="69" customFormat="1" x14ac:dyDescent="0.6">
      <c r="A697" s="70"/>
      <c r="B697" s="70"/>
      <c r="C697" s="70"/>
      <c r="D697" s="71"/>
      <c r="E697" s="77"/>
      <c r="F697" s="72"/>
      <c r="G697" s="73"/>
      <c r="H697" s="73"/>
      <c r="I697" s="74"/>
      <c r="J697" s="73"/>
      <c r="K697" s="75"/>
      <c r="L697" s="73"/>
      <c r="M697" s="73"/>
      <c r="N697" s="73"/>
      <c r="O697" s="73"/>
      <c r="P697" s="73"/>
      <c r="Q697" s="73"/>
      <c r="R697" s="73"/>
      <c r="S697" s="76"/>
      <c r="T697" s="73"/>
      <c r="U697" s="73"/>
      <c r="V697" s="76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</row>
    <row r="698" spans="1:42" s="69" customFormat="1" x14ac:dyDescent="0.6">
      <c r="A698" s="70"/>
      <c r="B698" s="70"/>
      <c r="C698" s="70"/>
      <c r="D698" s="71"/>
      <c r="E698" s="77"/>
      <c r="F698" s="72"/>
      <c r="G698" s="73"/>
      <c r="H698" s="73"/>
      <c r="I698" s="74"/>
      <c r="J698" s="73"/>
      <c r="K698" s="75"/>
      <c r="L698" s="73"/>
      <c r="M698" s="73"/>
      <c r="N698" s="73"/>
      <c r="O698" s="73"/>
      <c r="P698" s="73"/>
      <c r="Q698" s="73"/>
      <c r="R698" s="73"/>
      <c r="S698" s="76"/>
      <c r="T698" s="73"/>
      <c r="U698" s="73"/>
      <c r="V698" s="76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</row>
    <row r="699" spans="1:42" s="69" customFormat="1" x14ac:dyDescent="0.6">
      <c r="A699" s="70"/>
      <c r="B699" s="70"/>
      <c r="C699" s="70"/>
      <c r="D699" s="71"/>
      <c r="E699" s="77"/>
      <c r="F699" s="72"/>
      <c r="G699" s="73"/>
      <c r="H699" s="73"/>
      <c r="I699" s="74"/>
      <c r="J699" s="73"/>
      <c r="K699" s="75"/>
      <c r="L699" s="73"/>
      <c r="M699" s="73"/>
      <c r="N699" s="73"/>
      <c r="O699" s="73"/>
      <c r="P699" s="73"/>
      <c r="Q699" s="73"/>
      <c r="R699" s="73"/>
      <c r="S699" s="76"/>
      <c r="T699" s="73"/>
      <c r="U699" s="73"/>
      <c r="V699" s="76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</row>
    <row r="700" spans="1:42" s="69" customFormat="1" x14ac:dyDescent="0.6">
      <c r="A700" s="70"/>
      <c r="B700" s="70"/>
      <c r="C700" s="70"/>
      <c r="D700" s="71"/>
      <c r="E700" s="77"/>
      <c r="F700" s="72"/>
      <c r="G700" s="73"/>
      <c r="H700" s="73"/>
      <c r="I700" s="74"/>
      <c r="J700" s="73"/>
      <c r="K700" s="75"/>
      <c r="L700" s="73"/>
      <c r="M700" s="73"/>
      <c r="N700" s="73"/>
      <c r="O700" s="73"/>
      <c r="P700" s="73"/>
      <c r="Q700" s="73"/>
      <c r="R700" s="73"/>
      <c r="S700" s="76"/>
      <c r="T700" s="73"/>
      <c r="U700" s="73"/>
      <c r="V700" s="76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</row>
    <row r="701" spans="1:42" s="69" customFormat="1" x14ac:dyDescent="0.6">
      <c r="A701" s="70"/>
      <c r="B701" s="70"/>
      <c r="C701" s="70"/>
      <c r="D701" s="71"/>
      <c r="E701" s="77"/>
      <c r="F701" s="72"/>
      <c r="G701" s="73"/>
      <c r="H701" s="73"/>
      <c r="I701" s="74"/>
      <c r="J701" s="73"/>
      <c r="K701" s="75"/>
      <c r="L701" s="73"/>
      <c r="M701" s="73"/>
      <c r="N701" s="73"/>
      <c r="O701" s="73"/>
      <c r="P701" s="73"/>
      <c r="Q701" s="73"/>
      <c r="R701" s="73"/>
      <c r="S701" s="76"/>
      <c r="T701" s="73"/>
      <c r="U701" s="73"/>
      <c r="V701" s="76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</row>
    <row r="702" spans="1:42" s="69" customFormat="1" x14ac:dyDescent="0.6">
      <c r="A702" s="70"/>
      <c r="B702" s="70"/>
      <c r="C702" s="70"/>
      <c r="D702" s="71"/>
      <c r="E702" s="77"/>
      <c r="F702" s="72"/>
      <c r="G702" s="73"/>
      <c r="H702" s="73"/>
      <c r="I702" s="74"/>
      <c r="J702" s="73"/>
      <c r="K702" s="75"/>
      <c r="L702" s="73"/>
      <c r="M702" s="73"/>
      <c r="N702" s="73"/>
      <c r="O702" s="73"/>
      <c r="P702" s="73"/>
      <c r="Q702" s="73"/>
      <c r="R702" s="73"/>
      <c r="S702" s="76"/>
      <c r="T702" s="73"/>
      <c r="U702" s="73"/>
      <c r="V702" s="76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</row>
    <row r="703" spans="1:42" s="69" customFormat="1" x14ac:dyDescent="0.6">
      <c r="A703" s="70"/>
      <c r="B703" s="70"/>
      <c r="C703" s="70"/>
      <c r="D703" s="71"/>
      <c r="E703" s="77"/>
      <c r="F703" s="72"/>
      <c r="G703" s="73"/>
      <c r="H703" s="73"/>
      <c r="I703" s="74"/>
      <c r="J703" s="73"/>
      <c r="K703" s="75"/>
      <c r="L703" s="73"/>
      <c r="M703" s="73"/>
      <c r="N703" s="73"/>
      <c r="O703" s="73"/>
      <c r="P703" s="73"/>
      <c r="Q703" s="73"/>
      <c r="R703" s="73"/>
      <c r="S703" s="76"/>
      <c r="T703" s="73"/>
      <c r="U703" s="73"/>
      <c r="V703" s="76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</row>
    <row r="704" spans="1:42" s="69" customFormat="1" x14ac:dyDescent="0.6">
      <c r="A704" s="70"/>
      <c r="B704" s="70"/>
      <c r="C704" s="70"/>
      <c r="D704" s="71"/>
      <c r="E704" s="77"/>
      <c r="F704" s="72"/>
      <c r="G704" s="73"/>
      <c r="H704" s="73"/>
      <c r="I704" s="74"/>
      <c r="J704" s="73"/>
      <c r="K704" s="75"/>
      <c r="L704" s="73"/>
      <c r="M704" s="73"/>
      <c r="N704" s="73"/>
      <c r="O704" s="73"/>
      <c r="P704" s="73"/>
      <c r="Q704" s="73"/>
      <c r="R704" s="73"/>
      <c r="S704" s="76"/>
      <c r="T704" s="73"/>
      <c r="U704" s="73"/>
      <c r="V704" s="76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</row>
    <row r="705" spans="1:42" s="69" customFormat="1" x14ac:dyDescent="0.6">
      <c r="A705" s="78"/>
      <c r="B705" s="78"/>
      <c r="C705" s="78"/>
      <c r="D705" s="79"/>
      <c r="E705" s="80"/>
      <c r="F705" s="81"/>
      <c r="G705" s="82"/>
      <c r="H705" s="82"/>
      <c r="I705" s="83"/>
      <c r="J705" s="82"/>
      <c r="K705" s="84"/>
      <c r="L705" s="82"/>
      <c r="M705" s="82"/>
      <c r="N705" s="82"/>
      <c r="O705" s="82"/>
      <c r="P705" s="82"/>
      <c r="Q705" s="82"/>
      <c r="R705" s="82"/>
      <c r="S705" s="85"/>
      <c r="T705" s="82"/>
      <c r="U705" s="82"/>
      <c r="V705" s="85"/>
      <c r="W705" s="82"/>
      <c r="X705" s="82"/>
      <c r="Y705" s="82"/>
      <c r="Z705" s="82"/>
      <c r="AA705" s="82"/>
      <c r="AB705" s="82"/>
      <c r="AC705" s="82"/>
      <c r="AD705" s="82"/>
      <c r="AE705" s="73"/>
      <c r="AF705" s="73"/>
      <c r="AG705" s="82"/>
      <c r="AH705" s="82"/>
      <c r="AI705" s="82"/>
      <c r="AJ705" s="82"/>
      <c r="AK705" s="73"/>
      <c r="AL705" s="82"/>
      <c r="AM705" s="82"/>
      <c r="AN705" s="82"/>
      <c r="AO705" s="82"/>
      <c r="AP705" s="82"/>
    </row>
    <row r="706" spans="1:42" s="69" customFormat="1" x14ac:dyDescent="0.6">
      <c r="A706" s="70"/>
      <c r="B706" s="70"/>
      <c r="C706" s="70"/>
      <c r="D706" s="71"/>
      <c r="E706" s="72"/>
      <c r="F706" s="72"/>
      <c r="G706" s="73"/>
      <c r="H706" s="73"/>
      <c r="I706" s="74"/>
      <c r="J706" s="73"/>
      <c r="K706" s="75"/>
      <c r="L706" s="73"/>
      <c r="M706" s="73"/>
      <c r="N706" s="73"/>
      <c r="O706" s="73"/>
      <c r="P706" s="73"/>
      <c r="Q706" s="73"/>
      <c r="R706" s="73"/>
      <c r="S706" s="76"/>
      <c r="T706" s="73"/>
      <c r="U706" s="73"/>
      <c r="V706" s="76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</row>
    <row r="707" spans="1:42" s="69" customFormat="1" x14ac:dyDescent="0.6">
      <c r="A707" s="70"/>
      <c r="B707" s="70"/>
      <c r="C707" s="70"/>
      <c r="D707" s="71"/>
      <c r="E707" s="77"/>
      <c r="F707" s="72"/>
      <c r="G707" s="73"/>
      <c r="H707" s="73"/>
      <c r="I707" s="74"/>
      <c r="J707" s="73"/>
      <c r="K707" s="75"/>
      <c r="L707" s="73"/>
      <c r="M707" s="73"/>
      <c r="N707" s="73"/>
      <c r="O707" s="73"/>
      <c r="P707" s="73"/>
      <c r="Q707" s="73"/>
      <c r="R707" s="73"/>
      <c r="S707" s="76"/>
      <c r="T707" s="73"/>
      <c r="U707" s="73"/>
      <c r="V707" s="76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  <c r="AO707" s="73"/>
      <c r="AP707" s="73"/>
    </row>
    <row r="708" spans="1:42" s="69" customFormat="1" x14ac:dyDescent="0.6">
      <c r="A708" s="70"/>
      <c r="B708" s="70"/>
      <c r="C708" s="70"/>
      <c r="D708" s="71"/>
      <c r="E708" s="77"/>
      <c r="F708" s="72"/>
      <c r="G708" s="73"/>
      <c r="H708" s="73"/>
      <c r="I708" s="74"/>
      <c r="J708" s="73"/>
      <c r="K708" s="75"/>
      <c r="L708" s="73"/>
      <c r="M708" s="73"/>
      <c r="N708" s="73"/>
      <c r="O708" s="73"/>
      <c r="P708" s="73"/>
      <c r="Q708" s="73"/>
      <c r="R708" s="73"/>
      <c r="S708" s="76"/>
      <c r="T708" s="73"/>
      <c r="U708" s="73"/>
      <c r="V708" s="76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</row>
    <row r="709" spans="1:42" s="69" customFormat="1" x14ac:dyDescent="0.6">
      <c r="A709" s="70"/>
      <c r="B709" s="70"/>
      <c r="C709" s="70"/>
      <c r="D709" s="71"/>
      <c r="E709" s="77"/>
      <c r="F709" s="72"/>
      <c r="G709" s="73"/>
      <c r="H709" s="73"/>
      <c r="I709" s="74"/>
      <c r="J709" s="73"/>
      <c r="K709" s="75"/>
      <c r="L709" s="73"/>
      <c r="M709" s="73"/>
      <c r="N709" s="73"/>
      <c r="O709" s="73"/>
      <c r="P709" s="73"/>
      <c r="Q709" s="73"/>
      <c r="R709" s="73"/>
      <c r="S709" s="76"/>
      <c r="T709" s="73"/>
      <c r="U709" s="73"/>
      <c r="V709" s="76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</row>
    <row r="710" spans="1:42" s="69" customFormat="1" x14ac:dyDescent="0.6">
      <c r="A710" s="70"/>
      <c r="B710" s="70"/>
      <c r="C710" s="70"/>
      <c r="D710" s="71"/>
      <c r="E710" s="77"/>
      <c r="F710" s="72"/>
      <c r="G710" s="73"/>
      <c r="H710" s="73"/>
      <c r="I710" s="74"/>
      <c r="J710" s="73"/>
      <c r="K710" s="75"/>
      <c r="L710" s="73"/>
      <c r="M710" s="73"/>
      <c r="N710" s="73"/>
      <c r="O710" s="73"/>
      <c r="P710" s="73"/>
      <c r="Q710" s="73"/>
      <c r="R710" s="73"/>
      <c r="S710" s="76"/>
      <c r="T710" s="73"/>
      <c r="U710" s="73"/>
      <c r="V710" s="76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</row>
    <row r="711" spans="1:42" s="69" customFormat="1" x14ac:dyDescent="0.6">
      <c r="A711" s="70"/>
      <c r="B711" s="70"/>
      <c r="C711" s="70"/>
      <c r="D711" s="71"/>
      <c r="E711" s="77"/>
      <c r="F711" s="72"/>
      <c r="G711" s="73"/>
      <c r="H711" s="73"/>
      <c r="I711" s="74"/>
      <c r="J711" s="73"/>
      <c r="K711" s="75"/>
      <c r="L711" s="73"/>
      <c r="M711" s="73"/>
      <c r="N711" s="73"/>
      <c r="O711" s="73"/>
      <c r="P711" s="73"/>
      <c r="Q711" s="73"/>
      <c r="R711" s="73"/>
      <c r="S711" s="76"/>
      <c r="T711" s="73"/>
      <c r="U711" s="73"/>
      <c r="V711" s="76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</row>
    <row r="712" spans="1:42" s="69" customFormat="1" x14ac:dyDescent="0.6">
      <c r="A712" s="70"/>
      <c r="B712" s="70"/>
      <c r="C712" s="70"/>
      <c r="D712" s="71"/>
      <c r="E712" s="77"/>
      <c r="F712" s="72"/>
      <c r="G712" s="73"/>
      <c r="H712" s="73"/>
      <c r="I712" s="74"/>
      <c r="J712" s="73"/>
      <c r="K712" s="75"/>
      <c r="L712" s="73"/>
      <c r="M712" s="73"/>
      <c r="N712" s="73"/>
      <c r="O712" s="73"/>
      <c r="P712" s="73"/>
      <c r="Q712" s="73"/>
      <c r="R712" s="73"/>
      <c r="S712" s="76"/>
      <c r="T712" s="73"/>
      <c r="U712" s="73"/>
      <c r="V712" s="76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</row>
    <row r="713" spans="1:42" s="69" customFormat="1" x14ac:dyDescent="0.6">
      <c r="A713" s="70"/>
      <c r="B713" s="70"/>
      <c r="C713" s="70"/>
      <c r="D713" s="71"/>
      <c r="E713" s="77"/>
      <c r="F713" s="72"/>
      <c r="G713" s="73"/>
      <c r="H713" s="73"/>
      <c r="I713" s="74"/>
      <c r="J713" s="73"/>
      <c r="K713" s="75"/>
      <c r="L713" s="73"/>
      <c r="M713" s="73"/>
      <c r="N713" s="73"/>
      <c r="O713" s="73"/>
      <c r="P713" s="73"/>
      <c r="Q713" s="73"/>
      <c r="R713" s="73"/>
      <c r="S713" s="76"/>
      <c r="T713" s="73"/>
      <c r="U713" s="73"/>
      <c r="V713" s="76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</row>
    <row r="714" spans="1:42" s="69" customFormat="1" x14ac:dyDescent="0.6">
      <c r="A714" s="70"/>
      <c r="B714" s="70"/>
      <c r="C714" s="70"/>
      <c r="D714" s="71"/>
      <c r="E714" s="77"/>
      <c r="F714" s="72"/>
      <c r="G714" s="73"/>
      <c r="H714" s="73"/>
      <c r="I714" s="74"/>
      <c r="J714" s="73"/>
      <c r="K714" s="75"/>
      <c r="L714" s="73"/>
      <c r="M714" s="73"/>
      <c r="N714" s="73"/>
      <c r="O714" s="73"/>
      <c r="P714" s="73"/>
      <c r="Q714" s="73"/>
      <c r="R714" s="73"/>
      <c r="S714" s="76"/>
      <c r="T714" s="73"/>
      <c r="U714" s="73"/>
      <c r="V714" s="76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</row>
    <row r="715" spans="1:42" s="69" customFormat="1" x14ac:dyDescent="0.6">
      <c r="A715" s="70"/>
      <c r="B715" s="70"/>
      <c r="C715" s="70"/>
      <c r="D715" s="71"/>
      <c r="E715" s="77"/>
      <c r="F715" s="72"/>
      <c r="G715" s="73"/>
      <c r="H715" s="73"/>
      <c r="I715" s="74"/>
      <c r="J715" s="73"/>
      <c r="K715" s="75"/>
      <c r="L715" s="73"/>
      <c r="M715" s="73"/>
      <c r="N715" s="73"/>
      <c r="O715" s="73"/>
      <c r="P715" s="73"/>
      <c r="Q715" s="73"/>
      <c r="R715" s="73"/>
      <c r="S715" s="76"/>
      <c r="T715" s="73"/>
      <c r="U715" s="73"/>
      <c r="V715" s="76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</row>
    <row r="716" spans="1:42" s="69" customFormat="1" x14ac:dyDescent="0.6">
      <c r="A716" s="70"/>
      <c r="B716" s="70"/>
      <c r="C716" s="70"/>
      <c r="D716" s="71"/>
      <c r="E716" s="77"/>
      <c r="F716" s="72"/>
      <c r="G716" s="73"/>
      <c r="H716" s="73"/>
      <c r="I716" s="74"/>
      <c r="J716" s="73"/>
      <c r="K716" s="75"/>
      <c r="L716" s="73"/>
      <c r="M716" s="73"/>
      <c r="N716" s="73"/>
      <c r="O716" s="73"/>
      <c r="P716" s="73"/>
      <c r="Q716" s="73"/>
      <c r="R716" s="73"/>
      <c r="S716" s="76"/>
      <c r="T716" s="73"/>
      <c r="U716" s="73"/>
      <c r="V716" s="76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</row>
    <row r="717" spans="1:42" s="69" customFormat="1" x14ac:dyDescent="0.6">
      <c r="A717" s="78"/>
      <c r="B717" s="78"/>
      <c r="C717" s="78"/>
      <c r="D717" s="79"/>
      <c r="E717" s="80"/>
      <c r="F717" s="81"/>
      <c r="G717" s="82"/>
      <c r="H717" s="82"/>
      <c r="I717" s="83"/>
      <c r="J717" s="82"/>
      <c r="K717" s="84"/>
      <c r="L717" s="82"/>
      <c r="M717" s="82"/>
      <c r="N717" s="82"/>
      <c r="O717" s="82"/>
      <c r="P717" s="82"/>
      <c r="Q717" s="82"/>
      <c r="R717" s="82"/>
      <c r="S717" s="85"/>
      <c r="T717" s="82"/>
      <c r="U717" s="82"/>
      <c r="V717" s="85"/>
      <c r="W717" s="82"/>
      <c r="X717" s="82"/>
      <c r="Y717" s="82"/>
      <c r="Z717" s="82"/>
      <c r="AA717" s="82"/>
      <c r="AB717" s="82"/>
      <c r="AC717" s="82"/>
      <c r="AD717" s="82"/>
      <c r="AE717" s="73"/>
      <c r="AF717" s="73"/>
      <c r="AG717" s="82"/>
      <c r="AH717" s="82"/>
      <c r="AI717" s="82"/>
      <c r="AJ717" s="82"/>
      <c r="AK717" s="73"/>
      <c r="AL717" s="82"/>
      <c r="AM717" s="82"/>
      <c r="AN717" s="82"/>
      <c r="AO717" s="82"/>
      <c r="AP717" s="82"/>
    </row>
    <row r="718" spans="1:42" s="69" customFormat="1" x14ac:dyDescent="0.6">
      <c r="A718" s="70"/>
      <c r="B718" s="70"/>
      <c r="C718" s="70"/>
      <c r="D718" s="71"/>
      <c r="E718" s="72"/>
      <c r="F718" s="72"/>
      <c r="G718" s="73"/>
      <c r="H718" s="73"/>
      <c r="I718" s="74"/>
      <c r="J718" s="73"/>
      <c r="K718" s="75"/>
      <c r="L718" s="73"/>
      <c r="M718" s="73"/>
      <c r="N718" s="73"/>
      <c r="O718" s="73"/>
      <c r="P718" s="73"/>
      <c r="Q718" s="73"/>
      <c r="R718" s="73"/>
      <c r="S718" s="76"/>
      <c r="T718" s="73"/>
      <c r="U718" s="73"/>
      <c r="V718" s="76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</row>
    <row r="719" spans="1:42" s="69" customFormat="1" x14ac:dyDescent="0.6">
      <c r="A719" s="70"/>
      <c r="B719" s="70"/>
      <c r="C719" s="70"/>
      <c r="D719" s="71"/>
      <c r="E719" s="77"/>
      <c r="F719" s="72"/>
      <c r="G719" s="73"/>
      <c r="H719" s="73"/>
      <c r="I719" s="74"/>
      <c r="J719" s="73"/>
      <c r="K719" s="75"/>
      <c r="L719" s="73"/>
      <c r="M719" s="73"/>
      <c r="N719" s="73"/>
      <c r="O719" s="73"/>
      <c r="P719" s="73"/>
      <c r="Q719" s="73"/>
      <c r="R719" s="73"/>
      <c r="S719" s="76"/>
      <c r="T719" s="73"/>
      <c r="U719" s="73"/>
      <c r="V719" s="76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</row>
    <row r="720" spans="1:42" s="69" customFormat="1" x14ac:dyDescent="0.6">
      <c r="A720" s="70"/>
      <c r="B720" s="70"/>
      <c r="C720" s="70"/>
      <c r="D720" s="71"/>
      <c r="E720" s="77"/>
      <c r="F720" s="72"/>
      <c r="G720" s="73"/>
      <c r="H720" s="73"/>
      <c r="I720" s="74"/>
      <c r="J720" s="73"/>
      <c r="K720" s="75"/>
      <c r="L720" s="73"/>
      <c r="M720" s="73"/>
      <c r="N720" s="73"/>
      <c r="O720" s="73"/>
      <c r="P720" s="73"/>
      <c r="Q720" s="73"/>
      <c r="R720" s="73"/>
      <c r="S720" s="76"/>
      <c r="T720" s="73"/>
      <c r="U720" s="73"/>
      <c r="V720" s="76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</row>
    <row r="721" spans="1:42" s="69" customFormat="1" x14ac:dyDescent="0.6">
      <c r="A721" s="70"/>
      <c r="B721" s="70"/>
      <c r="C721" s="70"/>
      <c r="D721" s="71"/>
      <c r="E721" s="77"/>
      <c r="F721" s="72"/>
      <c r="G721" s="73"/>
      <c r="H721" s="73"/>
      <c r="I721" s="74"/>
      <c r="J721" s="73"/>
      <c r="K721" s="75"/>
      <c r="L721" s="73"/>
      <c r="M721" s="73"/>
      <c r="N721" s="73"/>
      <c r="O721" s="73"/>
      <c r="P721" s="73"/>
      <c r="Q721" s="73"/>
      <c r="R721" s="73"/>
      <c r="S721" s="76"/>
      <c r="T721" s="73"/>
      <c r="U721" s="73"/>
      <c r="V721" s="76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</row>
    <row r="722" spans="1:42" s="69" customFormat="1" x14ac:dyDescent="0.6">
      <c r="A722" s="70"/>
      <c r="B722" s="70"/>
      <c r="C722" s="70"/>
      <c r="D722" s="71"/>
      <c r="E722" s="77"/>
      <c r="F722" s="72"/>
      <c r="G722" s="73"/>
      <c r="H722" s="73"/>
      <c r="I722" s="74"/>
      <c r="J722" s="73"/>
      <c r="K722" s="75"/>
      <c r="L722" s="73"/>
      <c r="M722" s="73"/>
      <c r="N722" s="73"/>
      <c r="O722" s="73"/>
      <c r="P722" s="73"/>
      <c r="Q722" s="73"/>
      <c r="R722" s="73"/>
      <c r="S722" s="76"/>
      <c r="T722" s="73"/>
      <c r="U722" s="73"/>
      <c r="V722" s="76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</row>
    <row r="723" spans="1:42" s="69" customFormat="1" x14ac:dyDescent="0.6">
      <c r="A723" s="70"/>
      <c r="B723" s="70"/>
      <c r="C723" s="70"/>
      <c r="D723" s="71"/>
      <c r="E723" s="77"/>
      <c r="F723" s="72"/>
      <c r="G723" s="73"/>
      <c r="H723" s="73"/>
      <c r="I723" s="74"/>
      <c r="J723" s="73"/>
      <c r="K723" s="75"/>
      <c r="L723" s="73"/>
      <c r="M723" s="73"/>
      <c r="N723" s="73"/>
      <c r="O723" s="73"/>
      <c r="P723" s="73"/>
      <c r="Q723" s="73"/>
      <c r="R723" s="73"/>
      <c r="S723" s="76"/>
      <c r="T723" s="73"/>
      <c r="U723" s="73"/>
      <c r="V723" s="76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</row>
    <row r="724" spans="1:42" s="69" customFormat="1" x14ac:dyDescent="0.6">
      <c r="A724" s="70"/>
      <c r="B724" s="70"/>
      <c r="C724" s="70"/>
      <c r="D724" s="71"/>
      <c r="E724" s="77"/>
      <c r="F724" s="72"/>
      <c r="G724" s="73"/>
      <c r="H724" s="73"/>
      <c r="I724" s="74"/>
      <c r="J724" s="73"/>
      <c r="K724" s="75"/>
      <c r="L724" s="73"/>
      <c r="M724" s="73"/>
      <c r="N724" s="73"/>
      <c r="O724" s="73"/>
      <c r="P724" s="73"/>
      <c r="Q724" s="73"/>
      <c r="R724" s="73"/>
      <c r="S724" s="76"/>
      <c r="T724" s="73"/>
      <c r="U724" s="73"/>
      <c r="V724" s="76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  <c r="AO724" s="73"/>
      <c r="AP724" s="73"/>
    </row>
    <row r="725" spans="1:42" s="69" customFormat="1" x14ac:dyDescent="0.6">
      <c r="A725" s="70"/>
      <c r="B725" s="70"/>
      <c r="C725" s="70"/>
      <c r="D725" s="71"/>
      <c r="E725" s="77"/>
      <c r="F725" s="72"/>
      <c r="G725" s="73"/>
      <c r="H725" s="73"/>
      <c r="I725" s="74"/>
      <c r="J725" s="73"/>
      <c r="K725" s="75"/>
      <c r="L725" s="73"/>
      <c r="M725" s="73"/>
      <c r="N725" s="73"/>
      <c r="O725" s="73"/>
      <c r="P725" s="73"/>
      <c r="Q725" s="73"/>
      <c r="R725" s="73"/>
      <c r="S725" s="76"/>
      <c r="T725" s="73"/>
      <c r="U725" s="73"/>
      <c r="V725" s="76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</row>
    <row r="726" spans="1:42" s="69" customFormat="1" x14ac:dyDescent="0.6">
      <c r="A726" s="70"/>
      <c r="B726" s="70"/>
      <c r="C726" s="70"/>
      <c r="D726" s="71"/>
      <c r="E726" s="77"/>
      <c r="F726" s="72"/>
      <c r="G726" s="73"/>
      <c r="H726" s="73"/>
      <c r="I726" s="74"/>
      <c r="J726" s="73"/>
      <c r="K726" s="75"/>
      <c r="L726" s="73"/>
      <c r="M726" s="73"/>
      <c r="N726" s="73"/>
      <c r="O726" s="73"/>
      <c r="P726" s="73"/>
      <c r="Q726" s="73"/>
      <c r="R726" s="73"/>
      <c r="S726" s="76"/>
      <c r="T726" s="73"/>
      <c r="U726" s="73"/>
      <c r="V726" s="76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</row>
    <row r="727" spans="1:42" s="69" customFormat="1" x14ac:dyDescent="0.6">
      <c r="A727" s="70"/>
      <c r="B727" s="70"/>
      <c r="C727" s="70"/>
      <c r="D727" s="71"/>
      <c r="E727" s="77"/>
      <c r="F727" s="72"/>
      <c r="G727" s="73"/>
      <c r="H727" s="73"/>
      <c r="I727" s="74"/>
      <c r="J727" s="73"/>
      <c r="K727" s="75"/>
      <c r="L727" s="73"/>
      <c r="M727" s="73"/>
      <c r="N727" s="73"/>
      <c r="O727" s="73"/>
      <c r="P727" s="73"/>
      <c r="Q727" s="73"/>
      <c r="R727" s="73"/>
      <c r="S727" s="76"/>
      <c r="T727" s="73"/>
      <c r="U727" s="73"/>
      <c r="V727" s="76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</row>
    <row r="728" spans="1:42" s="69" customFormat="1" x14ac:dyDescent="0.6">
      <c r="A728" s="70"/>
      <c r="B728" s="70"/>
      <c r="C728" s="70"/>
      <c r="D728" s="71"/>
      <c r="E728" s="77"/>
      <c r="F728" s="72"/>
      <c r="G728" s="73"/>
      <c r="H728" s="73"/>
      <c r="I728" s="74"/>
      <c r="J728" s="73"/>
      <c r="K728" s="75"/>
      <c r="L728" s="73"/>
      <c r="M728" s="73"/>
      <c r="N728" s="73"/>
      <c r="O728" s="73"/>
      <c r="P728" s="73"/>
      <c r="Q728" s="73"/>
      <c r="R728" s="73"/>
      <c r="S728" s="76"/>
      <c r="T728" s="73"/>
      <c r="U728" s="73"/>
      <c r="V728" s="76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</row>
    <row r="729" spans="1:42" s="69" customFormat="1" x14ac:dyDescent="0.6">
      <c r="A729" s="78"/>
      <c r="B729" s="78"/>
      <c r="C729" s="78"/>
      <c r="D729" s="79"/>
      <c r="E729" s="80"/>
      <c r="F729" s="81"/>
      <c r="G729" s="82"/>
      <c r="H729" s="82"/>
      <c r="I729" s="83"/>
      <c r="J729" s="82"/>
      <c r="K729" s="84"/>
      <c r="L729" s="82"/>
      <c r="M729" s="82"/>
      <c r="N729" s="82"/>
      <c r="O729" s="82"/>
      <c r="P729" s="82"/>
      <c r="Q729" s="82"/>
      <c r="R729" s="82"/>
      <c r="S729" s="85"/>
      <c r="T729" s="82"/>
      <c r="U729" s="82"/>
      <c r="V729" s="85"/>
      <c r="W729" s="82"/>
      <c r="X729" s="82"/>
      <c r="Y729" s="82"/>
      <c r="Z729" s="82"/>
      <c r="AA729" s="82"/>
      <c r="AB729" s="82"/>
      <c r="AC729" s="82"/>
      <c r="AD729" s="82"/>
      <c r="AE729" s="73"/>
      <c r="AF729" s="73"/>
      <c r="AG729" s="82"/>
      <c r="AH729" s="82"/>
      <c r="AI729" s="82"/>
      <c r="AJ729" s="82"/>
      <c r="AK729" s="73"/>
      <c r="AL729" s="82"/>
      <c r="AM729" s="82"/>
      <c r="AN729" s="82"/>
      <c r="AO729" s="82"/>
      <c r="AP729" s="82"/>
    </row>
    <row r="730" spans="1:42" s="69" customFormat="1" x14ac:dyDescent="0.6">
      <c r="A730" s="70"/>
      <c r="B730" s="70"/>
      <c r="C730" s="70"/>
      <c r="D730" s="71"/>
      <c r="E730" s="72"/>
      <c r="F730" s="72"/>
      <c r="G730" s="73"/>
      <c r="H730" s="73"/>
      <c r="I730" s="74"/>
      <c r="J730" s="73"/>
      <c r="K730" s="75"/>
      <c r="L730" s="73"/>
      <c r="M730" s="73"/>
      <c r="N730" s="73"/>
      <c r="O730" s="73"/>
      <c r="P730" s="73"/>
      <c r="Q730" s="73"/>
      <c r="R730" s="73"/>
      <c r="S730" s="76"/>
      <c r="T730" s="73"/>
      <c r="U730" s="73"/>
      <c r="V730" s="76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</row>
    <row r="731" spans="1:42" s="69" customFormat="1" x14ac:dyDescent="0.6">
      <c r="A731" s="70"/>
      <c r="B731" s="70"/>
      <c r="C731" s="70"/>
      <c r="D731" s="71"/>
      <c r="E731" s="77"/>
      <c r="F731" s="72"/>
      <c r="G731" s="73"/>
      <c r="H731" s="73"/>
      <c r="I731" s="74"/>
      <c r="J731" s="73"/>
      <c r="K731" s="75"/>
      <c r="L731" s="73"/>
      <c r="M731" s="73"/>
      <c r="N731" s="73"/>
      <c r="O731" s="73"/>
      <c r="P731" s="73"/>
      <c r="Q731" s="73"/>
      <c r="R731" s="73"/>
      <c r="S731" s="76"/>
      <c r="T731" s="73"/>
      <c r="U731" s="73"/>
      <c r="V731" s="76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</row>
    <row r="732" spans="1:42" s="69" customFormat="1" x14ac:dyDescent="0.6">
      <c r="A732" s="70"/>
      <c r="B732" s="70"/>
      <c r="C732" s="70"/>
      <c r="D732" s="71"/>
      <c r="E732" s="77"/>
      <c r="F732" s="72"/>
      <c r="G732" s="73"/>
      <c r="H732" s="73"/>
      <c r="I732" s="74"/>
      <c r="J732" s="73"/>
      <c r="K732" s="75"/>
      <c r="L732" s="73"/>
      <c r="M732" s="73"/>
      <c r="N732" s="73"/>
      <c r="O732" s="73"/>
      <c r="P732" s="73"/>
      <c r="Q732" s="73"/>
      <c r="R732" s="73"/>
      <c r="S732" s="76"/>
      <c r="T732" s="73"/>
      <c r="U732" s="73"/>
      <c r="V732" s="76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</row>
    <row r="733" spans="1:42" s="69" customFormat="1" x14ac:dyDescent="0.6">
      <c r="A733" s="70"/>
      <c r="B733" s="70"/>
      <c r="C733" s="70"/>
      <c r="D733" s="71"/>
      <c r="E733" s="77"/>
      <c r="F733" s="72"/>
      <c r="G733" s="73"/>
      <c r="H733" s="73"/>
      <c r="I733" s="74"/>
      <c r="J733" s="73"/>
      <c r="K733" s="75"/>
      <c r="L733" s="73"/>
      <c r="M733" s="73"/>
      <c r="N733" s="73"/>
      <c r="O733" s="73"/>
      <c r="P733" s="73"/>
      <c r="Q733" s="73"/>
      <c r="R733" s="73"/>
      <c r="S733" s="76"/>
      <c r="T733" s="73"/>
      <c r="U733" s="73"/>
      <c r="V733" s="76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</row>
    <row r="734" spans="1:42" s="69" customFormat="1" x14ac:dyDescent="0.6">
      <c r="A734" s="70"/>
      <c r="B734" s="70"/>
      <c r="C734" s="70"/>
      <c r="D734" s="71"/>
      <c r="E734" s="77"/>
      <c r="F734" s="72"/>
      <c r="G734" s="73"/>
      <c r="H734" s="73"/>
      <c r="I734" s="74"/>
      <c r="J734" s="73"/>
      <c r="K734" s="75"/>
      <c r="L734" s="73"/>
      <c r="M734" s="73"/>
      <c r="N734" s="73"/>
      <c r="O734" s="73"/>
      <c r="P734" s="73"/>
      <c r="Q734" s="73"/>
      <c r="R734" s="73"/>
      <c r="S734" s="76"/>
      <c r="T734" s="73"/>
      <c r="U734" s="73"/>
      <c r="V734" s="76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</row>
    <row r="735" spans="1:42" s="69" customFormat="1" x14ac:dyDescent="0.6">
      <c r="A735" s="70"/>
      <c r="B735" s="70"/>
      <c r="C735" s="70"/>
      <c r="D735" s="71"/>
      <c r="E735" s="77"/>
      <c r="F735" s="72"/>
      <c r="G735" s="73"/>
      <c r="H735" s="73"/>
      <c r="I735" s="74"/>
      <c r="J735" s="73"/>
      <c r="K735" s="75"/>
      <c r="L735" s="73"/>
      <c r="M735" s="73"/>
      <c r="N735" s="73"/>
      <c r="O735" s="73"/>
      <c r="P735" s="73"/>
      <c r="Q735" s="73"/>
      <c r="R735" s="73"/>
      <c r="S735" s="76"/>
      <c r="T735" s="73"/>
      <c r="U735" s="73"/>
      <c r="V735" s="76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</row>
    <row r="736" spans="1:42" s="69" customFormat="1" x14ac:dyDescent="0.6">
      <c r="A736" s="70"/>
      <c r="B736" s="70"/>
      <c r="C736" s="70"/>
      <c r="D736" s="71"/>
      <c r="E736" s="77"/>
      <c r="F736" s="72"/>
      <c r="G736" s="73"/>
      <c r="H736" s="73"/>
      <c r="I736" s="74"/>
      <c r="J736" s="73"/>
      <c r="K736" s="75"/>
      <c r="L736" s="73"/>
      <c r="M736" s="73"/>
      <c r="N736" s="73"/>
      <c r="O736" s="73"/>
      <c r="P736" s="73"/>
      <c r="Q736" s="73"/>
      <c r="R736" s="73"/>
      <c r="S736" s="76"/>
      <c r="T736" s="73"/>
      <c r="U736" s="73"/>
      <c r="V736" s="76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</row>
    <row r="737" spans="1:42" s="69" customFormat="1" x14ac:dyDescent="0.6">
      <c r="A737" s="70"/>
      <c r="B737" s="70"/>
      <c r="C737" s="70"/>
      <c r="D737" s="71"/>
      <c r="E737" s="77"/>
      <c r="F737" s="72"/>
      <c r="G737" s="73"/>
      <c r="H737" s="73"/>
      <c r="I737" s="74"/>
      <c r="J737" s="73"/>
      <c r="K737" s="75"/>
      <c r="L737" s="73"/>
      <c r="M737" s="73"/>
      <c r="N737" s="73"/>
      <c r="O737" s="73"/>
      <c r="P737" s="73"/>
      <c r="Q737" s="73"/>
      <c r="R737" s="73"/>
      <c r="S737" s="76"/>
      <c r="T737" s="73"/>
      <c r="U737" s="73"/>
      <c r="V737" s="76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</row>
    <row r="738" spans="1:42" s="69" customFormat="1" x14ac:dyDescent="0.6">
      <c r="A738" s="70"/>
      <c r="B738" s="70"/>
      <c r="C738" s="70"/>
      <c r="D738" s="71"/>
      <c r="E738" s="77"/>
      <c r="F738" s="72"/>
      <c r="G738" s="73"/>
      <c r="H738" s="73"/>
      <c r="I738" s="74"/>
      <c r="J738" s="73"/>
      <c r="K738" s="75"/>
      <c r="L738" s="73"/>
      <c r="M738" s="73"/>
      <c r="N738" s="73"/>
      <c r="O738" s="73"/>
      <c r="P738" s="73"/>
      <c r="Q738" s="73"/>
      <c r="R738" s="73"/>
      <c r="S738" s="76"/>
      <c r="T738" s="73"/>
      <c r="U738" s="73"/>
      <c r="V738" s="76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</row>
    <row r="739" spans="1:42" s="69" customFormat="1" x14ac:dyDescent="0.6">
      <c r="A739" s="70"/>
      <c r="B739" s="70"/>
      <c r="C739" s="70"/>
      <c r="D739" s="71"/>
      <c r="E739" s="77"/>
      <c r="F739" s="72"/>
      <c r="G739" s="73"/>
      <c r="H739" s="73"/>
      <c r="I739" s="74"/>
      <c r="J739" s="73"/>
      <c r="K739" s="75"/>
      <c r="L739" s="73"/>
      <c r="M739" s="73"/>
      <c r="N739" s="73"/>
      <c r="O739" s="73"/>
      <c r="P739" s="73"/>
      <c r="Q739" s="73"/>
      <c r="R739" s="73"/>
      <c r="S739" s="76"/>
      <c r="T739" s="73"/>
      <c r="U739" s="73"/>
      <c r="V739" s="76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</row>
    <row r="740" spans="1:42" s="69" customFormat="1" x14ac:dyDescent="0.6">
      <c r="A740" s="70"/>
      <c r="B740" s="70"/>
      <c r="C740" s="70"/>
      <c r="D740" s="71"/>
      <c r="E740" s="77"/>
      <c r="F740" s="72"/>
      <c r="G740" s="73"/>
      <c r="H740" s="73"/>
      <c r="I740" s="74"/>
      <c r="J740" s="73"/>
      <c r="K740" s="75"/>
      <c r="L740" s="73"/>
      <c r="M740" s="73"/>
      <c r="N740" s="73"/>
      <c r="O740" s="73"/>
      <c r="P740" s="73"/>
      <c r="Q740" s="73"/>
      <c r="R740" s="73"/>
      <c r="S740" s="76"/>
      <c r="T740" s="73"/>
      <c r="U740" s="73"/>
      <c r="V740" s="76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</row>
    <row r="741" spans="1:42" s="69" customFormat="1" x14ac:dyDescent="0.6">
      <c r="A741" s="78">
        <f t="shared" ref="A726:A741" si="413">IFERROR(IF((A740+1)&lt;=$F$7*12,A740+1,""),"")</f>
        <v>1</v>
      </c>
      <c r="B741" s="78" t="str">
        <f>IF(E741&lt;=$F$9,VLOOKUP(KALKULATOR!A741,Robocze!$B$23:$C$102,2),"")</f>
        <v/>
      </c>
      <c r="C741" s="78" t="str">
        <f t="shared" ref="C721:C741" si="414">IF(B741="","",YEAR(E741))</f>
        <v/>
      </c>
      <c r="D741" s="79" t="str">
        <f t="shared" ref="D721:D741" si="415">IF(B741="","",D740+1/12)</f>
        <v/>
      </c>
      <c r="E741" s="80" t="str">
        <f t="shared" ref="E728:E741" si="416">IF(OR(B740="",E740&gt;$F$9,A741=""),"",EDATE(E740,1))</f>
        <v/>
      </c>
      <c r="F741" s="81" t="str">
        <f t="shared" ref="F721:F741" si="417">IFERROR(EOMONTH(E741,0),"")</f>
        <v/>
      </c>
      <c r="G741" s="82" t="str">
        <f>IFERROR(IF(AND(F741&lt;=$F$9,$F$5=Robocze!$B$4,$E741&lt;=$F$9,MONTH($F$8)=MONTH(E741)),$F$4,0)+IF(AND(F741&lt;=$F$9,$F$5=Robocze!$B$3,E741&lt;=$F$9),KALKULATOR!$F$4/12,0),"")</f>
        <v/>
      </c>
      <c r="H741" s="82" t="str">
        <f t="shared" ref="H721:H741" si="418">IFERROR(H740+G741,"")</f>
        <v/>
      </c>
      <c r="I741" s="83" t="str">
        <f t="shared" ref="I721:I741" si="419">IF(E741&lt;=$F$9,$F$2,"")</f>
        <v/>
      </c>
      <c r="J741" s="82" t="str">
        <f t="shared" ref="J699:J741" si="420">IFERROR(IF(MONTH($F$8)=MONTH(E741),$F$15,0),"")</f>
        <v/>
      </c>
      <c r="K741" s="84" t="str">
        <f t="shared" ref="K699:K741" si="421">IFERROR(IF(AND(MOD(A741,12)=0,A741&lt;&gt;""),A741/12,""),"")</f>
        <v/>
      </c>
      <c r="L741" s="82" t="str">
        <f t="shared" ref="L699:L741" si="422">H741</f>
        <v/>
      </c>
      <c r="M741" s="82" t="str">
        <f t="shared" ref="M699:M741" si="423">IFERROR(AF741,"")</f>
        <v/>
      </c>
      <c r="N741" s="82" t="str">
        <f t="shared" ref="N699:N741" si="424">IFERROR(AD741,"")</f>
        <v/>
      </c>
      <c r="O741" s="82" t="str">
        <f t="shared" ref="O699:O741" si="425">IFERROR(AL741,"")</f>
        <v/>
      </c>
      <c r="P741" s="82" t="str">
        <f t="shared" ref="P699:P741" si="426">AJ741</f>
        <v/>
      </c>
      <c r="Q741" s="82" t="str">
        <f t="shared" ref="Q699:Q741" si="427">AP741</f>
        <v/>
      </c>
      <c r="R741" s="82"/>
      <c r="S741" s="85" t="str">
        <f t="shared" ref="S721:S741" si="428">IF(B741&lt;&gt;"",$F$11,"")</f>
        <v/>
      </c>
      <c r="T741" s="82" t="str">
        <f t="shared" ref="T721:T741" si="429">IF(B741&lt;&gt;"",(U740-J741+G741)*(I741/12),"")</f>
        <v/>
      </c>
      <c r="U741" s="82" t="str">
        <f t="shared" ref="U721:U741" si="430">IF(B741&lt;&gt;"",U740+T741-J741+G741,"")</f>
        <v/>
      </c>
      <c r="V741" s="85" t="str">
        <f t="shared" ref="V721:V741" si="431">IF(B741&lt;&gt;"",$F$12,"")</f>
        <v/>
      </c>
      <c r="W741" s="82" t="str">
        <f t="shared" ref="W721:W741" si="432">IF(B741&lt;&gt;"",G741*S741,"")</f>
        <v/>
      </c>
      <c r="X741" s="82" t="str">
        <f>IF(B741&lt;&gt;"",IF(MONTH(E741)=MONTH($F$13),SUMIF($C$22:C1120,"="&amp;(C741-1),$G$22:G1120),0)*S741,"")</f>
        <v/>
      </c>
      <c r="Y741" s="82" t="str">
        <f>IF(B741&lt;&gt;"",SUM($X$22:X741),"")</f>
        <v/>
      </c>
      <c r="Z741" s="82" t="str">
        <f t="shared" ref="Z721:Z741" si="433">IF(B741&lt;&gt;"",(AC740+X741)*I741/12,"")</f>
        <v/>
      </c>
      <c r="AA741" s="82" t="str">
        <f t="shared" ref="AA721:AA741" si="434">IF(B741&lt;&gt;"",MAX(0,Z741*$F$14),"")</f>
        <v/>
      </c>
      <c r="AB741" s="82" t="str">
        <f t="shared" ref="AB721:AB741" si="435">IF(B741&lt;&gt;"",AB740+Z741-AA741,"")</f>
        <v/>
      </c>
      <c r="AC741" s="82" t="str">
        <f t="shared" ref="AC721:AC741" si="436">IF(B741&lt;&gt;"",AC740+Z741-AA741+X741,"")</f>
        <v/>
      </c>
      <c r="AD741" s="82" t="str">
        <f>IFERROR($U741*(1-$V741)+SUM($W$22:$W741)+$AB741,"")</f>
        <v/>
      </c>
      <c r="AE741" s="73" t="str">
        <f t="shared" ref="AE727:AE741" si="437">IFERROR(IF(AE740=TRUE,AE740,AND(YEAR(E741)-YEAR($F$8)&gt;=4,D741&gt;=65)),"")</f>
        <v/>
      </c>
      <c r="AF741" s="73" t="str">
        <f>IF(AND(AE741=TRUE,D741&gt;=65),$U741*(1-10%)+SUM($W$22:$W741)+$AB741,AD741)</f>
        <v/>
      </c>
      <c r="AG741" s="82" t="str">
        <f t="shared" ref="AG699:AG741" si="438">IF(B741&lt;&gt;"",(AI740+G741)*I741/12-J741,"")</f>
        <v/>
      </c>
      <c r="AH741" s="82" t="str">
        <f t="shared" ref="AH699:AH741" si="439">IF(B741&lt;&gt;"",AH740+AG741,"")</f>
        <v/>
      </c>
      <c r="AI741" s="82" t="str">
        <f t="shared" ref="AI699:AI741" si="440">IF(B741&lt;&gt;"",H741+AH741,"")</f>
        <v/>
      </c>
      <c r="AJ741" s="82" t="str">
        <f t="shared" ref="AJ699:AJ741" si="441">IF(B741&lt;&gt;"",IF(AI741&gt;H741,AI741-AH741*$F$14,AI741),"")</f>
        <v/>
      </c>
      <c r="AK741" s="73" t="str">
        <f t="shared" ref="AK699:AK741" si="442">IFERROR(IF(AK740=TRUE,AK740,AND(YEAR(E741)-YEAR($F$8)&gt;=4,G741&gt;0,D741&gt;55,OR(D741&gt;=60,D741&gt;$F$10))),"")</f>
        <v/>
      </c>
      <c r="AL741" s="82" t="str">
        <f t="shared" ref="AL699:AL741" si="443">IF(AK741=TRUE,AI741,AJ741)</f>
        <v/>
      </c>
      <c r="AM741" s="82" t="str">
        <f t="shared" ref="AM721:AM741" si="444">IF(B741&lt;&gt;"",(AP740+G741)*I741/12,"")</f>
        <v/>
      </c>
      <c r="AN741" s="82" t="str">
        <f t="shared" ref="AN721:AN741" si="445">IF(B741&lt;&gt;"",MAX(0,AM741*$F$14),"")</f>
        <v/>
      </c>
      <c r="AO741" s="82" t="str">
        <f t="shared" ref="AO721:AO741" si="446">IF(B741&lt;&gt;"",AP741-H741,"")</f>
        <v/>
      </c>
      <c r="AP741" s="82" t="str">
        <f t="shared" ref="AP721:AP741" si="447">IF(B741&lt;&gt;"",AP740+G741+AM741-AN741,"")</f>
        <v/>
      </c>
    </row>
    <row r="742" spans="1:42" x14ac:dyDescent="0.6">
      <c r="K742" s="29"/>
      <c r="L742" s="30"/>
      <c r="M742" s="30"/>
      <c r="N742" s="30"/>
      <c r="O742" s="30"/>
      <c r="P742" s="30"/>
      <c r="Q742" s="30"/>
      <c r="R742" s="30"/>
    </row>
    <row r="743" spans="1:42" x14ac:dyDescent="0.6">
      <c r="K743" s="29"/>
      <c r="L743" s="30"/>
      <c r="M743" s="30"/>
      <c r="N743" s="30"/>
      <c r="O743" s="30"/>
      <c r="P743" s="30"/>
      <c r="Q743" s="30"/>
      <c r="R743" s="30"/>
    </row>
    <row r="744" spans="1:42" x14ac:dyDescent="0.6">
      <c r="K744" s="29"/>
      <c r="L744" s="30"/>
      <c r="M744" s="30"/>
      <c r="N744" s="30"/>
      <c r="O744" s="30"/>
      <c r="P744" s="30"/>
      <c r="Q744" s="30"/>
      <c r="R744" s="30"/>
    </row>
    <row r="745" spans="1:42" x14ac:dyDescent="0.6">
      <c r="K745" s="29"/>
      <c r="L745" s="30"/>
      <c r="M745" s="30"/>
      <c r="N745" s="30"/>
      <c r="O745" s="30"/>
      <c r="P745" s="30"/>
      <c r="Q745" s="30"/>
      <c r="R745" s="30"/>
    </row>
    <row r="746" spans="1:42" x14ac:dyDescent="0.6">
      <c r="K746" s="29"/>
      <c r="L746" s="30"/>
      <c r="M746" s="30"/>
      <c r="N746" s="30"/>
      <c r="O746" s="30"/>
      <c r="P746" s="30"/>
      <c r="Q746" s="30"/>
      <c r="R746" s="30"/>
    </row>
    <row r="747" spans="1:42" x14ac:dyDescent="0.6">
      <c r="K747" s="29"/>
      <c r="L747" s="30"/>
      <c r="M747" s="30"/>
      <c r="N747" s="30"/>
      <c r="O747" s="30"/>
      <c r="P747" s="30"/>
      <c r="Q747" s="30"/>
      <c r="R747" s="30"/>
    </row>
    <row r="748" spans="1:42" x14ac:dyDescent="0.6">
      <c r="K748" s="29"/>
      <c r="L748" s="30"/>
      <c r="M748" s="30"/>
      <c r="N748" s="30"/>
      <c r="O748" s="30"/>
      <c r="P748" s="30"/>
      <c r="Q748" s="30"/>
      <c r="R748" s="30"/>
    </row>
    <row r="749" spans="1:42" x14ac:dyDescent="0.6">
      <c r="K749" s="29"/>
      <c r="L749" s="30"/>
      <c r="M749" s="30"/>
      <c r="N749" s="30"/>
      <c r="O749" s="30"/>
      <c r="P749" s="30"/>
      <c r="Q749" s="30"/>
      <c r="R749" s="30"/>
    </row>
    <row r="750" spans="1:42" x14ac:dyDescent="0.6">
      <c r="K750" s="29"/>
      <c r="L750" s="30"/>
      <c r="M750" s="30"/>
      <c r="N750" s="30"/>
      <c r="O750" s="30"/>
      <c r="P750" s="30"/>
      <c r="Q750" s="30"/>
      <c r="R750" s="30"/>
    </row>
    <row r="751" spans="1:42" x14ac:dyDescent="0.6">
      <c r="K751" s="29"/>
      <c r="L751" s="30"/>
      <c r="M751" s="30"/>
      <c r="N751" s="30"/>
      <c r="O751" s="30"/>
      <c r="P751" s="30"/>
      <c r="Q751" s="30"/>
      <c r="R751" s="30"/>
    </row>
    <row r="752" spans="1:42" x14ac:dyDescent="0.6">
      <c r="K752" s="29"/>
      <c r="L752" s="30"/>
      <c r="M752" s="30"/>
      <c r="N752" s="30"/>
      <c r="O752" s="30"/>
      <c r="P752" s="30"/>
      <c r="Q752" s="30"/>
      <c r="R752" s="30"/>
    </row>
    <row r="753" spans="11:18" x14ac:dyDescent="0.6">
      <c r="K753" s="29"/>
      <c r="L753" s="30"/>
      <c r="M753" s="30"/>
      <c r="N753" s="30"/>
      <c r="O753" s="30"/>
      <c r="P753" s="30"/>
      <c r="Q753" s="30"/>
      <c r="R753" s="30"/>
    </row>
    <row r="754" spans="11:18" x14ac:dyDescent="0.6">
      <c r="K754" s="29"/>
      <c r="L754" s="30"/>
      <c r="M754" s="30"/>
      <c r="N754" s="30"/>
      <c r="O754" s="30"/>
      <c r="P754" s="30"/>
      <c r="Q754" s="30"/>
      <c r="R754" s="30"/>
    </row>
    <row r="755" spans="11:18" x14ac:dyDescent="0.6">
      <c r="K755" s="29"/>
      <c r="L755" s="30"/>
      <c r="M755" s="30"/>
      <c r="N755" s="30"/>
      <c r="O755" s="30"/>
      <c r="P755" s="30"/>
      <c r="Q755" s="30"/>
      <c r="R755" s="30"/>
    </row>
    <row r="756" spans="11:18" x14ac:dyDescent="0.6">
      <c r="K756" s="29"/>
      <c r="L756" s="30"/>
      <c r="M756" s="30"/>
      <c r="N756" s="30"/>
      <c r="O756" s="30"/>
      <c r="P756" s="30"/>
      <c r="Q756" s="30"/>
      <c r="R756" s="30"/>
    </row>
    <row r="757" spans="11:18" x14ac:dyDescent="0.6">
      <c r="K757" s="29"/>
      <c r="L757" s="30"/>
      <c r="M757" s="30"/>
      <c r="N757" s="30"/>
      <c r="O757" s="30"/>
      <c r="P757" s="30"/>
      <c r="Q757" s="30"/>
      <c r="R757" s="30"/>
    </row>
    <row r="758" spans="11:18" x14ac:dyDescent="0.6">
      <c r="K758" s="29"/>
      <c r="L758" s="30"/>
      <c r="M758" s="30"/>
      <c r="N758" s="30"/>
      <c r="O758" s="30"/>
      <c r="P758" s="30"/>
      <c r="Q758" s="30"/>
      <c r="R758" s="30"/>
    </row>
    <row r="759" spans="11:18" x14ac:dyDescent="0.6">
      <c r="K759" s="29"/>
      <c r="L759" s="30"/>
      <c r="M759" s="30"/>
      <c r="N759" s="30"/>
      <c r="O759" s="30"/>
      <c r="P759" s="30"/>
      <c r="Q759" s="30"/>
      <c r="R759" s="30"/>
    </row>
    <row r="760" spans="11:18" x14ac:dyDescent="0.6">
      <c r="K760" s="29"/>
      <c r="L760" s="30"/>
      <c r="M760" s="30"/>
      <c r="N760" s="30"/>
      <c r="O760" s="30"/>
      <c r="P760" s="30"/>
      <c r="Q760" s="30"/>
      <c r="R760" s="30"/>
    </row>
    <row r="761" spans="11:18" x14ac:dyDescent="0.6">
      <c r="K761" s="29"/>
      <c r="L761" s="30"/>
      <c r="M761" s="30"/>
      <c r="N761" s="30"/>
      <c r="O761" s="30"/>
      <c r="P761" s="30"/>
      <c r="Q761" s="30"/>
      <c r="R761" s="30"/>
    </row>
    <row r="762" spans="11:18" x14ac:dyDescent="0.6">
      <c r="K762" s="29"/>
      <c r="L762" s="30"/>
      <c r="M762" s="30"/>
      <c r="N762" s="30"/>
      <c r="O762" s="30"/>
      <c r="P762" s="30"/>
      <c r="Q762" s="30"/>
      <c r="R762" s="30"/>
    </row>
    <row r="763" spans="11:18" x14ac:dyDescent="0.6">
      <c r="K763" s="29"/>
      <c r="L763" s="30"/>
      <c r="M763" s="30"/>
      <c r="N763" s="30"/>
      <c r="O763" s="30"/>
      <c r="P763" s="30"/>
      <c r="Q763" s="30"/>
      <c r="R763" s="30"/>
    </row>
    <row r="764" spans="11:18" x14ac:dyDescent="0.6">
      <c r="K764" s="29"/>
      <c r="L764" s="30"/>
      <c r="M764" s="30"/>
      <c r="N764" s="30"/>
      <c r="O764" s="30"/>
      <c r="P764" s="30"/>
      <c r="Q764" s="30"/>
      <c r="R764" s="30"/>
    </row>
    <row r="765" spans="11:18" x14ac:dyDescent="0.6">
      <c r="K765" s="29"/>
      <c r="L765" s="30"/>
      <c r="M765" s="30"/>
      <c r="N765" s="30"/>
      <c r="O765" s="30"/>
      <c r="P765" s="30"/>
      <c r="Q765" s="30"/>
      <c r="R765" s="30"/>
    </row>
    <row r="766" spans="11:18" x14ac:dyDescent="0.6">
      <c r="K766" s="29"/>
      <c r="L766" s="30"/>
      <c r="M766" s="30"/>
      <c r="N766" s="30"/>
      <c r="O766" s="30"/>
      <c r="P766" s="30"/>
      <c r="Q766" s="30"/>
      <c r="R766" s="30"/>
    </row>
    <row r="767" spans="11:18" x14ac:dyDescent="0.6">
      <c r="K767" s="29"/>
      <c r="L767" s="30"/>
      <c r="M767" s="30"/>
      <c r="N767" s="30"/>
      <c r="O767" s="30"/>
      <c r="P767" s="30"/>
      <c r="Q767" s="30"/>
      <c r="R767" s="30"/>
    </row>
    <row r="768" spans="11:18" x14ac:dyDescent="0.6">
      <c r="K768" s="29"/>
      <c r="L768" s="30"/>
      <c r="M768" s="30"/>
      <c r="N768" s="30"/>
      <c r="O768" s="30"/>
      <c r="P768" s="30"/>
      <c r="Q768" s="30"/>
      <c r="R768" s="30"/>
    </row>
    <row r="769" spans="11:18" x14ac:dyDescent="0.6">
      <c r="K769" s="29"/>
      <c r="L769" s="30"/>
      <c r="M769" s="30"/>
      <c r="N769" s="30"/>
      <c r="O769" s="30"/>
      <c r="P769" s="30"/>
      <c r="Q769" s="30"/>
      <c r="R769" s="30"/>
    </row>
    <row r="770" spans="11:18" x14ac:dyDescent="0.6">
      <c r="K770" s="29"/>
      <c r="L770" s="30"/>
      <c r="M770" s="30"/>
      <c r="N770" s="30"/>
      <c r="O770" s="30"/>
      <c r="P770" s="30"/>
      <c r="Q770" s="30"/>
      <c r="R770" s="30"/>
    </row>
    <row r="771" spans="11:18" x14ac:dyDescent="0.6">
      <c r="K771" s="29"/>
      <c r="L771" s="30"/>
      <c r="M771" s="30"/>
      <c r="N771" s="30"/>
      <c r="O771" s="30"/>
      <c r="P771" s="30"/>
      <c r="Q771" s="30"/>
      <c r="R771" s="30"/>
    </row>
    <row r="772" spans="11:18" x14ac:dyDescent="0.6">
      <c r="K772" s="29"/>
      <c r="L772" s="30"/>
      <c r="M772" s="30"/>
      <c r="N772" s="30"/>
      <c r="O772" s="30"/>
      <c r="P772" s="30"/>
      <c r="Q772" s="30"/>
      <c r="R772" s="30"/>
    </row>
    <row r="773" spans="11:18" x14ac:dyDescent="0.6">
      <c r="K773" s="29"/>
      <c r="L773" s="30"/>
      <c r="M773" s="30"/>
      <c r="N773" s="30"/>
      <c r="O773" s="30"/>
      <c r="P773" s="30"/>
      <c r="Q773" s="30"/>
      <c r="R773" s="30"/>
    </row>
    <row r="774" spans="11:18" x14ac:dyDescent="0.6">
      <c r="K774" s="29"/>
      <c r="L774" s="30"/>
      <c r="M774" s="30"/>
      <c r="N774" s="30"/>
      <c r="O774" s="30"/>
      <c r="P774" s="30"/>
      <c r="Q774" s="30"/>
      <c r="R774" s="30"/>
    </row>
    <row r="775" spans="11:18" x14ac:dyDescent="0.6">
      <c r="K775" s="29"/>
      <c r="L775" s="30"/>
      <c r="M775" s="30"/>
      <c r="N775" s="30"/>
      <c r="O775" s="30"/>
      <c r="P775" s="30"/>
      <c r="Q775" s="30"/>
      <c r="R775" s="30"/>
    </row>
    <row r="776" spans="11:18" x14ac:dyDescent="0.6">
      <c r="K776" s="29"/>
      <c r="L776" s="30"/>
      <c r="M776" s="30"/>
      <c r="N776" s="30"/>
      <c r="O776" s="30"/>
      <c r="P776" s="30"/>
      <c r="Q776" s="30"/>
      <c r="R776" s="30"/>
    </row>
    <row r="777" spans="11:18" x14ac:dyDescent="0.6">
      <c r="K777" s="29"/>
      <c r="L777" s="30"/>
      <c r="M777" s="30"/>
      <c r="N777" s="30"/>
      <c r="O777" s="30"/>
      <c r="P777" s="30"/>
      <c r="Q777" s="30"/>
      <c r="R777" s="30"/>
    </row>
    <row r="778" spans="11:18" x14ac:dyDescent="0.6">
      <c r="K778" s="29"/>
      <c r="L778" s="30"/>
      <c r="M778" s="30"/>
      <c r="N778" s="30"/>
      <c r="O778" s="30"/>
      <c r="P778" s="30"/>
      <c r="Q778" s="30"/>
      <c r="R778" s="30"/>
    </row>
    <row r="779" spans="11:18" x14ac:dyDescent="0.6">
      <c r="K779" s="29"/>
      <c r="L779" s="30"/>
      <c r="M779" s="30"/>
      <c r="N779" s="30"/>
      <c r="O779" s="30"/>
      <c r="P779" s="30"/>
      <c r="Q779" s="30"/>
      <c r="R779" s="30"/>
    </row>
    <row r="780" spans="11:18" x14ac:dyDescent="0.6">
      <c r="K780" s="29"/>
      <c r="L780" s="30"/>
      <c r="M780" s="30"/>
      <c r="N780" s="30"/>
      <c r="O780" s="30"/>
      <c r="P780" s="30"/>
      <c r="Q780" s="30"/>
      <c r="R780" s="30"/>
    </row>
    <row r="781" spans="11:18" x14ac:dyDescent="0.6">
      <c r="K781" s="29"/>
      <c r="L781" s="30"/>
      <c r="M781" s="30"/>
      <c r="N781" s="30"/>
      <c r="O781" s="30"/>
      <c r="P781" s="30"/>
      <c r="Q781" s="30"/>
      <c r="R781" s="30"/>
    </row>
    <row r="782" spans="11:18" x14ac:dyDescent="0.6">
      <c r="K782" s="29"/>
      <c r="L782" s="30"/>
      <c r="M782" s="30"/>
      <c r="N782" s="30"/>
      <c r="O782" s="30"/>
      <c r="P782" s="30"/>
      <c r="Q782" s="30"/>
      <c r="R782" s="30"/>
    </row>
    <row r="783" spans="11:18" x14ac:dyDescent="0.6">
      <c r="K783" s="29"/>
      <c r="L783" s="30"/>
      <c r="M783" s="30"/>
      <c r="N783" s="30"/>
      <c r="O783" s="30"/>
      <c r="P783" s="30"/>
      <c r="Q783" s="30"/>
      <c r="R783" s="30"/>
    </row>
    <row r="784" spans="11:18" x14ac:dyDescent="0.6">
      <c r="K784" s="29"/>
      <c r="L784" s="30"/>
      <c r="M784" s="30"/>
      <c r="N784" s="30"/>
      <c r="O784" s="30"/>
      <c r="P784" s="30"/>
      <c r="Q784" s="30"/>
      <c r="R784" s="30"/>
    </row>
    <row r="785" spans="11:18" x14ac:dyDescent="0.6">
      <c r="K785" s="29"/>
      <c r="L785" s="30"/>
      <c r="M785" s="30"/>
      <c r="N785" s="30"/>
      <c r="O785" s="30"/>
      <c r="P785" s="30"/>
      <c r="Q785" s="30"/>
      <c r="R785" s="30"/>
    </row>
    <row r="786" spans="11:18" x14ac:dyDescent="0.6">
      <c r="K786" s="29"/>
      <c r="L786" s="30"/>
      <c r="M786" s="30"/>
      <c r="N786" s="30"/>
      <c r="O786" s="30"/>
      <c r="P786" s="30"/>
      <c r="Q786" s="30"/>
      <c r="R786" s="30"/>
    </row>
    <row r="787" spans="11:18" x14ac:dyDescent="0.6">
      <c r="K787" s="29"/>
      <c r="L787" s="30"/>
      <c r="M787" s="30"/>
      <c r="N787" s="30"/>
      <c r="O787" s="30"/>
      <c r="P787" s="30"/>
      <c r="Q787" s="30"/>
      <c r="R787" s="30"/>
    </row>
    <row r="788" spans="11:18" x14ac:dyDescent="0.6">
      <c r="K788" s="29"/>
      <c r="L788" s="30"/>
      <c r="M788" s="30"/>
      <c r="N788" s="30"/>
      <c r="O788" s="30"/>
      <c r="P788" s="30"/>
      <c r="Q788" s="30"/>
      <c r="R788" s="30"/>
    </row>
    <row r="789" spans="11:18" x14ac:dyDescent="0.6">
      <c r="K789" s="29"/>
      <c r="L789" s="30"/>
      <c r="M789" s="30"/>
      <c r="N789" s="30"/>
      <c r="O789" s="30"/>
      <c r="P789" s="30"/>
      <c r="Q789" s="30"/>
      <c r="R789" s="30"/>
    </row>
    <row r="790" spans="11:18" x14ac:dyDescent="0.6">
      <c r="K790" s="29"/>
      <c r="L790" s="30"/>
      <c r="M790" s="30"/>
      <c r="N790" s="30"/>
      <c r="O790" s="30"/>
      <c r="P790" s="30"/>
      <c r="Q790" s="30"/>
      <c r="R790" s="30"/>
    </row>
    <row r="791" spans="11:18" x14ac:dyDescent="0.6">
      <c r="K791" s="29"/>
      <c r="L791" s="30"/>
      <c r="M791" s="30"/>
      <c r="N791" s="30"/>
      <c r="O791" s="30"/>
      <c r="P791" s="30"/>
      <c r="Q791" s="30"/>
      <c r="R791" s="30"/>
    </row>
    <row r="792" spans="11:18" x14ac:dyDescent="0.6">
      <c r="K792" s="29"/>
      <c r="L792" s="30"/>
      <c r="M792" s="30"/>
      <c r="N792" s="30"/>
      <c r="O792" s="30"/>
      <c r="P792" s="30"/>
      <c r="Q792" s="30"/>
      <c r="R792" s="30"/>
    </row>
    <row r="793" spans="11:18" x14ac:dyDescent="0.6">
      <c r="K793" s="29"/>
      <c r="L793" s="30"/>
      <c r="M793" s="30"/>
      <c r="N793" s="30"/>
      <c r="O793" s="30"/>
      <c r="P793" s="30"/>
      <c r="Q793" s="30"/>
      <c r="R793" s="30"/>
    </row>
    <row r="794" spans="11:18" x14ac:dyDescent="0.6">
      <c r="K794" s="29"/>
      <c r="L794" s="30"/>
      <c r="M794" s="30"/>
      <c r="N794" s="30"/>
      <c r="O794" s="30"/>
      <c r="P794" s="30"/>
      <c r="Q794" s="30"/>
      <c r="R794" s="30"/>
    </row>
    <row r="795" spans="11:18" x14ac:dyDescent="0.6">
      <c r="K795" s="29"/>
      <c r="L795" s="30"/>
      <c r="M795" s="30"/>
      <c r="N795" s="30"/>
      <c r="O795" s="30"/>
      <c r="P795" s="30"/>
      <c r="Q795" s="30"/>
      <c r="R795" s="30"/>
    </row>
    <row r="796" spans="11:18" x14ac:dyDescent="0.6">
      <c r="K796" s="29"/>
      <c r="L796" s="30"/>
      <c r="M796" s="30"/>
      <c r="N796" s="30"/>
      <c r="O796" s="30"/>
      <c r="P796" s="30"/>
      <c r="Q796" s="30"/>
      <c r="R796" s="30"/>
    </row>
    <row r="797" spans="11:18" x14ac:dyDescent="0.6">
      <c r="K797" s="29"/>
      <c r="L797" s="30"/>
      <c r="M797" s="30"/>
      <c r="N797" s="30"/>
      <c r="O797" s="30"/>
      <c r="P797" s="30"/>
      <c r="Q797" s="30"/>
      <c r="R797" s="30"/>
    </row>
    <row r="798" spans="11:18" x14ac:dyDescent="0.6">
      <c r="K798" s="29"/>
      <c r="L798" s="30"/>
      <c r="M798" s="30"/>
      <c r="N798" s="30"/>
      <c r="O798" s="30"/>
      <c r="P798" s="30"/>
      <c r="Q798" s="30"/>
      <c r="R798" s="30"/>
    </row>
    <row r="799" spans="11:18" x14ac:dyDescent="0.6">
      <c r="K799" s="29"/>
      <c r="L799" s="30"/>
      <c r="M799" s="30"/>
      <c r="N799" s="30"/>
      <c r="O799" s="30"/>
      <c r="P799" s="30"/>
      <c r="Q799" s="30"/>
      <c r="R799" s="30"/>
    </row>
    <row r="800" spans="11:18" x14ac:dyDescent="0.6">
      <c r="K800" s="29"/>
      <c r="L800" s="30"/>
      <c r="M800" s="30"/>
      <c r="N800" s="30"/>
      <c r="O800" s="30"/>
      <c r="P800" s="30"/>
      <c r="Q800" s="30"/>
      <c r="R800" s="30"/>
    </row>
    <row r="801" spans="11:18" x14ac:dyDescent="0.6">
      <c r="K801" s="29"/>
      <c r="L801" s="30"/>
      <c r="M801" s="30"/>
      <c r="N801" s="30"/>
      <c r="O801" s="30"/>
      <c r="P801" s="30"/>
      <c r="Q801" s="30"/>
      <c r="R801" s="30"/>
    </row>
    <row r="802" spans="11:18" x14ac:dyDescent="0.6">
      <c r="K802" s="29"/>
      <c r="L802" s="30"/>
      <c r="M802" s="30"/>
      <c r="N802" s="30"/>
      <c r="O802" s="30"/>
      <c r="P802" s="30"/>
      <c r="Q802" s="30"/>
      <c r="R802" s="30"/>
    </row>
    <row r="803" spans="11:18" x14ac:dyDescent="0.6">
      <c r="K803" s="29"/>
      <c r="L803" s="30"/>
      <c r="M803" s="30"/>
      <c r="N803" s="30"/>
      <c r="O803" s="30"/>
      <c r="P803" s="30"/>
      <c r="Q803" s="30"/>
      <c r="R803" s="30"/>
    </row>
    <row r="804" spans="11:18" x14ac:dyDescent="0.6">
      <c r="K804" s="29"/>
      <c r="L804" s="30"/>
      <c r="M804" s="30"/>
      <c r="N804" s="30"/>
      <c r="O804" s="30"/>
      <c r="P804" s="30"/>
      <c r="Q804" s="30"/>
      <c r="R804" s="30"/>
    </row>
    <row r="805" spans="11:18" x14ac:dyDescent="0.6">
      <c r="K805" s="29"/>
      <c r="L805" s="30"/>
      <c r="M805" s="30"/>
      <c r="N805" s="30"/>
      <c r="O805" s="30"/>
      <c r="P805" s="30"/>
      <c r="Q805" s="30"/>
      <c r="R805" s="30"/>
    </row>
    <row r="806" spans="11:18" x14ac:dyDescent="0.6">
      <c r="K806" s="29"/>
      <c r="L806" s="30"/>
      <c r="M806" s="30"/>
      <c r="N806" s="30"/>
      <c r="O806" s="30"/>
      <c r="P806" s="30"/>
      <c r="Q806" s="30"/>
      <c r="R806" s="30"/>
    </row>
    <row r="807" spans="11:18" x14ac:dyDescent="0.6">
      <c r="K807" s="29"/>
      <c r="L807" s="30"/>
      <c r="M807" s="30"/>
      <c r="N807" s="30"/>
      <c r="O807" s="30"/>
      <c r="P807" s="30"/>
      <c r="Q807" s="30"/>
      <c r="R807" s="30"/>
    </row>
    <row r="808" spans="11:18" x14ac:dyDescent="0.6">
      <c r="K808" s="29"/>
      <c r="L808" s="30"/>
      <c r="M808" s="30"/>
      <c r="N808" s="30"/>
      <c r="O808" s="30"/>
      <c r="P808" s="30"/>
      <c r="Q808" s="30"/>
      <c r="R808" s="30"/>
    </row>
    <row r="809" spans="11:18" x14ac:dyDescent="0.6">
      <c r="K809" s="29"/>
      <c r="L809" s="30"/>
      <c r="M809" s="30"/>
      <c r="N809" s="30"/>
      <c r="O809" s="30"/>
      <c r="P809" s="30"/>
      <c r="Q809" s="30"/>
      <c r="R809" s="30"/>
    </row>
    <row r="810" spans="11:18" x14ac:dyDescent="0.6">
      <c r="K810" s="29"/>
      <c r="L810" s="30"/>
      <c r="M810" s="30"/>
      <c r="N810" s="30"/>
      <c r="O810" s="30"/>
      <c r="P810" s="30"/>
      <c r="Q810" s="30"/>
      <c r="R810" s="30"/>
    </row>
    <row r="811" spans="11:18" x14ac:dyDescent="0.6">
      <c r="K811" s="29"/>
      <c r="L811" s="30"/>
      <c r="M811" s="30"/>
      <c r="N811" s="30"/>
      <c r="O811" s="30"/>
      <c r="P811" s="30"/>
      <c r="Q811" s="30"/>
      <c r="R811" s="30"/>
    </row>
    <row r="812" spans="11:18" x14ac:dyDescent="0.6">
      <c r="K812" s="29"/>
      <c r="L812" s="30"/>
      <c r="M812" s="30"/>
      <c r="N812" s="30"/>
      <c r="O812" s="30"/>
      <c r="P812" s="30"/>
      <c r="Q812" s="30"/>
      <c r="R812" s="30"/>
    </row>
    <row r="813" spans="11:18" x14ac:dyDescent="0.6">
      <c r="K813" s="29"/>
      <c r="L813" s="30"/>
      <c r="M813" s="30"/>
      <c r="N813" s="30"/>
      <c r="O813" s="30"/>
      <c r="P813" s="30"/>
      <c r="Q813" s="30"/>
      <c r="R813" s="30"/>
    </row>
    <row r="814" spans="11:18" x14ac:dyDescent="0.6">
      <c r="K814" s="29"/>
      <c r="L814" s="30"/>
      <c r="M814" s="30"/>
      <c r="N814" s="30"/>
      <c r="O814" s="30"/>
      <c r="P814" s="30"/>
      <c r="Q814" s="30"/>
      <c r="R814" s="30"/>
    </row>
    <row r="815" spans="11:18" x14ac:dyDescent="0.6">
      <c r="K815" s="29"/>
      <c r="L815" s="30"/>
      <c r="M815" s="30"/>
      <c r="N815" s="30"/>
      <c r="O815" s="30"/>
      <c r="P815" s="30"/>
      <c r="Q815" s="30"/>
      <c r="R815" s="30"/>
    </row>
    <row r="816" spans="11:18" x14ac:dyDescent="0.6">
      <c r="K816" s="29"/>
      <c r="L816" s="30"/>
      <c r="M816" s="30"/>
      <c r="N816" s="30"/>
      <c r="O816" s="30"/>
      <c r="P816" s="30"/>
      <c r="Q816" s="30"/>
      <c r="R816" s="30"/>
    </row>
    <row r="817" spans="11:18" x14ac:dyDescent="0.6">
      <c r="K817" s="29"/>
      <c r="L817" s="30"/>
      <c r="M817" s="30"/>
      <c r="N817" s="30"/>
      <c r="O817" s="30"/>
      <c r="P817" s="30"/>
      <c r="Q817" s="30"/>
      <c r="R817" s="30"/>
    </row>
    <row r="818" spans="11:18" x14ac:dyDescent="0.6">
      <c r="K818" s="29"/>
      <c r="L818" s="30"/>
      <c r="M818" s="30"/>
      <c r="N818" s="30"/>
      <c r="O818" s="30"/>
      <c r="P818" s="30"/>
      <c r="Q818" s="30"/>
      <c r="R818" s="30"/>
    </row>
    <row r="819" spans="11:18" x14ac:dyDescent="0.6">
      <c r="K819" s="29"/>
      <c r="L819" s="30"/>
      <c r="M819" s="30"/>
      <c r="N819" s="30"/>
      <c r="O819" s="30"/>
      <c r="P819" s="30"/>
      <c r="Q819" s="30"/>
      <c r="R819" s="30"/>
    </row>
    <row r="820" spans="11:18" x14ac:dyDescent="0.6">
      <c r="K820" s="29"/>
      <c r="L820" s="30"/>
      <c r="M820" s="30"/>
      <c r="N820" s="30"/>
      <c r="O820" s="30"/>
      <c r="P820" s="30"/>
      <c r="Q820" s="30"/>
      <c r="R820" s="30"/>
    </row>
    <row r="821" spans="11:18" x14ac:dyDescent="0.6">
      <c r="K821" s="29"/>
      <c r="L821" s="30"/>
      <c r="M821" s="30"/>
      <c r="N821" s="30"/>
      <c r="O821" s="30"/>
      <c r="P821" s="30"/>
      <c r="Q821" s="30"/>
      <c r="R821" s="30"/>
    </row>
    <row r="822" spans="11:18" x14ac:dyDescent="0.6">
      <c r="K822" s="29"/>
      <c r="L822" s="30"/>
      <c r="M822" s="30"/>
      <c r="N822" s="30"/>
      <c r="O822" s="30"/>
      <c r="P822" s="30"/>
      <c r="Q822" s="30"/>
      <c r="R822" s="30"/>
    </row>
    <row r="823" spans="11:18" x14ac:dyDescent="0.6">
      <c r="K823" s="29"/>
      <c r="L823" s="30"/>
      <c r="M823" s="30"/>
      <c r="N823" s="30"/>
      <c r="O823" s="30"/>
      <c r="P823" s="30"/>
      <c r="Q823" s="30"/>
      <c r="R823" s="30"/>
    </row>
    <row r="824" spans="11:18" x14ac:dyDescent="0.6">
      <c r="K824" s="29"/>
      <c r="L824" s="30"/>
      <c r="M824" s="30"/>
      <c r="N824" s="30"/>
      <c r="O824" s="30"/>
      <c r="P824" s="30"/>
      <c r="Q824" s="30"/>
      <c r="R824" s="30"/>
    </row>
    <row r="825" spans="11:18" x14ac:dyDescent="0.6">
      <c r="K825" s="29"/>
      <c r="L825" s="30"/>
      <c r="M825" s="30"/>
      <c r="N825" s="30"/>
      <c r="O825" s="30"/>
      <c r="P825" s="30"/>
      <c r="Q825" s="30"/>
      <c r="R825" s="30"/>
    </row>
    <row r="826" spans="11:18" x14ac:dyDescent="0.6">
      <c r="K826" s="29"/>
      <c r="L826" s="30"/>
      <c r="M826" s="30"/>
      <c r="N826" s="30"/>
      <c r="O826" s="30"/>
      <c r="P826" s="30"/>
      <c r="Q826" s="30"/>
      <c r="R826" s="30"/>
    </row>
    <row r="827" spans="11:18" x14ac:dyDescent="0.6">
      <c r="K827" s="29"/>
      <c r="L827" s="30"/>
      <c r="M827" s="30"/>
      <c r="N827" s="30"/>
      <c r="O827" s="30"/>
      <c r="P827" s="30"/>
      <c r="Q827" s="30"/>
      <c r="R827" s="30"/>
    </row>
    <row r="828" spans="11:18" x14ac:dyDescent="0.6">
      <c r="K828" s="29"/>
      <c r="L828" s="30"/>
      <c r="M828" s="30"/>
      <c r="N828" s="30"/>
      <c r="O828" s="30"/>
      <c r="P828" s="30"/>
      <c r="Q828" s="30"/>
      <c r="R828" s="30"/>
    </row>
    <row r="829" spans="11:18" x14ac:dyDescent="0.6">
      <c r="K829" s="29"/>
      <c r="L829" s="30"/>
      <c r="M829" s="30"/>
      <c r="N829" s="30"/>
      <c r="O829" s="30"/>
      <c r="P829" s="30"/>
      <c r="Q829" s="30"/>
      <c r="R829" s="30"/>
    </row>
    <row r="830" spans="11:18" x14ac:dyDescent="0.6">
      <c r="K830" s="29"/>
      <c r="L830" s="30"/>
      <c r="M830" s="30"/>
      <c r="N830" s="30"/>
      <c r="O830" s="30"/>
      <c r="P830" s="30"/>
      <c r="Q830" s="30"/>
      <c r="R830" s="30"/>
    </row>
    <row r="831" spans="11:18" x14ac:dyDescent="0.6">
      <c r="K831" s="29"/>
      <c r="L831" s="30"/>
      <c r="M831" s="30"/>
      <c r="N831" s="30"/>
      <c r="O831" s="30"/>
      <c r="P831" s="30"/>
      <c r="Q831" s="30"/>
      <c r="R831" s="30"/>
    </row>
    <row r="832" spans="11:18" x14ac:dyDescent="0.6">
      <c r="K832" s="29"/>
      <c r="L832" s="30"/>
      <c r="M832" s="30"/>
      <c r="N832" s="30"/>
      <c r="O832" s="30"/>
      <c r="P832" s="30"/>
      <c r="Q832" s="30"/>
      <c r="R832" s="30"/>
    </row>
    <row r="833" spans="11:18" x14ac:dyDescent="0.6">
      <c r="K833" s="29"/>
      <c r="L833" s="30"/>
      <c r="M833" s="30"/>
      <c r="N833" s="30"/>
      <c r="O833" s="30"/>
      <c r="P833" s="30"/>
      <c r="Q833" s="30"/>
      <c r="R833" s="30"/>
    </row>
    <row r="834" spans="11:18" x14ac:dyDescent="0.6">
      <c r="K834" s="29"/>
      <c r="L834" s="30"/>
      <c r="M834" s="30"/>
      <c r="N834" s="30"/>
      <c r="O834" s="30"/>
      <c r="P834" s="30"/>
      <c r="Q834" s="30"/>
      <c r="R834" s="30"/>
    </row>
    <row r="835" spans="11:18" x14ac:dyDescent="0.6">
      <c r="K835" s="29"/>
      <c r="L835" s="30"/>
      <c r="M835" s="30"/>
      <c r="N835" s="30"/>
      <c r="O835" s="30"/>
      <c r="P835" s="30"/>
      <c r="Q835" s="30"/>
      <c r="R835" s="30"/>
    </row>
    <row r="836" spans="11:18" x14ac:dyDescent="0.6">
      <c r="K836" s="29"/>
      <c r="L836" s="30"/>
      <c r="M836" s="30"/>
      <c r="N836" s="30"/>
      <c r="O836" s="30"/>
      <c r="P836" s="30"/>
      <c r="Q836" s="30"/>
      <c r="R836" s="30"/>
    </row>
    <row r="837" spans="11:18" x14ac:dyDescent="0.6">
      <c r="K837" s="29"/>
      <c r="L837" s="30"/>
      <c r="M837" s="30"/>
      <c r="N837" s="30"/>
      <c r="O837" s="30"/>
      <c r="P837" s="30"/>
      <c r="Q837" s="30"/>
      <c r="R837" s="30"/>
    </row>
    <row r="838" spans="11:18" x14ac:dyDescent="0.6">
      <c r="K838" s="29"/>
      <c r="L838" s="30"/>
      <c r="M838" s="30"/>
      <c r="N838" s="30"/>
      <c r="O838" s="30"/>
      <c r="P838" s="30"/>
      <c r="Q838" s="30"/>
      <c r="R838" s="30"/>
    </row>
    <row r="839" spans="11:18" x14ac:dyDescent="0.6">
      <c r="K839" s="29"/>
      <c r="L839" s="30"/>
      <c r="M839" s="30"/>
      <c r="N839" s="30"/>
      <c r="O839" s="30"/>
      <c r="P839" s="30"/>
      <c r="Q839" s="30"/>
      <c r="R839" s="30"/>
    </row>
    <row r="840" spans="11:18" x14ac:dyDescent="0.6">
      <c r="K840" s="29"/>
      <c r="L840" s="30"/>
      <c r="M840" s="30"/>
      <c r="N840" s="30"/>
      <c r="O840" s="30"/>
      <c r="P840" s="30"/>
      <c r="Q840" s="30"/>
      <c r="R840" s="30"/>
    </row>
    <row r="841" spans="11:18" x14ac:dyDescent="0.6">
      <c r="K841" s="29"/>
      <c r="L841" s="30"/>
      <c r="M841" s="30"/>
      <c r="N841" s="30"/>
      <c r="O841" s="30"/>
      <c r="P841" s="30"/>
      <c r="Q841" s="30"/>
      <c r="R841" s="30"/>
    </row>
    <row r="842" spans="11:18" x14ac:dyDescent="0.6">
      <c r="K842" s="29"/>
      <c r="L842" s="30"/>
      <c r="M842" s="30"/>
      <c r="N842" s="30"/>
      <c r="O842" s="30"/>
      <c r="P842" s="30"/>
      <c r="Q842" s="30"/>
      <c r="R842" s="30"/>
    </row>
    <row r="843" spans="11:18" x14ac:dyDescent="0.6">
      <c r="K843" s="29"/>
      <c r="L843" s="30"/>
      <c r="M843" s="30"/>
      <c r="N843" s="30"/>
      <c r="O843" s="30"/>
      <c r="P843" s="30"/>
      <c r="Q843" s="30"/>
      <c r="R843" s="30"/>
    </row>
    <row r="844" spans="11:18" x14ac:dyDescent="0.6">
      <c r="K844" s="29"/>
      <c r="L844" s="30"/>
      <c r="M844" s="30"/>
      <c r="N844" s="30"/>
      <c r="O844" s="30"/>
      <c r="P844" s="30"/>
      <c r="Q844" s="30"/>
      <c r="R844" s="30"/>
    </row>
    <row r="845" spans="11:18" x14ac:dyDescent="0.6">
      <c r="K845" s="29"/>
      <c r="L845" s="30"/>
      <c r="M845" s="30"/>
      <c r="N845" s="30"/>
      <c r="O845" s="30"/>
      <c r="P845" s="30"/>
      <c r="Q845" s="30"/>
      <c r="R845" s="30"/>
    </row>
    <row r="846" spans="11:18" x14ac:dyDescent="0.6">
      <c r="K846" s="29"/>
      <c r="L846" s="30"/>
      <c r="M846" s="30"/>
      <c r="N846" s="30"/>
      <c r="O846" s="30"/>
      <c r="P846" s="30"/>
      <c r="Q846" s="30"/>
      <c r="R846" s="30"/>
    </row>
    <row r="847" spans="11:18" x14ac:dyDescent="0.6">
      <c r="K847" s="29"/>
      <c r="L847" s="30"/>
      <c r="M847" s="30"/>
      <c r="N847" s="30"/>
      <c r="O847" s="30"/>
      <c r="P847" s="30"/>
      <c r="Q847" s="30"/>
      <c r="R847" s="30"/>
    </row>
    <row r="848" spans="11:18" x14ac:dyDescent="0.6">
      <c r="K848" s="29"/>
      <c r="L848" s="30"/>
      <c r="M848" s="30"/>
      <c r="N848" s="30"/>
      <c r="O848" s="30"/>
      <c r="P848" s="30"/>
      <c r="Q848" s="30"/>
      <c r="R848" s="30"/>
    </row>
    <row r="849" spans="11:18" x14ac:dyDescent="0.6">
      <c r="K849" s="29"/>
      <c r="L849" s="30"/>
      <c r="M849" s="30"/>
      <c r="N849" s="30"/>
      <c r="O849" s="30"/>
      <c r="P849" s="30"/>
      <c r="Q849" s="30"/>
      <c r="R849" s="30"/>
    </row>
    <row r="850" spans="11:18" x14ac:dyDescent="0.6">
      <c r="K850" s="29"/>
      <c r="L850" s="30"/>
      <c r="M850" s="30"/>
      <c r="N850" s="30"/>
      <c r="O850" s="30"/>
      <c r="P850" s="30"/>
      <c r="Q850" s="30"/>
      <c r="R850" s="30"/>
    </row>
    <row r="851" spans="11:18" x14ac:dyDescent="0.6">
      <c r="K851" s="29"/>
      <c r="L851" s="30"/>
      <c r="M851" s="30"/>
      <c r="N851" s="30"/>
      <c r="O851" s="30"/>
      <c r="P851" s="30"/>
      <c r="Q851" s="30"/>
      <c r="R851" s="30"/>
    </row>
    <row r="852" spans="11:18" x14ac:dyDescent="0.6">
      <c r="K852" s="29"/>
      <c r="L852" s="30"/>
      <c r="M852" s="30"/>
      <c r="N852" s="30"/>
      <c r="O852" s="30"/>
      <c r="P852" s="30"/>
      <c r="Q852" s="30"/>
      <c r="R852" s="30"/>
    </row>
    <row r="853" spans="11:18" x14ac:dyDescent="0.6">
      <c r="K853" s="29"/>
      <c r="L853" s="30"/>
      <c r="M853" s="30"/>
      <c r="N853" s="30"/>
      <c r="O853" s="30"/>
      <c r="P853" s="30"/>
      <c r="Q853" s="30"/>
      <c r="R853" s="30"/>
    </row>
    <row r="854" spans="11:18" x14ac:dyDescent="0.6">
      <c r="K854" s="29"/>
      <c r="L854" s="30"/>
      <c r="M854" s="30"/>
      <c r="N854" s="30"/>
      <c r="O854" s="30"/>
      <c r="P854" s="30"/>
      <c r="Q854" s="30"/>
      <c r="R854" s="30"/>
    </row>
    <row r="855" spans="11:18" x14ac:dyDescent="0.6">
      <c r="K855" s="29"/>
      <c r="L855" s="30"/>
      <c r="M855" s="30"/>
      <c r="N855" s="30"/>
      <c r="O855" s="30"/>
      <c r="P855" s="30"/>
      <c r="Q855" s="30"/>
      <c r="R855" s="30"/>
    </row>
    <row r="856" spans="11:18" x14ac:dyDescent="0.6">
      <c r="K856" s="29"/>
      <c r="L856" s="30"/>
      <c r="M856" s="30"/>
      <c r="N856" s="30"/>
      <c r="O856" s="30"/>
      <c r="P856" s="30"/>
      <c r="Q856" s="30"/>
      <c r="R856" s="30"/>
    </row>
    <row r="857" spans="11:18" x14ac:dyDescent="0.6">
      <c r="K857" s="29"/>
      <c r="L857" s="30"/>
      <c r="M857" s="30"/>
      <c r="N857" s="30"/>
      <c r="O857" s="30"/>
      <c r="P857" s="30"/>
      <c r="Q857" s="30"/>
      <c r="R857" s="30"/>
    </row>
    <row r="858" spans="11:18" x14ac:dyDescent="0.6">
      <c r="K858" s="29"/>
      <c r="L858" s="30"/>
      <c r="M858" s="30"/>
      <c r="N858" s="30"/>
      <c r="O858" s="30"/>
      <c r="P858" s="30"/>
      <c r="Q858" s="30"/>
      <c r="R858" s="30"/>
    </row>
    <row r="859" spans="11:18" x14ac:dyDescent="0.6">
      <c r="K859" s="29"/>
      <c r="L859" s="30"/>
      <c r="M859" s="30"/>
      <c r="N859" s="30"/>
      <c r="O859" s="30"/>
      <c r="P859" s="30"/>
      <c r="Q859" s="30"/>
      <c r="R859" s="30"/>
    </row>
    <row r="860" spans="11:18" x14ac:dyDescent="0.6">
      <c r="K860" s="29"/>
      <c r="L860" s="30"/>
      <c r="M860" s="30"/>
      <c r="N860" s="30"/>
      <c r="O860" s="30"/>
      <c r="P860" s="30"/>
      <c r="Q860" s="30"/>
      <c r="R860" s="30"/>
    </row>
    <row r="861" spans="11:18" x14ac:dyDescent="0.6">
      <c r="K861" s="29"/>
      <c r="L861" s="30"/>
      <c r="M861" s="30"/>
      <c r="N861" s="30"/>
      <c r="O861" s="30"/>
      <c r="P861" s="30"/>
      <c r="Q861" s="30"/>
      <c r="R861" s="30"/>
    </row>
    <row r="862" spans="11:18" x14ac:dyDescent="0.6">
      <c r="K862" s="29"/>
      <c r="L862" s="30"/>
      <c r="M862" s="30"/>
      <c r="N862" s="30"/>
      <c r="O862" s="30"/>
      <c r="P862" s="30"/>
      <c r="Q862" s="30"/>
      <c r="R862" s="30"/>
    </row>
    <row r="863" spans="11:18" x14ac:dyDescent="0.6">
      <c r="K863" s="29"/>
      <c r="L863" s="30"/>
      <c r="M863" s="30"/>
      <c r="N863" s="30"/>
      <c r="O863" s="30"/>
      <c r="P863" s="30"/>
      <c r="Q863" s="30"/>
      <c r="R863" s="30"/>
    </row>
    <row r="864" spans="11:18" x14ac:dyDescent="0.6">
      <c r="K864" s="29"/>
      <c r="L864" s="30"/>
      <c r="M864" s="30"/>
      <c r="N864" s="30"/>
      <c r="O864" s="30"/>
      <c r="P864" s="30"/>
      <c r="Q864" s="30"/>
      <c r="R864" s="30"/>
    </row>
    <row r="865" spans="11:18" x14ac:dyDescent="0.6">
      <c r="K865" s="29"/>
      <c r="L865" s="30"/>
      <c r="M865" s="30"/>
      <c r="N865" s="30"/>
      <c r="O865" s="30"/>
      <c r="P865" s="30"/>
      <c r="Q865" s="30"/>
      <c r="R865" s="30"/>
    </row>
    <row r="866" spans="11:18" x14ac:dyDescent="0.6">
      <c r="K866" s="29"/>
      <c r="L866" s="30"/>
      <c r="M866" s="30"/>
      <c r="N866" s="30"/>
      <c r="O866" s="30"/>
      <c r="P866" s="30"/>
      <c r="Q866" s="30"/>
      <c r="R866" s="30"/>
    </row>
    <row r="867" spans="11:18" x14ac:dyDescent="0.6">
      <c r="K867" s="29"/>
      <c r="L867" s="30"/>
      <c r="M867" s="30"/>
      <c r="N867" s="30"/>
      <c r="O867" s="30"/>
      <c r="P867" s="30"/>
      <c r="Q867" s="30"/>
      <c r="R867" s="30"/>
    </row>
    <row r="868" spans="11:18" x14ac:dyDescent="0.6">
      <c r="K868" s="29"/>
      <c r="L868" s="30"/>
      <c r="M868" s="30"/>
      <c r="N868" s="30"/>
      <c r="O868" s="30"/>
      <c r="P868" s="30"/>
      <c r="Q868" s="30"/>
      <c r="R868" s="30"/>
    </row>
    <row r="869" spans="11:18" x14ac:dyDescent="0.6">
      <c r="K869" s="29"/>
      <c r="L869" s="30"/>
      <c r="M869" s="30"/>
      <c r="N869" s="30"/>
      <c r="O869" s="30"/>
      <c r="P869" s="30"/>
      <c r="Q869" s="30"/>
      <c r="R869" s="30"/>
    </row>
    <row r="870" spans="11:18" x14ac:dyDescent="0.6">
      <c r="K870" s="29"/>
      <c r="L870" s="30"/>
      <c r="M870" s="30"/>
      <c r="N870" s="30"/>
      <c r="O870" s="30"/>
      <c r="P870" s="30"/>
      <c r="Q870" s="30"/>
      <c r="R870" s="30"/>
    </row>
    <row r="871" spans="11:18" x14ac:dyDescent="0.6">
      <c r="K871" s="29"/>
      <c r="L871" s="30"/>
      <c r="M871" s="30"/>
      <c r="N871" s="30"/>
      <c r="O871" s="30"/>
      <c r="P871" s="30"/>
      <c r="Q871" s="30"/>
      <c r="R871" s="30"/>
    </row>
    <row r="872" spans="11:18" x14ac:dyDescent="0.6">
      <c r="K872" s="29"/>
      <c r="L872" s="30"/>
      <c r="M872" s="30"/>
      <c r="N872" s="30"/>
      <c r="O872" s="30"/>
      <c r="P872" s="30"/>
      <c r="Q872" s="30"/>
      <c r="R872" s="30"/>
    </row>
    <row r="873" spans="11:18" x14ac:dyDescent="0.6">
      <c r="K873" s="29"/>
      <c r="L873" s="30"/>
      <c r="M873" s="30"/>
      <c r="N873" s="30"/>
      <c r="O873" s="30"/>
      <c r="P873" s="30"/>
      <c r="Q873" s="30"/>
      <c r="R873" s="30"/>
    </row>
    <row r="874" spans="11:18" x14ac:dyDescent="0.6">
      <c r="K874" s="29"/>
      <c r="L874" s="30"/>
      <c r="M874" s="30"/>
      <c r="N874" s="30"/>
      <c r="O874" s="30"/>
      <c r="P874" s="30"/>
      <c r="Q874" s="30"/>
      <c r="R874" s="30"/>
    </row>
    <row r="875" spans="11:18" x14ac:dyDescent="0.6">
      <c r="K875" s="29"/>
      <c r="L875" s="30"/>
      <c r="M875" s="30"/>
      <c r="N875" s="30"/>
      <c r="O875" s="30"/>
      <c r="P875" s="30"/>
      <c r="Q875" s="30"/>
      <c r="R875" s="30"/>
    </row>
    <row r="876" spans="11:18" x14ac:dyDescent="0.6">
      <c r="K876" s="29"/>
      <c r="L876" s="30"/>
      <c r="M876" s="30"/>
      <c r="N876" s="30"/>
      <c r="O876" s="30"/>
      <c r="P876" s="30"/>
      <c r="Q876" s="30"/>
      <c r="R876" s="30"/>
    </row>
    <row r="877" spans="11:18" x14ac:dyDescent="0.6">
      <c r="K877" s="29"/>
      <c r="L877" s="30"/>
      <c r="M877" s="30"/>
      <c r="N877" s="30"/>
      <c r="O877" s="30"/>
      <c r="P877" s="30"/>
      <c r="Q877" s="30"/>
      <c r="R877" s="30"/>
    </row>
    <row r="878" spans="11:18" x14ac:dyDescent="0.6">
      <c r="K878" s="29"/>
      <c r="L878" s="30"/>
      <c r="M878" s="30"/>
      <c r="N878" s="30"/>
      <c r="O878" s="30"/>
      <c r="P878" s="30"/>
      <c r="Q878" s="30"/>
      <c r="R878" s="30"/>
    </row>
    <row r="879" spans="11:18" x14ac:dyDescent="0.6">
      <c r="K879" s="29"/>
      <c r="L879" s="30"/>
      <c r="M879" s="30"/>
      <c r="N879" s="30"/>
      <c r="O879" s="30"/>
      <c r="P879" s="30"/>
      <c r="Q879" s="30"/>
      <c r="R879" s="30"/>
    </row>
    <row r="880" spans="11:18" x14ac:dyDescent="0.6">
      <c r="K880" s="29"/>
      <c r="L880" s="30"/>
      <c r="M880" s="30"/>
      <c r="N880" s="30"/>
      <c r="O880" s="30"/>
      <c r="P880" s="30"/>
      <c r="Q880" s="30"/>
      <c r="R880" s="30"/>
    </row>
    <row r="881" spans="11:18" x14ac:dyDescent="0.6">
      <c r="K881" s="29"/>
      <c r="L881" s="30"/>
      <c r="M881" s="30"/>
      <c r="N881" s="30"/>
      <c r="O881" s="30"/>
      <c r="P881" s="30"/>
      <c r="Q881" s="30"/>
      <c r="R881" s="30"/>
    </row>
    <row r="882" spans="11:18" x14ac:dyDescent="0.6">
      <c r="K882" s="29"/>
      <c r="L882" s="30"/>
      <c r="M882" s="30"/>
      <c r="N882" s="30"/>
      <c r="O882" s="30"/>
      <c r="P882" s="30"/>
      <c r="Q882" s="30"/>
      <c r="R882" s="30"/>
    </row>
    <row r="883" spans="11:18" x14ac:dyDescent="0.6">
      <c r="K883" s="29"/>
      <c r="L883" s="30"/>
      <c r="M883" s="30"/>
      <c r="N883" s="30"/>
      <c r="O883" s="30"/>
      <c r="P883" s="30"/>
      <c r="Q883" s="30"/>
      <c r="R883" s="30"/>
    </row>
    <row r="884" spans="11:18" x14ac:dyDescent="0.6">
      <c r="K884" s="29"/>
      <c r="L884" s="30"/>
      <c r="M884" s="30"/>
      <c r="N884" s="30"/>
      <c r="O884" s="30"/>
      <c r="P884" s="30"/>
      <c r="Q884" s="30"/>
      <c r="R884" s="30"/>
    </row>
    <row r="885" spans="11:18" x14ac:dyDescent="0.6">
      <c r="K885" s="29"/>
      <c r="L885" s="30"/>
      <c r="M885" s="30"/>
      <c r="N885" s="30"/>
      <c r="O885" s="30"/>
      <c r="P885" s="30"/>
      <c r="Q885" s="30"/>
      <c r="R885" s="30"/>
    </row>
    <row r="886" spans="11:18" x14ac:dyDescent="0.6">
      <c r="K886" s="29"/>
      <c r="L886" s="30"/>
      <c r="M886" s="30"/>
      <c r="N886" s="30"/>
      <c r="O886" s="30"/>
      <c r="P886" s="30"/>
      <c r="Q886" s="30"/>
      <c r="R886" s="30"/>
    </row>
    <row r="887" spans="11:18" x14ac:dyDescent="0.6">
      <c r="K887" s="29"/>
      <c r="L887" s="30"/>
      <c r="M887" s="30"/>
      <c r="N887" s="30"/>
      <c r="O887" s="30"/>
      <c r="P887" s="30"/>
      <c r="Q887" s="30"/>
      <c r="R887" s="30"/>
    </row>
    <row r="888" spans="11:18" x14ac:dyDescent="0.6">
      <c r="K888" s="29"/>
      <c r="L888" s="30"/>
      <c r="M888" s="30"/>
      <c r="N888" s="30"/>
      <c r="O888" s="30"/>
      <c r="P888" s="30"/>
      <c r="Q888" s="30"/>
      <c r="R888" s="30"/>
    </row>
    <row r="889" spans="11:18" x14ac:dyDescent="0.6">
      <c r="K889" s="29"/>
      <c r="L889" s="30"/>
      <c r="M889" s="30"/>
      <c r="N889" s="30"/>
      <c r="O889" s="30"/>
      <c r="P889" s="30"/>
      <c r="Q889" s="30"/>
      <c r="R889" s="30"/>
    </row>
    <row r="890" spans="11:18" x14ac:dyDescent="0.6">
      <c r="K890" s="29"/>
      <c r="L890" s="30"/>
      <c r="M890" s="30"/>
      <c r="N890" s="30"/>
      <c r="O890" s="30"/>
      <c r="P890" s="30"/>
      <c r="Q890" s="30"/>
      <c r="R890" s="30"/>
    </row>
    <row r="891" spans="11:18" x14ac:dyDescent="0.6">
      <c r="K891" s="29"/>
      <c r="L891" s="30"/>
      <c r="M891" s="30"/>
      <c r="N891" s="30"/>
      <c r="O891" s="30"/>
      <c r="P891" s="30"/>
      <c r="Q891" s="30"/>
      <c r="R891" s="30"/>
    </row>
    <row r="892" spans="11:18" x14ac:dyDescent="0.6">
      <c r="K892" s="29"/>
      <c r="L892" s="30"/>
      <c r="M892" s="30"/>
      <c r="N892" s="30"/>
      <c r="O892" s="30"/>
      <c r="P892" s="30"/>
      <c r="Q892" s="30"/>
      <c r="R892" s="30"/>
    </row>
    <row r="893" spans="11:18" x14ac:dyDescent="0.6">
      <c r="K893" s="29"/>
      <c r="L893" s="30"/>
      <c r="M893" s="30"/>
      <c r="N893" s="30"/>
      <c r="O893" s="30"/>
      <c r="P893" s="30"/>
      <c r="Q893" s="30"/>
      <c r="R893" s="30"/>
    </row>
    <row r="894" spans="11:18" x14ac:dyDescent="0.6">
      <c r="K894" s="29"/>
      <c r="L894" s="30"/>
      <c r="M894" s="30"/>
      <c r="N894" s="30"/>
      <c r="O894" s="30"/>
      <c r="P894" s="30"/>
      <c r="Q894" s="30"/>
      <c r="R894" s="30"/>
    </row>
    <row r="895" spans="11:18" x14ac:dyDescent="0.6">
      <c r="K895" s="29"/>
      <c r="L895" s="30"/>
      <c r="M895" s="30"/>
      <c r="N895" s="30"/>
      <c r="O895" s="30"/>
      <c r="P895" s="30"/>
      <c r="Q895" s="30"/>
      <c r="R895" s="30"/>
    </row>
    <row r="896" spans="11:18" x14ac:dyDescent="0.6">
      <c r="K896" s="29"/>
      <c r="L896" s="30"/>
      <c r="M896" s="30"/>
      <c r="N896" s="30"/>
      <c r="O896" s="30"/>
      <c r="P896" s="30"/>
      <c r="Q896" s="30"/>
      <c r="R896" s="30"/>
    </row>
    <row r="897" spans="11:18" x14ac:dyDescent="0.6">
      <c r="K897" s="29"/>
      <c r="L897" s="30"/>
      <c r="M897" s="30"/>
      <c r="N897" s="30"/>
      <c r="O897" s="30"/>
      <c r="P897" s="30"/>
      <c r="Q897" s="30"/>
      <c r="R897" s="30"/>
    </row>
    <row r="898" spans="11:18" x14ac:dyDescent="0.6">
      <c r="K898" s="29"/>
      <c r="L898" s="30"/>
      <c r="M898" s="30"/>
      <c r="N898" s="30"/>
      <c r="O898" s="30"/>
      <c r="P898" s="30"/>
      <c r="Q898" s="30"/>
      <c r="R898" s="30"/>
    </row>
    <row r="899" spans="11:18" x14ac:dyDescent="0.6">
      <c r="K899" s="29"/>
      <c r="L899" s="30"/>
      <c r="M899" s="30"/>
      <c r="N899" s="30"/>
      <c r="O899" s="30"/>
      <c r="P899" s="30"/>
      <c r="Q899" s="30"/>
      <c r="R899" s="30"/>
    </row>
    <row r="900" spans="11:18" x14ac:dyDescent="0.6">
      <c r="K900" s="29"/>
      <c r="L900" s="30"/>
      <c r="M900" s="30"/>
      <c r="N900" s="30"/>
      <c r="O900" s="30"/>
      <c r="P900" s="30"/>
      <c r="Q900" s="30"/>
      <c r="R900" s="30"/>
    </row>
    <row r="901" spans="11:18" x14ac:dyDescent="0.6">
      <c r="K901" s="29"/>
      <c r="L901" s="30"/>
      <c r="M901" s="30"/>
      <c r="N901" s="30"/>
      <c r="O901" s="30"/>
      <c r="P901" s="30"/>
      <c r="Q901" s="30"/>
      <c r="R901" s="30"/>
    </row>
    <row r="902" spans="11:18" x14ac:dyDescent="0.6">
      <c r="K902" s="29"/>
      <c r="L902" s="30"/>
      <c r="M902" s="30"/>
      <c r="N902" s="30"/>
      <c r="O902" s="30"/>
      <c r="P902" s="30"/>
      <c r="Q902" s="30"/>
      <c r="R902" s="30"/>
    </row>
    <row r="903" spans="11:18" x14ac:dyDescent="0.6">
      <c r="K903" s="29"/>
      <c r="L903" s="30"/>
      <c r="M903" s="30"/>
      <c r="N903" s="30"/>
      <c r="O903" s="30"/>
      <c r="P903" s="30"/>
      <c r="Q903" s="30"/>
      <c r="R903" s="30"/>
    </row>
    <row r="904" spans="11:18" x14ac:dyDescent="0.6">
      <c r="K904" s="29"/>
      <c r="L904" s="30"/>
      <c r="M904" s="30"/>
      <c r="N904" s="30"/>
      <c r="O904" s="30"/>
      <c r="P904" s="30"/>
      <c r="Q904" s="30"/>
      <c r="R904" s="30"/>
    </row>
    <row r="905" spans="11:18" x14ac:dyDescent="0.6">
      <c r="K905" s="29"/>
      <c r="L905" s="30"/>
      <c r="M905" s="30"/>
      <c r="N905" s="30"/>
      <c r="O905" s="30"/>
      <c r="P905" s="30"/>
      <c r="Q905" s="30"/>
      <c r="R905" s="30"/>
    </row>
    <row r="906" spans="11:18" x14ac:dyDescent="0.6">
      <c r="K906" s="29"/>
      <c r="L906" s="30"/>
      <c r="M906" s="30"/>
      <c r="N906" s="30"/>
      <c r="O906" s="30"/>
      <c r="P906" s="30"/>
      <c r="Q906" s="30"/>
      <c r="R906" s="30"/>
    </row>
    <row r="907" spans="11:18" x14ac:dyDescent="0.6">
      <c r="K907" s="29"/>
      <c r="L907" s="30"/>
      <c r="M907" s="30"/>
      <c r="N907" s="30"/>
      <c r="O907" s="30"/>
      <c r="P907" s="30"/>
      <c r="Q907" s="30"/>
      <c r="R907" s="30"/>
    </row>
    <row r="908" spans="11:18" x14ac:dyDescent="0.6">
      <c r="K908" s="29"/>
      <c r="L908" s="30"/>
      <c r="M908" s="30"/>
      <c r="N908" s="30"/>
      <c r="O908" s="30"/>
      <c r="P908" s="30"/>
      <c r="Q908" s="30"/>
      <c r="R908" s="30"/>
    </row>
    <row r="909" spans="11:18" x14ac:dyDescent="0.6">
      <c r="K909" s="29"/>
      <c r="L909" s="30"/>
      <c r="M909" s="30"/>
      <c r="N909" s="30"/>
      <c r="O909" s="30"/>
      <c r="P909" s="30"/>
      <c r="Q909" s="30"/>
      <c r="R909" s="30"/>
    </row>
    <row r="910" spans="11:18" x14ac:dyDescent="0.6">
      <c r="K910" s="29"/>
      <c r="L910" s="30"/>
      <c r="M910" s="30"/>
      <c r="N910" s="30"/>
      <c r="O910" s="30"/>
      <c r="P910" s="30"/>
      <c r="Q910" s="30"/>
      <c r="R910" s="30"/>
    </row>
    <row r="911" spans="11:18" x14ac:dyDescent="0.6">
      <c r="K911" s="29"/>
      <c r="L911" s="30"/>
      <c r="M911" s="30"/>
      <c r="N911" s="30"/>
      <c r="O911" s="30"/>
      <c r="P911" s="30"/>
      <c r="Q911" s="30"/>
      <c r="R911" s="30"/>
    </row>
    <row r="912" spans="11:18" x14ac:dyDescent="0.6">
      <c r="K912" s="29"/>
      <c r="L912" s="30"/>
      <c r="M912" s="30"/>
      <c r="N912" s="30"/>
      <c r="O912" s="30"/>
      <c r="P912" s="30"/>
      <c r="Q912" s="30"/>
      <c r="R912" s="30"/>
    </row>
    <row r="913" spans="11:18" x14ac:dyDescent="0.6">
      <c r="K913" s="29"/>
      <c r="L913" s="30"/>
      <c r="M913" s="30"/>
      <c r="N913" s="30"/>
      <c r="O913" s="30"/>
      <c r="P913" s="30"/>
      <c r="Q913" s="30"/>
      <c r="R913" s="30"/>
    </row>
    <row r="914" spans="11:18" x14ac:dyDescent="0.6">
      <c r="K914" s="29"/>
      <c r="L914" s="30"/>
      <c r="M914" s="30"/>
      <c r="N914" s="30"/>
      <c r="O914" s="30"/>
      <c r="P914" s="30"/>
      <c r="Q914" s="30"/>
      <c r="R914" s="30"/>
    </row>
    <row r="915" spans="11:18" x14ac:dyDescent="0.6">
      <c r="K915" s="29"/>
      <c r="L915" s="30"/>
      <c r="M915" s="30"/>
      <c r="N915" s="30"/>
      <c r="O915" s="30"/>
      <c r="P915" s="30"/>
      <c r="Q915" s="30"/>
      <c r="R915" s="30"/>
    </row>
    <row r="916" spans="11:18" x14ac:dyDescent="0.6">
      <c r="K916" s="29"/>
      <c r="L916" s="30"/>
      <c r="M916" s="30"/>
      <c r="N916" s="30"/>
      <c r="O916" s="30"/>
      <c r="P916" s="30"/>
      <c r="Q916" s="30"/>
      <c r="R916" s="30"/>
    </row>
    <row r="917" spans="11:18" x14ac:dyDescent="0.6">
      <c r="K917" s="29"/>
      <c r="L917" s="30"/>
      <c r="M917" s="30"/>
      <c r="N917" s="30"/>
      <c r="O917" s="30"/>
      <c r="P917" s="30"/>
      <c r="Q917" s="30"/>
      <c r="R917" s="30"/>
    </row>
    <row r="918" spans="11:18" x14ac:dyDescent="0.6">
      <c r="K918" s="29"/>
      <c r="L918" s="30"/>
      <c r="M918" s="30"/>
      <c r="N918" s="30"/>
      <c r="O918" s="30"/>
      <c r="P918" s="30"/>
      <c r="Q918" s="30"/>
      <c r="R918" s="30"/>
    </row>
    <row r="919" spans="11:18" x14ac:dyDescent="0.6">
      <c r="K919" s="29"/>
      <c r="L919" s="30"/>
      <c r="M919" s="30"/>
      <c r="N919" s="30"/>
      <c r="O919" s="30"/>
      <c r="P919" s="30"/>
      <c r="Q919" s="30"/>
      <c r="R919" s="30"/>
    </row>
    <row r="920" spans="11:18" x14ac:dyDescent="0.6">
      <c r="K920" s="29"/>
      <c r="L920" s="30"/>
      <c r="M920" s="30"/>
      <c r="N920" s="30"/>
      <c r="O920" s="30"/>
      <c r="P920" s="30"/>
      <c r="Q920" s="30"/>
      <c r="R920" s="30"/>
    </row>
    <row r="921" spans="11:18" x14ac:dyDescent="0.6">
      <c r="K921" s="29"/>
      <c r="L921" s="30"/>
      <c r="M921" s="30"/>
      <c r="N921" s="30"/>
      <c r="O921" s="30"/>
      <c r="P921" s="30"/>
      <c r="Q921" s="30"/>
      <c r="R921" s="30"/>
    </row>
    <row r="922" spans="11:18" x14ac:dyDescent="0.6">
      <c r="K922" s="29"/>
      <c r="L922" s="30"/>
      <c r="M922" s="30"/>
      <c r="N922" s="30"/>
      <c r="O922" s="30"/>
      <c r="P922" s="30"/>
      <c r="Q922" s="30"/>
      <c r="R922" s="30"/>
    </row>
    <row r="923" spans="11:18" x14ac:dyDescent="0.6">
      <c r="K923" s="29"/>
      <c r="L923" s="30"/>
      <c r="M923" s="30"/>
      <c r="N923" s="30"/>
      <c r="O923" s="30"/>
      <c r="P923" s="30"/>
      <c r="Q923" s="30"/>
      <c r="R923" s="30"/>
    </row>
    <row r="924" spans="11:18" x14ac:dyDescent="0.6">
      <c r="K924" s="29"/>
      <c r="L924" s="30"/>
      <c r="M924" s="30"/>
      <c r="N924" s="30"/>
      <c r="O924" s="30"/>
      <c r="P924" s="30"/>
      <c r="Q924" s="30"/>
      <c r="R924" s="30"/>
    </row>
    <row r="925" spans="11:18" x14ac:dyDescent="0.6">
      <c r="K925" s="29"/>
      <c r="L925" s="30"/>
      <c r="M925" s="30"/>
      <c r="N925" s="30"/>
      <c r="O925" s="30"/>
      <c r="P925" s="30"/>
      <c r="Q925" s="30"/>
      <c r="R925" s="30"/>
    </row>
    <row r="926" spans="11:18" x14ac:dyDescent="0.6">
      <c r="K926" s="29"/>
      <c r="L926" s="30"/>
      <c r="M926" s="30"/>
      <c r="N926" s="30"/>
      <c r="O926" s="30"/>
      <c r="P926" s="30"/>
      <c r="Q926" s="30"/>
      <c r="R926" s="30"/>
    </row>
    <row r="927" spans="11:18" x14ac:dyDescent="0.6">
      <c r="K927" s="29"/>
      <c r="L927" s="30"/>
      <c r="M927" s="30"/>
      <c r="N927" s="30"/>
      <c r="O927" s="30"/>
      <c r="P927" s="30"/>
      <c r="Q927" s="30"/>
      <c r="R927" s="30"/>
    </row>
    <row r="928" spans="11:18" x14ac:dyDescent="0.6">
      <c r="K928" s="29"/>
      <c r="L928" s="30"/>
      <c r="M928" s="30"/>
      <c r="N928" s="30"/>
      <c r="O928" s="30"/>
      <c r="P928" s="30"/>
      <c r="Q928" s="30"/>
      <c r="R928" s="30"/>
    </row>
    <row r="929" spans="11:18" x14ac:dyDescent="0.6">
      <c r="K929" s="29"/>
      <c r="L929" s="30"/>
      <c r="M929" s="30"/>
      <c r="N929" s="30"/>
      <c r="O929" s="30"/>
      <c r="P929" s="30"/>
      <c r="Q929" s="30"/>
      <c r="R929" s="30"/>
    </row>
    <row r="930" spans="11:18" x14ac:dyDescent="0.6">
      <c r="K930" s="29"/>
      <c r="L930" s="30"/>
      <c r="M930" s="30"/>
      <c r="N930" s="30"/>
      <c r="O930" s="30"/>
      <c r="P930" s="30"/>
      <c r="Q930" s="30"/>
      <c r="R930" s="30"/>
    </row>
    <row r="931" spans="11:18" x14ac:dyDescent="0.6">
      <c r="K931" s="29"/>
      <c r="L931" s="30"/>
      <c r="M931" s="30"/>
      <c r="N931" s="30"/>
      <c r="O931" s="30"/>
      <c r="P931" s="30"/>
      <c r="Q931" s="30"/>
      <c r="R931" s="30"/>
    </row>
    <row r="932" spans="11:18" x14ac:dyDescent="0.6">
      <c r="K932" s="29"/>
      <c r="L932" s="30"/>
      <c r="M932" s="30"/>
      <c r="N932" s="30"/>
      <c r="O932" s="30"/>
      <c r="P932" s="30"/>
      <c r="Q932" s="30"/>
      <c r="R932" s="30"/>
    </row>
    <row r="933" spans="11:18" x14ac:dyDescent="0.6">
      <c r="K933" s="29"/>
      <c r="L933" s="30"/>
      <c r="M933" s="30"/>
      <c r="N933" s="30"/>
      <c r="O933" s="30"/>
      <c r="P933" s="30"/>
      <c r="Q933" s="30"/>
      <c r="R933" s="30"/>
    </row>
    <row r="934" spans="11:18" x14ac:dyDescent="0.6">
      <c r="K934" s="29"/>
      <c r="L934" s="30"/>
      <c r="M934" s="30"/>
      <c r="N934" s="30"/>
      <c r="O934" s="30"/>
      <c r="P934" s="30"/>
      <c r="Q934" s="30"/>
      <c r="R934" s="30"/>
    </row>
    <row r="935" spans="11:18" x14ac:dyDescent="0.6">
      <c r="K935" s="29"/>
      <c r="L935" s="30"/>
      <c r="M935" s="30"/>
      <c r="N935" s="30"/>
      <c r="O935" s="30"/>
      <c r="P935" s="30"/>
      <c r="Q935" s="30"/>
      <c r="R935" s="30"/>
    </row>
    <row r="936" spans="11:18" x14ac:dyDescent="0.6">
      <c r="K936" s="29"/>
      <c r="L936" s="30"/>
      <c r="M936" s="30"/>
      <c r="N936" s="30"/>
      <c r="O936" s="30"/>
      <c r="P936" s="30"/>
      <c r="Q936" s="30"/>
      <c r="R936" s="30"/>
    </row>
    <row r="937" spans="11:18" x14ac:dyDescent="0.6">
      <c r="K937" s="29"/>
      <c r="L937" s="30"/>
      <c r="M937" s="30"/>
      <c r="N937" s="30"/>
      <c r="O937" s="30"/>
      <c r="P937" s="30"/>
      <c r="Q937" s="30"/>
      <c r="R937" s="30"/>
    </row>
    <row r="938" spans="11:18" x14ac:dyDescent="0.6">
      <c r="K938" s="29"/>
      <c r="L938" s="30"/>
      <c r="M938" s="30"/>
      <c r="N938" s="30"/>
      <c r="O938" s="30"/>
      <c r="P938" s="30"/>
      <c r="Q938" s="30"/>
      <c r="R938" s="30"/>
    </row>
    <row r="939" spans="11:18" x14ac:dyDescent="0.6">
      <c r="K939" s="29"/>
      <c r="L939" s="30"/>
      <c r="M939" s="30"/>
      <c r="N939" s="30"/>
      <c r="O939" s="30"/>
      <c r="P939" s="30"/>
      <c r="Q939" s="30"/>
      <c r="R939" s="30"/>
    </row>
    <row r="940" spans="11:18" x14ac:dyDescent="0.6">
      <c r="K940" s="29"/>
      <c r="L940" s="30"/>
      <c r="M940" s="30"/>
      <c r="N940" s="30"/>
      <c r="O940" s="30"/>
      <c r="P940" s="30"/>
      <c r="Q940" s="30"/>
      <c r="R940" s="30"/>
    </row>
    <row r="941" spans="11:18" x14ac:dyDescent="0.6">
      <c r="K941" s="29"/>
      <c r="L941" s="30"/>
      <c r="M941" s="30"/>
      <c r="N941" s="30"/>
      <c r="O941" s="30"/>
      <c r="P941" s="30"/>
      <c r="Q941" s="30"/>
      <c r="R941" s="30"/>
    </row>
    <row r="942" spans="11:18" x14ac:dyDescent="0.6">
      <c r="K942" s="29"/>
      <c r="L942" s="30"/>
      <c r="M942" s="30"/>
      <c r="N942" s="30"/>
      <c r="O942" s="30"/>
      <c r="P942" s="30"/>
      <c r="Q942" s="30"/>
      <c r="R942" s="30"/>
    </row>
    <row r="943" spans="11:18" x14ac:dyDescent="0.6">
      <c r="K943" s="29"/>
      <c r="L943" s="30"/>
      <c r="M943" s="30"/>
      <c r="N943" s="30"/>
      <c r="O943" s="30"/>
      <c r="P943" s="30"/>
      <c r="Q943" s="30"/>
      <c r="R943" s="30"/>
    </row>
    <row r="944" spans="11:18" x14ac:dyDescent="0.6">
      <c r="K944" s="29"/>
      <c r="L944" s="30"/>
      <c r="M944" s="30"/>
      <c r="N944" s="30"/>
      <c r="O944" s="30"/>
      <c r="P944" s="30"/>
      <c r="Q944" s="30"/>
      <c r="R944" s="30"/>
    </row>
    <row r="945" spans="11:18" x14ac:dyDescent="0.6">
      <c r="K945" s="29"/>
      <c r="L945" s="30"/>
      <c r="M945" s="30"/>
      <c r="N945" s="30"/>
      <c r="O945" s="30"/>
      <c r="P945" s="30"/>
      <c r="Q945" s="30"/>
      <c r="R945" s="30"/>
    </row>
    <row r="946" spans="11:18" x14ac:dyDescent="0.6">
      <c r="K946" s="29"/>
      <c r="L946" s="30"/>
      <c r="M946" s="30"/>
      <c r="N946" s="30"/>
      <c r="O946" s="30"/>
      <c r="P946" s="30"/>
      <c r="Q946" s="30"/>
      <c r="R946" s="30"/>
    </row>
    <row r="947" spans="11:18" x14ac:dyDescent="0.6">
      <c r="K947" s="29"/>
      <c r="L947" s="30"/>
      <c r="M947" s="30"/>
      <c r="N947" s="30"/>
      <c r="O947" s="30"/>
      <c r="P947" s="30"/>
      <c r="Q947" s="30"/>
      <c r="R947" s="30"/>
    </row>
    <row r="948" spans="11:18" x14ac:dyDescent="0.6">
      <c r="K948" s="29"/>
      <c r="L948" s="30"/>
      <c r="M948" s="30"/>
      <c r="N948" s="30"/>
      <c r="O948" s="30"/>
      <c r="P948" s="30"/>
      <c r="Q948" s="30"/>
      <c r="R948" s="30"/>
    </row>
    <row r="949" spans="11:18" x14ac:dyDescent="0.6">
      <c r="K949" s="29"/>
      <c r="L949" s="30"/>
      <c r="M949" s="30"/>
      <c r="N949" s="30"/>
      <c r="O949" s="30"/>
      <c r="P949" s="30"/>
      <c r="Q949" s="30"/>
      <c r="R949" s="30"/>
    </row>
    <row r="950" spans="11:18" x14ac:dyDescent="0.6">
      <c r="K950" s="29"/>
      <c r="L950" s="30"/>
      <c r="M950" s="30"/>
      <c r="N950" s="30"/>
      <c r="O950" s="30"/>
      <c r="P950" s="30"/>
      <c r="Q950" s="30"/>
      <c r="R950" s="30"/>
    </row>
    <row r="951" spans="11:18" x14ac:dyDescent="0.6">
      <c r="K951" s="29"/>
      <c r="L951" s="30"/>
      <c r="M951" s="30"/>
      <c r="N951" s="30"/>
      <c r="O951" s="30"/>
      <c r="P951" s="30"/>
      <c r="Q951" s="30"/>
      <c r="R951" s="30"/>
    </row>
    <row r="952" spans="11:18" x14ac:dyDescent="0.6">
      <c r="K952" s="29"/>
      <c r="L952" s="30"/>
      <c r="M952" s="30"/>
      <c r="N952" s="30"/>
      <c r="O952" s="30"/>
      <c r="P952" s="30"/>
      <c r="Q952" s="30"/>
      <c r="R952" s="30"/>
    </row>
    <row r="953" spans="11:18" x14ac:dyDescent="0.6">
      <c r="K953" s="29"/>
      <c r="L953" s="30"/>
      <c r="M953" s="30"/>
      <c r="N953" s="30"/>
      <c r="O953" s="30"/>
      <c r="P953" s="30"/>
      <c r="Q953" s="30"/>
      <c r="R953" s="30"/>
    </row>
    <row r="954" spans="11:18" x14ac:dyDescent="0.6">
      <c r="K954" s="29"/>
      <c r="L954" s="30"/>
      <c r="M954" s="30"/>
      <c r="N954" s="30"/>
      <c r="O954" s="30"/>
      <c r="P954" s="30"/>
      <c r="Q954" s="30"/>
      <c r="R954" s="30"/>
    </row>
    <row r="955" spans="11:18" x14ac:dyDescent="0.6">
      <c r="K955" s="29"/>
      <c r="L955" s="30"/>
      <c r="M955" s="30"/>
      <c r="N955" s="30"/>
      <c r="O955" s="30"/>
      <c r="P955" s="30"/>
      <c r="Q955" s="30"/>
      <c r="R955" s="30"/>
    </row>
    <row r="956" spans="11:18" x14ac:dyDescent="0.6">
      <c r="K956" s="29"/>
      <c r="L956" s="30"/>
      <c r="M956" s="30"/>
      <c r="N956" s="30"/>
      <c r="O956" s="30"/>
      <c r="P956" s="30"/>
      <c r="Q956" s="30"/>
      <c r="R956" s="30"/>
    </row>
    <row r="957" spans="11:18" x14ac:dyDescent="0.6">
      <c r="K957" s="29"/>
      <c r="L957" s="30"/>
      <c r="M957" s="30"/>
      <c r="N957" s="30"/>
      <c r="O957" s="30"/>
      <c r="P957" s="30"/>
      <c r="Q957" s="30"/>
      <c r="R957" s="30"/>
    </row>
    <row r="958" spans="11:18" x14ac:dyDescent="0.6">
      <c r="K958" s="29"/>
      <c r="L958" s="30"/>
      <c r="M958" s="30"/>
      <c r="N958" s="30"/>
      <c r="O958" s="30"/>
      <c r="P958" s="30"/>
      <c r="Q958" s="30"/>
      <c r="R958" s="30"/>
    </row>
    <row r="959" spans="11:18" x14ac:dyDescent="0.6">
      <c r="K959" s="29"/>
      <c r="L959" s="30"/>
      <c r="M959" s="30"/>
      <c r="N959" s="30"/>
      <c r="O959" s="30"/>
      <c r="P959" s="30"/>
      <c r="Q959" s="30"/>
      <c r="R959" s="30"/>
    </row>
    <row r="960" spans="11:18" x14ac:dyDescent="0.6">
      <c r="K960" s="29"/>
      <c r="L960" s="30"/>
      <c r="M960" s="30"/>
      <c r="N960" s="30"/>
      <c r="O960" s="30"/>
      <c r="P960" s="30"/>
      <c r="Q960" s="30"/>
      <c r="R960" s="30"/>
    </row>
    <row r="961" spans="11:18" x14ac:dyDescent="0.6">
      <c r="K961" s="29"/>
      <c r="L961" s="30"/>
      <c r="M961" s="30"/>
      <c r="N961" s="30"/>
      <c r="O961" s="30"/>
      <c r="P961" s="30"/>
      <c r="Q961" s="30"/>
      <c r="R961" s="30"/>
    </row>
    <row r="962" spans="11:18" x14ac:dyDescent="0.6">
      <c r="K962" s="29"/>
      <c r="L962" s="30"/>
      <c r="M962" s="30"/>
      <c r="N962" s="30"/>
      <c r="O962" s="30"/>
      <c r="P962" s="30"/>
      <c r="Q962" s="30"/>
      <c r="R962" s="30"/>
    </row>
    <row r="963" spans="11:18" x14ac:dyDescent="0.6">
      <c r="K963" s="29"/>
      <c r="L963" s="30"/>
      <c r="M963" s="30"/>
      <c r="N963" s="30"/>
      <c r="O963" s="30"/>
      <c r="P963" s="30"/>
      <c r="Q963" s="30"/>
      <c r="R963" s="30"/>
    </row>
    <row r="964" spans="11:18" x14ac:dyDescent="0.6">
      <c r="K964" s="29"/>
      <c r="L964" s="30"/>
      <c r="M964" s="30"/>
      <c r="N964" s="30"/>
      <c r="O964" s="30"/>
      <c r="P964" s="30"/>
      <c r="Q964" s="30"/>
      <c r="R964" s="30"/>
    </row>
    <row r="965" spans="11:18" x14ac:dyDescent="0.6">
      <c r="K965" s="29"/>
      <c r="L965" s="30"/>
      <c r="M965" s="30"/>
      <c r="N965" s="30"/>
      <c r="O965" s="30"/>
      <c r="P965" s="30"/>
      <c r="Q965" s="30"/>
      <c r="R965" s="30"/>
    </row>
    <row r="966" spans="11:18" x14ac:dyDescent="0.6">
      <c r="K966" s="29"/>
      <c r="L966" s="30"/>
      <c r="M966" s="30"/>
      <c r="N966" s="30"/>
      <c r="O966" s="30"/>
      <c r="P966" s="30"/>
      <c r="Q966" s="30"/>
      <c r="R966" s="30"/>
    </row>
    <row r="967" spans="11:18" x14ac:dyDescent="0.6">
      <c r="K967" s="29"/>
      <c r="L967" s="30"/>
      <c r="M967" s="30"/>
      <c r="N967" s="30"/>
      <c r="O967" s="30"/>
      <c r="P967" s="30"/>
      <c r="Q967" s="30"/>
      <c r="R967" s="30"/>
    </row>
    <row r="968" spans="11:18" x14ac:dyDescent="0.6">
      <c r="K968" s="29"/>
      <c r="L968" s="30"/>
      <c r="M968" s="30"/>
      <c r="N968" s="30"/>
      <c r="O968" s="30"/>
      <c r="P968" s="30"/>
      <c r="Q968" s="30"/>
      <c r="R968" s="30"/>
    </row>
    <row r="969" spans="11:18" x14ac:dyDescent="0.6">
      <c r="K969" s="29"/>
      <c r="L969" s="30"/>
      <c r="M969" s="30"/>
      <c r="N969" s="30"/>
      <c r="O969" s="30"/>
      <c r="P969" s="30"/>
      <c r="Q969" s="30"/>
      <c r="R969" s="30"/>
    </row>
    <row r="970" spans="11:18" x14ac:dyDescent="0.6">
      <c r="K970" s="29"/>
      <c r="L970" s="30"/>
      <c r="M970" s="30"/>
      <c r="N970" s="30"/>
      <c r="O970" s="30"/>
      <c r="P970" s="30"/>
      <c r="Q970" s="30"/>
      <c r="R970" s="30"/>
    </row>
    <row r="971" spans="11:18" x14ac:dyDescent="0.6">
      <c r="K971" s="29"/>
      <c r="L971" s="30"/>
      <c r="M971" s="30"/>
      <c r="N971" s="30"/>
      <c r="O971" s="30"/>
      <c r="P971" s="30"/>
      <c r="Q971" s="30"/>
      <c r="R971" s="30"/>
    </row>
    <row r="972" spans="11:18" x14ac:dyDescent="0.6">
      <c r="K972" s="29"/>
      <c r="L972" s="30"/>
      <c r="M972" s="30"/>
      <c r="N972" s="30"/>
      <c r="O972" s="30"/>
      <c r="P972" s="30"/>
      <c r="Q972" s="30"/>
      <c r="R972" s="30"/>
    </row>
    <row r="973" spans="11:18" x14ac:dyDescent="0.6">
      <c r="K973" s="29"/>
      <c r="L973" s="30"/>
      <c r="M973" s="30"/>
      <c r="N973" s="30"/>
      <c r="O973" s="30"/>
      <c r="P973" s="30"/>
      <c r="Q973" s="30"/>
      <c r="R973" s="30"/>
    </row>
    <row r="974" spans="11:18" x14ac:dyDescent="0.6">
      <c r="K974" s="29"/>
      <c r="L974" s="30"/>
      <c r="M974" s="30"/>
      <c r="N974" s="30"/>
      <c r="O974" s="30"/>
      <c r="P974" s="30"/>
      <c r="Q974" s="30"/>
      <c r="R974" s="30"/>
    </row>
    <row r="975" spans="11:18" x14ac:dyDescent="0.6">
      <c r="K975" s="29"/>
      <c r="L975" s="30"/>
      <c r="M975" s="30"/>
      <c r="N975" s="30"/>
      <c r="O975" s="30"/>
      <c r="P975" s="30"/>
      <c r="Q975" s="30"/>
      <c r="R975" s="30"/>
    </row>
    <row r="976" spans="11:18" x14ac:dyDescent="0.6">
      <c r="K976" s="29"/>
      <c r="L976" s="30"/>
      <c r="M976" s="30"/>
      <c r="N976" s="30"/>
      <c r="O976" s="30"/>
      <c r="P976" s="30"/>
      <c r="Q976" s="30"/>
      <c r="R976" s="30"/>
    </row>
    <row r="977" spans="11:18" x14ac:dyDescent="0.6">
      <c r="K977" s="29"/>
      <c r="L977" s="30"/>
      <c r="M977" s="30"/>
      <c r="N977" s="30"/>
      <c r="O977" s="30"/>
      <c r="P977" s="30"/>
      <c r="Q977" s="30"/>
      <c r="R977" s="30"/>
    </row>
    <row r="978" spans="11:18" x14ac:dyDescent="0.6">
      <c r="K978" s="29"/>
      <c r="L978" s="30"/>
      <c r="M978" s="30"/>
      <c r="N978" s="30"/>
      <c r="O978" s="30"/>
      <c r="P978" s="30"/>
      <c r="Q978" s="30"/>
      <c r="R978" s="30"/>
    </row>
    <row r="979" spans="11:18" x14ac:dyDescent="0.6">
      <c r="K979" s="29"/>
      <c r="L979" s="30"/>
      <c r="M979" s="30"/>
      <c r="N979" s="30"/>
      <c r="O979" s="30"/>
      <c r="P979" s="30"/>
      <c r="Q979" s="30"/>
      <c r="R979" s="30"/>
    </row>
    <row r="980" spans="11:18" x14ac:dyDescent="0.6">
      <c r="K980" s="29"/>
      <c r="L980" s="30"/>
      <c r="M980" s="30"/>
      <c r="N980" s="30"/>
      <c r="O980" s="30"/>
      <c r="P980" s="30"/>
      <c r="Q980" s="30"/>
      <c r="R980" s="30"/>
    </row>
    <row r="981" spans="11:18" x14ac:dyDescent="0.6">
      <c r="K981" s="29"/>
      <c r="L981" s="30"/>
      <c r="M981" s="30"/>
      <c r="N981" s="30"/>
      <c r="O981" s="30"/>
      <c r="P981" s="30"/>
      <c r="Q981" s="30"/>
      <c r="R981" s="30"/>
    </row>
    <row r="982" spans="11:18" x14ac:dyDescent="0.6">
      <c r="K982" s="29"/>
      <c r="L982" s="30"/>
      <c r="M982" s="30"/>
      <c r="N982" s="30"/>
      <c r="O982" s="30"/>
      <c r="P982" s="30"/>
      <c r="Q982" s="30"/>
      <c r="R982" s="30"/>
    </row>
    <row r="983" spans="11:18" x14ac:dyDescent="0.6">
      <c r="K983" s="29"/>
      <c r="L983" s="30"/>
      <c r="M983" s="30"/>
      <c r="N983" s="30"/>
      <c r="O983" s="30"/>
      <c r="P983" s="30"/>
      <c r="Q983" s="30"/>
      <c r="R983" s="30"/>
    </row>
    <row r="984" spans="11:18" x14ac:dyDescent="0.6">
      <c r="K984" s="29"/>
      <c r="L984" s="30"/>
      <c r="M984" s="30"/>
      <c r="N984" s="30"/>
      <c r="O984" s="30"/>
      <c r="P984" s="30"/>
      <c r="Q984" s="30"/>
      <c r="R984" s="30"/>
    </row>
    <row r="985" spans="11:18" x14ac:dyDescent="0.6">
      <c r="K985" s="29"/>
      <c r="L985" s="30"/>
      <c r="M985" s="30"/>
      <c r="N985" s="30"/>
      <c r="O985" s="30"/>
      <c r="P985" s="30"/>
      <c r="Q985" s="30"/>
      <c r="R985" s="30"/>
    </row>
    <row r="986" spans="11:18" x14ac:dyDescent="0.6">
      <c r="K986" s="29"/>
      <c r="L986" s="30"/>
      <c r="M986" s="30"/>
      <c r="N986" s="30"/>
      <c r="O986" s="30"/>
      <c r="P986" s="30"/>
      <c r="Q986" s="30"/>
      <c r="R986" s="30"/>
    </row>
    <row r="987" spans="11:18" x14ac:dyDescent="0.6">
      <c r="K987" s="29"/>
      <c r="L987" s="30"/>
      <c r="M987" s="30"/>
      <c r="N987" s="30"/>
      <c r="O987" s="30"/>
      <c r="P987" s="30"/>
      <c r="Q987" s="30"/>
      <c r="R987" s="30"/>
    </row>
    <row r="988" spans="11:18" x14ac:dyDescent="0.6">
      <c r="K988" s="29"/>
      <c r="L988" s="30"/>
      <c r="M988" s="30"/>
      <c r="N988" s="30"/>
      <c r="O988" s="30"/>
      <c r="P988" s="30"/>
      <c r="Q988" s="30"/>
      <c r="R988" s="30"/>
    </row>
    <row r="989" spans="11:18" x14ac:dyDescent="0.6">
      <c r="K989" s="29"/>
      <c r="L989" s="30"/>
      <c r="M989" s="30"/>
      <c r="N989" s="30"/>
      <c r="O989" s="30"/>
      <c r="P989" s="30"/>
      <c r="Q989" s="30"/>
      <c r="R989" s="30"/>
    </row>
    <row r="990" spans="11:18" x14ac:dyDescent="0.6">
      <c r="K990" s="29"/>
      <c r="L990" s="30"/>
      <c r="M990" s="30"/>
      <c r="N990" s="30"/>
      <c r="O990" s="30"/>
      <c r="P990" s="30"/>
      <c r="Q990" s="30"/>
      <c r="R990" s="30"/>
    </row>
    <row r="991" spans="11:18" x14ac:dyDescent="0.6">
      <c r="K991" s="29"/>
      <c r="L991" s="30"/>
      <c r="M991" s="30"/>
      <c r="N991" s="30"/>
      <c r="O991" s="30"/>
      <c r="P991" s="30"/>
      <c r="Q991" s="30"/>
      <c r="R991" s="30"/>
    </row>
    <row r="992" spans="11:18" x14ac:dyDescent="0.6">
      <c r="K992" s="29"/>
      <c r="L992" s="30"/>
      <c r="M992" s="30"/>
      <c r="N992" s="30"/>
      <c r="O992" s="30"/>
      <c r="P992" s="30"/>
      <c r="Q992" s="30"/>
      <c r="R992" s="30"/>
    </row>
    <row r="993" spans="11:18" x14ac:dyDescent="0.6">
      <c r="K993" s="29"/>
      <c r="L993" s="30"/>
      <c r="M993" s="30"/>
      <c r="N993" s="30"/>
      <c r="O993" s="30"/>
      <c r="P993" s="30"/>
      <c r="Q993" s="30"/>
      <c r="R993" s="30"/>
    </row>
    <row r="994" spans="11:18" x14ac:dyDescent="0.6">
      <c r="K994" s="29"/>
      <c r="L994" s="30"/>
      <c r="M994" s="30"/>
      <c r="N994" s="30"/>
      <c r="O994" s="30"/>
      <c r="P994" s="30"/>
      <c r="Q994" s="30"/>
      <c r="R994" s="30"/>
    </row>
    <row r="995" spans="11:18" x14ac:dyDescent="0.6">
      <c r="K995" s="29"/>
      <c r="L995" s="30"/>
      <c r="M995" s="30"/>
      <c r="N995" s="30"/>
      <c r="O995" s="30"/>
      <c r="P995" s="30"/>
      <c r="Q995" s="30"/>
      <c r="R995" s="30"/>
    </row>
    <row r="996" spans="11:18" x14ac:dyDescent="0.6">
      <c r="K996" s="29"/>
      <c r="L996" s="30"/>
      <c r="M996" s="30"/>
      <c r="N996" s="30"/>
      <c r="O996" s="30"/>
      <c r="P996" s="30"/>
      <c r="Q996" s="30"/>
      <c r="R996" s="30"/>
    </row>
    <row r="997" spans="11:18" x14ac:dyDescent="0.6">
      <c r="K997" s="29"/>
      <c r="L997" s="30"/>
      <c r="M997" s="30"/>
      <c r="N997" s="30"/>
      <c r="O997" s="30"/>
      <c r="P997" s="30"/>
      <c r="Q997" s="30"/>
      <c r="R997" s="30"/>
    </row>
    <row r="998" spans="11:18" x14ac:dyDescent="0.6">
      <c r="K998" s="29"/>
      <c r="L998" s="30"/>
      <c r="M998" s="30"/>
      <c r="N998" s="30"/>
      <c r="O998" s="30"/>
      <c r="P998" s="30"/>
      <c r="Q998" s="30"/>
      <c r="R998" s="30"/>
    </row>
    <row r="999" spans="11:18" x14ac:dyDescent="0.6">
      <c r="K999" s="29"/>
      <c r="L999" s="30"/>
      <c r="M999" s="30"/>
      <c r="N999" s="30"/>
      <c r="O999" s="30"/>
      <c r="P999" s="30"/>
      <c r="Q999" s="30"/>
      <c r="R999" s="30"/>
    </row>
    <row r="1000" spans="11:18" x14ac:dyDescent="0.6">
      <c r="K1000" s="29"/>
      <c r="L1000" s="30"/>
      <c r="M1000" s="30"/>
      <c r="N1000" s="30"/>
      <c r="O1000" s="30"/>
      <c r="P1000" s="30"/>
      <c r="Q1000" s="30"/>
      <c r="R1000" s="30"/>
    </row>
    <row r="1001" spans="11:18" x14ac:dyDescent="0.6">
      <c r="K1001" s="29"/>
      <c r="L1001" s="30"/>
      <c r="M1001" s="30"/>
      <c r="N1001" s="30"/>
      <c r="O1001" s="30"/>
      <c r="P1001" s="30"/>
      <c r="Q1001" s="30"/>
      <c r="R1001" s="30"/>
    </row>
    <row r="1002" spans="11:18" x14ac:dyDescent="0.6">
      <c r="K1002" s="29"/>
      <c r="L1002" s="30"/>
      <c r="M1002" s="30"/>
      <c r="N1002" s="30"/>
      <c r="O1002" s="30"/>
      <c r="P1002" s="30"/>
      <c r="Q1002" s="30"/>
      <c r="R1002" s="30"/>
    </row>
    <row r="1003" spans="11:18" x14ac:dyDescent="0.6">
      <c r="K1003" s="29"/>
      <c r="L1003" s="30"/>
      <c r="M1003" s="30"/>
      <c r="N1003" s="30"/>
      <c r="O1003" s="30"/>
      <c r="P1003" s="30"/>
      <c r="Q1003" s="30"/>
      <c r="R1003" s="30"/>
    </row>
    <row r="1004" spans="11:18" x14ac:dyDescent="0.6">
      <c r="K1004" s="29"/>
      <c r="L1004" s="30"/>
      <c r="M1004" s="30"/>
      <c r="N1004" s="30"/>
      <c r="O1004" s="30"/>
      <c r="P1004" s="30"/>
      <c r="Q1004" s="30"/>
      <c r="R1004" s="30"/>
    </row>
    <row r="1005" spans="11:18" x14ac:dyDescent="0.6">
      <c r="K1005" s="29"/>
      <c r="L1005" s="30"/>
      <c r="M1005" s="30"/>
      <c r="N1005" s="30"/>
      <c r="O1005" s="30"/>
      <c r="P1005" s="30"/>
      <c r="Q1005" s="30"/>
      <c r="R1005" s="30"/>
    </row>
    <row r="1006" spans="11:18" x14ac:dyDescent="0.6">
      <c r="K1006" s="29"/>
      <c r="L1006" s="30"/>
      <c r="M1006" s="30"/>
      <c r="N1006" s="30"/>
      <c r="O1006" s="30"/>
      <c r="P1006" s="30"/>
      <c r="Q1006" s="30"/>
      <c r="R1006" s="30"/>
    </row>
    <row r="1007" spans="11:18" x14ac:dyDescent="0.6">
      <c r="K1007" s="29"/>
      <c r="L1007" s="30"/>
      <c r="M1007" s="30"/>
      <c r="N1007" s="30"/>
      <c r="O1007" s="30"/>
      <c r="P1007" s="30"/>
      <c r="Q1007" s="30"/>
      <c r="R1007" s="30"/>
    </row>
    <row r="1008" spans="11:18" x14ac:dyDescent="0.6">
      <c r="K1008" s="29"/>
      <c r="L1008" s="30"/>
      <c r="M1008" s="30"/>
      <c r="N1008" s="30"/>
      <c r="O1008" s="30"/>
      <c r="P1008" s="30"/>
      <c r="Q1008" s="30"/>
      <c r="R1008" s="30"/>
    </row>
    <row r="1009" spans="11:18" x14ac:dyDescent="0.6">
      <c r="K1009" s="29"/>
      <c r="L1009" s="30"/>
      <c r="M1009" s="30"/>
      <c r="N1009" s="30"/>
      <c r="O1009" s="30"/>
      <c r="P1009" s="30"/>
      <c r="Q1009" s="30"/>
      <c r="R1009" s="30"/>
    </row>
    <row r="1010" spans="11:18" x14ac:dyDescent="0.6">
      <c r="K1010" s="29"/>
      <c r="L1010" s="30"/>
      <c r="M1010" s="30"/>
      <c r="N1010" s="30"/>
      <c r="O1010" s="30"/>
      <c r="P1010" s="30"/>
      <c r="Q1010" s="30"/>
      <c r="R1010" s="30"/>
    </row>
    <row r="1011" spans="11:18" x14ac:dyDescent="0.6">
      <c r="K1011" s="29"/>
      <c r="L1011" s="30"/>
      <c r="M1011" s="30"/>
      <c r="N1011" s="30"/>
      <c r="O1011" s="30"/>
      <c r="P1011" s="30"/>
      <c r="Q1011" s="30"/>
      <c r="R1011" s="30"/>
    </row>
    <row r="1012" spans="11:18" x14ac:dyDescent="0.6">
      <c r="K1012" s="29"/>
      <c r="L1012" s="30"/>
      <c r="M1012" s="30"/>
      <c r="N1012" s="30"/>
      <c r="O1012" s="30"/>
      <c r="P1012" s="30"/>
      <c r="Q1012" s="30"/>
      <c r="R1012" s="30"/>
    </row>
    <row r="1013" spans="11:18" x14ac:dyDescent="0.6">
      <c r="K1013" s="29"/>
      <c r="L1013" s="30"/>
      <c r="M1013" s="30"/>
      <c r="N1013" s="30"/>
      <c r="O1013" s="30"/>
      <c r="P1013" s="30"/>
      <c r="Q1013" s="30"/>
      <c r="R1013" s="30"/>
    </row>
    <row r="1014" spans="11:18" x14ac:dyDescent="0.6">
      <c r="K1014" s="29"/>
      <c r="L1014" s="30"/>
      <c r="M1014" s="30"/>
      <c r="N1014" s="30"/>
      <c r="O1014" s="30"/>
      <c r="P1014" s="30"/>
      <c r="Q1014" s="30"/>
      <c r="R1014" s="30"/>
    </row>
    <row r="1015" spans="11:18" x14ac:dyDescent="0.6">
      <c r="K1015" s="29"/>
      <c r="L1015" s="30"/>
      <c r="M1015" s="30"/>
      <c r="N1015" s="30"/>
      <c r="O1015" s="30"/>
      <c r="P1015" s="30"/>
      <c r="Q1015" s="30"/>
      <c r="R1015" s="30"/>
    </row>
    <row r="1016" spans="11:18" x14ac:dyDescent="0.6">
      <c r="K1016" s="29"/>
      <c r="L1016" s="30"/>
      <c r="M1016" s="30"/>
      <c r="N1016" s="30"/>
      <c r="O1016" s="30"/>
      <c r="P1016" s="30"/>
      <c r="Q1016" s="30"/>
      <c r="R1016" s="30"/>
    </row>
    <row r="1017" spans="11:18" x14ac:dyDescent="0.6">
      <c r="K1017" s="29"/>
      <c r="L1017" s="30"/>
      <c r="M1017" s="30"/>
      <c r="N1017" s="30"/>
      <c r="O1017" s="30"/>
      <c r="P1017" s="30"/>
      <c r="Q1017" s="30"/>
      <c r="R1017" s="30"/>
    </row>
    <row r="1018" spans="11:18" x14ac:dyDescent="0.6">
      <c r="K1018" s="29"/>
      <c r="L1018" s="30"/>
      <c r="M1018" s="30"/>
      <c r="N1018" s="30"/>
      <c r="O1018" s="30"/>
      <c r="P1018" s="30"/>
      <c r="Q1018" s="30"/>
      <c r="R1018" s="30"/>
    </row>
    <row r="1019" spans="11:18" x14ac:dyDescent="0.6">
      <c r="K1019" s="29"/>
      <c r="L1019" s="30"/>
      <c r="M1019" s="30"/>
      <c r="N1019" s="30"/>
      <c r="O1019" s="30"/>
      <c r="P1019" s="30"/>
      <c r="Q1019" s="30"/>
      <c r="R1019" s="30"/>
    </row>
    <row r="1020" spans="11:18" x14ac:dyDescent="0.6">
      <c r="K1020" s="29"/>
      <c r="L1020" s="30"/>
      <c r="M1020" s="30"/>
      <c r="N1020" s="30"/>
      <c r="O1020" s="30"/>
      <c r="P1020" s="30"/>
      <c r="Q1020" s="30"/>
      <c r="R1020" s="30"/>
    </row>
    <row r="1021" spans="11:18" x14ac:dyDescent="0.6">
      <c r="K1021" s="29"/>
      <c r="L1021" s="30"/>
      <c r="M1021" s="30"/>
      <c r="N1021" s="30"/>
      <c r="O1021" s="30"/>
      <c r="P1021" s="30"/>
      <c r="Q1021" s="30"/>
      <c r="R1021" s="30"/>
    </row>
    <row r="1022" spans="11:18" x14ac:dyDescent="0.6">
      <c r="K1022" s="29"/>
      <c r="L1022" s="30"/>
      <c r="M1022" s="30"/>
      <c r="N1022" s="30"/>
      <c r="O1022" s="30"/>
      <c r="P1022" s="30"/>
      <c r="Q1022" s="30"/>
      <c r="R1022" s="30"/>
    </row>
    <row r="1023" spans="11:18" x14ac:dyDescent="0.6">
      <c r="K1023" s="29"/>
      <c r="L1023" s="30"/>
      <c r="M1023" s="30"/>
      <c r="N1023" s="30"/>
      <c r="O1023" s="30"/>
      <c r="P1023" s="30"/>
      <c r="Q1023" s="30"/>
      <c r="R1023" s="30"/>
    </row>
    <row r="1024" spans="11:18" x14ac:dyDescent="0.6">
      <c r="K1024" s="29"/>
      <c r="L1024" s="30"/>
      <c r="M1024" s="30"/>
      <c r="N1024" s="30"/>
      <c r="O1024" s="30"/>
      <c r="P1024" s="30"/>
      <c r="Q1024" s="30"/>
      <c r="R1024" s="30"/>
    </row>
    <row r="1025" spans="11:18" x14ac:dyDescent="0.6">
      <c r="K1025" s="29"/>
      <c r="L1025" s="30"/>
      <c r="M1025" s="30"/>
      <c r="N1025" s="30"/>
      <c r="O1025" s="30"/>
      <c r="P1025" s="30"/>
      <c r="Q1025" s="30"/>
      <c r="R1025" s="30"/>
    </row>
    <row r="1026" spans="11:18" x14ac:dyDescent="0.6">
      <c r="K1026" s="29"/>
      <c r="L1026" s="30"/>
      <c r="M1026" s="30"/>
      <c r="N1026" s="30"/>
      <c r="O1026" s="30"/>
      <c r="P1026" s="30"/>
      <c r="Q1026" s="30"/>
      <c r="R1026" s="30"/>
    </row>
    <row r="1027" spans="11:18" x14ac:dyDescent="0.6">
      <c r="K1027" s="29"/>
      <c r="L1027" s="30"/>
      <c r="M1027" s="30"/>
      <c r="N1027" s="30"/>
      <c r="O1027" s="30"/>
      <c r="P1027" s="30"/>
      <c r="Q1027" s="30"/>
      <c r="R1027" s="30"/>
    </row>
    <row r="1028" spans="11:18" x14ac:dyDescent="0.6">
      <c r="K1028" s="29"/>
      <c r="L1028" s="30"/>
      <c r="M1028" s="30"/>
      <c r="N1028" s="30"/>
      <c r="O1028" s="30"/>
      <c r="P1028" s="30"/>
      <c r="Q1028" s="30"/>
      <c r="R1028" s="30"/>
    </row>
    <row r="1029" spans="11:18" x14ac:dyDescent="0.6">
      <c r="K1029" s="29"/>
      <c r="L1029" s="30"/>
      <c r="M1029" s="30"/>
      <c r="N1029" s="30"/>
      <c r="O1029" s="30"/>
      <c r="P1029" s="30"/>
      <c r="Q1029" s="30"/>
      <c r="R1029" s="30"/>
    </row>
    <row r="1030" spans="11:18" x14ac:dyDescent="0.6">
      <c r="K1030" s="29"/>
      <c r="L1030" s="30"/>
      <c r="M1030" s="30"/>
      <c r="N1030" s="30"/>
      <c r="O1030" s="30"/>
      <c r="P1030" s="30"/>
      <c r="Q1030" s="30"/>
      <c r="R1030" s="30"/>
    </row>
    <row r="1031" spans="11:18" x14ac:dyDescent="0.6">
      <c r="K1031" s="29"/>
      <c r="L1031" s="30"/>
      <c r="M1031" s="30"/>
      <c r="N1031" s="30"/>
      <c r="O1031" s="30"/>
      <c r="P1031" s="30"/>
      <c r="Q1031" s="30"/>
      <c r="R1031" s="30"/>
    </row>
    <row r="1032" spans="11:18" x14ac:dyDescent="0.6">
      <c r="K1032" s="29"/>
      <c r="L1032" s="30"/>
      <c r="M1032" s="30"/>
      <c r="N1032" s="30"/>
      <c r="O1032" s="30"/>
      <c r="P1032" s="30"/>
      <c r="Q1032" s="30"/>
      <c r="R1032" s="30"/>
    </row>
    <row r="1033" spans="11:18" x14ac:dyDescent="0.6">
      <c r="K1033" s="29"/>
      <c r="L1033" s="30"/>
      <c r="M1033" s="30"/>
      <c r="N1033" s="30"/>
      <c r="O1033" s="30"/>
      <c r="P1033" s="30"/>
      <c r="Q1033" s="30"/>
      <c r="R1033" s="30"/>
    </row>
    <row r="1034" spans="11:18" x14ac:dyDescent="0.6">
      <c r="K1034" s="29"/>
      <c r="L1034" s="30"/>
      <c r="M1034" s="30"/>
      <c r="N1034" s="30"/>
      <c r="O1034" s="30"/>
      <c r="P1034" s="30"/>
      <c r="Q1034" s="30"/>
      <c r="R1034" s="30"/>
    </row>
    <row r="1035" spans="11:18" x14ac:dyDescent="0.6">
      <c r="K1035" s="29"/>
      <c r="L1035" s="30"/>
      <c r="M1035" s="30"/>
      <c r="N1035" s="30"/>
      <c r="O1035" s="30"/>
      <c r="P1035" s="30"/>
      <c r="Q1035" s="30"/>
      <c r="R1035" s="30"/>
    </row>
    <row r="1036" spans="11:18" x14ac:dyDescent="0.6">
      <c r="K1036" s="29"/>
      <c r="L1036" s="30"/>
      <c r="M1036" s="30"/>
      <c r="N1036" s="30"/>
      <c r="O1036" s="30"/>
      <c r="P1036" s="30"/>
      <c r="Q1036" s="30"/>
      <c r="R1036" s="30"/>
    </row>
    <row r="1037" spans="11:18" x14ac:dyDescent="0.6">
      <c r="K1037" s="29"/>
      <c r="L1037" s="30"/>
      <c r="M1037" s="30"/>
      <c r="N1037" s="30"/>
      <c r="O1037" s="30"/>
      <c r="P1037" s="30"/>
      <c r="Q1037" s="30"/>
      <c r="R1037" s="30"/>
    </row>
    <row r="1038" spans="11:18" x14ac:dyDescent="0.6">
      <c r="K1038" s="29"/>
      <c r="L1038" s="30"/>
      <c r="M1038" s="30"/>
      <c r="N1038" s="30"/>
      <c r="O1038" s="30"/>
      <c r="P1038" s="30"/>
      <c r="Q1038" s="30"/>
      <c r="R1038" s="30"/>
    </row>
    <row r="1039" spans="11:18" x14ac:dyDescent="0.6">
      <c r="K1039" s="29"/>
      <c r="L1039" s="30"/>
      <c r="M1039" s="30"/>
      <c r="N1039" s="30"/>
      <c r="O1039" s="30"/>
      <c r="P1039" s="30"/>
      <c r="Q1039" s="30"/>
      <c r="R1039" s="30"/>
    </row>
    <row r="1040" spans="11:18" x14ac:dyDescent="0.6">
      <c r="K1040" s="29"/>
      <c r="L1040" s="30"/>
      <c r="M1040" s="30"/>
      <c r="N1040" s="30"/>
      <c r="O1040" s="30"/>
      <c r="P1040" s="30"/>
      <c r="Q1040" s="30"/>
      <c r="R1040" s="30"/>
    </row>
    <row r="1041" spans="11:18" x14ac:dyDescent="0.6">
      <c r="K1041" s="29"/>
      <c r="L1041" s="30"/>
      <c r="M1041" s="30"/>
      <c r="N1041" s="30"/>
      <c r="O1041" s="30"/>
      <c r="P1041" s="30"/>
      <c r="Q1041" s="30"/>
      <c r="R1041" s="30"/>
    </row>
    <row r="1042" spans="11:18" x14ac:dyDescent="0.6">
      <c r="K1042" s="29"/>
      <c r="L1042" s="30"/>
      <c r="M1042" s="30"/>
      <c r="N1042" s="30"/>
      <c r="O1042" s="30"/>
      <c r="P1042" s="30"/>
      <c r="Q1042" s="30"/>
      <c r="R1042" s="30"/>
    </row>
    <row r="1043" spans="11:18" x14ac:dyDescent="0.6">
      <c r="K1043" s="29"/>
      <c r="L1043" s="30"/>
      <c r="M1043" s="30"/>
      <c r="N1043" s="30"/>
      <c r="O1043" s="30"/>
      <c r="P1043" s="30"/>
      <c r="Q1043" s="30"/>
      <c r="R1043" s="30"/>
    </row>
    <row r="1044" spans="11:18" x14ac:dyDescent="0.6">
      <c r="K1044" s="29"/>
      <c r="L1044" s="30"/>
      <c r="M1044" s="30"/>
      <c r="N1044" s="30"/>
      <c r="O1044" s="30"/>
      <c r="P1044" s="30"/>
      <c r="Q1044" s="30"/>
      <c r="R1044" s="30"/>
    </row>
    <row r="1045" spans="11:18" x14ac:dyDescent="0.6">
      <c r="K1045" s="29"/>
      <c r="L1045" s="30"/>
      <c r="M1045" s="30"/>
      <c r="N1045" s="30"/>
      <c r="O1045" s="30"/>
      <c r="P1045" s="30"/>
      <c r="Q1045" s="30"/>
      <c r="R1045" s="30"/>
    </row>
    <row r="1046" spans="11:18" x14ac:dyDescent="0.6">
      <c r="K1046" s="29"/>
      <c r="L1046" s="30"/>
      <c r="M1046" s="30"/>
      <c r="N1046" s="30"/>
      <c r="O1046" s="30"/>
      <c r="P1046" s="30"/>
      <c r="Q1046" s="30"/>
      <c r="R1046" s="30"/>
    </row>
    <row r="1047" spans="11:18" x14ac:dyDescent="0.6">
      <c r="K1047" s="29"/>
      <c r="L1047" s="30"/>
      <c r="M1047" s="30"/>
      <c r="N1047" s="30"/>
      <c r="O1047" s="30"/>
      <c r="P1047" s="30"/>
      <c r="Q1047" s="30"/>
      <c r="R1047" s="30"/>
    </row>
    <row r="1048" spans="11:18" x14ac:dyDescent="0.6">
      <c r="K1048" s="29"/>
      <c r="L1048" s="30"/>
      <c r="M1048" s="30"/>
      <c r="N1048" s="30"/>
      <c r="O1048" s="30"/>
      <c r="P1048" s="30"/>
      <c r="Q1048" s="30"/>
      <c r="R1048" s="30"/>
    </row>
    <row r="1049" spans="11:18" x14ac:dyDescent="0.6">
      <c r="K1049" s="29"/>
      <c r="L1049" s="30"/>
      <c r="M1049" s="30"/>
      <c r="N1049" s="30"/>
      <c r="O1049" s="30"/>
      <c r="P1049" s="30"/>
      <c r="Q1049" s="30"/>
      <c r="R1049" s="30"/>
    </row>
    <row r="1050" spans="11:18" x14ac:dyDescent="0.6">
      <c r="K1050" s="29"/>
      <c r="L1050" s="30"/>
      <c r="M1050" s="30"/>
      <c r="N1050" s="30"/>
      <c r="O1050" s="30"/>
      <c r="P1050" s="30"/>
      <c r="Q1050" s="30"/>
      <c r="R1050" s="30"/>
    </row>
    <row r="1051" spans="11:18" x14ac:dyDescent="0.6">
      <c r="K1051" s="29"/>
      <c r="L1051" s="30"/>
      <c r="M1051" s="30"/>
      <c r="N1051" s="30"/>
      <c r="O1051" s="30"/>
      <c r="P1051" s="30"/>
      <c r="Q1051" s="30"/>
      <c r="R1051" s="30"/>
    </row>
    <row r="1052" spans="11:18" x14ac:dyDescent="0.6">
      <c r="K1052" s="29"/>
      <c r="L1052" s="30"/>
      <c r="M1052" s="30"/>
      <c r="N1052" s="30"/>
      <c r="O1052" s="30"/>
      <c r="P1052" s="30"/>
      <c r="Q1052" s="30"/>
      <c r="R1052" s="30"/>
    </row>
    <row r="1053" spans="11:18" x14ac:dyDescent="0.6">
      <c r="K1053" s="29"/>
      <c r="L1053" s="30"/>
      <c r="M1053" s="30"/>
      <c r="N1053" s="30"/>
      <c r="O1053" s="30"/>
      <c r="P1053" s="30"/>
      <c r="Q1053" s="30"/>
      <c r="R1053" s="30"/>
    </row>
    <row r="1054" spans="11:18" x14ac:dyDescent="0.6">
      <c r="K1054" s="29"/>
      <c r="L1054" s="30"/>
      <c r="M1054" s="30"/>
      <c r="N1054" s="30"/>
      <c r="O1054" s="30"/>
      <c r="P1054" s="30"/>
      <c r="Q1054" s="30"/>
      <c r="R1054" s="30"/>
    </row>
    <row r="1055" spans="11:18" x14ac:dyDescent="0.6">
      <c r="K1055" s="29"/>
      <c r="L1055" s="30"/>
      <c r="M1055" s="30"/>
      <c r="N1055" s="30"/>
      <c r="O1055" s="30"/>
      <c r="P1055" s="30"/>
      <c r="Q1055" s="30"/>
      <c r="R1055" s="30"/>
    </row>
    <row r="1056" spans="11:18" x14ac:dyDescent="0.6">
      <c r="K1056" s="29"/>
      <c r="L1056" s="30"/>
      <c r="M1056" s="30"/>
      <c r="N1056" s="30"/>
      <c r="O1056" s="30"/>
      <c r="P1056" s="30"/>
      <c r="Q1056" s="30"/>
      <c r="R1056" s="30"/>
    </row>
    <row r="1057" spans="11:18" x14ac:dyDescent="0.6">
      <c r="K1057" s="29"/>
      <c r="L1057" s="30"/>
      <c r="M1057" s="30"/>
      <c r="N1057" s="30"/>
      <c r="O1057" s="30"/>
      <c r="P1057" s="30"/>
      <c r="Q1057" s="30"/>
      <c r="R1057" s="30"/>
    </row>
    <row r="1058" spans="11:18" x14ac:dyDescent="0.6">
      <c r="K1058" s="29"/>
      <c r="L1058" s="30"/>
      <c r="M1058" s="30"/>
      <c r="N1058" s="30"/>
      <c r="O1058" s="30"/>
      <c r="P1058" s="30"/>
      <c r="Q1058" s="30"/>
      <c r="R1058" s="30"/>
    </row>
    <row r="1059" spans="11:18" x14ac:dyDescent="0.6">
      <c r="K1059" s="29"/>
      <c r="L1059" s="30"/>
      <c r="M1059" s="30"/>
      <c r="N1059" s="30"/>
      <c r="O1059" s="30"/>
      <c r="P1059" s="30"/>
      <c r="Q1059" s="30"/>
      <c r="R1059" s="30"/>
    </row>
    <row r="1060" spans="11:18" x14ac:dyDescent="0.6">
      <c r="K1060" s="29"/>
      <c r="L1060" s="30"/>
      <c r="M1060" s="30"/>
      <c r="N1060" s="30"/>
      <c r="O1060" s="30"/>
      <c r="P1060" s="30"/>
      <c r="Q1060" s="30"/>
      <c r="R1060" s="30"/>
    </row>
    <row r="1061" spans="11:18" x14ac:dyDescent="0.6">
      <c r="K1061" s="29"/>
      <c r="L1061" s="30"/>
      <c r="M1061" s="30"/>
      <c r="N1061" s="30"/>
      <c r="O1061" s="30"/>
      <c r="P1061" s="30"/>
      <c r="Q1061" s="30"/>
      <c r="R1061" s="30"/>
    </row>
    <row r="1062" spans="11:18" x14ac:dyDescent="0.6">
      <c r="K1062" s="29"/>
      <c r="L1062" s="30"/>
      <c r="M1062" s="30"/>
      <c r="N1062" s="30"/>
      <c r="O1062" s="30"/>
      <c r="P1062" s="30"/>
      <c r="Q1062" s="30"/>
      <c r="R1062" s="30"/>
    </row>
    <row r="1063" spans="11:18" x14ac:dyDescent="0.6">
      <c r="K1063" s="29"/>
      <c r="L1063" s="30"/>
      <c r="M1063" s="30"/>
      <c r="N1063" s="30"/>
      <c r="O1063" s="30"/>
      <c r="P1063" s="30"/>
      <c r="Q1063" s="30"/>
      <c r="R1063" s="30"/>
    </row>
    <row r="1064" spans="11:18" x14ac:dyDescent="0.6">
      <c r="K1064" s="29"/>
      <c r="L1064" s="30"/>
      <c r="M1064" s="30"/>
      <c r="N1064" s="30"/>
      <c r="O1064" s="30"/>
      <c r="P1064" s="30"/>
      <c r="Q1064" s="30"/>
      <c r="R1064" s="30"/>
    </row>
    <row r="1065" spans="11:18" x14ac:dyDescent="0.6">
      <c r="K1065" s="29"/>
      <c r="L1065" s="30"/>
      <c r="M1065" s="30"/>
      <c r="N1065" s="30"/>
      <c r="O1065" s="30"/>
      <c r="P1065" s="30"/>
      <c r="Q1065" s="30"/>
      <c r="R1065" s="30"/>
    </row>
    <row r="1066" spans="11:18" x14ac:dyDescent="0.6">
      <c r="K1066" s="29"/>
      <c r="L1066" s="30"/>
      <c r="M1066" s="30"/>
      <c r="N1066" s="30"/>
      <c r="O1066" s="30"/>
      <c r="P1066" s="30"/>
      <c r="Q1066" s="30"/>
      <c r="R1066" s="30"/>
    </row>
    <row r="1067" spans="11:18" x14ac:dyDescent="0.6">
      <c r="K1067" s="29"/>
      <c r="L1067" s="30"/>
      <c r="M1067" s="30"/>
      <c r="N1067" s="30"/>
      <c r="O1067" s="30"/>
      <c r="P1067" s="30"/>
      <c r="Q1067" s="30"/>
      <c r="R1067" s="30"/>
    </row>
    <row r="1068" spans="11:18" x14ac:dyDescent="0.6">
      <c r="K1068" s="29"/>
      <c r="L1068" s="30"/>
      <c r="M1068" s="30"/>
      <c r="N1068" s="30"/>
      <c r="O1068" s="30"/>
      <c r="P1068" s="30"/>
      <c r="Q1068" s="30"/>
      <c r="R1068" s="30"/>
    </row>
    <row r="1069" spans="11:18" x14ac:dyDescent="0.6">
      <c r="K1069" s="29"/>
      <c r="L1069" s="30"/>
      <c r="M1069" s="30"/>
      <c r="N1069" s="30"/>
      <c r="O1069" s="30"/>
      <c r="P1069" s="30"/>
      <c r="Q1069" s="30"/>
      <c r="R1069" s="30"/>
    </row>
    <row r="1070" spans="11:18" x14ac:dyDescent="0.6">
      <c r="K1070" s="29"/>
      <c r="L1070" s="30"/>
      <c r="M1070" s="30"/>
      <c r="N1070" s="30"/>
      <c r="O1070" s="30"/>
      <c r="P1070" s="30"/>
      <c r="Q1070" s="30"/>
      <c r="R1070" s="30"/>
    </row>
    <row r="1071" spans="11:18" x14ac:dyDescent="0.6">
      <c r="K1071" s="29"/>
      <c r="L1071" s="30"/>
      <c r="M1071" s="30"/>
      <c r="N1071" s="30"/>
      <c r="O1071" s="30"/>
      <c r="P1071" s="30"/>
      <c r="Q1071" s="30"/>
      <c r="R1071" s="30"/>
    </row>
    <row r="1072" spans="11:18" x14ac:dyDescent="0.6">
      <c r="K1072" s="29"/>
      <c r="L1072" s="30"/>
      <c r="M1072" s="30"/>
      <c r="N1072" s="30"/>
      <c r="O1072" s="30"/>
      <c r="P1072" s="30"/>
      <c r="Q1072" s="30"/>
      <c r="R1072" s="30"/>
    </row>
    <row r="1073" spans="11:18" x14ac:dyDescent="0.6">
      <c r="K1073" s="29"/>
      <c r="L1073" s="30"/>
      <c r="M1073" s="30"/>
      <c r="N1073" s="30"/>
      <c r="O1073" s="30"/>
      <c r="P1073" s="30"/>
      <c r="Q1073" s="30"/>
      <c r="R1073" s="30"/>
    </row>
    <row r="1074" spans="11:18" x14ac:dyDescent="0.6">
      <c r="K1074" s="29"/>
      <c r="L1074" s="30"/>
      <c r="M1074" s="30"/>
      <c r="N1074" s="30"/>
      <c r="O1074" s="30"/>
      <c r="P1074" s="30"/>
      <c r="Q1074" s="30"/>
      <c r="R1074" s="30"/>
    </row>
    <row r="1075" spans="11:18" x14ac:dyDescent="0.6">
      <c r="K1075" s="29"/>
      <c r="L1075" s="30"/>
      <c r="M1075" s="30"/>
      <c r="N1075" s="30"/>
      <c r="O1075" s="30"/>
      <c r="P1075" s="30"/>
      <c r="Q1075" s="30"/>
      <c r="R1075" s="30"/>
    </row>
    <row r="1076" spans="11:18" x14ac:dyDescent="0.6">
      <c r="K1076" s="29"/>
      <c r="L1076" s="30"/>
      <c r="M1076" s="30"/>
      <c r="N1076" s="30"/>
      <c r="O1076" s="30"/>
      <c r="P1076" s="30"/>
      <c r="Q1076" s="30"/>
      <c r="R1076" s="30"/>
    </row>
    <row r="1077" spans="11:18" x14ac:dyDescent="0.6">
      <c r="K1077" s="29"/>
      <c r="L1077" s="30"/>
      <c r="M1077" s="30"/>
      <c r="N1077" s="30"/>
      <c r="O1077" s="30"/>
      <c r="P1077" s="30"/>
      <c r="Q1077" s="30"/>
      <c r="R1077" s="30"/>
    </row>
    <row r="1078" spans="11:18" x14ac:dyDescent="0.6">
      <c r="K1078" s="29"/>
      <c r="L1078" s="30"/>
      <c r="M1078" s="30"/>
      <c r="N1078" s="30"/>
      <c r="O1078" s="30"/>
      <c r="P1078" s="30"/>
      <c r="Q1078" s="30"/>
      <c r="R1078" s="30"/>
    </row>
    <row r="1079" spans="11:18" x14ac:dyDescent="0.6">
      <c r="K1079" s="29"/>
      <c r="L1079" s="30"/>
      <c r="M1079" s="30"/>
      <c r="N1079" s="30"/>
      <c r="O1079" s="30"/>
      <c r="P1079" s="30"/>
      <c r="Q1079" s="30"/>
      <c r="R1079" s="30"/>
    </row>
    <row r="1080" spans="11:18" x14ac:dyDescent="0.6">
      <c r="K1080" s="29"/>
      <c r="L1080" s="30"/>
      <c r="M1080" s="30"/>
      <c r="N1080" s="30"/>
      <c r="O1080" s="30"/>
      <c r="P1080" s="30"/>
      <c r="Q1080" s="30"/>
      <c r="R1080" s="30"/>
    </row>
    <row r="1081" spans="11:18" x14ac:dyDescent="0.6">
      <c r="K1081" s="29"/>
      <c r="L1081" s="30"/>
      <c r="M1081" s="30"/>
      <c r="N1081" s="30"/>
      <c r="O1081" s="30"/>
      <c r="P1081" s="30"/>
      <c r="Q1081" s="30"/>
      <c r="R1081" s="30"/>
    </row>
    <row r="1082" spans="11:18" x14ac:dyDescent="0.6">
      <c r="K1082" s="29"/>
      <c r="L1082" s="30"/>
      <c r="M1082" s="30"/>
      <c r="N1082" s="30"/>
      <c r="O1082" s="30"/>
      <c r="P1082" s="30"/>
      <c r="Q1082" s="30"/>
      <c r="R1082" s="30"/>
    </row>
    <row r="1083" spans="11:18" x14ac:dyDescent="0.6">
      <c r="K1083" s="29"/>
      <c r="L1083" s="30"/>
      <c r="M1083" s="30"/>
      <c r="N1083" s="30"/>
      <c r="O1083" s="30"/>
      <c r="P1083" s="30"/>
      <c r="Q1083" s="30"/>
      <c r="R1083" s="30"/>
    </row>
    <row r="1084" spans="11:18" x14ac:dyDescent="0.6">
      <c r="K1084" s="29"/>
      <c r="L1084" s="30"/>
      <c r="M1084" s="30"/>
      <c r="N1084" s="30"/>
      <c r="O1084" s="30"/>
      <c r="P1084" s="30"/>
      <c r="Q1084" s="30"/>
      <c r="R1084" s="30"/>
    </row>
    <row r="1085" spans="11:18" x14ac:dyDescent="0.6">
      <c r="K1085" s="29"/>
      <c r="L1085" s="30"/>
      <c r="M1085" s="30"/>
      <c r="N1085" s="30"/>
      <c r="O1085" s="30"/>
      <c r="P1085" s="30"/>
      <c r="Q1085" s="30"/>
      <c r="R1085" s="30"/>
    </row>
    <row r="1086" spans="11:18" x14ac:dyDescent="0.6">
      <c r="K1086" s="29"/>
      <c r="L1086" s="30"/>
      <c r="M1086" s="30"/>
      <c r="N1086" s="30"/>
      <c r="O1086" s="30"/>
      <c r="P1086" s="30"/>
      <c r="Q1086" s="30"/>
      <c r="R1086" s="30"/>
    </row>
    <row r="1087" spans="11:18" x14ac:dyDescent="0.6">
      <c r="K1087" s="29"/>
      <c r="L1087" s="30"/>
      <c r="M1087" s="30"/>
      <c r="N1087" s="30"/>
      <c r="O1087" s="30"/>
      <c r="P1087" s="30"/>
      <c r="Q1087" s="30"/>
      <c r="R1087" s="30"/>
    </row>
    <row r="1088" spans="11:18" x14ac:dyDescent="0.6">
      <c r="K1088" s="29"/>
      <c r="L1088" s="30"/>
      <c r="M1088" s="30"/>
      <c r="N1088" s="30"/>
      <c r="O1088" s="30"/>
      <c r="P1088" s="30"/>
      <c r="Q1088" s="30"/>
      <c r="R1088" s="30"/>
    </row>
    <row r="1089" spans="11:18" x14ac:dyDescent="0.6">
      <c r="K1089" s="29"/>
      <c r="L1089" s="30"/>
      <c r="M1089" s="30"/>
      <c r="N1089" s="30"/>
      <c r="O1089" s="30"/>
      <c r="P1089" s="30"/>
      <c r="Q1089" s="30"/>
      <c r="R1089" s="30"/>
    </row>
    <row r="1090" spans="11:18" x14ac:dyDescent="0.6">
      <c r="K1090" s="29"/>
      <c r="L1090" s="30"/>
      <c r="M1090" s="30"/>
      <c r="N1090" s="30"/>
      <c r="O1090" s="30"/>
      <c r="P1090" s="30"/>
      <c r="Q1090" s="30"/>
      <c r="R1090" s="30"/>
    </row>
    <row r="1091" spans="11:18" x14ac:dyDescent="0.6">
      <c r="K1091" s="29"/>
      <c r="L1091" s="30"/>
      <c r="M1091" s="30"/>
      <c r="N1091" s="30"/>
      <c r="O1091" s="30"/>
      <c r="P1091" s="30"/>
      <c r="Q1091" s="30"/>
      <c r="R1091" s="30"/>
    </row>
    <row r="1092" spans="11:18" x14ac:dyDescent="0.6">
      <c r="K1092" s="29"/>
      <c r="L1092" s="30"/>
      <c r="M1092" s="30"/>
      <c r="N1092" s="30"/>
      <c r="O1092" s="30"/>
      <c r="P1092" s="30"/>
      <c r="Q1092" s="30"/>
      <c r="R1092" s="30"/>
    </row>
    <row r="1093" spans="11:18" x14ac:dyDescent="0.6">
      <c r="K1093" s="29"/>
      <c r="L1093" s="30"/>
      <c r="M1093" s="30"/>
      <c r="N1093" s="30"/>
      <c r="O1093" s="30"/>
      <c r="P1093" s="30"/>
      <c r="Q1093" s="30"/>
      <c r="R1093" s="30"/>
    </row>
    <row r="1094" spans="11:18" x14ac:dyDescent="0.6">
      <c r="K1094" s="29"/>
      <c r="L1094" s="30"/>
      <c r="M1094" s="30"/>
      <c r="N1094" s="30"/>
      <c r="O1094" s="30"/>
      <c r="P1094" s="30"/>
      <c r="Q1094" s="30"/>
      <c r="R1094" s="30"/>
    </row>
    <row r="1095" spans="11:18" x14ac:dyDescent="0.6">
      <c r="K1095" s="29"/>
      <c r="L1095" s="30"/>
      <c r="M1095" s="30"/>
      <c r="N1095" s="30"/>
      <c r="O1095" s="30"/>
      <c r="P1095" s="30"/>
      <c r="Q1095" s="30"/>
      <c r="R1095" s="30"/>
    </row>
    <row r="1096" spans="11:18" x14ac:dyDescent="0.6">
      <c r="K1096" s="29"/>
      <c r="L1096" s="30"/>
      <c r="M1096" s="30"/>
      <c r="N1096" s="30"/>
      <c r="O1096" s="30"/>
      <c r="P1096" s="30"/>
      <c r="Q1096" s="30"/>
      <c r="R1096" s="30"/>
    </row>
    <row r="1097" spans="11:18" x14ac:dyDescent="0.6">
      <c r="K1097" s="29"/>
      <c r="L1097" s="30"/>
      <c r="M1097" s="30"/>
      <c r="N1097" s="30"/>
      <c r="O1097" s="30"/>
      <c r="P1097" s="30"/>
      <c r="Q1097" s="30"/>
      <c r="R1097" s="30"/>
    </row>
    <row r="1098" spans="11:18" x14ac:dyDescent="0.6">
      <c r="K1098" s="29"/>
      <c r="L1098" s="30"/>
      <c r="M1098" s="30"/>
      <c r="N1098" s="30"/>
      <c r="O1098" s="30"/>
      <c r="P1098" s="30"/>
      <c r="Q1098" s="30"/>
      <c r="R1098" s="30"/>
    </row>
    <row r="1099" spans="11:18" x14ac:dyDescent="0.6">
      <c r="K1099" s="29"/>
      <c r="L1099" s="30"/>
      <c r="M1099" s="30"/>
      <c r="N1099" s="30"/>
      <c r="O1099" s="30"/>
      <c r="P1099" s="30"/>
      <c r="Q1099" s="30"/>
      <c r="R1099" s="30"/>
    </row>
    <row r="1100" spans="11:18" x14ac:dyDescent="0.6">
      <c r="K1100" s="29"/>
      <c r="L1100" s="30"/>
      <c r="M1100" s="30"/>
      <c r="N1100" s="30"/>
      <c r="O1100" s="30"/>
      <c r="P1100" s="30"/>
      <c r="Q1100" s="30"/>
      <c r="R1100" s="30"/>
    </row>
    <row r="1101" spans="11:18" x14ac:dyDescent="0.6">
      <c r="K1101" s="29"/>
      <c r="L1101" s="30"/>
      <c r="M1101" s="30"/>
      <c r="N1101" s="30"/>
      <c r="O1101" s="30"/>
      <c r="P1101" s="30"/>
      <c r="Q1101" s="30"/>
      <c r="R1101" s="30"/>
    </row>
    <row r="1102" spans="11:18" x14ac:dyDescent="0.6">
      <c r="K1102" s="29"/>
      <c r="L1102" s="30"/>
      <c r="M1102" s="30"/>
      <c r="N1102" s="30"/>
      <c r="O1102" s="30"/>
      <c r="P1102" s="30"/>
      <c r="Q1102" s="30"/>
      <c r="R1102" s="30"/>
    </row>
    <row r="1103" spans="11:18" x14ac:dyDescent="0.6">
      <c r="K1103" s="29"/>
      <c r="L1103" s="30"/>
      <c r="M1103" s="30"/>
      <c r="N1103" s="30"/>
      <c r="O1103" s="30"/>
      <c r="P1103" s="30"/>
      <c r="Q1103" s="30"/>
      <c r="R1103" s="30"/>
    </row>
    <row r="1104" spans="11:18" x14ac:dyDescent="0.6">
      <c r="K1104" s="29"/>
      <c r="L1104" s="30"/>
      <c r="M1104" s="30"/>
      <c r="N1104" s="30"/>
      <c r="O1104" s="30"/>
      <c r="P1104" s="30"/>
      <c r="Q1104" s="30"/>
      <c r="R1104" s="30"/>
    </row>
    <row r="1105" spans="11:18" x14ac:dyDescent="0.6">
      <c r="K1105" s="29"/>
      <c r="L1105" s="30"/>
      <c r="M1105" s="30"/>
      <c r="N1105" s="30"/>
      <c r="O1105" s="30"/>
      <c r="P1105" s="30"/>
      <c r="Q1105" s="30"/>
      <c r="R1105" s="30"/>
    </row>
    <row r="1106" spans="11:18" x14ac:dyDescent="0.6">
      <c r="K1106" s="29"/>
      <c r="L1106" s="30"/>
      <c r="M1106" s="30"/>
      <c r="N1106" s="30"/>
      <c r="O1106" s="30"/>
      <c r="P1106" s="30"/>
      <c r="Q1106" s="30"/>
      <c r="R1106" s="30"/>
    </row>
    <row r="1107" spans="11:18" x14ac:dyDescent="0.6">
      <c r="K1107" s="29"/>
      <c r="L1107" s="30"/>
      <c r="M1107" s="30"/>
      <c r="N1107" s="30"/>
      <c r="O1107" s="30"/>
      <c r="P1107" s="30"/>
      <c r="Q1107" s="30"/>
      <c r="R1107" s="30"/>
    </row>
    <row r="1108" spans="11:18" x14ac:dyDescent="0.6">
      <c r="K1108" s="29"/>
      <c r="L1108" s="30"/>
      <c r="M1108" s="30"/>
      <c r="N1108" s="30"/>
      <c r="O1108" s="30"/>
      <c r="P1108" s="30"/>
      <c r="Q1108" s="30"/>
      <c r="R1108" s="30"/>
    </row>
    <row r="1109" spans="11:18" x14ac:dyDescent="0.6">
      <c r="K1109" s="29"/>
      <c r="L1109" s="30"/>
      <c r="M1109" s="30"/>
      <c r="N1109" s="30"/>
      <c r="O1109" s="30"/>
      <c r="P1109" s="30"/>
      <c r="Q1109" s="30"/>
      <c r="R1109" s="30"/>
    </row>
    <row r="1110" spans="11:18" x14ac:dyDescent="0.6">
      <c r="K1110" s="29"/>
      <c r="L1110" s="30"/>
      <c r="M1110" s="30"/>
      <c r="N1110" s="30"/>
      <c r="O1110" s="30"/>
      <c r="P1110" s="30"/>
      <c r="Q1110" s="30"/>
      <c r="R1110" s="30"/>
    </row>
    <row r="1111" spans="11:18" x14ac:dyDescent="0.6">
      <c r="K1111" s="29"/>
      <c r="L1111" s="30"/>
      <c r="M1111" s="30"/>
      <c r="N1111" s="30"/>
      <c r="O1111" s="30"/>
      <c r="P1111" s="30"/>
      <c r="Q1111" s="30"/>
      <c r="R1111" s="30"/>
    </row>
    <row r="1112" spans="11:18" x14ac:dyDescent="0.6">
      <c r="K1112" s="29"/>
      <c r="L1112" s="30"/>
      <c r="M1112" s="30"/>
      <c r="N1112" s="30"/>
      <c r="O1112" s="30"/>
      <c r="P1112" s="30"/>
      <c r="Q1112" s="30"/>
      <c r="R1112" s="30"/>
    </row>
    <row r="1113" spans="11:18" x14ac:dyDescent="0.6">
      <c r="K1113" s="29"/>
      <c r="L1113" s="30"/>
      <c r="M1113" s="30"/>
      <c r="N1113" s="30"/>
      <c r="O1113" s="30"/>
      <c r="P1113" s="30"/>
      <c r="Q1113" s="30"/>
      <c r="R1113" s="30"/>
    </row>
    <row r="1114" spans="11:18" x14ac:dyDescent="0.6">
      <c r="K1114" s="29"/>
      <c r="L1114" s="30"/>
      <c r="M1114" s="30"/>
      <c r="N1114" s="30"/>
      <c r="O1114" s="30"/>
      <c r="P1114" s="30"/>
      <c r="Q1114" s="30"/>
      <c r="R1114" s="30"/>
    </row>
    <row r="1115" spans="11:18" x14ac:dyDescent="0.6">
      <c r="K1115" s="29"/>
      <c r="L1115" s="30"/>
      <c r="M1115" s="30"/>
      <c r="N1115" s="30"/>
      <c r="O1115" s="30"/>
      <c r="P1115" s="30"/>
      <c r="Q1115" s="30"/>
      <c r="R1115" s="30"/>
    </row>
    <row r="1116" spans="11:18" x14ac:dyDescent="0.6">
      <c r="K1116" s="29"/>
      <c r="L1116" s="30"/>
      <c r="M1116" s="30"/>
      <c r="N1116" s="30"/>
      <c r="O1116" s="30"/>
      <c r="P1116" s="30"/>
      <c r="Q1116" s="30"/>
      <c r="R1116" s="30"/>
    </row>
    <row r="1117" spans="11:18" x14ac:dyDescent="0.6">
      <c r="K1117" s="29"/>
      <c r="L1117" s="30"/>
      <c r="M1117" s="30"/>
      <c r="N1117" s="30"/>
      <c r="O1117" s="30"/>
      <c r="P1117" s="30"/>
      <c r="Q1117" s="30"/>
      <c r="R1117" s="30"/>
    </row>
    <row r="1118" spans="11:18" x14ac:dyDescent="0.6">
      <c r="K1118" s="29"/>
      <c r="L1118" s="30"/>
      <c r="M1118" s="30"/>
      <c r="N1118" s="30"/>
      <c r="O1118" s="30"/>
      <c r="P1118" s="30"/>
      <c r="Q1118" s="30"/>
      <c r="R1118" s="30"/>
    </row>
    <row r="1119" spans="11:18" x14ac:dyDescent="0.6">
      <c r="K1119" s="29"/>
      <c r="L1119" s="30"/>
      <c r="M1119" s="30"/>
      <c r="N1119" s="30"/>
      <c r="O1119" s="30"/>
      <c r="P1119" s="30"/>
      <c r="Q1119" s="30"/>
      <c r="R1119" s="30"/>
    </row>
    <row r="1120" spans="11:18" x14ac:dyDescent="0.6">
      <c r="K1120" s="29"/>
      <c r="L1120" s="30"/>
      <c r="M1120" s="30"/>
      <c r="N1120" s="30"/>
      <c r="O1120" s="30"/>
      <c r="P1120" s="30"/>
      <c r="Q1120" s="30"/>
      <c r="R1120" s="30"/>
    </row>
    <row r="1121" spans="11:18" x14ac:dyDescent="0.6">
      <c r="K1121" s="29"/>
      <c r="L1121" s="30"/>
      <c r="M1121" s="30"/>
      <c r="N1121" s="30"/>
      <c r="O1121" s="30"/>
      <c r="P1121" s="30"/>
      <c r="Q1121" s="30"/>
      <c r="R1121" s="30"/>
    </row>
    <row r="1122" spans="11:18" x14ac:dyDescent="0.6">
      <c r="K1122" s="29"/>
      <c r="L1122" s="30"/>
      <c r="M1122" s="30"/>
      <c r="N1122" s="30"/>
      <c r="O1122" s="30"/>
      <c r="P1122" s="30"/>
      <c r="Q1122" s="30"/>
      <c r="R1122" s="30"/>
    </row>
    <row r="1123" spans="11:18" x14ac:dyDescent="0.6">
      <c r="K1123" s="29"/>
      <c r="L1123" s="30"/>
      <c r="M1123" s="30"/>
      <c r="N1123" s="30"/>
      <c r="O1123" s="30"/>
      <c r="P1123" s="30"/>
      <c r="Q1123" s="30"/>
      <c r="R1123" s="30"/>
    </row>
    <row r="1124" spans="11:18" x14ac:dyDescent="0.6">
      <c r="K1124" s="29"/>
      <c r="L1124" s="30"/>
      <c r="M1124" s="30"/>
      <c r="N1124" s="30"/>
      <c r="O1124" s="30"/>
      <c r="P1124" s="30"/>
      <c r="Q1124" s="30"/>
      <c r="R1124" s="30"/>
    </row>
    <row r="1125" spans="11:18" x14ac:dyDescent="0.6">
      <c r="K1125" s="29"/>
      <c r="L1125" s="30"/>
      <c r="M1125" s="30"/>
      <c r="N1125" s="30"/>
      <c r="O1125" s="30"/>
      <c r="P1125" s="30"/>
      <c r="Q1125" s="30"/>
      <c r="R1125" s="30"/>
    </row>
    <row r="1126" spans="11:18" x14ac:dyDescent="0.6">
      <c r="K1126" s="29"/>
      <c r="L1126" s="30"/>
      <c r="M1126" s="30"/>
      <c r="N1126" s="30"/>
      <c r="O1126" s="30"/>
      <c r="P1126" s="30"/>
      <c r="Q1126" s="30"/>
      <c r="R1126" s="30"/>
    </row>
    <row r="1127" spans="11:18" x14ac:dyDescent="0.6">
      <c r="K1127" s="29"/>
      <c r="L1127" s="30"/>
      <c r="M1127" s="30"/>
      <c r="N1127" s="30"/>
      <c r="O1127" s="30"/>
      <c r="P1127" s="30"/>
      <c r="Q1127" s="30"/>
      <c r="R1127" s="30"/>
    </row>
    <row r="1128" spans="11:18" x14ac:dyDescent="0.6">
      <c r="K1128" s="29"/>
      <c r="L1128" s="30"/>
      <c r="M1128" s="30"/>
      <c r="N1128" s="30"/>
      <c r="O1128" s="30"/>
      <c r="P1128" s="30"/>
      <c r="Q1128" s="30"/>
      <c r="R1128" s="30"/>
    </row>
    <row r="1129" spans="11:18" x14ac:dyDescent="0.6">
      <c r="K1129" s="29"/>
      <c r="L1129" s="30"/>
      <c r="M1129" s="30"/>
      <c r="N1129" s="30"/>
      <c r="O1129" s="30"/>
      <c r="P1129" s="30"/>
      <c r="Q1129" s="30"/>
      <c r="R1129" s="30"/>
    </row>
    <row r="1130" spans="11:18" x14ac:dyDescent="0.6">
      <c r="K1130" s="29"/>
      <c r="L1130" s="30"/>
      <c r="M1130" s="30"/>
      <c r="N1130" s="30"/>
      <c r="O1130" s="30"/>
      <c r="P1130" s="30"/>
      <c r="Q1130" s="30"/>
      <c r="R1130" s="30"/>
    </row>
    <row r="1131" spans="11:18" x14ac:dyDescent="0.6">
      <c r="K1131" s="29"/>
      <c r="L1131" s="30"/>
      <c r="M1131" s="30"/>
      <c r="N1131" s="30"/>
      <c r="O1131" s="30"/>
      <c r="P1131" s="30"/>
      <c r="Q1131" s="30"/>
      <c r="R1131" s="30"/>
    </row>
    <row r="1132" spans="11:18" x14ac:dyDescent="0.6">
      <c r="K1132" s="29"/>
      <c r="L1132" s="30"/>
      <c r="M1132" s="30"/>
      <c r="N1132" s="30"/>
      <c r="O1132" s="30"/>
      <c r="P1132" s="30"/>
      <c r="Q1132" s="30"/>
      <c r="R1132" s="30"/>
    </row>
    <row r="1133" spans="11:18" x14ac:dyDescent="0.6">
      <c r="K1133" s="29"/>
      <c r="L1133" s="30"/>
      <c r="M1133" s="30"/>
      <c r="N1133" s="30"/>
      <c r="O1133" s="30"/>
      <c r="P1133" s="30"/>
      <c r="Q1133" s="30"/>
      <c r="R1133" s="30"/>
    </row>
    <row r="1134" spans="11:18" x14ac:dyDescent="0.6">
      <c r="K1134" s="29"/>
      <c r="L1134" s="30"/>
      <c r="M1134" s="30"/>
      <c r="N1134" s="30"/>
      <c r="O1134" s="30"/>
      <c r="P1134" s="30"/>
      <c r="Q1134" s="30"/>
      <c r="R1134" s="30"/>
    </row>
    <row r="1135" spans="11:18" x14ac:dyDescent="0.6">
      <c r="K1135" s="29"/>
      <c r="L1135" s="30"/>
      <c r="M1135" s="30"/>
      <c r="N1135" s="30"/>
      <c r="O1135" s="30"/>
      <c r="P1135" s="30"/>
      <c r="Q1135" s="30"/>
      <c r="R1135" s="30"/>
    </row>
    <row r="1136" spans="11:18" x14ac:dyDescent="0.6">
      <c r="K1136" s="29"/>
      <c r="L1136" s="30"/>
      <c r="M1136" s="30"/>
      <c r="N1136" s="30"/>
      <c r="O1136" s="30"/>
      <c r="P1136" s="30"/>
      <c r="Q1136" s="30"/>
      <c r="R1136" s="30"/>
    </row>
    <row r="1137" spans="11:18" x14ac:dyDescent="0.6">
      <c r="K1137" s="29"/>
      <c r="L1137" s="30"/>
      <c r="M1137" s="30"/>
      <c r="N1137" s="30"/>
      <c r="O1137" s="30"/>
      <c r="P1137" s="30"/>
      <c r="Q1137" s="30"/>
      <c r="R1137" s="30"/>
    </row>
    <row r="1138" spans="11:18" x14ac:dyDescent="0.6">
      <c r="K1138" s="29"/>
      <c r="L1138" s="30"/>
      <c r="M1138" s="30"/>
      <c r="N1138" s="30"/>
      <c r="O1138" s="30"/>
      <c r="P1138" s="30"/>
      <c r="Q1138" s="30"/>
      <c r="R1138" s="30"/>
    </row>
    <row r="1139" spans="11:18" x14ac:dyDescent="0.6">
      <c r="K1139" s="29"/>
      <c r="L1139" s="30"/>
      <c r="M1139" s="30"/>
      <c r="N1139" s="30"/>
      <c r="O1139" s="30"/>
      <c r="P1139" s="30"/>
      <c r="Q1139" s="30"/>
      <c r="R1139" s="30"/>
    </row>
    <row r="1140" spans="11:18" x14ac:dyDescent="0.6">
      <c r="K1140" s="29"/>
      <c r="L1140" s="30"/>
      <c r="M1140" s="30"/>
      <c r="N1140" s="30"/>
      <c r="O1140" s="30"/>
      <c r="P1140" s="30"/>
      <c r="Q1140" s="30"/>
      <c r="R1140" s="30"/>
    </row>
    <row r="1141" spans="11:18" x14ac:dyDescent="0.6">
      <c r="K1141" s="29"/>
      <c r="L1141" s="30"/>
      <c r="M1141" s="30"/>
      <c r="N1141" s="30"/>
      <c r="O1141" s="30"/>
      <c r="P1141" s="30"/>
      <c r="Q1141" s="30"/>
      <c r="R1141" s="30"/>
    </row>
    <row r="1142" spans="11:18" x14ac:dyDescent="0.6">
      <c r="K1142" s="29"/>
      <c r="L1142" s="30"/>
      <c r="M1142" s="30"/>
      <c r="N1142" s="30"/>
      <c r="O1142" s="30"/>
      <c r="P1142" s="30"/>
      <c r="Q1142" s="30"/>
      <c r="R1142" s="30"/>
    </row>
    <row r="1143" spans="11:18" x14ac:dyDescent="0.6">
      <c r="K1143" s="29"/>
      <c r="L1143" s="30"/>
      <c r="M1143" s="30"/>
      <c r="N1143" s="30"/>
      <c r="O1143" s="30"/>
      <c r="P1143" s="30"/>
      <c r="Q1143" s="30"/>
      <c r="R1143" s="30"/>
    </row>
  </sheetData>
  <dataConsolidate/>
  <mergeCells count="26">
    <mergeCell ref="G8:K8"/>
    <mergeCell ref="G9:K9"/>
    <mergeCell ref="G2:K2"/>
    <mergeCell ref="G3:K3"/>
    <mergeCell ref="G4:K4"/>
    <mergeCell ref="A1:K1"/>
    <mergeCell ref="M1:Q1"/>
    <mergeCell ref="G5:K5"/>
    <mergeCell ref="G6:K6"/>
    <mergeCell ref="G7:K7"/>
    <mergeCell ref="A10:E10"/>
    <mergeCell ref="AM19:AP19"/>
    <mergeCell ref="AD18:AF18"/>
    <mergeCell ref="C19:J19"/>
    <mergeCell ref="M19:Q19"/>
    <mergeCell ref="S19:AF19"/>
    <mergeCell ref="AG19:AL19"/>
    <mergeCell ref="S18:U18"/>
    <mergeCell ref="W18:AC18"/>
    <mergeCell ref="G12:K12"/>
    <mergeCell ref="G16:K16"/>
    <mergeCell ref="G10:K10"/>
    <mergeCell ref="G11:K11"/>
    <mergeCell ref="G13:K13"/>
    <mergeCell ref="G14:K14"/>
    <mergeCell ref="G15:K15"/>
  </mergeCells>
  <conditionalFormatting sqref="A22:AP22 A623:AP741 A23:AD380 AF23:AJ380 AE23:AE621 AL23:AP380 AK23:AK621">
    <cfRule type="expression" dxfId="1" priority="77">
      <formula>AND($A22&lt;&gt;"",MOD($A22,12)=0)</formula>
    </cfRule>
  </conditionalFormatting>
  <conditionalFormatting sqref="A622:AP622 A381:AD621 AF381:AJ621 AL381:AP621">
    <cfRule type="expression" dxfId="0" priority="1">
      <formula>AND($A381&lt;&gt;"",MOD($A381,12)=0)</formula>
    </cfRule>
  </conditionalFormatting>
  <dataValidations count="5">
    <dataValidation type="whole" allowBlank="1" showInputMessage="1" showErrorMessage="1" sqref="F7" xr:uid="{E353B433-0086-4EC2-BB88-17B7E9F9CE63}">
      <formula1>1</formula1>
      <formula2>60</formula2>
    </dataValidation>
    <dataValidation type="whole" allowBlank="1" showInputMessage="1" showErrorMessage="1" sqref="F6" xr:uid="{03481DBB-0356-4B5C-8FC8-D599CEE3302D}">
      <formula1>16</formula1>
      <formula2>90</formula2>
    </dataValidation>
    <dataValidation type="date" allowBlank="1" showInputMessage="1" showErrorMessage="1" sqref="F8" xr:uid="{8BD4536C-AD73-4A2B-8505-997DE51BBA6E}">
      <formula1>43466</formula1>
      <formula2>47818</formula2>
    </dataValidation>
    <dataValidation type="decimal" allowBlank="1" showInputMessage="1" showErrorMessage="1" errorTitle="WPŁATY PRZEWYŻSZAJĄ LIMIT WPŁAT" error="Roczne wpłaty na IKZE powinny być niższe niż kwota limitu IKZE." prompt="Roczne wpłaty na IKZE powinny być niższe niż kwota limitu IKZE" sqref="F4" xr:uid="{D659DF5D-E7C6-4294-B0C3-2B0F132B3121}">
      <formula1>0</formula1>
      <formula2>$F$3</formula2>
    </dataValidation>
    <dataValidation type="decimal" allowBlank="1" showInputMessage="1" showErrorMessage="1" sqref="F11" xr:uid="{36B0D6A4-4F5A-4DE4-ABA4-2EA64165BE2D}">
      <formula1>0.01</formula1>
      <formula2>1</formula2>
    </dataValidation>
  </dataValidations>
  <pageMargins left="0.7" right="0.7" top="0.75" bottom="0.75" header="0.3" footer="0.3"/>
  <pageSetup paperSize="9" orientation="portrait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6936B-1DB0-4494-BEAD-36EEDCF42926}">
          <x14:formula1>
            <xm:f>Robocze!$B$3:$B$4</xm:f>
          </x14:formula1>
          <xm:sqref>F5</xm:sqref>
        </x14:dataValidation>
        <x14:dataValidation type="list" allowBlank="1" showInputMessage="1" showErrorMessage="1" xr:uid="{4305E8FB-3CBD-4D70-A0DD-E080DAD3FC35}">
          <x14:formula1>
            <xm:f>Robocze!$B$15:$B$20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8800-8F66-4E5C-BC7E-EB7C5B08E283}">
  <dimension ref="A1:AC42"/>
  <sheetViews>
    <sheetView zoomScale="60" zoomScaleNormal="60" workbookViewId="0">
      <selection sqref="A1:XFD1048576"/>
    </sheetView>
  </sheetViews>
  <sheetFormatPr defaultColWidth="37" defaultRowHeight="20.399999999999999" x14ac:dyDescent="0.75"/>
  <cols>
    <col min="1" max="1" width="7.578125" style="102" bestFit="1" customWidth="1"/>
    <col min="2" max="2" width="55.41796875" style="103" customWidth="1"/>
    <col min="3" max="4" width="55" style="103" customWidth="1"/>
    <col min="5" max="13" width="7.578125" style="102" customWidth="1"/>
    <col min="14" max="14" width="5.15625" style="102" customWidth="1"/>
    <col min="15" max="29" width="37" style="102"/>
    <col min="30" max="16384" width="37" style="103"/>
  </cols>
  <sheetData>
    <row r="1" spans="2:4" s="102" customFormat="1" x14ac:dyDescent="0.75"/>
    <row r="2" spans="2:4" ht="25.8" x14ac:dyDescent="0.75">
      <c r="C2" s="66" t="s">
        <v>122</v>
      </c>
      <c r="D2" s="67" t="s">
        <v>9</v>
      </c>
    </row>
    <row r="3" spans="2:4" ht="122.5" customHeight="1" x14ac:dyDescent="0.75">
      <c r="B3" s="104" t="s">
        <v>151</v>
      </c>
      <c r="C3" s="105" t="s">
        <v>172</v>
      </c>
      <c r="D3" s="105" t="s">
        <v>173</v>
      </c>
    </row>
    <row r="4" spans="2:4" ht="193.15" customHeight="1" x14ac:dyDescent="0.75">
      <c r="B4" s="104" t="s">
        <v>152</v>
      </c>
      <c r="C4" s="105" t="s">
        <v>174</v>
      </c>
      <c r="D4" s="105" t="s">
        <v>175</v>
      </c>
    </row>
    <row r="5" spans="2:4" ht="122.5" customHeight="1" x14ac:dyDescent="0.75">
      <c r="B5" s="104" t="s">
        <v>170</v>
      </c>
      <c r="C5" s="106" t="s">
        <v>176</v>
      </c>
      <c r="D5" s="107" t="s">
        <v>171</v>
      </c>
    </row>
    <row r="6" spans="2:4" ht="122.5" customHeight="1" x14ac:dyDescent="0.75">
      <c r="B6" s="104" t="s">
        <v>153</v>
      </c>
      <c r="C6" s="106" t="s">
        <v>177</v>
      </c>
      <c r="D6" s="107" t="s">
        <v>154</v>
      </c>
    </row>
    <row r="7" spans="2:4" ht="122.5" customHeight="1" x14ac:dyDescent="0.75">
      <c r="B7" s="104" t="s">
        <v>155</v>
      </c>
      <c r="C7" s="105" t="s">
        <v>156</v>
      </c>
      <c r="D7" s="105" t="s">
        <v>157</v>
      </c>
    </row>
    <row r="8" spans="2:4" ht="122.5" customHeight="1" x14ac:dyDescent="0.75">
      <c r="B8" s="104" t="s">
        <v>167</v>
      </c>
      <c r="C8" s="107" t="s">
        <v>168</v>
      </c>
      <c r="D8" s="107" t="s">
        <v>169</v>
      </c>
    </row>
    <row r="9" spans="2:4" ht="122.5" customHeight="1" x14ac:dyDescent="0.75">
      <c r="B9" s="104" t="s">
        <v>166</v>
      </c>
      <c r="C9" s="107" t="s">
        <v>158</v>
      </c>
      <c r="D9" s="107" t="s">
        <v>154</v>
      </c>
    </row>
    <row r="10" spans="2:4" ht="122.5" customHeight="1" x14ac:dyDescent="0.75">
      <c r="B10" s="104" t="s">
        <v>159</v>
      </c>
      <c r="C10" s="105" t="s">
        <v>160</v>
      </c>
      <c r="D10" s="105" t="s">
        <v>161</v>
      </c>
    </row>
    <row r="11" spans="2:4" s="102" customFormat="1" x14ac:dyDescent="0.75">
      <c r="B11" s="108"/>
      <c r="C11" s="108"/>
      <c r="D11" s="108"/>
    </row>
    <row r="12" spans="2:4" s="102" customFormat="1" x14ac:dyDescent="0.75">
      <c r="B12" s="108"/>
      <c r="C12" s="108"/>
      <c r="D12" s="108"/>
    </row>
    <row r="13" spans="2:4" s="102" customFormat="1" x14ac:dyDescent="0.75">
      <c r="B13" s="108"/>
      <c r="C13" s="108"/>
      <c r="D13" s="108"/>
    </row>
    <row r="14" spans="2:4" s="102" customFormat="1" x14ac:dyDescent="0.75">
      <c r="B14" s="108"/>
      <c r="C14" s="108"/>
      <c r="D14" s="108"/>
    </row>
    <row r="15" spans="2:4" s="102" customFormat="1" x14ac:dyDescent="0.75">
      <c r="B15" s="109"/>
      <c r="C15" s="109"/>
      <c r="D15" s="109"/>
    </row>
    <row r="16" spans="2:4" s="102" customFormat="1" x14ac:dyDescent="0.75">
      <c r="B16" s="109"/>
      <c r="C16" s="109"/>
      <c r="D16" s="109"/>
    </row>
    <row r="17" spans="1:4" s="102" customFormat="1" x14ac:dyDescent="0.75">
      <c r="B17" s="109"/>
      <c r="C17" s="109"/>
      <c r="D17" s="109"/>
    </row>
    <row r="18" spans="1:4" s="102" customFormat="1" x14ac:dyDescent="0.75">
      <c r="B18" s="109"/>
      <c r="C18" s="109"/>
      <c r="D18" s="109"/>
    </row>
    <row r="19" spans="1:4" s="102" customFormat="1" x14ac:dyDescent="0.75">
      <c r="B19" s="109"/>
      <c r="C19" s="109"/>
      <c r="D19" s="109"/>
    </row>
    <row r="20" spans="1:4" s="102" customFormat="1" x14ac:dyDescent="0.75"/>
    <row r="21" spans="1:4" s="102" customFormat="1" x14ac:dyDescent="0.75"/>
    <row r="22" spans="1:4" s="102" customFormat="1" x14ac:dyDescent="0.75"/>
    <row r="23" spans="1:4" s="102" customFormat="1" x14ac:dyDescent="0.75"/>
    <row r="24" spans="1:4" s="102" customFormat="1" x14ac:dyDescent="0.75"/>
    <row r="25" spans="1:4" x14ac:dyDescent="0.75">
      <c r="B25" s="102"/>
      <c r="C25" s="102"/>
      <c r="D25" s="102"/>
    </row>
    <row r="26" spans="1:4" x14ac:dyDescent="0.75">
      <c r="B26" s="102" t="s">
        <v>113</v>
      </c>
      <c r="C26" s="102" t="s">
        <v>162</v>
      </c>
      <c r="D26" s="102"/>
    </row>
    <row r="27" spans="1:4" x14ac:dyDescent="0.75">
      <c r="A27" s="102">
        <v>2014</v>
      </c>
      <c r="B27" s="102">
        <v>4495.2</v>
      </c>
      <c r="C27" s="102"/>
      <c r="D27" s="102"/>
    </row>
    <row r="28" spans="1:4" x14ac:dyDescent="0.75">
      <c r="A28" s="102">
        <v>2015</v>
      </c>
      <c r="B28" s="102">
        <v>4750.8</v>
      </c>
      <c r="C28" s="102"/>
      <c r="D28" s="102"/>
    </row>
    <row r="29" spans="1:4" x14ac:dyDescent="0.75">
      <c r="A29" s="102">
        <v>2016</v>
      </c>
      <c r="B29" s="102">
        <v>4866</v>
      </c>
      <c r="C29" s="102"/>
      <c r="D29" s="102"/>
    </row>
    <row r="30" spans="1:4" x14ac:dyDescent="0.75">
      <c r="A30" s="102">
        <v>2017</v>
      </c>
      <c r="B30" s="102">
        <v>5115.6000000000004</v>
      </c>
      <c r="C30" s="102"/>
      <c r="D30" s="102"/>
    </row>
    <row r="31" spans="1:4" x14ac:dyDescent="0.75">
      <c r="A31" s="102">
        <v>2018</v>
      </c>
      <c r="B31" s="102">
        <v>5331.6</v>
      </c>
      <c r="C31" s="102"/>
      <c r="D31" s="102"/>
    </row>
    <row r="32" spans="1:4" x14ac:dyDescent="0.75">
      <c r="A32" s="102">
        <v>2019</v>
      </c>
      <c r="B32" s="102">
        <v>5718</v>
      </c>
      <c r="C32" s="102"/>
      <c r="D32" s="102"/>
    </row>
    <row r="33" spans="1:4" x14ac:dyDescent="0.75">
      <c r="A33" s="102">
        <v>2020</v>
      </c>
      <c r="B33" s="102">
        <v>6272.4</v>
      </c>
      <c r="C33" s="102"/>
      <c r="D33" s="102"/>
    </row>
    <row r="34" spans="1:4" x14ac:dyDescent="0.75">
      <c r="A34" s="102">
        <v>2021</v>
      </c>
      <c r="B34" s="102">
        <v>6310.8</v>
      </c>
      <c r="C34" s="102">
        <v>9466.2000000000007</v>
      </c>
      <c r="D34" s="102"/>
    </row>
    <row r="35" spans="1:4" x14ac:dyDescent="0.75">
      <c r="B35" s="102"/>
      <c r="C35" s="102"/>
      <c r="D35" s="102"/>
    </row>
    <row r="36" spans="1:4" x14ac:dyDescent="0.75">
      <c r="B36" s="102"/>
      <c r="C36" s="102"/>
      <c r="D36" s="102"/>
    </row>
    <row r="37" spans="1:4" x14ac:dyDescent="0.75">
      <c r="B37" s="102"/>
      <c r="C37" s="102"/>
      <c r="D37" s="102"/>
    </row>
    <row r="38" spans="1:4" x14ac:dyDescent="0.75">
      <c r="B38" s="102"/>
      <c r="C38" s="102"/>
      <c r="D38" s="102"/>
    </row>
    <row r="39" spans="1:4" x14ac:dyDescent="0.75">
      <c r="B39" s="102"/>
      <c r="C39" s="102"/>
      <c r="D39" s="102"/>
    </row>
    <row r="40" spans="1:4" x14ac:dyDescent="0.75">
      <c r="B40" s="102"/>
      <c r="C40" s="102"/>
      <c r="D40" s="102"/>
    </row>
    <row r="41" spans="1:4" x14ac:dyDescent="0.75">
      <c r="B41" s="102"/>
      <c r="C41" s="102"/>
      <c r="D41" s="102"/>
    </row>
    <row r="42" spans="1:4" x14ac:dyDescent="0.75">
      <c r="B42" s="102"/>
      <c r="C42" s="102"/>
      <c r="D42" s="102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B9D5-37FF-46F3-8F3B-7EA5806D79E1}">
  <dimension ref="B3:W102"/>
  <sheetViews>
    <sheetView workbookViewId="0">
      <selection activeCell="V12" sqref="V12"/>
    </sheetView>
  </sheetViews>
  <sheetFormatPr defaultRowHeight="14.4" x14ac:dyDescent="0.55000000000000004"/>
  <cols>
    <col min="2" max="2" width="11.15625" customWidth="1"/>
    <col min="3" max="3" width="14.41796875" customWidth="1"/>
    <col min="4" max="4" width="11" customWidth="1"/>
    <col min="5" max="5" width="10.68359375" customWidth="1"/>
    <col min="11" max="11" width="7.41796875" bestFit="1" customWidth="1"/>
    <col min="12" max="13" width="8.83984375" bestFit="1" customWidth="1"/>
    <col min="14" max="14" width="22.15625" bestFit="1" customWidth="1"/>
    <col min="16" max="16" width="2" bestFit="1" customWidth="1"/>
    <col min="17" max="17" width="8.68359375" bestFit="1" customWidth="1"/>
    <col min="18" max="18" width="16.41796875" bestFit="1" customWidth="1"/>
    <col min="19" max="19" width="10" bestFit="1" customWidth="1"/>
    <col min="20" max="21" width="12" bestFit="1" customWidth="1"/>
    <col min="22" max="22" width="22.15625" bestFit="1" customWidth="1"/>
    <col min="23" max="23" width="11.26171875" bestFit="1" customWidth="1"/>
  </cols>
  <sheetData>
    <row r="3" spans="2:23" x14ac:dyDescent="0.55000000000000004">
      <c r="B3" t="s">
        <v>3</v>
      </c>
      <c r="F3" t="s">
        <v>124</v>
      </c>
      <c r="J3" s="86"/>
      <c r="K3" s="86" t="s">
        <v>29</v>
      </c>
      <c r="L3" s="86" t="s">
        <v>122</v>
      </c>
      <c r="M3" s="86" t="s">
        <v>9</v>
      </c>
      <c r="N3" s="86" t="s">
        <v>28</v>
      </c>
    </row>
    <row r="4" spans="2:23" x14ac:dyDescent="0.55000000000000004">
      <c r="B4" t="s">
        <v>4</v>
      </c>
      <c r="F4">
        <v>5</v>
      </c>
      <c r="G4">
        <f>F4*12</f>
        <v>60</v>
      </c>
      <c r="J4" s="86">
        <v>1</v>
      </c>
      <c r="K4" s="87">
        <f>INDEX(KALKULATOR!L:L,MATCH($J4,KALKULATOR!$K:$K,0))</f>
        <v>6272.4</v>
      </c>
      <c r="L4" s="87">
        <f>INDEX(KALKULATOR!M:M,MATCH($J4,KALKULATOR!$K:$K,0))</f>
        <v>6507.7553075625319</v>
      </c>
      <c r="M4" s="87">
        <f>INDEX(KALKULATOR!O:O,MATCH($J4,KALKULATOR!$K:$K,0))</f>
        <v>6479.3932755861715</v>
      </c>
      <c r="N4" s="87">
        <f>INDEX(KALKULATOR!Q:Q,MATCH($J4,KALKULATOR!$K:$K,0))</f>
        <v>6478.6709893777124</v>
      </c>
      <c r="P4" s="88"/>
      <c r="Q4" s="88"/>
      <c r="R4" s="88" t="str">
        <f>KALKULATOR!M2</f>
        <v>Lata oszczędzania</v>
      </c>
      <c r="S4" s="88" t="str">
        <f>KALKULATOR!N2</f>
        <v>Twój wiek</v>
      </c>
      <c r="T4" s="88" t="str">
        <f>KALKULATOR!O2</f>
        <v>IKZE</v>
      </c>
      <c r="U4" s="88" t="str">
        <f>KALKULATOR!P2</f>
        <v>IKE</v>
      </c>
      <c r="V4" s="88" t="str">
        <f>KALKULATOR!Q2</f>
        <v>Inwestycja bez IKZE/IKE</v>
      </c>
      <c r="W4" s="88" t="str">
        <f>KALKULATOR!R2</f>
        <v>Suma wpłat</v>
      </c>
    </row>
    <row r="5" spans="2:23" x14ac:dyDescent="0.55000000000000004">
      <c r="F5">
        <v>10</v>
      </c>
      <c r="G5">
        <f t="shared" ref="G5:G9" si="0">F5*12</f>
        <v>120</v>
      </c>
      <c r="J5" s="86">
        <v>2</v>
      </c>
      <c r="K5" s="87">
        <f>INDEX(KALKULATOR!L:L,MATCH($J5,KALKULATOR!$K:$K,0))</f>
        <v>12544.8</v>
      </c>
      <c r="L5" s="87">
        <f>INDEX(KALKULATOR!M:M,MATCH($J5,KALKULATOR!$K:$K,0))</f>
        <v>13272.086980732302</v>
      </c>
      <c r="M5" s="87">
        <f>INDEX(KALKULATOR!O:O,MATCH($J5,KALKULATOR!$K:$K,0))</f>
        <v>13174.213052179915</v>
      </c>
      <c r="N5" s="87">
        <f>INDEX(KALKULATOR!Q:Q,MATCH($J5,KALKULATOR!$K:$K,0))</f>
        <v>13170.396292069569</v>
      </c>
      <c r="P5" s="88"/>
      <c r="Q5" s="88">
        <f>IFERROR(R5*10+COUNTIF(R$5:R5,R5),"")</f>
        <v>51</v>
      </c>
      <c r="R5" s="88">
        <f>IF(KALKULATOR!M3=0,"",KALKULATOR!M3)</f>
        <v>5</v>
      </c>
      <c r="S5" s="88">
        <f>KALKULATOR!N3</f>
        <v>45</v>
      </c>
      <c r="T5" s="88">
        <f>IFERROR(KALKULATOR!O3,"")</f>
        <v>35208.300486519212</v>
      </c>
      <c r="U5" s="88">
        <f>IFERROR(KALKULATOR!P3,"")</f>
        <v>34640.801940271347</v>
      </c>
      <c r="V5" s="88">
        <f>IFERROR(KALKULATOR!Q3,"")</f>
        <v>34595.121670483604</v>
      </c>
      <c r="W5" s="88">
        <f>IFERROR(KALKULATOR!R3,"")</f>
        <v>31362</v>
      </c>
    </row>
    <row r="6" spans="2:23" x14ac:dyDescent="0.55000000000000004">
      <c r="F6">
        <v>20</v>
      </c>
      <c r="G6">
        <f t="shared" si="0"/>
        <v>240</v>
      </c>
      <c r="J6" s="86">
        <v>3</v>
      </c>
      <c r="K6" s="87">
        <f>INDEX(KALKULATOR!L:L,MATCH($J6,KALKULATOR!$K:$K,0))</f>
        <v>18817.199999999997</v>
      </c>
      <c r="L6" s="87">
        <f>INDEX(KALKULATOR!M:M,MATCH($J6,KALKULATOR!$K:$K,0))</f>
        <v>20303.166848949837</v>
      </c>
      <c r="M6" s="87">
        <f>INDEX(KALKULATOR!O:O,MATCH($J6,KALKULATOR!$K:$K,0))</f>
        <v>20093.236137818094</v>
      </c>
      <c r="N6" s="87">
        <f>INDEX(KALKULATOR!Q:Q,MATCH($J6,KALKULATOR!$K:$K,0))</f>
        <v>20082.18230498879</v>
      </c>
      <c r="P6" s="88"/>
      <c r="Q6" s="88">
        <f>IFERROR(R6*10+COUNTIF(R$5:R6,R6),"")</f>
        <v>101</v>
      </c>
      <c r="R6" s="88">
        <f>IF(KALKULATOR!M4=0,"",KALKULATOR!M4)</f>
        <v>10</v>
      </c>
      <c r="S6" s="88">
        <f>KALKULATOR!N4</f>
        <v>50</v>
      </c>
      <c r="T6" s="88">
        <f>IFERROR(KALKULATOR!O4,"")</f>
        <v>77933.415196638016</v>
      </c>
      <c r="U6" s="88">
        <f>IFERROR(KALKULATOR!P4,"")</f>
        <v>75620.233036715712</v>
      </c>
      <c r="V6" s="88">
        <f>IFERROR(KALKULATOR!Q4,"")</f>
        <v>75265.270233637304</v>
      </c>
      <c r="W6" s="88">
        <f>IFERROR(KALKULATOR!R4,"")</f>
        <v>62724.000000000007</v>
      </c>
    </row>
    <row r="7" spans="2:23" x14ac:dyDescent="0.55000000000000004">
      <c r="F7">
        <v>30</v>
      </c>
      <c r="G7">
        <f t="shared" si="0"/>
        <v>360</v>
      </c>
      <c r="J7" s="86">
        <v>4</v>
      </c>
      <c r="K7" s="87">
        <f>INDEX(KALKULATOR!L:L,MATCH($J7,KALKULATOR!$K:$K,0))</f>
        <v>25089.599999999999</v>
      </c>
      <c r="L7" s="87">
        <f>INDEX(KALKULATOR!M:M,MATCH($J7,KALKULATOR!$K:$K,0))</f>
        <v>27611.571900822801</v>
      </c>
      <c r="M7" s="87">
        <f>INDEX(KALKULATOR!O:O,MATCH($J7,KALKULATOR!$K:$K,0))</f>
        <v>27245.596921238899</v>
      </c>
      <c r="N7" s="87">
        <f>INDEX(KALKULATOR!Q:Q,MATCH($J7,KALKULATOR!$K:$K,0))</f>
        <v>27221.265833891026</v>
      </c>
      <c r="P7" s="88"/>
      <c r="Q7" s="88">
        <f>IFERROR(R7*10+COUNTIF(R$5:R7,R7),"")</f>
        <v>151</v>
      </c>
      <c r="R7" s="88">
        <f>IF(KALKULATOR!M5=0,"",KALKULATOR!M5)</f>
        <v>15</v>
      </c>
      <c r="S7" s="88">
        <f>KALKULATOR!N5</f>
        <v>55</v>
      </c>
      <c r="T7" s="88">
        <f>IFERROR(KALKULATOR!O5,"")</f>
        <v>129790.15752197649</v>
      </c>
      <c r="U7" s="88">
        <f>IFERROR(KALKULATOR!P5,"")</f>
        <v>124339.10874310949</v>
      </c>
      <c r="V7" s="88">
        <f>IFERROR(KALKULATOR!Q5,"")</f>
        <v>123077.24210365469</v>
      </c>
      <c r="W7" s="88">
        <f>IFERROR(KALKULATOR!R5,"")</f>
        <v>94085.999999999985</v>
      </c>
    </row>
    <row r="8" spans="2:23" x14ac:dyDescent="0.55000000000000004">
      <c r="B8" s="1">
        <v>0</v>
      </c>
      <c r="F8">
        <v>40</v>
      </c>
      <c r="G8">
        <f t="shared" si="0"/>
        <v>480</v>
      </c>
      <c r="J8" s="86">
        <v>5</v>
      </c>
      <c r="K8" s="87">
        <f>INDEX(KALKULATOR!L:L,MATCH($J8,KALKULATOR!$K:$K,0))</f>
        <v>31362</v>
      </c>
      <c r="L8" s="87">
        <f>INDEX(KALKULATOR!M:M,MATCH($J8,KALKULATOR!$K:$K,0))</f>
        <v>35208.300486519212</v>
      </c>
      <c r="M8" s="87">
        <f>INDEX(KALKULATOR!O:O,MATCH($J8,KALKULATOR!$K:$K,0))</f>
        <v>34640.801940271347</v>
      </c>
      <c r="N8" s="87">
        <f>INDEX(KALKULATOR!Q:Q,MATCH($J8,KALKULATOR!$K:$K,0))</f>
        <v>34595.121670483604</v>
      </c>
      <c r="P8" s="88"/>
      <c r="Q8" s="88">
        <f>IFERROR(R8*10+COUNTIF(R$5:R8,R8),"")</f>
        <v>201</v>
      </c>
      <c r="R8" s="88">
        <f>IF(KALKULATOR!M6=0,"",KALKULATOR!M6)</f>
        <v>20</v>
      </c>
      <c r="S8" s="88">
        <f>KALKULATOR!N6</f>
        <v>60</v>
      </c>
      <c r="T8" s="88">
        <f>IFERROR(KALKULATOR!O6,"")</f>
        <v>192742.06515569825</v>
      </c>
      <c r="U8" s="88">
        <f>IFERROR(KALKULATOR!P6,"")</f>
        <v>195892.22216945083</v>
      </c>
      <c r="V8" s="88">
        <f>IFERROR(KALKULATOR!Q6,"")</f>
        <v>179285.16695422656</v>
      </c>
      <c r="W8" s="88">
        <f>IFERROR(KALKULATOR!R6,"")</f>
        <v>125447.99999999996</v>
      </c>
    </row>
    <row r="9" spans="2:23" x14ac:dyDescent="0.55000000000000004">
      <c r="B9" s="1">
        <v>0.17</v>
      </c>
      <c r="F9">
        <v>50</v>
      </c>
      <c r="G9">
        <f t="shared" si="0"/>
        <v>600</v>
      </c>
      <c r="J9" s="86">
        <v>6</v>
      </c>
      <c r="K9" s="87">
        <f>INDEX(KALKULATOR!L:L,MATCH($J9,KALKULATOR!$K:$K,0))</f>
        <v>37634.400000000001</v>
      </c>
      <c r="L9" s="87">
        <f>INDEX(KALKULATOR!M:M,MATCH($J9,KALKULATOR!$K:$K,0))</f>
        <v>43104.78917026025</v>
      </c>
      <c r="M9" s="87">
        <f>INDEX(KALKULATOR!O:O,MATCH($J9,KALKULATOR!$K:$K,0))</f>
        <v>42288.745043763432</v>
      </c>
      <c r="N9" s="87">
        <f>INDEX(KALKULATOR!Q:Q,MATCH($J9,KALKULATOR!$K:$K,0))</f>
        <v>42211.470418711666</v>
      </c>
      <c r="P9" s="88"/>
      <c r="Q9" s="88">
        <f>IFERROR(R9*10+COUNTIF(R$5:R9,R9),"")</f>
        <v>251</v>
      </c>
      <c r="R9" s="88">
        <f>IF(KALKULATOR!M7=0,"",KALKULATOR!M7)</f>
        <v>25</v>
      </c>
      <c r="S9" s="88">
        <f>KALKULATOR!N7</f>
        <v>65</v>
      </c>
      <c r="T9" s="88">
        <f>IFERROR(KALKULATOR!O7,"")</f>
        <v>288398.59164480073</v>
      </c>
      <c r="U9" s="88">
        <f>IFERROR(KALKULATOR!P7,"")</f>
        <v>274593.63967861631</v>
      </c>
      <c r="V9" s="88">
        <f>IFERROR(KALKULATOR!Q7,"")</f>
        <v>245363.40410781131</v>
      </c>
      <c r="W9" s="88">
        <f>IFERROR(KALKULATOR!R7,"")</f>
        <v>156809.99999999994</v>
      </c>
    </row>
    <row r="10" spans="2:23" x14ac:dyDescent="0.55000000000000004">
      <c r="B10" s="1">
        <v>0.19</v>
      </c>
      <c r="J10" s="86">
        <v>7</v>
      </c>
      <c r="K10" s="87">
        <f>INDEX(KALKULATOR!L:L,MATCH($J10,KALKULATOR!$K:$K,0))</f>
        <v>43906.8</v>
      </c>
      <c r="L10" s="87">
        <f>INDEX(KALKULATOR!M:M,MATCH($J10,KALKULATOR!$K:$K,0))</f>
        <v>51312.93025906953</v>
      </c>
      <c r="M10" s="87">
        <f>INDEX(KALKULATOR!O:O,MATCH($J10,KALKULATOR!$K:$K,0))</f>
        <v>50199.723171230638</v>
      </c>
      <c r="N10" s="87">
        <f>INDEX(KALKULATOR!Q:Q,MATCH($J10,KALKULATOR!$K:$K,0))</f>
        <v>50078.286578415828</v>
      </c>
      <c r="P10" s="88"/>
      <c r="Q10" s="88"/>
      <c r="R10" s="88"/>
      <c r="S10" s="88"/>
      <c r="T10" s="88"/>
      <c r="U10" s="88"/>
      <c r="V10" s="88"/>
      <c r="W10" s="88"/>
    </row>
    <row r="11" spans="2:23" x14ac:dyDescent="0.55000000000000004">
      <c r="B11" s="1">
        <v>0.32</v>
      </c>
      <c r="J11" s="86">
        <v>8</v>
      </c>
      <c r="K11" s="87">
        <f>INDEX(KALKULATOR!L:L,MATCH($J11,KALKULATOR!$K:$K,0))</f>
        <v>50179.200000000004</v>
      </c>
      <c r="L11" s="87">
        <f>INDEX(KALKULATOR!M:M,MATCH($J11,KALKULATOR!$K:$K,0))</f>
        <v>59845.090034990535</v>
      </c>
      <c r="M11" s="87">
        <f>INDEX(KALKULATOR!O:O,MATCH($J11,KALKULATOR!$K:$K,0))</f>
        <v>58384.452775391648</v>
      </c>
      <c r="N11" s="87">
        <f>INDEX(KALKULATOR!Q:Q,MATCH($J11,KALKULATOR!$K:$K,0))</f>
        <v>58203.806894824746</v>
      </c>
      <c r="P11" s="88"/>
      <c r="Q11" s="88"/>
      <c r="R11" s="88" t="str">
        <f>R4</f>
        <v>Lata oszczędzania</v>
      </c>
      <c r="S11" s="88" t="str">
        <f t="shared" ref="S11:V11" si="1">S4</f>
        <v>Twój wiek</v>
      </c>
      <c r="T11" s="88" t="str">
        <f t="shared" si="1"/>
        <v>IKZE</v>
      </c>
      <c r="U11" s="88" t="str">
        <f t="shared" si="1"/>
        <v>IKE</v>
      </c>
      <c r="V11" s="88" t="str">
        <f t="shared" si="1"/>
        <v>Inwestycja bez IKZE/IKE</v>
      </c>
      <c r="W11" s="88" t="str">
        <f t="shared" ref="W11" si="2">W4</f>
        <v>Suma wpłat</v>
      </c>
    </row>
    <row r="12" spans="2:23" x14ac:dyDescent="0.55000000000000004">
      <c r="B12" s="1"/>
      <c r="J12" s="86">
        <v>9</v>
      </c>
      <c r="K12" s="87">
        <f>INDEX(KALKULATOR!L:L,MATCH($J12,KALKULATOR!$K:$K,0))</f>
        <v>56451.600000000006</v>
      </c>
      <c r="L12" s="87">
        <f>INDEX(KALKULATOR!M:M,MATCH($J12,KALKULATOR!$K:$K,0))</f>
        <v>68714.127719081458</v>
      </c>
      <c r="M12" s="87">
        <f>INDEX(KALKULATOR!O:O,MATCH($J12,KALKULATOR!$K:$K,0))</f>
        <v>66854.086913783525</v>
      </c>
      <c r="N12" s="87">
        <f>INDEX(KALKULATOR!Q:Q,MATCH($J12,KALKULATOR!$K:$K,0))</f>
        <v>66596.538982624916</v>
      </c>
      <c r="P12" s="88">
        <v>1</v>
      </c>
      <c r="Q12" s="88">
        <f>SMALL(Q$5:Q$9,$P12)</f>
        <v>51</v>
      </c>
      <c r="R12" s="89">
        <f>INDEX(R$5:R$9,MATCH($Q12,$Q$5:$Q$9,0))</f>
        <v>5</v>
      </c>
      <c r="S12" s="88">
        <f t="shared" ref="S12:W16" si="3">INDEX(S$5:S$9,MATCH($Q12,$Q$5:$Q$9,0))</f>
        <v>45</v>
      </c>
      <c r="T12" s="88">
        <f t="shared" si="3"/>
        <v>35208.300486519212</v>
      </c>
      <c r="U12" s="88">
        <f t="shared" si="3"/>
        <v>34640.801940271347</v>
      </c>
      <c r="V12" s="88">
        <f t="shared" si="3"/>
        <v>34595.121670483604</v>
      </c>
      <c r="W12" s="88">
        <f t="shared" si="3"/>
        <v>31362</v>
      </c>
    </row>
    <row r="13" spans="2:23" x14ac:dyDescent="0.55000000000000004">
      <c r="J13" s="86">
        <v>10</v>
      </c>
      <c r="K13" s="87">
        <f>INDEX(KALKULATOR!L:L,MATCH($J13,KALKULATOR!$K:$K,0))</f>
        <v>62724.000000000007</v>
      </c>
      <c r="L13" s="87">
        <f>INDEX(KALKULATOR!M:M,MATCH($J13,KALKULATOR!$K:$K,0))</f>
        <v>77933.415196638016</v>
      </c>
      <c r="M13" s="87">
        <f>INDEX(KALKULATOR!O:O,MATCH($J13,KALKULATOR!$K:$K,0))</f>
        <v>75620.233036715712</v>
      </c>
      <c r="N13" s="87">
        <f>INDEX(KALKULATOR!Q:Q,MATCH($J13,KALKULATOR!$K:$K,0))</f>
        <v>75265.270233637304</v>
      </c>
      <c r="P13" s="88">
        <v>2</v>
      </c>
      <c r="Q13" s="88">
        <f t="shared" ref="Q13:Q16" si="4">SMALL(Q$5:Q$9,$P13)</f>
        <v>101</v>
      </c>
      <c r="R13" s="89">
        <f t="shared" ref="R13:R16" si="5">INDEX(R$5:R$9,MATCH($Q13,$Q$5:$Q$9,0))</f>
        <v>10</v>
      </c>
      <c r="S13" s="88">
        <f t="shared" si="3"/>
        <v>50</v>
      </c>
      <c r="T13" s="88">
        <f t="shared" si="3"/>
        <v>77933.415196638016</v>
      </c>
      <c r="U13" s="88">
        <f t="shared" si="3"/>
        <v>75620.233036715712</v>
      </c>
      <c r="V13" s="88">
        <f t="shared" si="3"/>
        <v>75265.270233637304</v>
      </c>
      <c r="W13" s="88">
        <f t="shared" si="3"/>
        <v>62724.000000000007</v>
      </c>
    </row>
    <row r="14" spans="2:23" x14ac:dyDescent="0.55000000000000004">
      <c r="J14" s="86">
        <v>11</v>
      </c>
      <c r="K14" s="87">
        <f>INDEX(KALKULATOR!L:L,MATCH($J14,KALKULATOR!$K:$K,0))</f>
        <v>68996.400000000009</v>
      </c>
      <c r="L14" s="87">
        <f>INDEX(KALKULATOR!M:M,MATCH($J14,KALKULATOR!$K:$K,0))</f>
        <v>87516.857534283918</v>
      </c>
      <c r="M14" s="87">
        <f>INDEX(KALKULATOR!O:O,MATCH($J14,KALKULATOR!$K:$K,0))</f>
        <v>84694.971499932566</v>
      </c>
      <c r="N14" s="87">
        <f>INDEX(KALKULATOR!Q:Q,MATCH($J14,KALKULATOR!$K:$K,0))</f>
        <v>84219.077017427568</v>
      </c>
      <c r="P14" s="88">
        <v>3</v>
      </c>
      <c r="Q14" s="88">
        <f t="shared" si="4"/>
        <v>151</v>
      </c>
      <c r="R14" s="89">
        <f t="shared" si="5"/>
        <v>15</v>
      </c>
      <c r="S14" s="88">
        <f t="shared" si="3"/>
        <v>55</v>
      </c>
      <c r="T14" s="88">
        <f t="shared" si="3"/>
        <v>129790.15752197649</v>
      </c>
      <c r="U14" s="88">
        <f t="shared" si="3"/>
        <v>124339.10874310949</v>
      </c>
      <c r="V14" s="88">
        <f t="shared" si="3"/>
        <v>123077.24210365469</v>
      </c>
      <c r="W14" s="88">
        <f t="shared" si="3"/>
        <v>94085.999999999985</v>
      </c>
    </row>
    <row r="15" spans="2:23" x14ac:dyDescent="0.55000000000000004">
      <c r="B15" s="2">
        <v>43831</v>
      </c>
      <c r="J15" s="86">
        <v>12</v>
      </c>
      <c r="K15" s="87">
        <f>INDEX(KALKULATOR!L:L,MATCH($J15,KALKULATOR!$K:$K,0))</f>
        <v>75268.800000000003</v>
      </c>
      <c r="L15" s="87">
        <f>INDEX(KALKULATOR!M:M,MATCH($J15,KALKULATOR!$K:$K,0))</f>
        <v>97478.914320802927</v>
      </c>
      <c r="M15" s="87">
        <f>INDEX(KALKULATOR!O:O,MATCH($J15,KALKULATOR!$K:$K,0))</f>
        <v>94090.874831510504</v>
      </c>
      <c r="N15" s="87">
        <f>INDEX(KALKULATOR!Q:Q,MATCH($J15,KALKULATOR!$K:$K,0))</f>
        <v>93467.33418448249</v>
      </c>
      <c r="P15" s="88">
        <v>4</v>
      </c>
      <c r="Q15" s="88">
        <f t="shared" si="4"/>
        <v>201</v>
      </c>
      <c r="R15" s="89">
        <f t="shared" si="5"/>
        <v>20</v>
      </c>
      <c r="S15" s="88">
        <f t="shared" si="3"/>
        <v>60</v>
      </c>
      <c r="T15" s="88">
        <f t="shared" si="3"/>
        <v>192742.06515569825</v>
      </c>
      <c r="U15" s="88">
        <f t="shared" si="3"/>
        <v>195892.22216945083</v>
      </c>
      <c r="V15" s="88">
        <f t="shared" si="3"/>
        <v>179285.16695422656</v>
      </c>
      <c r="W15" s="88">
        <f t="shared" si="3"/>
        <v>125447.99999999996</v>
      </c>
    </row>
    <row r="16" spans="2:23" x14ac:dyDescent="0.55000000000000004">
      <c r="B16" s="2">
        <v>43862</v>
      </c>
      <c r="J16" s="86">
        <v>13</v>
      </c>
      <c r="K16" s="87">
        <f>INDEX(KALKULATOR!L:L,MATCH($J16,KALKULATOR!$K:$K,0))</f>
        <v>81541.2</v>
      </c>
      <c r="L16" s="87">
        <f>INDEX(KALKULATOR!M:M,MATCH($J16,KALKULATOR!$K:$K,0))</f>
        <v>107834.62186487412</v>
      </c>
      <c r="M16" s="87">
        <f>INDEX(KALKULATOR!O:O,MATCH($J16,KALKULATOR!$K:$K,0))</f>
        <v>103821.02778371821</v>
      </c>
      <c r="N16" s="87">
        <f>INDEX(KALKULATOR!Q:Q,MATCH($J16,KALKULATOR!$K:$K,0))</f>
        <v>103019.72488190341</v>
      </c>
      <c r="P16" s="88">
        <v>5</v>
      </c>
      <c r="Q16" s="88">
        <f t="shared" si="4"/>
        <v>251</v>
      </c>
      <c r="R16" s="89">
        <f t="shared" si="5"/>
        <v>25</v>
      </c>
      <c r="S16" s="88">
        <f t="shared" si="3"/>
        <v>65</v>
      </c>
      <c r="T16" s="88">
        <f t="shared" si="3"/>
        <v>288398.59164480073</v>
      </c>
      <c r="U16" s="88">
        <f t="shared" si="3"/>
        <v>274593.63967861631</v>
      </c>
      <c r="V16" s="88">
        <f t="shared" si="3"/>
        <v>245363.40410781131</v>
      </c>
      <c r="W16" s="88">
        <f t="shared" si="3"/>
        <v>156809.99999999994</v>
      </c>
    </row>
    <row r="17" spans="2:14" x14ac:dyDescent="0.55000000000000004">
      <c r="B17" s="2">
        <v>43891</v>
      </c>
      <c r="J17" s="86">
        <v>14</v>
      </c>
      <c r="K17" s="87">
        <f>INDEX(KALKULATOR!L:L,MATCH($J17,KALKULATOR!$K:$K,0))</f>
        <v>87813.599999999991</v>
      </c>
      <c r="L17" s="87">
        <f>INDEX(KALKULATOR!M:M,MATCH($J17,KALKULATOR!$K:$K,0))</f>
        <v>118599.6162842082</v>
      </c>
      <c r="M17" s="87">
        <f>INDEX(KALKULATOR!O:O,MATCH($J17,KALKULATOR!$K:$K,0))</f>
        <v>113899.04820182048</v>
      </c>
      <c r="N17" s="87">
        <f>INDEX(KALKULATOR!Q:Q,MATCH($J17,KALKULATOR!$K:$K,0))</f>
        <v>112886.25069189364</v>
      </c>
    </row>
    <row r="18" spans="2:14" x14ac:dyDescent="0.55000000000000004">
      <c r="B18" s="2">
        <v>43922</v>
      </c>
      <c r="J18" s="86">
        <v>15</v>
      </c>
      <c r="K18" s="87">
        <f>INDEX(KALKULATOR!L:L,MATCH($J18,KALKULATOR!$K:$K,0))</f>
        <v>94085.999999999985</v>
      </c>
      <c r="L18" s="87">
        <f>INDEX(KALKULATOR!M:M,MATCH($J18,KALKULATOR!$K:$K,0))</f>
        <v>129790.15752197649</v>
      </c>
      <c r="M18" s="87">
        <f>INDEX(KALKULATOR!O:O,MATCH($J18,KALKULATOR!$K:$K,0))</f>
        <v>124339.10874310949</v>
      </c>
      <c r="N18" s="87">
        <f>INDEX(KALKULATOR!Q:Q,MATCH($J18,KALKULATOR!$K:$K,0))</f>
        <v>123077.24210365469</v>
      </c>
    </row>
    <row r="19" spans="2:14" x14ac:dyDescent="0.55000000000000004">
      <c r="B19" s="2">
        <v>43952</v>
      </c>
      <c r="J19" s="86">
        <v>16</v>
      </c>
      <c r="K19" s="87">
        <f>INDEX(KALKULATOR!L:L,MATCH($J19,KALKULATOR!$K:$K,0))</f>
        <v>100358.39999999998</v>
      </c>
      <c r="L19" s="87">
        <f>INDEX(KALKULATOR!M:M,MATCH($J19,KALKULATOR!$K:$K,0))</f>
        <v>141423.15432787026</v>
      </c>
      <c r="M19" s="87">
        <f>INDEX(KALKULATOR!O:O,MATCH($J19,KALKULATOR!$K:$K,0))</f>
        <v>135155.95948080267</v>
      </c>
      <c r="N19" s="87">
        <f>INDEX(KALKULATOR!Q:Q,MATCH($J19,KALKULATOR!$K:$K,0))</f>
        <v>133603.36932965647</v>
      </c>
    </row>
    <row r="20" spans="2:14" x14ac:dyDescent="0.55000000000000004">
      <c r="B20" s="2">
        <v>43983</v>
      </c>
      <c r="J20" s="86">
        <v>17</v>
      </c>
      <c r="K20" s="87">
        <f>INDEX(KALKULATOR!L:L,MATCH($J20,KALKULATOR!$K:$K,0))</f>
        <v>106630.79999999997</v>
      </c>
      <c r="L20" s="87">
        <f>INDEX(KALKULATOR!M:M,MATCH($J20,KALKULATOR!$K:$K,0))</f>
        <v>153516.1902426366</v>
      </c>
      <c r="M20" s="87">
        <f>INDEX(KALKULATOR!O:O,MATCH($J20,KALKULATOR!$K:$K,0))</f>
        <v>146364.95142885862</v>
      </c>
      <c r="N20" s="87">
        <f>INDEX(KALKULATOR!Q:Q,MATCH($J20,KALKULATOR!$K:$K,0))</f>
        <v>144475.65347760578</v>
      </c>
    </row>
    <row r="21" spans="2:14" x14ac:dyDescent="0.55000000000000004">
      <c r="J21" s="86">
        <v>18</v>
      </c>
      <c r="K21" s="87">
        <f>INDEX(KALKULATOR!L:L,MATCH($J21,KALKULATOR!$K:$K,0))</f>
        <v>112903.19999999997</v>
      </c>
      <c r="L21" s="87">
        <f>INDEX(KALKULATOR!M:M,MATCH($J21,KALKULATOR!$K:$K,0))</f>
        <v>166087.55062650415</v>
      </c>
      <c r="M21" s="87">
        <f>INDEX(KALKULATOR!O:O,MATCH($J21,KALKULATOR!$K:$K,0))</f>
        <v>157982.06102522998</v>
      </c>
      <c r="N21" s="87">
        <f>INDEX(KALKULATOR!Q:Q,MATCH($J21,KALKULATOR!$K:$K,0))</f>
        <v>155705.47808980997</v>
      </c>
    </row>
    <row r="22" spans="2:14" x14ac:dyDescent="0.55000000000000004">
      <c r="J22" s="86">
        <v>19</v>
      </c>
      <c r="K22" s="87">
        <f>INDEX(KALKULATOR!L:L,MATCH($J22,KALKULATOR!$K:$K,0))</f>
        <v>119175.59999999996</v>
      </c>
      <c r="L22" s="87">
        <f>INDEX(KALKULATOR!M:M,MATCH($J22,KALKULATOR!$K:$K,0))</f>
        <v>179156.25077354282</v>
      </c>
      <c r="M22" s="87">
        <f>INDEX(KALKULATOR!O:O,MATCH($J22,KALKULATOR!$K:$K,0))</f>
        <v>170023.91561260191</v>
      </c>
      <c r="N22" s="87">
        <f>INDEX(KALKULATOR!Q:Q,MATCH($J22,KALKULATOR!$K:$K,0))</f>
        <v>167304.60106201962</v>
      </c>
    </row>
    <row r="23" spans="2:14" x14ac:dyDescent="0.55000000000000004">
      <c r="B23" s="3">
        <v>1</v>
      </c>
      <c r="C23" t="s">
        <v>30</v>
      </c>
      <c r="J23" s="86">
        <v>20</v>
      </c>
      <c r="K23" s="87">
        <f>INDEX(KALKULATOR!L:L,MATCH($J23,KALKULATOR!$K:$K,0))</f>
        <v>125447.99999999996</v>
      </c>
      <c r="L23" s="87">
        <f>INDEX(KALKULATOR!M:M,MATCH($J23,KALKULATOR!$K:$K,0))</f>
        <v>192742.06515569825</v>
      </c>
      <c r="M23" s="87">
        <f>INDEX(KALKULATOR!O:O,MATCH($J23,KALKULATOR!$K:$K,0))</f>
        <v>195892.22216945083</v>
      </c>
      <c r="N23" s="87">
        <f>INDEX(KALKULATOR!Q:Q,MATCH($J23,KALKULATOR!$K:$K,0))</f>
        <v>179285.16695422656</v>
      </c>
    </row>
    <row r="24" spans="2:14" x14ac:dyDescent="0.55000000000000004">
      <c r="B24" s="3">
        <v>13</v>
      </c>
      <c r="C24" t="s">
        <v>31</v>
      </c>
      <c r="J24" s="86">
        <v>21</v>
      </c>
      <c r="K24" s="87">
        <f>INDEX(KALKULATOR!L:L,MATCH($J24,KALKULATOR!$K:$K,0))</f>
        <v>131720.39999999997</v>
      </c>
      <c r="L24" s="87">
        <f>INDEX(KALKULATOR!M:M,MATCH($J24,KALKULATOR!$K:$K,0))</f>
        <v>206865.55784200883</v>
      </c>
      <c r="M24" s="87">
        <f>INDEX(KALKULATOR!O:O,MATCH($J24,KALKULATOR!$K:$K,0))</f>
        <v>210401.1208004306</v>
      </c>
      <c r="N24" s="87">
        <f>INDEX(KALKULATOR!Q:Q,MATCH($J24,KALKULATOR!$K:$K,0))</f>
        <v>191659.71970631019</v>
      </c>
    </row>
    <row r="25" spans="2:14" x14ac:dyDescent="0.55000000000000004">
      <c r="B25" s="3">
        <v>25</v>
      </c>
      <c r="C25" t="s">
        <v>32</v>
      </c>
      <c r="J25" s="86">
        <v>22</v>
      </c>
      <c r="K25" s="87">
        <f>INDEX(KALKULATOR!L:L,MATCH($J25,KALKULATOR!$K:$K,0))</f>
        <v>137992.79999999996</v>
      </c>
      <c r="L25" s="87">
        <f>INDEX(KALKULATOR!M:M,MATCH($J25,KALKULATOR!$K:$K,0))</f>
        <v>221548.11414034854</v>
      </c>
      <c r="M25" s="87">
        <f>INDEX(KALKULATOR!O:O,MATCH($J25,KALKULATOR!$K:$K,0))</f>
        <v>225501.13434770325</v>
      </c>
      <c r="N25" s="87">
        <f>INDEX(KALKULATOR!Q:Q,MATCH($J25,KALKULATOR!$K:$K,0))</f>
        <v>204441.21577184298</v>
      </c>
    </row>
    <row r="26" spans="2:14" x14ac:dyDescent="0.55000000000000004">
      <c r="B26" s="3">
        <v>37</v>
      </c>
      <c r="C26" t="s">
        <v>33</v>
      </c>
      <c r="J26" s="86">
        <v>23</v>
      </c>
      <c r="K26" s="87">
        <f>INDEX(KALKULATOR!L:L,MATCH($J26,KALKULATOR!$K:$K,0))</f>
        <v>144265.19999999995</v>
      </c>
      <c r="L26" s="87">
        <f>INDEX(KALKULATOR!M:M,MATCH($J26,KALKULATOR!$K:$K,0))</f>
        <v>236811.97351095045</v>
      </c>
      <c r="M26" s="87">
        <f>INDEX(KALKULATOR!O:O,MATCH($J26,KALKULATOR!$K:$K,0))</f>
        <v>241216.34574500151</v>
      </c>
      <c r="N26" s="87">
        <f>INDEX(KALKULATOR!Q:Q,MATCH($J26,KALKULATOR!$K:$K,0))</f>
        <v>217643.03768380859</v>
      </c>
    </row>
    <row r="27" spans="2:14" x14ac:dyDescent="0.55000000000000004">
      <c r="B27" s="3">
        <v>49</v>
      </c>
      <c r="C27" t="s">
        <v>34</v>
      </c>
      <c r="J27" s="86">
        <v>24</v>
      </c>
      <c r="K27" s="87">
        <f>INDEX(KALKULATOR!L:L,MATCH($J27,KALKULATOR!$K:$K,0))</f>
        <v>150537.59999999995</v>
      </c>
      <c r="L27" s="87">
        <f>INDEX(KALKULATOR!M:M,MATCH($J27,KALKULATOR!$K:$K,0))</f>
        <v>252680.26380295536</v>
      </c>
      <c r="M27" s="87">
        <f>INDEX(KALKULATOR!O:O,MATCH($J27,KALKULATOR!$K:$K,0))</f>
        <v>257571.81910193639</v>
      </c>
      <c r="N27" s="87">
        <f>INDEX(KALKULATOR!Q:Q,MATCH($J27,KALKULATOR!$K:$K,0))</f>
        <v>231279.00806643444</v>
      </c>
    </row>
    <row r="28" spans="2:14" x14ac:dyDescent="0.55000000000000004">
      <c r="B28" s="3">
        <v>61</v>
      </c>
      <c r="C28" t="s">
        <v>35</v>
      </c>
      <c r="J28" s="86">
        <v>25</v>
      </c>
      <c r="K28" s="87">
        <f>INDEX(KALKULATOR!L:L,MATCH($J28,KALKULATOR!$K:$K,0))</f>
        <v>156809.99999999994</v>
      </c>
      <c r="L28" s="87">
        <f>INDEX(KALKULATOR!M:M,MATCH($J28,KALKULATOR!$K:$K,0))</f>
        <v>288398.59164480073</v>
      </c>
      <c r="M28" s="87">
        <f>INDEX(KALKULATOR!O:O,MATCH($J28,KALKULATOR!$K:$K,0))</f>
        <v>274593.63967861631</v>
      </c>
      <c r="N28" s="87">
        <f>INDEX(KALKULATOR!Q:Q,MATCH($J28,KALKULATOR!$K:$K,0))</f>
        <v>245363.40410781131</v>
      </c>
    </row>
    <row r="29" spans="2:14" x14ac:dyDescent="0.55000000000000004">
      <c r="B29" s="3">
        <v>73</v>
      </c>
      <c r="C29" t="s">
        <v>36</v>
      </c>
      <c r="J29" s="86">
        <v>26</v>
      </c>
      <c r="K29" s="87" t="e">
        <f>INDEX(KALKULATOR!L:L,MATCH($J29,KALKULATOR!$K:$K,0))</f>
        <v>#N/A</v>
      </c>
      <c r="L29" s="87" t="e">
        <f>INDEX(KALKULATOR!M:M,MATCH($J29,KALKULATOR!$K:$K,0))</f>
        <v>#N/A</v>
      </c>
      <c r="M29" s="87" t="e">
        <f>INDEX(KALKULATOR!O:O,MATCH($J29,KALKULATOR!$K:$K,0))</f>
        <v>#N/A</v>
      </c>
      <c r="N29" s="87" t="e">
        <f>INDEX(KALKULATOR!Q:Q,MATCH($J29,KALKULATOR!$K:$K,0))</f>
        <v>#N/A</v>
      </c>
    </row>
    <row r="30" spans="2:14" x14ac:dyDescent="0.55000000000000004">
      <c r="B30" s="3">
        <v>85</v>
      </c>
      <c r="C30" t="s">
        <v>37</v>
      </c>
      <c r="J30" s="86">
        <v>27</v>
      </c>
      <c r="K30" s="87" t="e">
        <f>INDEX(KALKULATOR!L:L,MATCH($J30,KALKULATOR!$K:$K,0))</f>
        <v>#N/A</v>
      </c>
      <c r="L30" s="87" t="e">
        <f>INDEX(KALKULATOR!M:M,MATCH($J30,KALKULATOR!$K:$K,0))</f>
        <v>#N/A</v>
      </c>
      <c r="M30" s="87" t="e">
        <f>INDEX(KALKULATOR!O:O,MATCH($J30,KALKULATOR!$K:$K,0))</f>
        <v>#N/A</v>
      </c>
      <c r="N30" s="87" t="e">
        <f>INDEX(KALKULATOR!Q:Q,MATCH($J30,KALKULATOR!$K:$K,0))</f>
        <v>#N/A</v>
      </c>
    </row>
    <row r="31" spans="2:14" x14ac:dyDescent="0.55000000000000004">
      <c r="B31" s="3">
        <v>97</v>
      </c>
      <c r="C31" t="s">
        <v>38</v>
      </c>
      <c r="J31" s="86">
        <v>28</v>
      </c>
      <c r="K31" s="87" t="e">
        <f>INDEX(KALKULATOR!L:L,MATCH($J31,KALKULATOR!$K:$K,0))</f>
        <v>#N/A</v>
      </c>
      <c r="L31" s="87" t="e">
        <f>INDEX(KALKULATOR!M:M,MATCH($J31,KALKULATOR!$K:$K,0))</f>
        <v>#N/A</v>
      </c>
      <c r="M31" s="87" t="e">
        <f>INDEX(KALKULATOR!O:O,MATCH($J31,KALKULATOR!$K:$K,0))</f>
        <v>#N/A</v>
      </c>
      <c r="N31" s="87" t="e">
        <f>INDEX(KALKULATOR!Q:Q,MATCH($J31,KALKULATOR!$K:$K,0))</f>
        <v>#N/A</v>
      </c>
    </row>
    <row r="32" spans="2:14" x14ac:dyDescent="0.55000000000000004">
      <c r="B32" s="3">
        <v>109</v>
      </c>
      <c r="C32" t="s">
        <v>39</v>
      </c>
      <c r="J32" s="86">
        <v>29</v>
      </c>
      <c r="K32" s="87" t="e">
        <f>INDEX(KALKULATOR!L:L,MATCH($J32,KALKULATOR!$K:$K,0))</f>
        <v>#N/A</v>
      </c>
      <c r="L32" s="87" t="e">
        <f>INDEX(KALKULATOR!M:M,MATCH($J32,KALKULATOR!$K:$K,0))</f>
        <v>#N/A</v>
      </c>
      <c r="M32" s="87" t="e">
        <f>INDEX(KALKULATOR!O:O,MATCH($J32,KALKULATOR!$K:$K,0))</f>
        <v>#N/A</v>
      </c>
      <c r="N32" s="87" t="e">
        <f>INDEX(KALKULATOR!Q:Q,MATCH($J32,KALKULATOR!$K:$K,0))</f>
        <v>#N/A</v>
      </c>
    </row>
    <row r="33" spans="2:14" x14ac:dyDescent="0.55000000000000004">
      <c r="B33" s="3">
        <v>121</v>
      </c>
      <c r="C33" t="s">
        <v>40</v>
      </c>
      <c r="J33" s="86">
        <v>30</v>
      </c>
      <c r="K33" s="87" t="e">
        <f>INDEX(KALKULATOR!L:L,MATCH($J33,KALKULATOR!$K:$K,0))</f>
        <v>#N/A</v>
      </c>
      <c r="L33" s="87" t="e">
        <f>INDEX(KALKULATOR!M:M,MATCH($J33,KALKULATOR!$K:$K,0))</f>
        <v>#N/A</v>
      </c>
      <c r="M33" s="87" t="e">
        <f>INDEX(KALKULATOR!O:O,MATCH($J33,KALKULATOR!$K:$K,0))</f>
        <v>#N/A</v>
      </c>
      <c r="N33" s="87" t="e">
        <f>INDEX(KALKULATOR!Q:Q,MATCH($J33,KALKULATOR!$K:$K,0))</f>
        <v>#N/A</v>
      </c>
    </row>
    <row r="34" spans="2:14" x14ac:dyDescent="0.55000000000000004">
      <c r="B34" s="3">
        <v>133</v>
      </c>
      <c r="C34" t="s">
        <v>41</v>
      </c>
      <c r="J34" s="86">
        <v>31</v>
      </c>
      <c r="K34" s="87" t="e">
        <f>INDEX(KALKULATOR!L:L,MATCH($J34,KALKULATOR!$K:$K,0))</f>
        <v>#N/A</v>
      </c>
      <c r="L34" s="87" t="e">
        <f>INDEX(KALKULATOR!M:M,MATCH($J34,KALKULATOR!$K:$K,0))</f>
        <v>#N/A</v>
      </c>
      <c r="M34" s="87" t="e">
        <f>INDEX(KALKULATOR!O:O,MATCH($J34,KALKULATOR!$K:$K,0))</f>
        <v>#N/A</v>
      </c>
      <c r="N34" s="87" t="e">
        <f>INDEX(KALKULATOR!Q:Q,MATCH($J34,KALKULATOR!$K:$K,0))</f>
        <v>#N/A</v>
      </c>
    </row>
    <row r="35" spans="2:14" x14ac:dyDescent="0.55000000000000004">
      <c r="B35" s="3">
        <v>145</v>
      </c>
      <c r="C35" t="s">
        <v>42</v>
      </c>
      <c r="J35" s="86">
        <v>32</v>
      </c>
      <c r="K35" s="87" t="e">
        <f>INDEX(KALKULATOR!L:L,MATCH($J35,KALKULATOR!$K:$K,0))</f>
        <v>#N/A</v>
      </c>
      <c r="L35" s="87" t="e">
        <f>INDEX(KALKULATOR!M:M,MATCH($J35,KALKULATOR!$K:$K,0))</f>
        <v>#N/A</v>
      </c>
      <c r="M35" s="87" t="e">
        <f>INDEX(KALKULATOR!O:O,MATCH($J35,KALKULATOR!$K:$K,0))</f>
        <v>#N/A</v>
      </c>
      <c r="N35" s="87" t="e">
        <f>INDEX(KALKULATOR!Q:Q,MATCH($J35,KALKULATOR!$K:$K,0))</f>
        <v>#N/A</v>
      </c>
    </row>
    <row r="36" spans="2:14" x14ac:dyDescent="0.55000000000000004">
      <c r="B36" s="3">
        <v>157</v>
      </c>
      <c r="C36" t="s">
        <v>43</v>
      </c>
      <c r="J36" s="86">
        <v>33</v>
      </c>
      <c r="K36" s="87" t="e">
        <f>INDEX(KALKULATOR!L:L,MATCH($J36,KALKULATOR!$K:$K,0))</f>
        <v>#N/A</v>
      </c>
      <c r="L36" s="87" t="e">
        <f>INDEX(KALKULATOR!M:M,MATCH($J36,KALKULATOR!$K:$K,0))</f>
        <v>#N/A</v>
      </c>
      <c r="M36" s="87" t="e">
        <f>INDEX(KALKULATOR!O:O,MATCH($J36,KALKULATOR!$K:$K,0))</f>
        <v>#N/A</v>
      </c>
      <c r="N36" s="87" t="e">
        <f>INDEX(KALKULATOR!Q:Q,MATCH($J36,KALKULATOR!$K:$K,0))</f>
        <v>#N/A</v>
      </c>
    </row>
    <row r="37" spans="2:14" x14ac:dyDescent="0.55000000000000004">
      <c r="B37" s="3">
        <v>169</v>
      </c>
      <c r="C37" t="s">
        <v>44</v>
      </c>
      <c r="J37" s="86">
        <v>34</v>
      </c>
      <c r="K37" s="87" t="e">
        <f>INDEX(KALKULATOR!L:L,MATCH($J37,KALKULATOR!$K:$K,0))</f>
        <v>#N/A</v>
      </c>
      <c r="L37" s="87" t="e">
        <f>INDEX(KALKULATOR!M:M,MATCH($J37,KALKULATOR!$K:$K,0))</f>
        <v>#N/A</v>
      </c>
      <c r="M37" s="87" t="e">
        <f>INDEX(KALKULATOR!O:O,MATCH($J37,KALKULATOR!$K:$K,0))</f>
        <v>#N/A</v>
      </c>
      <c r="N37" s="87" t="e">
        <f>INDEX(KALKULATOR!Q:Q,MATCH($J37,KALKULATOR!$K:$K,0))</f>
        <v>#N/A</v>
      </c>
    </row>
    <row r="38" spans="2:14" x14ac:dyDescent="0.55000000000000004">
      <c r="B38" s="3">
        <v>181</v>
      </c>
      <c r="C38" t="s">
        <v>45</v>
      </c>
      <c r="J38" s="86">
        <v>35</v>
      </c>
      <c r="K38" s="87" t="e">
        <f>INDEX(KALKULATOR!L:L,MATCH($J38,KALKULATOR!$K:$K,0))</f>
        <v>#N/A</v>
      </c>
      <c r="L38" s="87" t="e">
        <f>INDEX(KALKULATOR!M:M,MATCH($J38,KALKULATOR!$K:$K,0))</f>
        <v>#N/A</v>
      </c>
      <c r="M38" s="87" t="e">
        <f>INDEX(KALKULATOR!O:O,MATCH($J38,KALKULATOR!$K:$K,0))</f>
        <v>#N/A</v>
      </c>
      <c r="N38" s="87" t="e">
        <f>INDEX(KALKULATOR!Q:Q,MATCH($J38,KALKULATOR!$K:$K,0))</f>
        <v>#N/A</v>
      </c>
    </row>
    <row r="39" spans="2:14" x14ac:dyDescent="0.55000000000000004">
      <c r="B39" s="3">
        <v>193</v>
      </c>
      <c r="C39" t="s">
        <v>46</v>
      </c>
      <c r="J39" s="86">
        <v>36</v>
      </c>
      <c r="K39" s="87" t="e">
        <f>INDEX(KALKULATOR!L:L,MATCH($J39,KALKULATOR!$K:$K,0))</f>
        <v>#N/A</v>
      </c>
      <c r="L39" s="87" t="e">
        <f>INDEX(KALKULATOR!M:M,MATCH($J39,KALKULATOR!$K:$K,0))</f>
        <v>#N/A</v>
      </c>
      <c r="M39" s="87" t="e">
        <f>INDEX(KALKULATOR!O:O,MATCH($J39,KALKULATOR!$K:$K,0))</f>
        <v>#N/A</v>
      </c>
      <c r="N39" s="87" t="e">
        <f>INDEX(KALKULATOR!Q:Q,MATCH($J39,KALKULATOR!$K:$K,0))</f>
        <v>#N/A</v>
      </c>
    </row>
    <row r="40" spans="2:14" x14ac:dyDescent="0.55000000000000004">
      <c r="B40" s="3">
        <v>205</v>
      </c>
      <c r="C40" t="s">
        <v>47</v>
      </c>
      <c r="J40" s="86">
        <v>37</v>
      </c>
      <c r="K40" s="87" t="e">
        <f>INDEX(KALKULATOR!L:L,MATCH($J40,KALKULATOR!$K:$K,0))</f>
        <v>#N/A</v>
      </c>
      <c r="L40" s="87" t="e">
        <f>INDEX(KALKULATOR!M:M,MATCH($J40,KALKULATOR!$K:$K,0))</f>
        <v>#N/A</v>
      </c>
      <c r="M40" s="87" t="e">
        <f>INDEX(KALKULATOR!O:O,MATCH($J40,KALKULATOR!$K:$K,0))</f>
        <v>#N/A</v>
      </c>
      <c r="N40" s="87" t="e">
        <f>INDEX(KALKULATOR!Q:Q,MATCH($J40,KALKULATOR!$K:$K,0))</f>
        <v>#N/A</v>
      </c>
    </row>
    <row r="41" spans="2:14" x14ac:dyDescent="0.55000000000000004">
      <c r="B41" s="3">
        <v>217</v>
      </c>
      <c r="C41" t="s">
        <v>48</v>
      </c>
      <c r="J41" s="86">
        <v>38</v>
      </c>
      <c r="K41" s="87" t="e">
        <f>INDEX(KALKULATOR!L:L,MATCH($J41,KALKULATOR!$K:$K,0))</f>
        <v>#N/A</v>
      </c>
      <c r="L41" s="87" t="e">
        <f>INDEX(KALKULATOR!M:M,MATCH($J41,KALKULATOR!$K:$K,0))</f>
        <v>#N/A</v>
      </c>
      <c r="M41" s="87" t="e">
        <f>INDEX(KALKULATOR!O:O,MATCH($J41,KALKULATOR!$K:$K,0))</f>
        <v>#N/A</v>
      </c>
      <c r="N41" s="87" t="e">
        <f>INDEX(KALKULATOR!Q:Q,MATCH($J41,KALKULATOR!$K:$K,0))</f>
        <v>#N/A</v>
      </c>
    </row>
    <row r="42" spans="2:14" x14ac:dyDescent="0.55000000000000004">
      <c r="B42" s="3">
        <v>229</v>
      </c>
      <c r="C42" t="s">
        <v>49</v>
      </c>
      <c r="J42" s="86">
        <v>39</v>
      </c>
      <c r="K42" s="87" t="e">
        <f>INDEX(KALKULATOR!L:L,MATCH($J42,KALKULATOR!$K:$K,0))</f>
        <v>#N/A</v>
      </c>
      <c r="L42" s="87" t="e">
        <f>INDEX(KALKULATOR!M:M,MATCH($J42,KALKULATOR!$K:$K,0))</f>
        <v>#N/A</v>
      </c>
      <c r="M42" s="87" t="e">
        <f>INDEX(KALKULATOR!O:O,MATCH($J42,KALKULATOR!$K:$K,0))</f>
        <v>#N/A</v>
      </c>
      <c r="N42" s="87" t="e">
        <f>INDEX(KALKULATOR!Q:Q,MATCH($J42,KALKULATOR!$K:$K,0))</f>
        <v>#N/A</v>
      </c>
    </row>
    <row r="43" spans="2:14" x14ac:dyDescent="0.55000000000000004">
      <c r="B43" s="3">
        <v>241</v>
      </c>
      <c r="C43" t="s">
        <v>50</v>
      </c>
      <c r="J43" s="86">
        <v>40</v>
      </c>
      <c r="K43" s="87" t="e">
        <f>INDEX(KALKULATOR!L:L,MATCH($J43,KALKULATOR!$K:$K,0))</f>
        <v>#N/A</v>
      </c>
      <c r="L43" s="87" t="e">
        <f>INDEX(KALKULATOR!M:M,MATCH($J43,KALKULATOR!$K:$K,0))</f>
        <v>#N/A</v>
      </c>
      <c r="M43" s="87" t="e">
        <f>INDEX(KALKULATOR!O:O,MATCH($J43,KALKULATOR!$K:$K,0))</f>
        <v>#N/A</v>
      </c>
      <c r="N43" s="87" t="e">
        <f>INDEX(KALKULATOR!Q:Q,MATCH($J43,KALKULATOR!$K:$K,0))</f>
        <v>#N/A</v>
      </c>
    </row>
    <row r="44" spans="2:14" x14ac:dyDescent="0.55000000000000004">
      <c r="B44" s="3">
        <v>253</v>
      </c>
      <c r="C44" t="s">
        <v>51</v>
      </c>
      <c r="J44" s="86">
        <v>41</v>
      </c>
      <c r="K44" s="87" t="e">
        <f>INDEX(KALKULATOR!L:L,MATCH($J44,KALKULATOR!$K:$K,0))</f>
        <v>#N/A</v>
      </c>
      <c r="L44" s="87" t="e">
        <f>INDEX(KALKULATOR!M:M,MATCH($J44,KALKULATOR!$K:$K,0))</f>
        <v>#N/A</v>
      </c>
      <c r="M44" s="87" t="e">
        <f>INDEX(KALKULATOR!O:O,MATCH($J44,KALKULATOR!$K:$K,0))</f>
        <v>#N/A</v>
      </c>
      <c r="N44" s="87" t="e">
        <f>INDEX(KALKULATOR!Q:Q,MATCH($J44,KALKULATOR!$K:$K,0))</f>
        <v>#N/A</v>
      </c>
    </row>
    <row r="45" spans="2:14" x14ac:dyDescent="0.55000000000000004">
      <c r="B45" s="3">
        <v>265</v>
      </c>
      <c r="C45" t="s">
        <v>52</v>
      </c>
      <c r="J45" s="86">
        <v>42</v>
      </c>
      <c r="K45" s="87" t="e">
        <f>INDEX(KALKULATOR!L:L,MATCH($J45,KALKULATOR!$K:$K,0))</f>
        <v>#N/A</v>
      </c>
      <c r="L45" s="87" t="e">
        <f>INDEX(KALKULATOR!M:M,MATCH($J45,KALKULATOR!$K:$K,0))</f>
        <v>#N/A</v>
      </c>
      <c r="M45" s="87" t="e">
        <f>INDEX(KALKULATOR!O:O,MATCH($J45,KALKULATOR!$K:$K,0))</f>
        <v>#N/A</v>
      </c>
      <c r="N45" s="87" t="e">
        <f>INDEX(KALKULATOR!Q:Q,MATCH($J45,KALKULATOR!$K:$K,0))</f>
        <v>#N/A</v>
      </c>
    </row>
    <row r="46" spans="2:14" x14ac:dyDescent="0.55000000000000004">
      <c r="B46" s="3">
        <v>277</v>
      </c>
      <c r="C46" t="s">
        <v>53</v>
      </c>
      <c r="J46" s="86">
        <v>43</v>
      </c>
      <c r="K46" s="87" t="e">
        <f>INDEX(KALKULATOR!L:L,MATCH($J46,KALKULATOR!$K:$K,0))</f>
        <v>#N/A</v>
      </c>
      <c r="L46" s="87" t="e">
        <f>INDEX(KALKULATOR!M:M,MATCH($J46,KALKULATOR!$K:$K,0))</f>
        <v>#N/A</v>
      </c>
      <c r="M46" s="87" t="e">
        <f>INDEX(KALKULATOR!O:O,MATCH($J46,KALKULATOR!$K:$K,0))</f>
        <v>#N/A</v>
      </c>
      <c r="N46" s="87" t="e">
        <f>INDEX(KALKULATOR!Q:Q,MATCH($J46,KALKULATOR!$K:$K,0))</f>
        <v>#N/A</v>
      </c>
    </row>
    <row r="47" spans="2:14" x14ac:dyDescent="0.55000000000000004">
      <c r="B47" s="3">
        <v>289</v>
      </c>
      <c r="C47" t="s">
        <v>54</v>
      </c>
      <c r="J47" s="86">
        <v>44</v>
      </c>
      <c r="K47" s="87" t="e">
        <f>INDEX(KALKULATOR!L:L,MATCH($J47,KALKULATOR!$K:$K,0))</f>
        <v>#N/A</v>
      </c>
      <c r="L47" s="87" t="e">
        <f>INDEX(KALKULATOR!M:M,MATCH($J47,KALKULATOR!$K:$K,0))</f>
        <v>#N/A</v>
      </c>
      <c r="M47" s="87" t="e">
        <f>INDEX(KALKULATOR!O:O,MATCH($J47,KALKULATOR!$K:$K,0))</f>
        <v>#N/A</v>
      </c>
      <c r="N47" s="87" t="e">
        <f>INDEX(KALKULATOR!Q:Q,MATCH($J47,KALKULATOR!$K:$K,0))</f>
        <v>#N/A</v>
      </c>
    </row>
    <row r="48" spans="2:14" x14ac:dyDescent="0.55000000000000004">
      <c r="B48" s="3">
        <v>301</v>
      </c>
      <c r="C48" t="s">
        <v>55</v>
      </c>
      <c r="J48" s="86">
        <v>45</v>
      </c>
      <c r="K48" s="87" t="e">
        <f>INDEX(KALKULATOR!L:L,MATCH($J48,KALKULATOR!$K:$K,0))</f>
        <v>#N/A</v>
      </c>
      <c r="L48" s="87" t="e">
        <f>INDEX(KALKULATOR!M:M,MATCH($J48,KALKULATOR!$K:$K,0))</f>
        <v>#N/A</v>
      </c>
      <c r="M48" s="87" t="e">
        <f>INDEX(KALKULATOR!O:O,MATCH($J48,KALKULATOR!$K:$K,0))</f>
        <v>#N/A</v>
      </c>
      <c r="N48" s="87" t="e">
        <f>INDEX(KALKULATOR!Q:Q,MATCH($J48,KALKULATOR!$K:$K,0))</f>
        <v>#N/A</v>
      </c>
    </row>
    <row r="49" spans="2:14" x14ac:dyDescent="0.55000000000000004">
      <c r="B49" s="3">
        <v>313</v>
      </c>
      <c r="C49" t="s">
        <v>56</v>
      </c>
      <c r="J49" s="86">
        <v>46</v>
      </c>
      <c r="K49" s="87" t="e">
        <f>INDEX(KALKULATOR!L:L,MATCH($J49,KALKULATOR!$K:$K,0))</f>
        <v>#N/A</v>
      </c>
      <c r="L49" s="87" t="e">
        <f>INDEX(KALKULATOR!M:M,MATCH($J49,KALKULATOR!$K:$K,0))</f>
        <v>#N/A</v>
      </c>
      <c r="M49" s="87" t="e">
        <f>INDEX(KALKULATOR!O:O,MATCH($J49,KALKULATOR!$K:$K,0))</f>
        <v>#N/A</v>
      </c>
      <c r="N49" s="87" t="e">
        <f>INDEX(KALKULATOR!Q:Q,MATCH($J49,KALKULATOR!$K:$K,0))</f>
        <v>#N/A</v>
      </c>
    </row>
    <row r="50" spans="2:14" x14ac:dyDescent="0.55000000000000004">
      <c r="B50" s="3">
        <v>325</v>
      </c>
      <c r="C50" t="s">
        <v>57</v>
      </c>
      <c r="J50" s="86">
        <v>47</v>
      </c>
      <c r="K50" s="87" t="e">
        <f>INDEX(KALKULATOR!L:L,MATCH($J50,KALKULATOR!$K:$K,0))</f>
        <v>#N/A</v>
      </c>
      <c r="L50" s="87" t="e">
        <f>INDEX(KALKULATOR!M:M,MATCH($J50,KALKULATOR!$K:$K,0))</f>
        <v>#N/A</v>
      </c>
      <c r="M50" s="87" t="e">
        <f>INDEX(KALKULATOR!O:O,MATCH($J50,KALKULATOR!$K:$K,0))</f>
        <v>#N/A</v>
      </c>
      <c r="N50" s="87" t="e">
        <f>INDEX(KALKULATOR!Q:Q,MATCH($J50,KALKULATOR!$K:$K,0))</f>
        <v>#N/A</v>
      </c>
    </row>
    <row r="51" spans="2:14" x14ac:dyDescent="0.55000000000000004">
      <c r="B51" s="3">
        <v>337</v>
      </c>
      <c r="C51" t="s">
        <v>58</v>
      </c>
      <c r="J51" s="86">
        <v>48</v>
      </c>
      <c r="K51" s="87" t="e">
        <f>INDEX(KALKULATOR!L:L,MATCH($J51,KALKULATOR!$K:$K,0))</f>
        <v>#N/A</v>
      </c>
      <c r="L51" s="87" t="e">
        <f>INDEX(KALKULATOR!M:M,MATCH($J51,KALKULATOR!$K:$K,0))</f>
        <v>#N/A</v>
      </c>
      <c r="M51" s="87" t="e">
        <f>INDEX(KALKULATOR!O:O,MATCH($J51,KALKULATOR!$K:$K,0))</f>
        <v>#N/A</v>
      </c>
      <c r="N51" s="87" t="e">
        <f>INDEX(KALKULATOR!Q:Q,MATCH($J51,KALKULATOR!$K:$K,0))</f>
        <v>#N/A</v>
      </c>
    </row>
    <row r="52" spans="2:14" x14ac:dyDescent="0.55000000000000004">
      <c r="B52" s="3">
        <v>349</v>
      </c>
      <c r="C52" t="s">
        <v>59</v>
      </c>
      <c r="J52" s="86">
        <v>49</v>
      </c>
      <c r="K52" s="87" t="e">
        <f>INDEX(KALKULATOR!L:L,MATCH($J52,KALKULATOR!$K:$K,0))</f>
        <v>#N/A</v>
      </c>
      <c r="L52" s="87" t="e">
        <f>INDEX(KALKULATOR!M:M,MATCH($J52,KALKULATOR!$K:$K,0))</f>
        <v>#N/A</v>
      </c>
      <c r="M52" s="87" t="e">
        <f>INDEX(KALKULATOR!O:O,MATCH($J52,KALKULATOR!$K:$K,0))</f>
        <v>#N/A</v>
      </c>
      <c r="N52" s="87" t="e">
        <f>INDEX(KALKULATOR!Q:Q,MATCH($J52,KALKULATOR!$K:$K,0))</f>
        <v>#N/A</v>
      </c>
    </row>
    <row r="53" spans="2:14" x14ac:dyDescent="0.55000000000000004">
      <c r="B53" s="3">
        <v>361</v>
      </c>
      <c r="C53" t="s">
        <v>60</v>
      </c>
      <c r="J53" s="86">
        <v>50</v>
      </c>
      <c r="K53" s="87" t="e">
        <f>INDEX(KALKULATOR!L:L,MATCH($J53,KALKULATOR!$K:$K,0))</f>
        <v>#N/A</v>
      </c>
      <c r="L53" s="87" t="e">
        <f>INDEX(KALKULATOR!M:M,MATCH($J53,KALKULATOR!$K:$K,0))</f>
        <v>#N/A</v>
      </c>
      <c r="M53" s="87" t="e">
        <f>INDEX(KALKULATOR!O:O,MATCH($J53,KALKULATOR!$K:$K,0))</f>
        <v>#N/A</v>
      </c>
      <c r="N53" s="87" t="e">
        <f>INDEX(KALKULATOR!Q:Q,MATCH($J53,KALKULATOR!$K:$K,0))</f>
        <v>#N/A</v>
      </c>
    </row>
    <row r="54" spans="2:14" x14ac:dyDescent="0.55000000000000004">
      <c r="B54" s="3">
        <v>373</v>
      </c>
      <c r="C54" t="s">
        <v>61</v>
      </c>
      <c r="J54" s="86">
        <v>51</v>
      </c>
      <c r="K54" s="87" t="e">
        <f>INDEX(KALKULATOR!L:L,MATCH($J54,KALKULATOR!$K:$K,0))</f>
        <v>#N/A</v>
      </c>
      <c r="L54" s="87" t="e">
        <f>INDEX(KALKULATOR!M:M,MATCH($J54,KALKULATOR!$K:$K,0))</f>
        <v>#N/A</v>
      </c>
      <c r="M54" s="87" t="e">
        <f>INDEX(KALKULATOR!O:O,MATCH($J54,KALKULATOR!$K:$K,0))</f>
        <v>#N/A</v>
      </c>
      <c r="N54" s="87" t="e">
        <f>INDEX(KALKULATOR!Q:Q,MATCH($J54,KALKULATOR!$K:$K,0))</f>
        <v>#N/A</v>
      </c>
    </row>
    <row r="55" spans="2:14" x14ac:dyDescent="0.55000000000000004">
      <c r="B55" s="3">
        <v>385</v>
      </c>
      <c r="C55" t="s">
        <v>62</v>
      </c>
      <c r="J55" s="86">
        <v>52</v>
      </c>
      <c r="K55" s="87" t="e">
        <f>INDEX(KALKULATOR!L:L,MATCH($J55,KALKULATOR!$K:$K,0))</f>
        <v>#N/A</v>
      </c>
      <c r="L55" s="87" t="e">
        <f>INDEX(KALKULATOR!M:M,MATCH($J55,KALKULATOR!$K:$K,0))</f>
        <v>#N/A</v>
      </c>
      <c r="M55" s="87" t="e">
        <f>INDEX(KALKULATOR!O:O,MATCH($J55,KALKULATOR!$K:$K,0))</f>
        <v>#N/A</v>
      </c>
      <c r="N55" s="87" t="e">
        <f>INDEX(KALKULATOR!Q:Q,MATCH($J55,KALKULATOR!$K:$K,0))</f>
        <v>#N/A</v>
      </c>
    </row>
    <row r="56" spans="2:14" x14ac:dyDescent="0.55000000000000004">
      <c r="B56" s="3">
        <v>397</v>
      </c>
      <c r="C56" t="s">
        <v>63</v>
      </c>
      <c r="J56" s="86">
        <v>53</v>
      </c>
      <c r="K56" s="87" t="e">
        <f>INDEX(KALKULATOR!L:L,MATCH($J56,KALKULATOR!$K:$K,0))</f>
        <v>#N/A</v>
      </c>
      <c r="L56" s="87" t="e">
        <f>INDEX(KALKULATOR!M:M,MATCH($J56,KALKULATOR!$K:$K,0))</f>
        <v>#N/A</v>
      </c>
      <c r="M56" s="87" t="e">
        <f>INDEX(KALKULATOR!O:O,MATCH($J56,KALKULATOR!$K:$K,0))</f>
        <v>#N/A</v>
      </c>
      <c r="N56" s="87" t="e">
        <f>INDEX(KALKULATOR!Q:Q,MATCH($J56,KALKULATOR!$K:$K,0))</f>
        <v>#N/A</v>
      </c>
    </row>
    <row r="57" spans="2:14" x14ac:dyDescent="0.55000000000000004">
      <c r="B57" s="3">
        <v>409</v>
      </c>
      <c r="C57" t="s">
        <v>64</v>
      </c>
      <c r="J57" s="86">
        <v>54</v>
      </c>
      <c r="K57" s="87" t="e">
        <f>INDEX(KALKULATOR!L:L,MATCH($J57,KALKULATOR!$K:$K,0))</f>
        <v>#N/A</v>
      </c>
      <c r="L57" s="87" t="e">
        <f>INDEX(KALKULATOR!M:M,MATCH($J57,KALKULATOR!$K:$K,0))</f>
        <v>#N/A</v>
      </c>
      <c r="M57" s="87" t="e">
        <f>INDEX(KALKULATOR!O:O,MATCH($J57,KALKULATOR!$K:$K,0))</f>
        <v>#N/A</v>
      </c>
      <c r="N57" s="87" t="e">
        <f>INDEX(KALKULATOR!Q:Q,MATCH($J57,KALKULATOR!$K:$K,0))</f>
        <v>#N/A</v>
      </c>
    </row>
    <row r="58" spans="2:14" x14ac:dyDescent="0.55000000000000004">
      <c r="B58" s="3">
        <v>421</v>
      </c>
      <c r="C58" t="s">
        <v>65</v>
      </c>
      <c r="J58" s="86">
        <v>55</v>
      </c>
      <c r="K58" s="87" t="e">
        <f>INDEX(KALKULATOR!L:L,MATCH($J58,KALKULATOR!$K:$K,0))</f>
        <v>#N/A</v>
      </c>
      <c r="L58" s="87" t="e">
        <f>INDEX(KALKULATOR!M:M,MATCH($J58,KALKULATOR!$K:$K,0))</f>
        <v>#N/A</v>
      </c>
      <c r="M58" s="87" t="e">
        <f>INDEX(KALKULATOR!O:O,MATCH($J58,KALKULATOR!$K:$K,0))</f>
        <v>#N/A</v>
      </c>
      <c r="N58" s="87" t="e">
        <f>INDEX(KALKULATOR!Q:Q,MATCH($J58,KALKULATOR!$K:$K,0))</f>
        <v>#N/A</v>
      </c>
    </row>
    <row r="59" spans="2:14" x14ac:dyDescent="0.55000000000000004">
      <c r="B59" s="3">
        <v>433</v>
      </c>
      <c r="C59" t="s">
        <v>66</v>
      </c>
      <c r="J59" s="86">
        <v>56</v>
      </c>
      <c r="K59" s="87" t="e">
        <f>INDEX(KALKULATOR!L:L,MATCH($J59,KALKULATOR!$K:$K,0))</f>
        <v>#N/A</v>
      </c>
      <c r="L59" s="87" t="e">
        <f>INDEX(KALKULATOR!M:M,MATCH($J59,KALKULATOR!$K:$K,0))</f>
        <v>#N/A</v>
      </c>
      <c r="M59" s="87" t="e">
        <f>INDEX(KALKULATOR!O:O,MATCH($J59,KALKULATOR!$K:$K,0))</f>
        <v>#N/A</v>
      </c>
      <c r="N59" s="87" t="e">
        <f>INDEX(KALKULATOR!Q:Q,MATCH($J59,KALKULATOR!$K:$K,0))</f>
        <v>#N/A</v>
      </c>
    </row>
    <row r="60" spans="2:14" x14ac:dyDescent="0.55000000000000004">
      <c r="B60" s="3">
        <v>445</v>
      </c>
      <c r="C60" t="s">
        <v>67</v>
      </c>
      <c r="J60" s="86">
        <v>57</v>
      </c>
      <c r="K60" s="87" t="e">
        <f>INDEX(KALKULATOR!L:L,MATCH($J60,KALKULATOR!$K:$K,0))</f>
        <v>#N/A</v>
      </c>
      <c r="L60" s="87" t="e">
        <f>INDEX(KALKULATOR!M:M,MATCH($J60,KALKULATOR!$K:$K,0))</f>
        <v>#N/A</v>
      </c>
      <c r="M60" s="87" t="e">
        <f>INDEX(KALKULATOR!O:O,MATCH($J60,KALKULATOR!$K:$K,0))</f>
        <v>#N/A</v>
      </c>
      <c r="N60" s="87" t="e">
        <f>INDEX(KALKULATOR!Q:Q,MATCH($J60,KALKULATOR!$K:$K,0))</f>
        <v>#N/A</v>
      </c>
    </row>
    <row r="61" spans="2:14" x14ac:dyDescent="0.55000000000000004">
      <c r="B61" s="3">
        <v>457</v>
      </c>
      <c r="C61" t="s">
        <v>68</v>
      </c>
      <c r="J61" s="86">
        <v>58</v>
      </c>
      <c r="K61" s="87" t="e">
        <f>INDEX(KALKULATOR!L:L,MATCH($J61,KALKULATOR!$K:$K,0))</f>
        <v>#N/A</v>
      </c>
      <c r="L61" s="87" t="e">
        <f>INDEX(KALKULATOR!M:M,MATCH($J61,KALKULATOR!$K:$K,0))</f>
        <v>#N/A</v>
      </c>
      <c r="M61" s="87" t="e">
        <f>INDEX(KALKULATOR!O:O,MATCH($J61,KALKULATOR!$K:$K,0))</f>
        <v>#N/A</v>
      </c>
      <c r="N61" s="87" t="e">
        <f>INDEX(KALKULATOR!Q:Q,MATCH($J61,KALKULATOR!$K:$K,0))</f>
        <v>#N/A</v>
      </c>
    </row>
    <row r="62" spans="2:14" x14ac:dyDescent="0.55000000000000004">
      <c r="B62" s="3">
        <v>469</v>
      </c>
      <c r="C62" t="s">
        <v>69</v>
      </c>
      <c r="J62" s="86">
        <v>59</v>
      </c>
      <c r="K62" s="87" t="e">
        <f>INDEX(KALKULATOR!L:L,MATCH($J62,KALKULATOR!$K:$K,0))</f>
        <v>#N/A</v>
      </c>
      <c r="L62" s="87" t="e">
        <f>INDEX(KALKULATOR!M:M,MATCH($J62,KALKULATOR!$K:$K,0))</f>
        <v>#N/A</v>
      </c>
      <c r="M62" s="87" t="e">
        <f>INDEX(KALKULATOR!O:O,MATCH($J62,KALKULATOR!$K:$K,0))</f>
        <v>#N/A</v>
      </c>
      <c r="N62" s="87" t="e">
        <f>INDEX(KALKULATOR!Q:Q,MATCH($J62,KALKULATOR!$K:$K,0))</f>
        <v>#N/A</v>
      </c>
    </row>
    <row r="63" spans="2:14" x14ac:dyDescent="0.55000000000000004">
      <c r="B63" s="3">
        <v>481</v>
      </c>
      <c r="C63" t="s">
        <v>70</v>
      </c>
      <c r="J63" s="86">
        <v>60</v>
      </c>
      <c r="K63" s="87" t="e">
        <f>INDEX(KALKULATOR!L:L,MATCH($J63,KALKULATOR!$K:$K,0))</f>
        <v>#N/A</v>
      </c>
      <c r="L63" s="87" t="e">
        <f>INDEX(KALKULATOR!M:M,MATCH($J63,KALKULATOR!$K:$K,0))</f>
        <v>#N/A</v>
      </c>
      <c r="M63" s="87" t="e">
        <f>INDEX(KALKULATOR!O:O,MATCH($J63,KALKULATOR!$K:$K,0))</f>
        <v>#N/A</v>
      </c>
      <c r="N63" s="87" t="e">
        <f>INDEX(KALKULATOR!Q:Q,MATCH($J63,KALKULATOR!$K:$K,0))</f>
        <v>#N/A</v>
      </c>
    </row>
    <row r="64" spans="2:14" x14ac:dyDescent="0.55000000000000004">
      <c r="B64" s="3">
        <v>493</v>
      </c>
      <c r="C64" t="s">
        <v>71</v>
      </c>
    </row>
    <row r="65" spans="2:3" x14ac:dyDescent="0.55000000000000004">
      <c r="B65" s="3">
        <v>505</v>
      </c>
      <c r="C65" t="s">
        <v>72</v>
      </c>
    </row>
    <row r="66" spans="2:3" x14ac:dyDescent="0.55000000000000004">
      <c r="B66" s="3">
        <v>517</v>
      </c>
      <c r="C66" t="s">
        <v>73</v>
      </c>
    </row>
    <row r="67" spans="2:3" x14ac:dyDescent="0.55000000000000004">
      <c r="B67" s="3">
        <v>529</v>
      </c>
      <c r="C67" t="s">
        <v>74</v>
      </c>
    </row>
    <row r="68" spans="2:3" x14ac:dyDescent="0.55000000000000004">
      <c r="B68" s="3">
        <v>541</v>
      </c>
      <c r="C68" t="s">
        <v>75</v>
      </c>
    </row>
    <row r="69" spans="2:3" x14ac:dyDescent="0.55000000000000004">
      <c r="B69" s="3">
        <v>553</v>
      </c>
      <c r="C69" t="s">
        <v>76</v>
      </c>
    </row>
    <row r="70" spans="2:3" x14ac:dyDescent="0.55000000000000004">
      <c r="B70" s="3">
        <v>565</v>
      </c>
      <c r="C70" t="s">
        <v>77</v>
      </c>
    </row>
    <row r="71" spans="2:3" x14ac:dyDescent="0.55000000000000004">
      <c r="B71" s="3">
        <v>577</v>
      </c>
      <c r="C71" t="s">
        <v>78</v>
      </c>
    </row>
    <row r="72" spans="2:3" x14ac:dyDescent="0.55000000000000004">
      <c r="B72" s="3">
        <v>589</v>
      </c>
      <c r="C72" t="s">
        <v>79</v>
      </c>
    </row>
    <row r="73" spans="2:3" x14ac:dyDescent="0.55000000000000004">
      <c r="B73" s="3">
        <v>601</v>
      </c>
      <c r="C73" t="s">
        <v>80</v>
      </c>
    </row>
    <row r="74" spans="2:3" x14ac:dyDescent="0.55000000000000004">
      <c r="B74" s="3">
        <v>613</v>
      </c>
      <c r="C74" t="s">
        <v>81</v>
      </c>
    </row>
    <row r="75" spans="2:3" x14ac:dyDescent="0.55000000000000004">
      <c r="B75" s="3">
        <v>625</v>
      </c>
      <c r="C75" t="s">
        <v>82</v>
      </c>
    </row>
    <row r="76" spans="2:3" x14ac:dyDescent="0.55000000000000004">
      <c r="B76" s="3">
        <v>637</v>
      </c>
      <c r="C76" t="s">
        <v>83</v>
      </c>
    </row>
    <row r="77" spans="2:3" x14ac:dyDescent="0.55000000000000004">
      <c r="B77" s="3">
        <v>649</v>
      </c>
      <c r="C77" t="s">
        <v>84</v>
      </c>
    </row>
    <row r="78" spans="2:3" x14ac:dyDescent="0.55000000000000004">
      <c r="B78" s="3">
        <v>661</v>
      </c>
      <c r="C78" t="s">
        <v>85</v>
      </c>
    </row>
    <row r="79" spans="2:3" x14ac:dyDescent="0.55000000000000004">
      <c r="B79" s="3">
        <v>673</v>
      </c>
      <c r="C79" t="s">
        <v>86</v>
      </c>
    </row>
    <row r="80" spans="2:3" x14ac:dyDescent="0.55000000000000004">
      <c r="B80" s="3">
        <v>685</v>
      </c>
      <c r="C80" t="s">
        <v>87</v>
      </c>
    </row>
    <row r="81" spans="2:3" x14ac:dyDescent="0.55000000000000004">
      <c r="B81" s="3">
        <v>697</v>
      </c>
      <c r="C81" t="s">
        <v>88</v>
      </c>
    </row>
    <row r="82" spans="2:3" x14ac:dyDescent="0.55000000000000004">
      <c r="B82" s="3">
        <v>709</v>
      </c>
      <c r="C82" t="s">
        <v>89</v>
      </c>
    </row>
    <row r="83" spans="2:3" x14ac:dyDescent="0.55000000000000004">
      <c r="B83" s="3">
        <v>721</v>
      </c>
      <c r="C83" t="s">
        <v>90</v>
      </c>
    </row>
    <row r="84" spans="2:3" x14ac:dyDescent="0.55000000000000004">
      <c r="B84" s="3">
        <v>733</v>
      </c>
      <c r="C84" t="s">
        <v>91</v>
      </c>
    </row>
    <row r="85" spans="2:3" x14ac:dyDescent="0.55000000000000004">
      <c r="B85" s="3">
        <v>745</v>
      </c>
      <c r="C85" t="s">
        <v>92</v>
      </c>
    </row>
    <row r="86" spans="2:3" x14ac:dyDescent="0.55000000000000004">
      <c r="B86" s="3">
        <v>757</v>
      </c>
      <c r="C86" t="s">
        <v>93</v>
      </c>
    </row>
    <row r="87" spans="2:3" x14ac:dyDescent="0.55000000000000004">
      <c r="B87" s="3">
        <v>769</v>
      </c>
      <c r="C87" t="s">
        <v>94</v>
      </c>
    </row>
    <row r="88" spans="2:3" x14ac:dyDescent="0.55000000000000004">
      <c r="B88" s="3">
        <v>781</v>
      </c>
      <c r="C88" t="s">
        <v>95</v>
      </c>
    </row>
    <row r="89" spans="2:3" x14ac:dyDescent="0.55000000000000004">
      <c r="B89" s="3">
        <v>793</v>
      </c>
      <c r="C89" t="s">
        <v>96</v>
      </c>
    </row>
    <row r="90" spans="2:3" x14ac:dyDescent="0.55000000000000004">
      <c r="B90" s="3">
        <v>805</v>
      </c>
      <c r="C90" t="s">
        <v>97</v>
      </c>
    </row>
    <row r="91" spans="2:3" x14ac:dyDescent="0.55000000000000004">
      <c r="B91" s="3">
        <v>817</v>
      </c>
      <c r="C91" t="s">
        <v>98</v>
      </c>
    </row>
    <row r="92" spans="2:3" x14ac:dyDescent="0.55000000000000004">
      <c r="B92" s="3">
        <v>829</v>
      </c>
      <c r="C92" t="s">
        <v>99</v>
      </c>
    </row>
    <row r="93" spans="2:3" x14ac:dyDescent="0.55000000000000004">
      <c r="B93" s="3">
        <v>841</v>
      </c>
      <c r="C93" t="s">
        <v>100</v>
      </c>
    </row>
    <row r="94" spans="2:3" x14ac:dyDescent="0.55000000000000004">
      <c r="B94" s="3">
        <v>853</v>
      </c>
      <c r="C94" t="s">
        <v>101</v>
      </c>
    </row>
    <row r="95" spans="2:3" x14ac:dyDescent="0.55000000000000004">
      <c r="B95" s="3">
        <v>865</v>
      </c>
      <c r="C95" t="s">
        <v>102</v>
      </c>
    </row>
    <row r="96" spans="2:3" x14ac:dyDescent="0.55000000000000004">
      <c r="B96" s="3">
        <v>877</v>
      </c>
      <c r="C96" t="s">
        <v>103</v>
      </c>
    </row>
    <row r="97" spans="2:3" x14ac:dyDescent="0.55000000000000004">
      <c r="B97" s="3">
        <v>889</v>
      </c>
      <c r="C97" t="s">
        <v>104</v>
      </c>
    </row>
    <row r="98" spans="2:3" x14ac:dyDescent="0.55000000000000004">
      <c r="B98" s="3">
        <v>901</v>
      </c>
      <c r="C98" t="s">
        <v>105</v>
      </c>
    </row>
    <row r="99" spans="2:3" x14ac:dyDescent="0.55000000000000004">
      <c r="B99" s="3">
        <v>913</v>
      </c>
      <c r="C99" t="s">
        <v>106</v>
      </c>
    </row>
    <row r="100" spans="2:3" x14ac:dyDescent="0.55000000000000004">
      <c r="B100" s="3">
        <v>925</v>
      </c>
      <c r="C100" t="s">
        <v>107</v>
      </c>
    </row>
    <row r="101" spans="2:3" x14ac:dyDescent="0.55000000000000004">
      <c r="B101" s="3">
        <v>937</v>
      </c>
      <c r="C101" t="s">
        <v>108</v>
      </c>
    </row>
    <row r="102" spans="2:3" x14ac:dyDescent="0.55000000000000004">
      <c r="B102" s="3">
        <v>949</v>
      </c>
      <c r="C102" t="s">
        <v>109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KALKULATOR</vt:lpstr>
      <vt:lpstr>zasady IKZE vs IKE</vt:lpstr>
      <vt:lpstr>Robocze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Iwuć</dc:creator>
  <cp:lastModifiedBy>Katarzyna Iwuc</cp:lastModifiedBy>
  <dcterms:created xsi:type="dcterms:W3CDTF">2015-06-05T18:19:34Z</dcterms:created>
  <dcterms:modified xsi:type="dcterms:W3CDTF">2020-12-14T18:25:51Z</dcterms:modified>
</cp:coreProperties>
</file>