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drzejbroszkiewicz/Downloads/"/>
    </mc:Choice>
  </mc:AlternateContent>
  <xr:revisionPtr revIDLastSave="0" documentId="13_ncr:1_{51544C6F-20C5-5E4D-B190-15237EC61171}" xr6:coauthVersionLast="45" xr6:coauthVersionMax="45" xr10:uidLastSave="{00000000-0000-0000-0000-000000000000}"/>
  <bookViews>
    <workbookView xWindow="0" yWindow="460" windowWidth="40960" windowHeight="22580" tabRatio="764" xr2:uid="{00000000-000D-0000-FFFF-FFFF00000000}"/>
  </bookViews>
  <sheets>
    <sheet name="Porównanie COI EDO ROS ROD" sheetId="16" r:id="rId1"/>
    <sheet name="ROD 12 lat " sheetId="13" r:id="rId2"/>
    <sheet name="EDO 10 lat" sheetId="10" r:id="rId3"/>
    <sheet name="ROS 6 lat" sheetId="4" r:id="rId4"/>
    <sheet name="COI 4 lata" sheetId="5" r:id="rId5"/>
    <sheet name="IKE Obligacja 10 lat" sheetId="11" r:id="rId6"/>
    <sheet name="EDO przykład do wpisu" sheetId="18" r:id="rId7"/>
  </sheets>
  <definedNames>
    <definedName name="solver_adj" localSheetId="6" hidden="1">'EDO przykład do wpisu'!$S$40</definedName>
    <definedName name="solver_adj" localSheetId="1" hidden="1">'ROD 12 lat '!$F$13</definedName>
    <definedName name="solver_cvg" localSheetId="6" hidden="1">0.0001</definedName>
    <definedName name="solver_cvg" localSheetId="1" hidden="1">0.0001</definedName>
    <definedName name="solver_drv" localSheetId="6" hidden="1">1</definedName>
    <definedName name="solver_drv" localSheetId="1" hidden="1">2</definedName>
    <definedName name="solver_eng" localSheetId="6" hidden="1">1</definedName>
    <definedName name="solver_eng" localSheetId="1" hidden="1">1</definedName>
    <definedName name="solver_est" localSheetId="6" hidden="1">1</definedName>
    <definedName name="solver_est" localSheetId="1" hidden="1">1</definedName>
    <definedName name="solver_itr" localSheetId="6" hidden="1">2147483647</definedName>
    <definedName name="solver_itr" localSheetId="1" hidden="1">2147483647</definedName>
    <definedName name="solver_mip" localSheetId="6" hidden="1">2147483647</definedName>
    <definedName name="solver_mip" localSheetId="1" hidden="1">2147483647</definedName>
    <definedName name="solver_mni" localSheetId="6" hidden="1">30</definedName>
    <definedName name="solver_mni" localSheetId="1" hidden="1">30</definedName>
    <definedName name="solver_mrt" localSheetId="6" hidden="1">0.075</definedName>
    <definedName name="solver_mrt" localSheetId="1" hidden="1">0.075</definedName>
    <definedName name="solver_msl" localSheetId="6" hidden="1">2</definedName>
    <definedName name="solver_msl" localSheetId="1" hidden="1">2</definedName>
    <definedName name="solver_neg" localSheetId="6" hidden="1">1</definedName>
    <definedName name="solver_neg" localSheetId="1" hidden="1">1</definedName>
    <definedName name="solver_nod" localSheetId="6" hidden="1">2147483647</definedName>
    <definedName name="solver_nod" localSheetId="1" hidden="1">2147483647</definedName>
    <definedName name="solver_num" localSheetId="6" hidden="1">0</definedName>
    <definedName name="solver_num" localSheetId="1" hidden="1">0</definedName>
    <definedName name="solver_nwt" localSheetId="6" hidden="1">1</definedName>
    <definedName name="solver_nwt" localSheetId="1" hidden="1">1</definedName>
    <definedName name="solver_opt" localSheetId="6" hidden="1">'EDO przykład do wpisu'!#REF!</definedName>
    <definedName name="solver_opt" localSheetId="1" hidden="1">'ROD 12 lat '!$O$31</definedName>
    <definedName name="solver_pre" localSheetId="6" hidden="1">0.000001</definedName>
    <definedName name="solver_pre" localSheetId="1" hidden="1">0.000001</definedName>
    <definedName name="solver_rbv" localSheetId="6" hidden="1">1</definedName>
    <definedName name="solver_rbv" localSheetId="1" hidden="1">2</definedName>
    <definedName name="solver_rlx" localSheetId="6" hidden="1">2</definedName>
    <definedName name="solver_rlx" localSheetId="1" hidden="1">2</definedName>
    <definedName name="solver_rsd" localSheetId="6" hidden="1">0</definedName>
    <definedName name="solver_rsd" localSheetId="1" hidden="1">0</definedName>
    <definedName name="solver_scl" localSheetId="6" hidden="1">1</definedName>
    <definedName name="solver_scl" localSheetId="1" hidden="1">2</definedName>
    <definedName name="solver_sho" localSheetId="6" hidden="1">2</definedName>
    <definedName name="solver_sho" localSheetId="1" hidden="1">2</definedName>
    <definedName name="solver_ssz" localSheetId="6" hidden="1">100</definedName>
    <definedName name="solver_ssz" localSheetId="1" hidden="1">100</definedName>
    <definedName name="solver_tim" localSheetId="6" hidden="1">2147483647</definedName>
    <definedName name="solver_tim" localSheetId="1" hidden="1">2147483647</definedName>
    <definedName name="solver_tol" localSheetId="6" hidden="1">0.01</definedName>
    <definedName name="solver_tol" localSheetId="1" hidden="1">0.01</definedName>
    <definedName name="solver_typ" localSheetId="6" hidden="1">3</definedName>
    <definedName name="solver_typ" localSheetId="1" hidden="1">3</definedName>
    <definedName name="solver_val" localSheetId="6" hidden="1">0</definedName>
    <definedName name="solver_val" localSheetId="1" hidden="1">0</definedName>
    <definedName name="solver_ver" localSheetId="6" hidden="1">3</definedName>
    <definedName name="solver_ver" localSheetId="1" hidden="1">3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18" l="1"/>
  <c r="BH19" i="16"/>
  <c r="BI19" i="16" s="1"/>
  <c r="I20" i="10" l="1"/>
  <c r="I28" i="10"/>
  <c r="E10" i="16"/>
  <c r="AJ18" i="16" s="1"/>
  <c r="AK18" i="16" s="1"/>
  <c r="AI19" i="16"/>
  <c r="AI20" i="16"/>
  <c r="AI21" i="16"/>
  <c r="AI22" i="16"/>
  <c r="AS23" i="16"/>
  <c r="AQ29" i="16"/>
  <c r="AI18" i="16"/>
  <c r="BR19" i="16"/>
  <c r="BR20" i="16"/>
  <c r="BR21" i="16"/>
  <c r="BR22" i="16"/>
  <c r="BR23" i="16"/>
  <c r="BR24" i="16"/>
  <c r="BR25" i="16"/>
  <c r="BR26" i="16"/>
  <c r="BR27" i="16"/>
  <c r="BR28" i="16"/>
  <c r="BR18" i="16"/>
  <c r="BA18" i="16"/>
  <c r="Q19" i="16"/>
  <c r="Q20" i="16"/>
  <c r="U20" i="16" s="1"/>
  <c r="Q21" i="16"/>
  <c r="Q23" i="16"/>
  <c r="U23" i="16" s="1"/>
  <c r="Q24" i="16"/>
  <c r="U24" i="16" s="1"/>
  <c r="Q26" i="16"/>
  <c r="Q25" i="16"/>
  <c r="Q27" i="16"/>
  <c r="U27" i="16" s="1"/>
  <c r="Q28" i="16"/>
  <c r="U28" i="16" s="1"/>
  <c r="Q29" i="16"/>
  <c r="Q18" i="16"/>
  <c r="BA19" i="16"/>
  <c r="BA20" i="16"/>
  <c r="BA21" i="16"/>
  <c r="BA22" i="16"/>
  <c r="BA23" i="16"/>
  <c r="BA24" i="16"/>
  <c r="BA25" i="16"/>
  <c r="BA26" i="16"/>
  <c r="F11" i="11"/>
  <c r="C18" i="11"/>
  <c r="C19" i="11"/>
  <c r="F20" i="11"/>
  <c r="C20" i="11"/>
  <c r="G20" i="11"/>
  <c r="K19" i="11"/>
  <c r="L19" i="11"/>
  <c r="K20" i="11"/>
  <c r="L20" i="11"/>
  <c r="M20" i="11"/>
  <c r="N20" i="11"/>
  <c r="G19" i="11"/>
  <c r="M19" i="11"/>
  <c r="N19" i="11"/>
  <c r="F21" i="11"/>
  <c r="C21" i="11"/>
  <c r="F22" i="11"/>
  <c r="C22" i="11"/>
  <c r="F23" i="11"/>
  <c r="C23" i="11"/>
  <c r="F24" i="11"/>
  <c r="C24" i="11"/>
  <c r="F25" i="11"/>
  <c r="C25" i="11"/>
  <c r="F26" i="11"/>
  <c r="C26" i="11"/>
  <c r="F27" i="11"/>
  <c r="C27" i="11"/>
  <c r="F28" i="11"/>
  <c r="C28" i="11"/>
  <c r="G28" i="11"/>
  <c r="K21" i="11"/>
  <c r="L21" i="11"/>
  <c r="K22" i="11"/>
  <c r="L22" i="11"/>
  <c r="K23" i="11"/>
  <c r="L23" i="11"/>
  <c r="K24" i="11"/>
  <c r="L24" i="11"/>
  <c r="K25" i="11"/>
  <c r="L25" i="11"/>
  <c r="K26" i="11"/>
  <c r="L26" i="11"/>
  <c r="K27" i="11"/>
  <c r="L27" i="11"/>
  <c r="K28" i="11"/>
  <c r="L28" i="11"/>
  <c r="M28" i="11"/>
  <c r="N28" i="11"/>
  <c r="G27" i="11"/>
  <c r="M27" i="11"/>
  <c r="N27" i="11"/>
  <c r="G26" i="11"/>
  <c r="M26" i="11"/>
  <c r="N26" i="11"/>
  <c r="G25" i="11"/>
  <c r="M25" i="11"/>
  <c r="N25" i="11"/>
  <c r="G24" i="11"/>
  <c r="M24" i="11"/>
  <c r="N24" i="11"/>
  <c r="G23" i="11"/>
  <c r="M23" i="11"/>
  <c r="N23" i="11"/>
  <c r="G22" i="11"/>
  <c r="M22" i="11"/>
  <c r="N22" i="11"/>
  <c r="G21" i="11"/>
  <c r="M21" i="11"/>
  <c r="N21" i="11"/>
  <c r="D19" i="11"/>
  <c r="O19" i="11"/>
  <c r="P19" i="11"/>
  <c r="R19" i="11"/>
  <c r="Q19" i="11"/>
  <c r="D20" i="11"/>
  <c r="O20" i="11"/>
  <c r="P20" i="11"/>
  <c r="D21" i="11"/>
  <c r="O21" i="11"/>
  <c r="P21" i="11"/>
  <c r="D22" i="11"/>
  <c r="O22" i="11"/>
  <c r="P22" i="11"/>
  <c r="D23" i="11"/>
  <c r="O23" i="11"/>
  <c r="P23" i="11"/>
  <c r="D24" i="11"/>
  <c r="O24" i="11"/>
  <c r="P24" i="11"/>
  <c r="D25" i="11"/>
  <c r="O25" i="11"/>
  <c r="P25" i="11"/>
  <c r="D26" i="11"/>
  <c r="O26" i="11"/>
  <c r="P26" i="11"/>
  <c r="D27" i="11"/>
  <c r="O27" i="11"/>
  <c r="P27" i="11"/>
  <c r="D28" i="11"/>
  <c r="O28" i="11"/>
  <c r="P28" i="11"/>
  <c r="Q28" i="11"/>
  <c r="Q27" i="11"/>
  <c r="Q26" i="11"/>
  <c r="Q25" i="11"/>
  <c r="Q24" i="11"/>
  <c r="Q23" i="11"/>
  <c r="Q22" i="11"/>
  <c r="Q21" i="11"/>
  <c r="Q20" i="11"/>
  <c r="D19" i="10"/>
  <c r="L19" i="10"/>
  <c r="M19" i="10"/>
  <c r="L20" i="10"/>
  <c r="E22" i="11"/>
  <c r="E20" i="11"/>
  <c r="E19" i="11"/>
  <c r="E28" i="11"/>
  <c r="E27" i="11"/>
  <c r="E26" i="11"/>
  <c r="E25" i="11"/>
  <c r="E24" i="11"/>
  <c r="E23" i="11"/>
  <c r="E21" i="11"/>
  <c r="D23" i="5"/>
  <c r="D20" i="5"/>
  <c r="E21" i="5"/>
  <c r="G21" i="5"/>
  <c r="E20" i="5"/>
  <c r="D20" i="4"/>
  <c r="L20" i="4"/>
  <c r="M20" i="4"/>
  <c r="D21" i="4"/>
  <c r="L21" i="4"/>
  <c r="M21" i="4"/>
  <c r="N21" i="4"/>
  <c r="D22" i="4"/>
  <c r="L22" i="4"/>
  <c r="M22" i="4"/>
  <c r="N22" i="4"/>
  <c r="D23" i="4"/>
  <c r="L23" i="4"/>
  <c r="M23" i="4"/>
  <c r="N23" i="4"/>
  <c r="D24" i="4"/>
  <c r="L24" i="4"/>
  <c r="M24" i="4"/>
  <c r="N24" i="4"/>
  <c r="F14" i="4"/>
  <c r="D25" i="4"/>
  <c r="L25" i="4"/>
  <c r="M25" i="4"/>
  <c r="N25" i="4"/>
  <c r="N20" i="4"/>
  <c r="F11" i="4"/>
  <c r="C19" i="4"/>
  <c r="C20" i="4"/>
  <c r="F21" i="4"/>
  <c r="C21" i="4"/>
  <c r="G21" i="4"/>
  <c r="H21" i="4"/>
  <c r="I21" i="4"/>
  <c r="J21" i="4"/>
  <c r="K21" i="4"/>
  <c r="C22" i="4"/>
  <c r="G22" i="4"/>
  <c r="H22" i="4"/>
  <c r="I22" i="4"/>
  <c r="J22" i="4"/>
  <c r="K22" i="4"/>
  <c r="C23" i="4"/>
  <c r="G23" i="4"/>
  <c r="H23" i="4"/>
  <c r="I23" i="4"/>
  <c r="J23" i="4"/>
  <c r="K23" i="4"/>
  <c r="C24" i="4"/>
  <c r="G24" i="4"/>
  <c r="H24" i="4"/>
  <c r="I24" i="4"/>
  <c r="J24" i="4"/>
  <c r="K24" i="4"/>
  <c r="C25" i="4"/>
  <c r="G25" i="4"/>
  <c r="I25" i="4"/>
  <c r="J25" i="4"/>
  <c r="K25" i="4"/>
  <c r="G20" i="4"/>
  <c r="H20" i="4"/>
  <c r="I20" i="4"/>
  <c r="J20" i="4"/>
  <c r="K20" i="4"/>
  <c r="E22" i="4"/>
  <c r="E23" i="4"/>
  <c r="E24" i="4"/>
  <c r="E25" i="4"/>
  <c r="E21" i="4"/>
  <c r="E20" i="4"/>
  <c r="D28" i="10"/>
  <c r="D21" i="10"/>
  <c r="D22" i="10"/>
  <c r="D23" i="10"/>
  <c r="D24" i="10"/>
  <c r="D25" i="10"/>
  <c r="D26" i="10"/>
  <c r="D27" i="10"/>
  <c r="D20" i="10"/>
  <c r="F14" i="10"/>
  <c r="F11" i="10"/>
  <c r="C18" i="10"/>
  <c r="M20" i="10"/>
  <c r="N20" i="10"/>
  <c r="L21" i="10"/>
  <c r="M21" i="10"/>
  <c r="N21" i="10"/>
  <c r="L22" i="10"/>
  <c r="M22" i="10"/>
  <c r="N22" i="10"/>
  <c r="L23" i="10"/>
  <c r="M23" i="10"/>
  <c r="N23" i="10"/>
  <c r="L24" i="10"/>
  <c r="M24" i="10"/>
  <c r="N24" i="10"/>
  <c r="L25" i="10"/>
  <c r="M25" i="10"/>
  <c r="N25" i="10"/>
  <c r="L26" i="10"/>
  <c r="M26" i="10"/>
  <c r="N26" i="10"/>
  <c r="L27" i="10"/>
  <c r="M27" i="10"/>
  <c r="N27" i="10"/>
  <c r="L28" i="10"/>
  <c r="M28" i="10"/>
  <c r="N28" i="10"/>
  <c r="N19" i="10"/>
  <c r="C19" i="10"/>
  <c r="F20" i="10"/>
  <c r="C20" i="10"/>
  <c r="G20" i="10"/>
  <c r="H20" i="10"/>
  <c r="J20" i="10"/>
  <c r="K20" i="10"/>
  <c r="C21" i="10"/>
  <c r="G21" i="10"/>
  <c r="H21" i="10"/>
  <c r="I21" i="10"/>
  <c r="J21" i="10"/>
  <c r="K21" i="10"/>
  <c r="C22" i="10"/>
  <c r="G22" i="10"/>
  <c r="H22" i="10"/>
  <c r="I22" i="10"/>
  <c r="J22" i="10"/>
  <c r="K22" i="10"/>
  <c r="C23" i="10"/>
  <c r="G23" i="10"/>
  <c r="H23" i="10"/>
  <c r="I23" i="10"/>
  <c r="J23" i="10"/>
  <c r="K23" i="10"/>
  <c r="C24" i="10"/>
  <c r="G24" i="10"/>
  <c r="H24" i="10"/>
  <c r="I24" i="10"/>
  <c r="J24" i="10"/>
  <c r="K24" i="10"/>
  <c r="C25" i="10"/>
  <c r="G25" i="10"/>
  <c r="H25" i="10"/>
  <c r="I25" i="10"/>
  <c r="J25" i="10"/>
  <c r="K25" i="10"/>
  <c r="C26" i="10"/>
  <c r="G26" i="10"/>
  <c r="H26" i="10"/>
  <c r="I26" i="10"/>
  <c r="J26" i="10"/>
  <c r="K26" i="10"/>
  <c r="C27" i="10"/>
  <c r="G27" i="10"/>
  <c r="H27" i="10"/>
  <c r="I27" i="10"/>
  <c r="J27" i="10"/>
  <c r="K27" i="10"/>
  <c r="C28" i="10"/>
  <c r="G28" i="10"/>
  <c r="J28" i="10"/>
  <c r="K28" i="10"/>
  <c r="G19" i="10"/>
  <c r="H19" i="10"/>
  <c r="I19" i="10"/>
  <c r="J19" i="10"/>
  <c r="K19" i="10"/>
  <c r="E21" i="10"/>
  <c r="E22" i="10"/>
  <c r="E23" i="10"/>
  <c r="E24" i="10"/>
  <c r="E25" i="10"/>
  <c r="E26" i="10"/>
  <c r="E27" i="10"/>
  <c r="E28" i="10"/>
  <c r="E20" i="10"/>
  <c r="E19" i="10"/>
  <c r="D20" i="13"/>
  <c r="C21" i="13"/>
  <c r="G21" i="13"/>
  <c r="H21" i="13"/>
  <c r="L20" i="13"/>
  <c r="M20" i="13"/>
  <c r="L21" i="13"/>
  <c r="M21" i="13"/>
  <c r="L22" i="13"/>
  <c r="M22" i="13"/>
  <c r="L23" i="13"/>
  <c r="M23" i="13"/>
  <c r="L24" i="13"/>
  <c r="M24" i="13"/>
  <c r="L25" i="13"/>
  <c r="M25" i="13"/>
  <c r="L26" i="13"/>
  <c r="M26" i="13"/>
  <c r="L27" i="13"/>
  <c r="M27" i="13"/>
  <c r="L28" i="13"/>
  <c r="M28" i="13"/>
  <c r="L29" i="13"/>
  <c r="M29" i="13"/>
  <c r="L30" i="13"/>
  <c r="M30" i="13"/>
  <c r="L31" i="13"/>
  <c r="M31" i="13"/>
  <c r="N28" i="13"/>
  <c r="N29" i="13"/>
  <c r="N30" i="13"/>
  <c r="N31" i="13"/>
  <c r="D21" i="13"/>
  <c r="N21" i="13"/>
  <c r="F11" i="13"/>
  <c r="C19" i="13"/>
  <c r="C20" i="13"/>
  <c r="I21" i="13"/>
  <c r="J21" i="13"/>
  <c r="K21" i="13"/>
  <c r="O21" i="13"/>
  <c r="C22" i="13"/>
  <c r="G22" i="13"/>
  <c r="H22" i="13"/>
  <c r="I22" i="13"/>
  <c r="J22" i="13"/>
  <c r="K22" i="13"/>
  <c r="D22" i="13"/>
  <c r="N22" i="13"/>
  <c r="O22" i="13"/>
  <c r="C23" i="13"/>
  <c r="G23" i="13"/>
  <c r="H23" i="13"/>
  <c r="I23" i="13"/>
  <c r="J23" i="13"/>
  <c r="K23" i="13"/>
  <c r="D23" i="13"/>
  <c r="N23" i="13"/>
  <c r="O23" i="13"/>
  <c r="C24" i="13"/>
  <c r="G24" i="13"/>
  <c r="H24" i="13"/>
  <c r="I24" i="13"/>
  <c r="J24" i="13"/>
  <c r="K24" i="13"/>
  <c r="D24" i="13"/>
  <c r="N24" i="13"/>
  <c r="O24" i="13"/>
  <c r="C25" i="13"/>
  <c r="G25" i="13"/>
  <c r="H25" i="13"/>
  <c r="I25" i="13"/>
  <c r="J25" i="13"/>
  <c r="K25" i="13"/>
  <c r="D25" i="13"/>
  <c r="N25" i="13"/>
  <c r="O25" i="13"/>
  <c r="C26" i="13"/>
  <c r="G26" i="13"/>
  <c r="H26" i="13"/>
  <c r="I26" i="13"/>
  <c r="J26" i="13"/>
  <c r="K26" i="13"/>
  <c r="D26" i="13"/>
  <c r="N26" i="13"/>
  <c r="O26" i="13"/>
  <c r="C27" i="13"/>
  <c r="G27" i="13"/>
  <c r="H27" i="13"/>
  <c r="I27" i="13"/>
  <c r="J27" i="13"/>
  <c r="K27" i="13"/>
  <c r="D27" i="13"/>
  <c r="N27" i="13"/>
  <c r="O27" i="13"/>
  <c r="C28" i="13"/>
  <c r="G28" i="13"/>
  <c r="H28" i="13"/>
  <c r="I28" i="13"/>
  <c r="J28" i="13"/>
  <c r="K28" i="13"/>
  <c r="D28" i="13"/>
  <c r="O28" i="13"/>
  <c r="C29" i="13"/>
  <c r="G29" i="13"/>
  <c r="H29" i="13"/>
  <c r="I29" i="13"/>
  <c r="J29" i="13"/>
  <c r="K29" i="13"/>
  <c r="D29" i="13"/>
  <c r="O29" i="13"/>
  <c r="C30" i="13"/>
  <c r="G30" i="13"/>
  <c r="H30" i="13"/>
  <c r="I30" i="13"/>
  <c r="J30" i="13"/>
  <c r="K30" i="13"/>
  <c r="D30" i="13"/>
  <c r="O30" i="13"/>
  <c r="C31" i="13"/>
  <c r="G31" i="13"/>
  <c r="I31" i="13"/>
  <c r="J31" i="13"/>
  <c r="K31" i="13"/>
  <c r="F14" i="13"/>
  <c r="D31" i="13"/>
  <c r="O31" i="13"/>
  <c r="G20" i="13"/>
  <c r="H20" i="13"/>
  <c r="I20" i="13"/>
  <c r="J20" i="13"/>
  <c r="K20" i="13"/>
  <c r="N20" i="13"/>
  <c r="O20" i="13"/>
  <c r="F22" i="13"/>
  <c r="F21" i="13"/>
  <c r="E21" i="13"/>
  <c r="E22" i="13"/>
  <c r="E23" i="13"/>
  <c r="E24" i="13"/>
  <c r="E25" i="13"/>
  <c r="E26" i="13"/>
  <c r="E27" i="13"/>
  <c r="E28" i="13"/>
  <c r="E29" i="13"/>
  <c r="E30" i="13"/>
  <c r="E31" i="13"/>
  <c r="E20" i="13"/>
  <c r="G10" i="18"/>
  <c r="S29" i="18"/>
  <c r="G29" i="18"/>
  <c r="S44" i="18"/>
  <c r="G44" i="18" s="1"/>
  <c r="F45" i="18"/>
  <c r="F46" i="18" s="1"/>
  <c r="F29" i="18"/>
  <c r="F30" i="18"/>
  <c r="M43" i="18"/>
  <c r="N44" i="18"/>
  <c r="M44" i="18"/>
  <c r="M14" i="18"/>
  <c r="O44" i="18"/>
  <c r="P44" i="18"/>
  <c r="N45" i="18"/>
  <c r="M45" i="18"/>
  <c r="M46" i="18" s="1"/>
  <c r="O45" i="18"/>
  <c r="P45" i="18" s="1"/>
  <c r="N46" i="18"/>
  <c r="Q44" i="18"/>
  <c r="R44" i="18"/>
  <c r="E44" i="18"/>
  <c r="M28" i="18"/>
  <c r="M29" i="18"/>
  <c r="O29" i="18"/>
  <c r="P29" i="18"/>
  <c r="Q29" i="18"/>
  <c r="R29" i="18"/>
  <c r="N30" i="18"/>
  <c r="M30" i="18" s="1"/>
  <c r="F31" i="18"/>
  <c r="F32" i="18"/>
  <c r="F33" i="18"/>
  <c r="F34" i="18"/>
  <c r="F35" i="18"/>
  <c r="F36" i="18"/>
  <c r="F37" i="18"/>
  <c r="F38" i="18"/>
  <c r="M15" i="18"/>
  <c r="N16" i="18"/>
  <c r="S15" i="18"/>
  <c r="G15" i="18"/>
  <c r="S16" i="18"/>
  <c r="G16" i="18"/>
  <c r="S17" i="18"/>
  <c r="G17" i="18"/>
  <c r="S18" i="18"/>
  <c r="G18" i="18"/>
  <c r="S19" i="18"/>
  <c r="G19" i="18"/>
  <c r="S20" i="18"/>
  <c r="G20" i="18"/>
  <c r="S21" i="18"/>
  <c r="G21" i="18"/>
  <c r="S22" i="18"/>
  <c r="G22" i="18"/>
  <c r="S23" i="18"/>
  <c r="G23" i="18"/>
  <c r="S24" i="18"/>
  <c r="D45" i="18"/>
  <c r="D44" i="18"/>
  <c r="E29" i="18"/>
  <c r="H29" i="18"/>
  <c r="O15" i="18"/>
  <c r="P15" i="18"/>
  <c r="Q15" i="18"/>
  <c r="R15" i="18"/>
  <c r="E15" i="18"/>
  <c r="D31" i="18"/>
  <c r="D32" i="18"/>
  <c r="D33" i="18"/>
  <c r="D34" i="18"/>
  <c r="D35" i="18"/>
  <c r="D36" i="18"/>
  <c r="D37" i="18"/>
  <c r="D38" i="18"/>
  <c r="D30" i="18"/>
  <c r="D29" i="18"/>
  <c r="M16" i="18"/>
  <c r="O16" i="18"/>
  <c r="P16" i="18"/>
  <c r="Q16" i="18"/>
  <c r="R16" i="18"/>
  <c r="E16" i="18"/>
  <c r="H16" i="18"/>
  <c r="M17" i="18"/>
  <c r="O17" i="18"/>
  <c r="P17" i="18"/>
  <c r="Q17" i="18"/>
  <c r="R17" i="18"/>
  <c r="E17" i="18"/>
  <c r="H17" i="18"/>
  <c r="M18" i="18"/>
  <c r="O18" i="18"/>
  <c r="P18" i="18"/>
  <c r="Q18" i="18"/>
  <c r="R18" i="18"/>
  <c r="E18" i="18"/>
  <c r="H18" i="18"/>
  <c r="M19" i="18"/>
  <c r="O19" i="18"/>
  <c r="P19" i="18"/>
  <c r="Q19" i="18"/>
  <c r="R19" i="18"/>
  <c r="E19" i="18"/>
  <c r="H19" i="18"/>
  <c r="M20" i="18"/>
  <c r="O20" i="18"/>
  <c r="P20" i="18"/>
  <c r="Q20" i="18"/>
  <c r="R20" i="18"/>
  <c r="E20" i="18"/>
  <c r="H20" i="18"/>
  <c r="M21" i="18"/>
  <c r="O21" i="18"/>
  <c r="P21" i="18"/>
  <c r="Q21" i="18"/>
  <c r="R21" i="18"/>
  <c r="E21" i="18"/>
  <c r="H21" i="18"/>
  <c r="M22" i="18"/>
  <c r="O22" i="18"/>
  <c r="P22" i="18"/>
  <c r="Q22" i="18"/>
  <c r="R22" i="18"/>
  <c r="E22" i="18"/>
  <c r="H22" i="18"/>
  <c r="M23" i="18"/>
  <c r="O23" i="18"/>
  <c r="P23" i="18"/>
  <c r="Q23" i="18"/>
  <c r="R23" i="18"/>
  <c r="E23" i="18"/>
  <c r="H23" i="18"/>
  <c r="G24" i="18"/>
  <c r="M24" i="18"/>
  <c r="O24" i="18"/>
  <c r="Q24" i="18"/>
  <c r="R24" i="18"/>
  <c r="E24" i="18"/>
  <c r="H15" i="18"/>
  <c r="N15" i="18"/>
  <c r="D16" i="18"/>
  <c r="D17" i="18"/>
  <c r="D18" i="18"/>
  <c r="D19" i="18"/>
  <c r="D20" i="18"/>
  <c r="D21" i="18"/>
  <c r="D22" i="18"/>
  <c r="D23" i="18"/>
  <c r="D24" i="18"/>
  <c r="D15" i="18"/>
  <c r="F24" i="4"/>
  <c r="R20" i="11"/>
  <c r="R21" i="11"/>
  <c r="R22" i="11"/>
  <c r="R23" i="11"/>
  <c r="R24" i="11"/>
  <c r="R25" i="11"/>
  <c r="R26" i="11"/>
  <c r="R27" i="11"/>
  <c r="R28" i="11"/>
  <c r="N29" i="18"/>
  <c r="N17" i="18"/>
  <c r="N24" i="18"/>
  <c r="N23" i="18"/>
  <c r="N22" i="18"/>
  <c r="N21" i="18"/>
  <c r="N20" i="18"/>
  <c r="N19" i="18"/>
  <c r="N18" i="18"/>
  <c r="F11" i="5"/>
  <c r="C19" i="5" s="1"/>
  <c r="BR29" i="16"/>
  <c r="AI23" i="16"/>
  <c r="BA27" i="16"/>
  <c r="D21" i="5"/>
  <c r="E22" i="5" s="1"/>
  <c r="G22" i="5"/>
  <c r="F25" i="4"/>
  <c r="O20" i="4"/>
  <c r="O25" i="4"/>
  <c r="O24" i="4"/>
  <c r="O23" i="4"/>
  <c r="F23" i="4"/>
  <c r="O22" i="4"/>
  <c r="F22" i="4"/>
  <c r="O21" i="4"/>
  <c r="F20" i="4"/>
  <c r="F31" i="13"/>
  <c r="F30" i="13"/>
  <c r="F29" i="13"/>
  <c r="F28" i="13"/>
  <c r="F27" i="13"/>
  <c r="F26" i="13"/>
  <c r="F25" i="13"/>
  <c r="F24" i="13"/>
  <c r="F23" i="13"/>
  <c r="F20" i="13"/>
  <c r="F21" i="10"/>
  <c r="F22" i="10"/>
  <c r="F23" i="10"/>
  <c r="F24" i="10"/>
  <c r="F25" i="10"/>
  <c r="F26" i="10"/>
  <c r="F27" i="10"/>
  <c r="F28" i="10"/>
  <c r="F19" i="11"/>
  <c r="O20" i="10"/>
  <c r="O21" i="10"/>
  <c r="O22" i="10"/>
  <c r="O23" i="10"/>
  <c r="O24" i="10"/>
  <c r="O25" i="10"/>
  <c r="O26" i="10"/>
  <c r="O27" i="10"/>
  <c r="O28" i="10"/>
  <c r="O19" i="10"/>
  <c r="F19" i="10"/>
  <c r="D22" i="5" l="1"/>
  <c r="E23" i="5" s="1"/>
  <c r="L20" i="5"/>
  <c r="M20" i="5" s="1"/>
  <c r="F20" i="5"/>
  <c r="C20" i="5"/>
  <c r="AL19" i="16"/>
  <c r="AJ19" i="16"/>
  <c r="BB18" i="16"/>
  <c r="BH18" i="16" s="1"/>
  <c r="BI18" i="16" s="1"/>
  <c r="R18" i="16"/>
  <c r="BS18" i="16"/>
  <c r="BU18" i="16" s="1"/>
  <c r="BV18" i="16" s="1"/>
  <c r="BW18" i="16" s="1"/>
  <c r="BX18" i="16" s="1"/>
  <c r="Z25" i="16"/>
  <c r="U19" i="16"/>
  <c r="BC18" i="16"/>
  <c r="BT18" i="16"/>
  <c r="AL18" i="16"/>
  <c r="AM18" i="16" s="1"/>
  <c r="AK19" i="16"/>
  <c r="M47" i="18"/>
  <c r="O46" i="18"/>
  <c r="F47" i="18"/>
  <c r="N47" i="18"/>
  <c r="D47" i="18"/>
  <c r="S45" i="18"/>
  <c r="G45" i="18" s="1"/>
  <c r="H44" i="18"/>
  <c r="D46" i="18"/>
  <c r="Q45" i="18"/>
  <c r="R45" i="18" s="1"/>
  <c r="E45" i="18" s="1"/>
  <c r="H45" i="18" s="1"/>
  <c r="M31" i="18"/>
  <c r="N31" i="18"/>
  <c r="O30" i="18"/>
  <c r="S30" i="18"/>
  <c r="G30" i="18" s="1"/>
  <c r="G20" i="5" l="1"/>
  <c r="K20" i="5" s="1"/>
  <c r="N20" i="5" s="1"/>
  <c r="C21" i="5"/>
  <c r="L21" i="5"/>
  <c r="M21" i="5"/>
  <c r="BY18" i="16"/>
  <c r="BZ18" i="16" s="1"/>
  <c r="M18" i="16" s="1"/>
  <c r="BJ18" i="16"/>
  <c r="T18" i="16"/>
  <c r="R19" i="16"/>
  <c r="BS19" i="16"/>
  <c r="H18" i="16"/>
  <c r="BU19" i="16"/>
  <c r="BV19" i="16" s="1"/>
  <c r="AL20" i="16"/>
  <c r="AK20" i="16" s="1"/>
  <c r="AJ20" i="16"/>
  <c r="AM19" i="16"/>
  <c r="AU18" i="16"/>
  <c r="AX18" i="16" s="1"/>
  <c r="F18" i="16" s="1"/>
  <c r="AN18" i="16"/>
  <c r="BO18" i="16"/>
  <c r="G18" i="16" s="1"/>
  <c r="BB19" i="16"/>
  <c r="S46" i="18"/>
  <c r="G46" i="18"/>
  <c r="P46" i="18"/>
  <c r="R46" i="18" s="1"/>
  <c r="E46" i="18" s="1"/>
  <c r="H46" i="18" s="1"/>
  <c r="Q46" i="18"/>
  <c r="N48" i="18"/>
  <c r="F48" i="18"/>
  <c r="D48" i="18"/>
  <c r="M48" i="18"/>
  <c r="O47" i="18"/>
  <c r="S31" i="18"/>
  <c r="G31" i="18" s="1"/>
  <c r="M32" i="18"/>
  <c r="O31" i="18"/>
  <c r="N32" i="18"/>
  <c r="P30" i="18"/>
  <c r="Q30" i="18" s="1"/>
  <c r="L22" i="5" l="1"/>
  <c r="M22" i="5" s="1"/>
  <c r="F21" i="5"/>
  <c r="C22" i="5"/>
  <c r="H20" i="5"/>
  <c r="I20" i="5" s="1"/>
  <c r="J20" i="5" s="1"/>
  <c r="AO18" i="16"/>
  <c r="AP18" i="16" s="1"/>
  <c r="AV18" i="16" s="1"/>
  <c r="AW18" i="16" s="1"/>
  <c r="K18" i="16" s="1"/>
  <c r="Y18" i="16"/>
  <c r="AB18" i="16" s="1"/>
  <c r="U18" i="16"/>
  <c r="X18" i="16" s="1"/>
  <c r="T19" i="16"/>
  <c r="S19" i="16" s="1"/>
  <c r="R20" i="16"/>
  <c r="BC19" i="16"/>
  <c r="BH20" i="16" s="1"/>
  <c r="BC20" i="16" s="1"/>
  <c r="S18" i="16"/>
  <c r="BK18" i="16"/>
  <c r="AL21" i="16"/>
  <c r="AK21" i="16" s="1"/>
  <c r="AJ21" i="16"/>
  <c r="BW19" i="16"/>
  <c r="BX19" i="16" s="1"/>
  <c r="BJ19" i="16"/>
  <c r="BK19" i="16" s="1"/>
  <c r="BT19" i="16"/>
  <c r="AM20" i="16"/>
  <c r="AU19" i="16"/>
  <c r="AX19" i="16" s="1"/>
  <c r="F19" i="16" s="1"/>
  <c r="AN19" i="16"/>
  <c r="D49" i="18"/>
  <c r="F49" i="18"/>
  <c r="N49" i="18"/>
  <c r="P47" i="18"/>
  <c r="Q47" i="18" s="1"/>
  <c r="S47" i="18"/>
  <c r="G47" i="18" s="1"/>
  <c r="O48" i="18"/>
  <c r="M49" i="18"/>
  <c r="S32" i="18"/>
  <c r="G32" i="18" s="1"/>
  <c r="P31" i="18"/>
  <c r="Q31" i="18" s="1"/>
  <c r="R30" i="18"/>
  <c r="E30" i="18" s="1"/>
  <c r="H30" i="18" s="1"/>
  <c r="M33" i="18"/>
  <c r="N33" i="18"/>
  <c r="O32" i="18"/>
  <c r="BL18" i="16" l="1"/>
  <c r="BM18" i="16" s="1"/>
  <c r="BN18" i="16" s="1"/>
  <c r="L18" i="16" s="1"/>
  <c r="H21" i="5"/>
  <c r="I21" i="5" s="1"/>
  <c r="J21" i="5" s="1"/>
  <c r="K21" i="5"/>
  <c r="N21" i="5" s="1"/>
  <c r="F22" i="5"/>
  <c r="K22" i="5" s="1"/>
  <c r="N22" i="5" s="1"/>
  <c r="C23" i="5"/>
  <c r="F23" i="5" s="1"/>
  <c r="L23" i="5"/>
  <c r="M23" i="5" s="1"/>
  <c r="BO19" i="16"/>
  <c r="G19" i="16" s="1"/>
  <c r="BB20" i="16"/>
  <c r="AE18" i="16"/>
  <c r="J18" i="16" s="1"/>
  <c r="AD18" i="16"/>
  <c r="Y19" i="16"/>
  <c r="X19" i="16"/>
  <c r="V19" i="16"/>
  <c r="W19" i="16" s="1"/>
  <c r="AA19" i="16"/>
  <c r="AC18" i="16"/>
  <c r="V18" i="16"/>
  <c r="W18" i="16" s="1"/>
  <c r="T20" i="16"/>
  <c r="S20" i="16" s="1"/>
  <c r="R21" i="16"/>
  <c r="BH21" i="16"/>
  <c r="BC21" i="16" s="1"/>
  <c r="BB21" i="16"/>
  <c r="BO20" i="16"/>
  <c r="G20" i="16" s="1"/>
  <c r="H19" i="16"/>
  <c r="BS20" i="16"/>
  <c r="BU20" i="16"/>
  <c r="BV20" i="16" s="1"/>
  <c r="AJ22" i="16"/>
  <c r="AL22" i="16"/>
  <c r="AK22" i="16" s="1"/>
  <c r="BI20" i="16"/>
  <c r="BY19" i="16"/>
  <c r="BZ19" i="16" s="1"/>
  <c r="M19" i="16" s="1"/>
  <c r="AN20" i="16"/>
  <c r="AO20" i="16" s="1"/>
  <c r="AP20" i="16" s="1"/>
  <c r="AV20" i="16" s="1"/>
  <c r="AW20" i="16" s="1"/>
  <c r="K20" i="16" s="1"/>
  <c r="AM21" i="16"/>
  <c r="AU20" i="16"/>
  <c r="AX20" i="16" s="1"/>
  <c r="F20" i="16" s="1"/>
  <c r="BL19" i="16"/>
  <c r="BM19" i="16" s="1"/>
  <c r="BN19" i="16" s="1"/>
  <c r="L19" i="16" s="1"/>
  <c r="AO19" i="16"/>
  <c r="AP19" i="16" s="1"/>
  <c r="AV19" i="16" s="1"/>
  <c r="AW19" i="16" s="1"/>
  <c r="K19" i="16" s="1"/>
  <c r="S48" i="18"/>
  <c r="G48" i="18" s="1"/>
  <c r="R47" i="18"/>
  <c r="E47" i="18" s="1"/>
  <c r="H47" i="18" s="1"/>
  <c r="N50" i="18"/>
  <c r="F50" i="18"/>
  <c r="D50" i="18"/>
  <c r="O49" i="18"/>
  <c r="M50" i="18"/>
  <c r="P48" i="18"/>
  <c r="S33" i="18"/>
  <c r="G33" i="18" s="1"/>
  <c r="M34" i="18"/>
  <c r="O33" i="18"/>
  <c r="N34" i="18"/>
  <c r="R31" i="18"/>
  <c r="E31" i="18" s="1"/>
  <c r="H31" i="18" s="1"/>
  <c r="Q32" i="18"/>
  <c r="R32" i="18" s="1"/>
  <c r="E32" i="18" s="1"/>
  <c r="H32" i="18" s="1"/>
  <c r="P32" i="18"/>
  <c r="K23" i="5" l="1"/>
  <c r="N23" i="5" s="1"/>
  <c r="H23" i="5"/>
  <c r="I23" i="5" s="1"/>
  <c r="J23" i="5" s="1"/>
  <c r="H22" i="5"/>
  <c r="I22" i="5" s="1"/>
  <c r="J22" i="5" s="1"/>
  <c r="AE19" i="16"/>
  <c r="J19" i="16" s="1"/>
  <c r="BT20" i="16"/>
  <c r="H20" i="16" s="1"/>
  <c r="AB19" i="16"/>
  <c r="AA20" i="16" s="1"/>
  <c r="R22" i="16"/>
  <c r="T21" i="16"/>
  <c r="S21" i="16" s="1"/>
  <c r="AF18" i="16"/>
  <c r="E18" i="16" s="1"/>
  <c r="AD19" i="16"/>
  <c r="X20" i="16"/>
  <c r="X21" i="16"/>
  <c r="Y20" i="16"/>
  <c r="V20" i="16"/>
  <c r="W20" i="16" s="1"/>
  <c r="BH22" i="16"/>
  <c r="BC22" i="16" s="1"/>
  <c r="BO21" i="16"/>
  <c r="G21" i="16" s="1"/>
  <c r="BB22" i="16"/>
  <c r="BJ20" i="16"/>
  <c r="BK20" i="16" s="1"/>
  <c r="BI21" i="16"/>
  <c r="AL23" i="16"/>
  <c r="AJ23" i="16"/>
  <c r="AU21" i="16"/>
  <c r="AX21" i="16" s="1"/>
  <c r="F21" i="16" s="1"/>
  <c r="AN21" i="16"/>
  <c r="AO21" i="16" s="1"/>
  <c r="AM22" i="16"/>
  <c r="BW20" i="16"/>
  <c r="BX20" i="16" s="1"/>
  <c r="BY20" i="16" s="1"/>
  <c r="BZ20" i="16" s="1"/>
  <c r="M20" i="16" s="1"/>
  <c r="S49" i="18"/>
  <c r="G49" i="18" s="1"/>
  <c r="Q48" i="18"/>
  <c r="R48" i="18" s="1"/>
  <c r="E48" i="18" s="1"/>
  <c r="H48" i="18" s="1"/>
  <c r="M51" i="18"/>
  <c r="O50" i="18"/>
  <c r="P49" i="18"/>
  <c r="R49" i="18" s="1"/>
  <c r="E49" i="18" s="1"/>
  <c r="H49" i="18" s="1"/>
  <c r="Q49" i="18"/>
  <c r="F51" i="18"/>
  <c r="N51" i="18"/>
  <c r="D51" i="18"/>
  <c r="S34" i="18"/>
  <c r="G34" i="18" s="1"/>
  <c r="P33" i="18"/>
  <c r="Q33" i="18" s="1"/>
  <c r="M35" i="18"/>
  <c r="N35" i="18"/>
  <c r="O34" i="18"/>
  <c r="BU21" i="16" l="1"/>
  <c r="BV21" i="16" s="1"/>
  <c r="BL20" i="16"/>
  <c r="BM20" i="16" s="1"/>
  <c r="BN20" i="16" s="1"/>
  <c r="L20" i="16" s="1"/>
  <c r="BS21" i="16"/>
  <c r="BT21" i="16" s="1"/>
  <c r="AC19" i="16"/>
  <c r="AF19" i="16" s="1"/>
  <c r="E19" i="16" s="1"/>
  <c r="AB20" i="16"/>
  <c r="AC20" i="16" s="1"/>
  <c r="Y21" i="16"/>
  <c r="V21" i="16"/>
  <c r="Q22" i="16" s="1"/>
  <c r="AP21" i="16"/>
  <c r="AV21" i="16" s="1"/>
  <c r="AW21" i="16" s="1"/>
  <c r="K21" i="16" s="1"/>
  <c r="AE20" i="16"/>
  <c r="J20" i="16" s="1"/>
  <c r="T22" i="16"/>
  <c r="R23" i="16"/>
  <c r="AM23" i="16"/>
  <c r="BH23" i="16"/>
  <c r="BC23" i="16" s="1"/>
  <c r="BB23" i="16"/>
  <c r="BO22" i="16"/>
  <c r="G22" i="16" s="1"/>
  <c r="AK23" i="16"/>
  <c r="BW21" i="16"/>
  <c r="BX21" i="16" s="1"/>
  <c r="BI22" i="16"/>
  <c r="BJ21" i="16"/>
  <c r="BK21" i="16" s="1"/>
  <c r="BL21" i="16" s="1"/>
  <c r="BM21" i="16" s="1"/>
  <c r="BN21" i="16" s="1"/>
  <c r="L21" i="16" s="1"/>
  <c r="AU22" i="16"/>
  <c r="AX22" i="16" s="1"/>
  <c r="F22" i="16" s="1"/>
  <c r="AN22" i="16"/>
  <c r="AO22" i="16" s="1"/>
  <c r="AP22" i="16" s="1"/>
  <c r="AV22" i="16" s="1"/>
  <c r="AW22" i="16" s="1"/>
  <c r="K22" i="16" s="1"/>
  <c r="S50" i="18"/>
  <c r="G50" i="18"/>
  <c r="F52" i="18"/>
  <c r="D52" i="18"/>
  <c r="N52" i="18"/>
  <c r="P50" i="18"/>
  <c r="R50" i="18" s="1"/>
  <c r="E50" i="18" s="1"/>
  <c r="H50" i="18" s="1"/>
  <c r="Q50" i="18"/>
  <c r="O51" i="18"/>
  <c r="M52" i="18"/>
  <c r="S35" i="18"/>
  <c r="G35" i="18" s="1"/>
  <c r="Q34" i="18"/>
  <c r="R34" i="18" s="1"/>
  <c r="E34" i="18" s="1"/>
  <c r="H34" i="18" s="1"/>
  <c r="P34" i="18"/>
  <c r="R33" i="18"/>
  <c r="E33" i="18" s="1"/>
  <c r="H33" i="18" s="1"/>
  <c r="M36" i="18"/>
  <c r="N36" i="18"/>
  <c r="O35" i="18"/>
  <c r="AD20" i="16" l="1"/>
  <c r="AA21" i="16"/>
  <c r="AE21" i="16" s="1"/>
  <c r="J21" i="16" s="1"/>
  <c r="W21" i="16"/>
  <c r="S22" i="16"/>
  <c r="Y22" i="16"/>
  <c r="BY21" i="16"/>
  <c r="BZ21" i="16" s="1"/>
  <c r="M21" i="16" s="1"/>
  <c r="AF20" i="16"/>
  <c r="E20" i="16" s="1"/>
  <c r="R24" i="16"/>
  <c r="T23" i="16"/>
  <c r="S23" i="16" s="1"/>
  <c r="U22" i="16"/>
  <c r="X22" i="16" s="1"/>
  <c r="Z21" i="16"/>
  <c r="BU22" i="16"/>
  <c r="BV22" i="16" s="1"/>
  <c r="H21" i="16"/>
  <c r="BS22" i="16"/>
  <c r="BI23" i="16"/>
  <c r="BJ22" i="16"/>
  <c r="BK22" i="16" s="1"/>
  <c r="BH24" i="16"/>
  <c r="BC24" i="16" s="1"/>
  <c r="BO23" i="16"/>
  <c r="G23" i="16" s="1"/>
  <c r="BB24" i="16"/>
  <c r="AO23" i="16"/>
  <c r="O52" i="18"/>
  <c r="M53" i="18"/>
  <c r="O53" i="18" s="1"/>
  <c r="S51" i="18"/>
  <c r="G51" i="18" s="1"/>
  <c r="D53" i="18"/>
  <c r="F53" i="18"/>
  <c r="N53" i="18"/>
  <c r="P51" i="18"/>
  <c r="Q51" i="18" s="1"/>
  <c r="S36" i="18"/>
  <c r="G36" i="18"/>
  <c r="M37" i="18"/>
  <c r="O36" i="18"/>
  <c r="N37" i="18"/>
  <c r="P35" i="18"/>
  <c r="R35" i="18" s="1"/>
  <c r="E35" i="18" s="1"/>
  <c r="H35" i="18" s="1"/>
  <c r="Q35" i="18"/>
  <c r="AD21" i="16" l="1"/>
  <c r="AB21" i="16"/>
  <c r="AC21" i="16" s="1"/>
  <c r="V22" i="16"/>
  <c r="W22" i="16" s="1"/>
  <c r="V23" i="16"/>
  <c r="W23" i="16" s="1"/>
  <c r="Y23" i="16"/>
  <c r="BL22" i="16"/>
  <c r="BM22" i="16" s="1"/>
  <c r="BN22" i="16" s="1"/>
  <c r="L22" i="16" s="1"/>
  <c r="T24" i="16"/>
  <c r="S24" i="16" s="1"/>
  <c r="R25" i="16"/>
  <c r="X23" i="16"/>
  <c r="BH25" i="16"/>
  <c r="BC25" i="16" s="1"/>
  <c r="BB25" i="16"/>
  <c r="BO24" i="16"/>
  <c r="G24" i="16" s="1"/>
  <c r="BI24" i="16"/>
  <c r="BJ23" i="16"/>
  <c r="BK23" i="16" s="1"/>
  <c r="AP23" i="16"/>
  <c r="BW22" i="16"/>
  <c r="BX22" i="16" s="1"/>
  <c r="BT22" i="16"/>
  <c r="S52" i="18"/>
  <c r="G52" i="18"/>
  <c r="Q53" i="18"/>
  <c r="R53" i="18" s="1"/>
  <c r="E53" i="18" s="1"/>
  <c r="R51" i="18"/>
  <c r="E51" i="18" s="1"/>
  <c r="H51" i="18" s="1"/>
  <c r="P52" i="18"/>
  <c r="Q52" i="18" s="1"/>
  <c r="P36" i="18"/>
  <c r="R36" i="18" s="1"/>
  <c r="E36" i="18" s="1"/>
  <c r="H36" i="18" s="1"/>
  <c r="Q36" i="18"/>
  <c r="M38" i="18"/>
  <c r="O38" i="18" s="1"/>
  <c r="O37" i="18"/>
  <c r="N38" i="18"/>
  <c r="S37" i="18"/>
  <c r="G37" i="18"/>
  <c r="AA22" i="16" l="1"/>
  <c r="AB22" i="16" s="1"/>
  <c r="AC22" i="16" s="1"/>
  <c r="T25" i="16"/>
  <c r="R26" i="16"/>
  <c r="AF21" i="16"/>
  <c r="E21" i="16" s="1"/>
  <c r="V24" i="16"/>
  <c r="W24" i="16" s="1"/>
  <c r="X24" i="16"/>
  <c r="Y24" i="16"/>
  <c r="AV23" i="16"/>
  <c r="AW23" i="16" s="1"/>
  <c r="K23" i="16" s="1"/>
  <c r="AI24" i="16"/>
  <c r="AJ24" i="16" s="1"/>
  <c r="BL23" i="16"/>
  <c r="BM23" i="16" s="1"/>
  <c r="BN23" i="16" s="1"/>
  <c r="L23" i="16" s="1"/>
  <c r="BH26" i="16"/>
  <c r="BC26" i="16" s="1"/>
  <c r="BO25" i="16"/>
  <c r="G25" i="16" s="1"/>
  <c r="BB26" i="16"/>
  <c r="BY22" i="16"/>
  <c r="BZ22" i="16" s="1"/>
  <c r="M22" i="16" s="1"/>
  <c r="BS23" i="16"/>
  <c r="BU23" i="16"/>
  <c r="BV23" i="16" s="1"/>
  <c r="H22" i="16"/>
  <c r="BI25" i="16"/>
  <c r="BJ24" i="16"/>
  <c r="BK24" i="16" s="1"/>
  <c r="BL24" i="16" s="1"/>
  <c r="BM24" i="16" s="1"/>
  <c r="BN24" i="16" s="1"/>
  <c r="L24" i="16" s="1"/>
  <c r="R52" i="18"/>
  <c r="E52" i="18" s="1"/>
  <c r="H52" i="18" s="1"/>
  <c r="S53" i="18"/>
  <c r="G53" i="18" s="1"/>
  <c r="H53" i="18" s="1"/>
  <c r="S38" i="18"/>
  <c r="G38" i="18" s="1"/>
  <c r="Q38" i="18"/>
  <c r="R38" i="18"/>
  <c r="E38" i="18" s="1"/>
  <c r="P37" i="18"/>
  <c r="R37" i="18" s="1"/>
  <c r="E37" i="18" s="1"/>
  <c r="H37" i="18" s="1"/>
  <c r="Q37" i="18"/>
  <c r="AD22" i="16" l="1"/>
  <c r="AE22" i="16"/>
  <c r="J22" i="16" s="1"/>
  <c r="AA23" i="16"/>
  <c r="AE23" i="16" s="1"/>
  <c r="J23" i="16" s="1"/>
  <c r="AF22" i="16"/>
  <c r="E22" i="16" s="1"/>
  <c r="R27" i="16"/>
  <c r="T26" i="16"/>
  <c r="S26" i="16" s="1"/>
  <c r="Y25" i="16"/>
  <c r="S25" i="16"/>
  <c r="V25" i="16"/>
  <c r="W25" i="16" s="1"/>
  <c r="X25" i="16"/>
  <c r="BW23" i="16"/>
  <c r="BX23" i="16" s="1"/>
  <c r="BH27" i="16"/>
  <c r="BC27" i="16" s="1"/>
  <c r="BO26" i="16"/>
  <c r="G26" i="16" s="1"/>
  <c r="BB27" i="16"/>
  <c r="BT23" i="16"/>
  <c r="AU23" i="16"/>
  <c r="AX23" i="16" s="1"/>
  <c r="F23" i="16" s="1"/>
  <c r="AI25" i="16"/>
  <c r="BI26" i="16"/>
  <c r="BJ25" i="16"/>
  <c r="BK25" i="16" s="1"/>
  <c r="BL25" i="16" s="1"/>
  <c r="BM25" i="16" s="1"/>
  <c r="BN25" i="16" s="1"/>
  <c r="L25" i="16" s="1"/>
  <c r="H38" i="18"/>
  <c r="AD23" i="16" l="1"/>
  <c r="AB23" i="16"/>
  <c r="BY23" i="16"/>
  <c r="BZ23" i="16" s="1"/>
  <c r="M23" i="16" s="1"/>
  <c r="R28" i="16"/>
  <c r="T27" i="16"/>
  <c r="S27" i="16" s="1"/>
  <c r="U26" i="16"/>
  <c r="Y26" i="16"/>
  <c r="H23" i="16"/>
  <c r="BS24" i="16"/>
  <c r="BU24" i="16"/>
  <c r="BV24" i="16" s="1"/>
  <c r="AI26" i="16"/>
  <c r="AI27" i="16" s="1"/>
  <c r="AI28" i="16" s="1"/>
  <c r="BI27" i="16"/>
  <c r="BJ26" i="16"/>
  <c r="BK26" i="16" s="1"/>
  <c r="AK24" i="16"/>
  <c r="AL24" i="16"/>
  <c r="AQ23" i="16"/>
  <c r="AT23" i="16" s="1"/>
  <c r="AC23" i="16" l="1"/>
  <c r="AA24" i="16"/>
  <c r="BL26" i="16"/>
  <c r="BM26" i="16" s="1"/>
  <c r="BN26" i="16" s="1"/>
  <c r="L26" i="16" s="1"/>
  <c r="V27" i="16"/>
  <c r="W27" i="16" s="1"/>
  <c r="X27" i="16"/>
  <c r="Y27" i="16"/>
  <c r="X26" i="16"/>
  <c r="V26" i="16"/>
  <c r="W26" i="16" s="1"/>
  <c r="R29" i="16"/>
  <c r="T29" i="16" s="1"/>
  <c r="S29" i="16" s="1"/>
  <c r="T28" i="16"/>
  <c r="AL25" i="16"/>
  <c r="AN25" i="16" s="1"/>
  <c r="AO25" i="16" s="1"/>
  <c r="AJ25" i="16"/>
  <c r="BK27" i="16"/>
  <c r="BL27" i="16" s="1"/>
  <c r="BW24" i="16"/>
  <c r="BX24" i="16" s="1"/>
  <c r="BT24" i="16"/>
  <c r="AS24" i="16"/>
  <c r="AT24" i="16" s="1"/>
  <c r="AS25" i="16" s="1"/>
  <c r="AT25" i="16" s="1"/>
  <c r="AS26" i="16" s="1"/>
  <c r="AT26" i="16" s="1"/>
  <c r="V29" i="16"/>
  <c r="W29" i="16" s="1"/>
  <c r="AM24" i="16"/>
  <c r="AN24" i="16"/>
  <c r="AO24" i="16" s="1"/>
  <c r="AI29" i="16"/>
  <c r="AJ28" i="16"/>
  <c r="AP24" i="16" l="1"/>
  <c r="AE24" i="16"/>
  <c r="J24" i="16" s="1"/>
  <c r="AB24" i="16"/>
  <c r="AF23" i="16"/>
  <c r="E23" i="16" s="1"/>
  <c r="AD24" i="16"/>
  <c r="AK25" i="16"/>
  <c r="AL26" i="16" s="1"/>
  <c r="Y29" i="16"/>
  <c r="BY24" i="16"/>
  <c r="BZ24" i="16" s="1"/>
  <c r="M24" i="16" s="1"/>
  <c r="X29" i="16"/>
  <c r="S28" i="16"/>
  <c r="Y28" i="16"/>
  <c r="X28" i="16"/>
  <c r="V28" i="16"/>
  <c r="W28" i="16" s="1"/>
  <c r="AV24" i="16"/>
  <c r="AU24" i="16"/>
  <c r="AX24" i="16" s="1"/>
  <c r="F24" i="16" s="1"/>
  <c r="AM25" i="16"/>
  <c r="BS25" i="16"/>
  <c r="BU25" i="16"/>
  <c r="BV25" i="16" s="1"/>
  <c r="H24" i="16"/>
  <c r="AS27" i="16"/>
  <c r="AT27" i="16" s="1"/>
  <c r="BA28" i="16"/>
  <c r="BM27" i="16"/>
  <c r="AC24" i="16" l="1"/>
  <c r="AA25" i="16"/>
  <c r="AE25" i="16" s="1"/>
  <c r="J25" i="16" s="1"/>
  <c r="AJ26" i="16"/>
  <c r="BT25" i="16"/>
  <c r="BS26" i="16" s="1"/>
  <c r="BN27" i="16"/>
  <c r="L27" i="16" s="1"/>
  <c r="BD27" i="16"/>
  <c r="AS28" i="16"/>
  <c r="AT28" i="16" s="1"/>
  <c r="AK26" i="16"/>
  <c r="AN26" i="16"/>
  <c r="AO26" i="16" s="1"/>
  <c r="AU25" i="16"/>
  <c r="AX25" i="16" s="1"/>
  <c r="F25" i="16" s="1"/>
  <c r="AP25" i="16"/>
  <c r="AV25" i="16" s="1"/>
  <c r="AW25" i="16" s="1"/>
  <c r="K25" i="16" s="1"/>
  <c r="AM26" i="16"/>
  <c r="BE27" i="16"/>
  <c r="BO27" i="16" s="1"/>
  <c r="BB28" i="16"/>
  <c r="BA29" i="16"/>
  <c r="BW25" i="16"/>
  <c r="AW24" i="16"/>
  <c r="K24" i="16" s="1"/>
  <c r="AD25" i="16" l="1"/>
  <c r="AF24" i="16"/>
  <c r="E24" i="16" s="1"/>
  <c r="AB25" i="16"/>
  <c r="H25" i="16"/>
  <c r="BU26" i="16"/>
  <c r="BV26" i="16" s="1"/>
  <c r="BW26" i="16" s="1"/>
  <c r="BX26" i="16" s="1"/>
  <c r="BX25" i="16"/>
  <c r="BY25" i="16" s="1"/>
  <c r="BZ25" i="16" s="1"/>
  <c r="M25" i="16" s="1"/>
  <c r="AS29" i="16"/>
  <c r="AT29" i="16" s="1"/>
  <c r="BH28" i="16"/>
  <c r="BC28" i="16" s="1"/>
  <c r="G27" i="16"/>
  <c r="AP26" i="16"/>
  <c r="AV26" i="16" s="1"/>
  <c r="AW26" i="16" s="1"/>
  <c r="K26" i="16" s="1"/>
  <c r="AU26" i="16"/>
  <c r="AX26" i="16" s="1"/>
  <c r="F26" i="16" s="1"/>
  <c r="AL27" i="16"/>
  <c r="AN27" i="16" s="1"/>
  <c r="AO27" i="16" s="1"/>
  <c r="AJ27" i="16"/>
  <c r="BG27" i="16"/>
  <c r="AC25" i="16" l="1"/>
  <c r="AA26" i="16"/>
  <c r="BT26" i="16"/>
  <c r="BU27" i="16" s="1"/>
  <c r="BV27" i="16" s="1"/>
  <c r="AK27" i="16"/>
  <c r="AL28" i="16" s="1"/>
  <c r="AN28" i="16" s="1"/>
  <c r="AO28" i="16" s="1"/>
  <c r="BI28" i="16"/>
  <c r="BJ28" i="16"/>
  <c r="BK28" i="16" s="1"/>
  <c r="BY26" i="16"/>
  <c r="BZ26" i="16" s="1"/>
  <c r="M26" i="16" s="1"/>
  <c r="BH29" i="16"/>
  <c r="BJ29" i="16" s="1"/>
  <c r="BB29" i="16"/>
  <c r="BF28" i="16"/>
  <c r="BO28" i="16" s="1"/>
  <c r="AM27" i="16"/>
  <c r="H26" i="16" l="1"/>
  <c r="BS27" i="16"/>
  <c r="AB26" i="16"/>
  <c r="AE26" i="16"/>
  <c r="J26" i="16" s="1"/>
  <c r="AF25" i="16"/>
  <c r="E25" i="16" s="1"/>
  <c r="AD26" i="16"/>
  <c r="AK28" i="16"/>
  <c r="AJ29" i="16" s="1"/>
  <c r="BC29" i="16"/>
  <c r="BL28" i="16"/>
  <c r="BW27" i="16"/>
  <c r="BG28" i="16"/>
  <c r="BM28" i="16"/>
  <c r="AM28" i="16"/>
  <c r="AU27" i="16"/>
  <c r="AX27" i="16" s="1"/>
  <c r="F27" i="16" s="1"/>
  <c r="AP27" i="16"/>
  <c r="AV27" i="16" s="1"/>
  <c r="AW27" i="16" s="1"/>
  <c r="K27" i="16" s="1"/>
  <c r="G28" i="16"/>
  <c r="BI29" i="16"/>
  <c r="BT27" i="16"/>
  <c r="AA27" i="16" l="1"/>
  <c r="AC26" i="16"/>
  <c r="AL29" i="16"/>
  <c r="AO29" i="16" s="1"/>
  <c r="BN28" i="16"/>
  <c r="L28" i="16" s="1"/>
  <c r="BX27" i="16"/>
  <c r="BY27" i="16" s="1"/>
  <c r="BZ27" i="16" s="1"/>
  <c r="M27" i="16" s="1"/>
  <c r="BK29" i="16"/>
  <c r="BM29" i="16" s="1"/>
  <c r="AP28" i="16"/>
  <c r="AV28" i="16" s="1"/>
  <c r="AW28" i="16" s="1"/>
  <c r="K28" i="16" s="1"/>
  <c r="AU28" i="16"/>
  <c r="AX28" i="16" s="1"/>
  <c r="F28" i="16" s="1"/>
  <c r="H27" i="16"/>
  <c r="BS28" i="16"/>
  <c r="BU28" i="16"/>
  <c r="BV28" i="16" s="1"/>
  <c r="BF29" i="16"/>
  <c r="BG29" i="16" s="1"/>
  <c r="AK29" i="16" l="1"/>
  <c r="AF26" i="16"/>
  <c r="E26" i="16" s="1"/>
  <c r="AD27" i="16"/>
  <c r="AE27" i="16"/>
  <c r="J27" i="16" s="1"/>
  <c r="AB27" i="16"/>
  <c r="AM29" i="16"/>
  <c r="AU29" i="16" s="1"/>
  <c r="AX29" i="16" s="1"/>
  <c r="F29" i="16" s="1"/>
  <c r="BL29" i="16"/>
  <c r="BO29" i="16"/>
  <c r="G29" i="16" s="1"/>
  <c r="BN29" i="16"/>
  <c r="L29" i="16" s="1"/>
  <c r="BW28" i="16"/>
  <c r="BX28" i="16" s="1"/>
  <c r="BT28" i="16"/>
  <c r="AP29" i="16" l="1"/>
  <c r="AV29" i="16" s="1"/>
  <c r="AW29" i="16" s="1"/>
  <c r="K29" i="16" s="1"/>
  <c r="AA28" i="16"/>
  <c r="AE28" i="16" s="1"/>
  <c r="J28" i="16" s="1"/>
  <c r="AC27" i="16"/>
  <c r="AB28" i="16"/>
  <c r="BY28" i="16"/>
  <c r="BZ28" i="16" s="1"/>
  <c r="M28" i="16" s="1"/>
  <c r="BS29" i="16"/>
  <c r="BU29" i="16"/>
  <c r="BV29" i="16" s="1"/>
  <c r="H28" i="16"/>
  <c r="AC28" i="16" l="1"/>
  <c r="AA29" i="16"/>
  <c r="AE29" i="16" s="1"/>
  <c r="J29" i="16" s="1"/>
  <c r="AF27" i="16"/>
  <c r="E27" i="16" s="1"/>
  <c r="AD28" i="16"/>
  <c r="BT29" i="16"/>
  <c r="BX29" i="16"/>
  <c r="BY29" i="16" s="1"/>
  <c r="BZ29" i="16" s="1"/>
  <c r="M29" i="16" s="1"/>
  <c r="AB29" i="16" l="1"/>
  <c r="AC29" i="16" s="1"/>
  <c r="AF29" i="16" s="1"/>
  <c r="E29" i="16" s="1"/>
  <c r="AF28" i="16"/>
  <c r="E28" i="16" s="1"/>
  <c r="AD29" i="16"/>
  <c r="H29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tc={942CB4A9-2EF6-4C0A-963B-E023DA2EC257}</author>
  </authors>
  <commentList>
    <comment ref="AC16" authorId="0" shapeId="0" xr:uid="{942CB4A9-2EF6-4C0A-963B-E023DA2EC257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Łączne zyski ptzy założeniu trzymania obligacji do terminów wykupu.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tc={5B0E129D-1438-4D08-8D24-226471B0B109}</author>
    <author>tc={664E0748-4A34-4C29-B90A-D8A007FEF4E9}</author>
    <author>tc={7EFCC24A-F854-4E7C-B855-E02058490235}</author>
  </authors>
  <commentList>
    <comment ref="H17" authorId="0" shapeId="0" xr:uid="{5B0E129D-1438-4D08-8D24-226471B0B109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Opłata za wcześniejszy wykup potrącana jest tylko gdy zakończysz oszczędzanie zanim spełnisz warunki określone w ustawie o IKE.</t>
      </text>
    </comment>
    <comment ref="I17" authorId="1" shapeId="0" xr:uid="{664E0748-4A34-4C29-B90A-D8A007FEF4E9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Podatek jest pobierany tylko gdy zakończysz oszczędzanie zanim spełnisz warunki określone w ustawie o IKE.</t>
      </text>
    </comment>
    <comment ref="J17" authorId="2" shapeId="0" xr:uid="{7EFCC24A-F854-4E7C-B855-E02058490235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Opłata za prowadzenie IKE pobierana jest do 20 lutego kolejnego roku, dla uproszczenia zakładam, że jest to koniec danego roku.</t>
      </text>
    </comment>
  </commentList>
</comments>
</file>

<file path=xl/sharedStrings.xml><?xml version="1.0" encoding="utf-8"?>
<sst xmlns="http://schemas.openxmlformats.org/spreadsheetml/2006/main" count="429" uniqueCount="125">
  <si>
    <t>ROD - 12 lat</t>
  </si>
  <si>
    <t>Wartość inwestycji</t>
  </si>
  <si>
    <t>Opłata za wcześniejszy wykup</t>
  </si>
  <si>
    <t xml:space="preserve">Pełny artykuł znajdziesz na blogu Finanse Bardzo Osobiste: </t>
  </si>
  <si>
    <t>po 1. roku:</t>
  </si>
  <si>
    <t>po 2. roku:</t>
  </si>
  <si>
    <t>po 3. roku:</t>
  </si>
  <si>
    <t>po 4. roku:</t>
  </si>
  <si>
    <t>po 5. roku:</t>
  </si>
  <si>
    <t>po 6. roku:</t>
  </si>
  <si>
    <t>po 7. roku:</t>
  </si>
  <si>
    <t>po 8. roku:</t>
  </si>
  <si>
    <t>po 9. roku:</t>
  </si>
  <si>
    <t>po 10. roku:</t>
  </si>
  <si>
    <t>po 11. roku:</t>
  </si>
  <si>
    <t>po 12. roku:</t>
  </si>
  <si>
    <t>Podatek Belki</t>
  </si>
  <si>
    <t>start:</t>
  </si>
  <si>
    <t>ROS - 6 lat</t>
  </si>
  <si>
    <t>Zakładana inflacja</t>
  </si>
  <si>
    <t>Liczba zakupionych obligacji</t>
  </si>
  <si>
    <t>Nominalna wartość jednej obligacji</t>
  </si>
  <si>
    <t>Zainwestowana kwota</t>
  </si>
  <si>
    <t>&gt;&gt;wpisz liczbę obligacji, które chcesz kupić. Jedna sztuka kosztuje 100 zł</t>
  </si>
  <si>
    <t xml:space="preserve"> &gt;&gt; cel inflacyjny NBP to 2,5% w skali roku, możesz tu lub w tabeli wprowadzić własne założenia</t>
  </si>
  <si>
    <t>Twoje dane</t>
  </si>
  <si>
    <t>Oprocentowanie w 1. roku</t>
  </si>
  <si>
    <t>Marża odsetkowa od 2. roku</t>
  </si>
  <si>
    <t>Rok</t>
  </si>
  <si>
    <t>EDO - 10 lat</t>
  </si>
  <si>
    <t>COI - 4 lata</t>
  </si>
  <si>
    <t>po 10 latach</t>
  </si>
  <si>
    <t xml:space="preserve">Wypłata odsetek </t>
  </si>
  <si>
    <t>po 6 latach</t>
  </si>
  <si>
    <t>co rok</t>
  </si>
  <si>
    <t>Opłata za przedterminowy wykup 1 szt.</t>
  </si>
  <si>
    <t>* zysk/stopa zwrotu nie uwzględnia tego, że odsetki, które wpłynęły na Twoje konto, możesz reinwestować</t>
  </si>
  <si>
    <t>OBLIGACJE RODZINNE 10 LETNIE (SYMBOL EDO)</t>
  </si>
  <si>
    <t>Odsetki 
w danym roku</t>
  </si>
  <si>
    <t>Zakładana inflacja w pierwszym roku</t>
  </si>
  <si>
    <t>Odsetki narastająco</t>
  </si>
  <si>
    <t>Zakładana inflacja w danym roku</t>
  </si>
  <si>
    <t xml:space="preserve">Wartość inwestycji </t>
  </si>
  <si>
    <t>Odsetki w danym roku</t>
  </si>
  <si>
    <t>Zakładana inflacja w ostatnim roku</t>
  </si>
  <si>
    <t>Dane według listu emisyjnego z dnia 22 września 2020 r.</t>
  </si>
  <si>
    <r>
      <t xml:space="preserve">Zysk netto (na rękę), </t>
    </r>
    <r>
      <rPr>
        <b/>
        <i/>
        <sz val="10"/>
        <color rgb="FF0070C0"/>
        <rFont val="Calibri"/>
        <family val="2"/>
        <charset val="238"/>
        <scheme val="minor"/>
      </rPr>
      <t>narastająco</t>
    </r>
  </si>
  <si>
    <t>Opłata za prowadzenie IKE, max 200 zł</t>
  </si>
  <si>
    <t>po 12 latach</t>
  </si>
  <si>
    <t>Zakładana inflacja w kolejnych latach (2. do 11. rok)</t>
  </si>
  <si>
    <t>Zakładana inflacja w kolejnych latach (2. do 9. rok)</t>
  </si>
  <si>
    <t>Zakładana inflacja w kolejnych latach (2. do 5. rok)</t>
  </si>
  <si>
    <t>Zakładana inflacja w kolejnych latach (2. do 3. rok)</t>
  </si>
  <si>
    <t>COI</t>
  </si>
  <si>
    <t>ROS</t>
  </si>
  <si>
    <t>EDO</t>
  </si>
  <si>
    <t>ROD</t>
  </si>
  <si>
    <t>Wartość obligacji na początek okresu</t>
  </si>
  <si>
    <t>Wartość obligacji na koniec okresu</t>
  </si>
  <si>
    <t>Liczba obligacji</t>
  </si>
  <si>
    <t>Gotówka narastająco</t>
  </si>
  <si>
    <t>Gotówka z transakcji wymiany</t>
  </si>
  <si>
    <t>Oprocentowanie lokaty bankowej</t>
  </si>
  <si>
    <t>Zyski z lokat bankowych</t>
  </si>
  <si>
    <t>Odsetki z oblig. 
w danym roku</t>
  </si>
  <si>
    <r>
      <t>Łączne zyski (1) odsetki od obligacji (2) odsetki z lokowania wypłaconych odsetek (3) zysk na wymianie obligacji po 99,9.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Założenie - nie trzymamy obligacji do terminu wykupu</t>
    </r>
  </si>
  <si>
    <r>
      <t xml:space="preserve">Łączne zyski (1) odsetki od obligacji (2) odsetki z lokowania wypłaconych odsetek (3) zysk na wymianie obligacji po 99,9. </t>
    </r>
    <r>
      <rPr>
        <i/>
        <sz val="10"/>
        <color theme="1"/>
        <rFont val="Calibri"/>
        <family val="2"/>
        <charset val="238"/>
        <scheme val="minor"/>
      </rPr>
      <t>Założenie - trzymamy obligacje do terminu wykupu</t>
    </r>
  </si>
  <si>
    <t>Gotówka z wypłaconych odsetek</t>
  </si>
  <si>
    <t>Początek okresu</t>
  </si>
  <si>
    <t>Numer okresu</t>
  </si>
  <si>
    <t>Oprocentowanie obligacji</t>
  </si>
  <si>
    <t>Zysk/strata ponad inflację</t>
  </si>
  <si>
    <t>Kwota początkowa powiększona o skumulowaną INFLACJĘ na koniec okresu</t>
  </si>
  <si>
    <t>Wartość obligacji przed opłatą za wcześniejszy wykup i podatkiem</t>
  </si>
  <si>
    <t>Odsetki od obligacji  w danym roku</t>
  </si>
  <si>
    <t>Odsetki od obligacji narastająco</t>
  </si>
  <si>
    <t>Okres</t>
  </si>
  <si>
    <t>początek</t>
  </si>
  <si>
    <t>Zakładana inflacja w  roku</t>
  </si>
  <si>
    <r>
      <t xml:space="preserve">Zysk netto z obligacji (na rękę), </t>
    </r>
    <r>
      <rPr>
        <b/>
        <i/>
        <sz val="10"/>
        <rFont val="Calibri"/>
        <family val="2"/>
        <charset val="238"/>
        <scheme val="minor"/>
      </rPr>
      <t>narastająco</t>
    </r>
  </si>
  <si>
    <r>
      <t xml:space="preserve">Ile muszę zarobić, by zrekompensować inflację, </t>
    </r>
    <r>
      <rPr>
        <b/>
        <i/>
        <sz val="10"/>
        <rFont val="Calibri"/>
        <family val="2"/>
        <charset val="238"/>
        <scheme val="minor"/>
      </rPr>
      <t>w danym roku</t>
    </r>
    <r>
      <rPr>
        <b/>
        <sz val="10"/>
        <color theme="1"/>
        <rFont val="Calibri"/>
        <family val="2"/>
        <charset val="238"/>
        <scheme val="minor"/>
      </rPr>
      <t>?</t>
    </r>
  </si>
  <si>
    <t>Wartość inwestycji przed opłatą za przedterminowy wykup i  podatkiem</t>
  </si>
  <si>
    <t>&gt;&gt; tu wpisz własne założenia, możesz też zmieniać dane bezpośrednio w kolumnie D, w tabeli poniżej</t>
  </si>
  <si>
    <t>Oproc. obligacji</t>
  </si>
  <si>
    <t>Odsetki od obligacji w danym roku</t>
  </si>
  <si>
    <t>Zysk z obligacji narastająco na koniec okresu, po opłacie za wcześniejszy wykup i po podatku Belki</t>
  </si>
  <si>
    <r>
      <rPr>
        <b/>
        <sz val="10"/>
        <rFont val="Calibri"/>
        <family val="2"/>
        <charset val="238"/>
        <scheme val="minor"/>
      </rPr>
      <t xml:space="preserve">Ile muszę zarobić, by zrekompensować inflację, </t>
    </r>
    <r>
      <rPr>
        <b/>
        <i/>
        <sz val="10"/>
        <rFont val="Calibri"/>
        <family val="2"/>
        <charset val="238"/>
        <scheme val="minor"/>
      </rPr>
      <t>w danym roku</t>
    </r>
    <r>
      <rPr>
        <b/>
        <sz val="10"/>
        <rFont val="Calibri"/>
        <family val="2"/>
        <charset val="238"/>
        <scheme val="minor"/>
      </rPr>
      <t>?</t>
    </r>
  </si>
  <si>
    <t>Ile muszę zarobić, by zrekompensować inflację narastająco?</t>
  </si>
  <si>
    <t>Realny ZYSK/STRATA, po  uwzględnieniu inflacji, narastająco</t>
  </si>
  <si>
    <t>Podatek od zysków kapitałowych (podatek Belki)</t>
  </si>
  <si>
    <t>Zysk z obligacji w roku, po opłacie za wcześniejszy wykup i po podatku Belki *</t>
  </si>
  <si>
    <t>Zysk z obligacji narastająco, po opłacie za wcześniejszy wykup i po podatku Belki *</t>
  </si>
  <si>
    <r>
      <t xml:space="preserve">Realny ZYSK/STRATA, po  uwzględnieniu inflacji, </t>
    </r>
    <r>
      <rPr>
        <b/>
        <i/>
        <sz val="10"/>
        <color theme="0"/>
        <rFont val="Calibri"/>
        <family val="2"/>
        <charset val="238"/>
        <scheme val="minor"/>
      </rPr>
      <t>narastająco</t>
    </r>
  </si>
  <si>
    <t>Opłata za prowadzenie IKE w roku</t>
  </si>
  <si>
    <t>Opłata za prowadzenie IKE, narastająco</t>
  </si>
  <si>
    <t>Ile muszę zarobić, by zrekompensować inflację, w danym roku?</t>
  </si>
  <si>
    <t>Zysk z obligacji narastająco na koniec okresu, nie uwzględnia opłaty i podatku Belki</t>
  </si>
  <si>
    <r>
      <t xml:space="preserve">Wartość obligacji i gotówki na koniec okresu po opłacie za wcześniejszy wykup i po podatku Belki. </t>
    </r>
    <r>
      <rPr>
        <i/>
        <sz val="10"/>
        <color theme="1"/>
        <rFont val="Calibri"/>
        <family val="2"/>
        <charset val="238"/>
        <scheme val="minor"/>
      </rPr>
      <t>Założenie - trzymamy obligacje do terminu wykupu.</t>
    </r>
  </si>
  <si>
    <r>
      <t xml:space="preserve">Gotówka z odsetek wypłacanych co rok po potrąceniu podatku Belki </t>
    </r>
    <r>
      <rPr>
        <b/>
        <i/>
        <sz val="8"/>
        <color theme="1"/>
        <rFont val="Calibri"/>
        <family val="2"/>
        <charset val="238"/>
        <scheme val="minor"/>
      </rPr>
      <t>(jeśli trzymamy obligacje do dnia wykupu)</t>
    </r>
  </si>
  <si>
    <r>
      <t xml:space="preserve">Wartość OBLIGACJI na koniec okresu po opłacie za wcześniejszy wykup i po podatku Belki. </t>
    </r>
    <r>
      <rPr>
        <i/>
        <sz val="10"/>
        <color theme="1"/>
        <rFont val="Calibri"/>
        <family val="2"/>
        <charset val="238"/>
        <scheme val="minor"/>
      </rPr>
      <t>Założenie - nie trzymamy obligacje do terminu wykupu</t>
    </r>
  </si>
  <si>
    <t>Wartość inwestycji na koniec okresu po opłacie za wcześniejszy wykup i po podatku Belki</t>
  </si>
  <si>
    <t>Wartość inwestycji na koniec okresu po opłacie za wcześniejszy wykup i po podatku Belki*</t>
  </si>
  <si>
    <r>
      <t xml:space="preserve">Ile muszę zarobić, by zrekompensować inflację, </t>
    </r>
    <r>
      <rPr>
        <b/>
        <i/>
        <sz val="10"/>
        <rFont val="Calibri"/>
        <family val="2"/>
        <charset val="238"/>
        <scheme val="minor"/>
      </rPr>
      <t>w danym roku</t>
    </r>
    <r>
      <rPr>
        <b/>
        <sz val="10"/>
        <rFont val="Calibri"/>
        <family val="2"/>
        <charset val="238"/>
        <scheme val="minor"/>
      </rPr>
      <t>?</t>
    </r>
  </si>
  <si>
    <t xml:space="preserve"> 4 LETNIE INDEKSOWANE OSZCZĘDNOŚCIOWE OBLIGACJE SKARBOWE COI</t>
  </si>
  <si>
    <t>6 LETNIE RODZINNE OBLIGACJE SKARBOWE ROS</t>
  </si>
  <si>
    <t>OBLIGACJE RODZINNE 12 LETNIE ROD</t>
  </si>
  <si>
    <t>OBLIGACJE 10 LETNIE INDEKSOWANE INFLACJĄ EDO</t>
  </si>
  <si>
    <t>Wartość inwestycji na koniec okresu, nie uwzględnia opłaty i podatku Belki</t>
  </si>
  <si>
    <t>OBLIGACJE RODZINNE 10 LETNIE EDO W RAMACH IKE OBLIGACJE</t>
  </si>
  <si>
    <t>Wartość inwestycji gdy kończymy oszczędzanie w danym roku (przedterminowy wykup)</t>
  </si>
  <si>
    <t>Wartość inwestycji gdy trzymamy obligacje  do terminu wykupu (nie ponosimy kosztów przedterminowego wykupu)</t>
  </si>
  <si>
    <t>Kwota początkowa powiększona o skumulowaną inflację na koniec okresu</t>
  </si>
  <si>
    <t>Wartość inwestycji na koniec okresu po opłacie za wcześniejszy wykup i podatku Belki</t>
  </si>
  <si>
    <t>Opłata za wcześniejszy wykup **</t>
  </si>
  <si>
    <r>
      <t xml:space="preserve">** Opłata za wcześniejsze zakończenie oszczędzania w obligacjach COI  jest pobierana w następujący sposób (mniej korzystny niż przy ROS, EDO, ROD):
</t>
    </r>
    <r>
      <rPr>
        <b/>
        <sz val="10"/>
        <color theme="1"/>
        <rFont val="Calibri"/>
        <family val="2"/>
        <charset val="238"/>
        <scheme val="minor"/>
      </rPr>
      <t>-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w pierwszym okresie odsetkowym</t>
    </r>
    <r>
      <rPr>
        <sz val="10"/>
        <color theme="1"/>
        <rFont val="Calibri"/>
        <family val="2"/>
        <charset val="238"/>
        <scheme val="minor"/>
      </rPr>
      <t xml:space="preserve"> opłata jest pobierana w pełnej wysokości (gdy wartość narosłych odsetek jest większa od wartości opłaty) lub </t>
    </r>
    <r>
      <rPr>
        <b/>
        <sz val="10"/>
        <color theme="1"/>
        <rFont val="Calibri"/>
        <family val="2"/>
        <charset val="238"/>
        <scheme val="minor"/>
      </rPr>
      <t>do wysokości narosłych odsetek</t>
    </r>
    <r>
      <rPr>
        <sz val="10"/>
        <color theme="1"/>
        <rFont val="Calibri"/>
        <family val="2"/>
        <charset val="238"/>
        <scheme val="minor"/>
      </rPr>
      <t xml:space="preserve"> (gdy wartość narosłych odsetek jest mniejsza od wartości opłaty),
- </t>
    </r>
    <r>
      <rPr>
        <b/>
        <sz val="10"/>
        <color theme="1"/>
        <rFont val="Calibri"/>
        <family val="2"/>
        <charset val="238"/>
        <scheme val="minor"/>
      </rPr>
      <t>w kolejnych okresach odsetkowych</t>
    </r>
    <r>
      <rPr>
        <sz val="10"/>
        <color theme="1"/>
        <rFont val="Calibri"/>
        <family val="2"/>
        <charset val="238"/>
        <scheme val="minor"/>
      </rPr>
      <t xml:space="preserve"> (drugi, trzeci, czwarty) opłata pobierana jest </t>
    </r>
    <r>
      <rPr>
        <b/>
        <sz val="10"/>
        <color theme="1"/>
        <rFont val="Calibri"/>
        <family val="2"/>
        <charset val="238"/>
        <scheme val="minor"/>
      </rPr>
      <t>w pełnej wysokości</t>
    </r>
    <r>
      <rPr>
        <sz val="10"/>
        <color theme="1"/>
        <rFont val="Calibri"/>
        <family val="2"/>
        <charset val="238"/>
        <scheme val="minor"/>
      </rPr>
      <t xml:space="preserve"> z należności do wykupu (również w przypadku gdy wartość narosłych odsetek jest mniejsza od wartości opłaty).</t>
    </r>
  </si>
  <si>
    <t>Oznacza to, że wypłacając pieniądze w trakcie kolejnych lat oszczędzania (2. , 3. , 4.) możesz otrzymać mniej niż wynosi wartość nominalna obligacji (gdy narosłe odsetki są niższe niż opłata za wcześniejszy wykup)</t>
  </si>
  <si>
    <r>
      <t xml:space="preserve">Wartość obligacji i gotówki na koniec okresu po opłacie za wcześniejszy wykup i po podatku Belki. </t>
    </r>
    <r>
      <rPr>
        <i/>
        <sz val="10"/>
        <color theme="1"/>
        <rFont val="Calibri"/>
        <family val="2"/>
        <charset val="238"/>
        <scheme val="minor"/>
      </rPr>
      <t>Założenie - nie trzymamy obligacji do terminu wykupu.</t>
    </r>
  </si>
  <si>
    <r>
      <t xml:space="preserve">Wartość OBLIGACJI na koniec okresu po opłacie za wcześniejszy wykup i po podatku Belki. </t>
    </r>
    <r>
      <rPr>
        <i/>
        <sz val="10"/>
        <color theme="1"/>
        <rFont val="Calibri"/>
        <family val="2"/>
        <charset val="238"/>
        <scheme val="minor"/>
      </rPr>
      <t>Założenie - nie trzymamy obligacji do terminu wykupu</t>
    </r>
  </si>
  <si>
    <t>Oprocent.  obligacji</t>
  </si>
  <si>
    <t>tu wpisz swoje założenia odnośnie inflacji</t>
  </si>
  <si>
    <t>COI 4 lata</t>
  </si>
  <si>
    <t>ROS 6 lat</t>
  </si>
  <si>
    <t>EDO 10 lat</t>
  </si>
  <si>
    <t>ROD 12 lat</t>
  </si>
  <si>
    <t>https://marciniwuc.com/obligacje-skarbowe-czy-nadal-warto/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</si>
</sst>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&quot;zł&quot;_-;\-* #,##0.00\ &quot;zł&quot;_-;_-* &quot;-&quot;??\ &quot;zł&quot;_-;_-@_-"/>
    <numFmt numFmtId="165" formatCode="_-* #,##0.00\ _z_ł_-;\-* #,##0.00\ _z_ł_-;_-* &quot;-&quot;??\ _z_ł_-;_-@_-"/>
    <numFmt numFmtId="166" formatCode="#,##0.00\ &quot;zł&quot;"/>
    <numFmt numFmtId="167" formatCode="0.0%"/>
    <numFmt numFmtId="168" formatCode="#,##0.0\ &quot;zł&quot;"/>
    <numFmt numFmtId="169" formatCode="mmmm\ yyyy"/>
    <numFmt numFmtId="170" formatCode="0.00000%"/>
    <numFmt numFmtId="171" formatCode="_-* #,##0.00\ [$zł-415]_-;\-* #,##0.00\ [$zł-415]_-;_-* &quot;-&quot;??\ [$zł-415]_-;_-@_-"/>
  </numFmts>
  <fonts count="4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6"/>
      <color rgb="FF898C8D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i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8" tint="-0.249977111117893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i/>
      <sz val="10"/>
      <color theme="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2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70">
    <xf numFmtId="0" fontId="0" fillId="0" borderId="0" xfId="0"/>
    <xf numFmtId="0" fontId="4" fillId="3" borderId="0" xfId="0" applyFont="1" applyFill="1"/>
    <xf numFmtId="0" fontId="5" fillId="3" borderId="0" xfId="0" applyFont="1" applyFill="1"/>
    <xf numFmtId="167" fontId="5" fillId="3" borderId="0" xfId="2" applyNumberFormat="1" applyFont="1" applyFill="1"/>
    <xf numFmtId="0" fontId="6" fillId="3" borderId="0" xfId="0" applyFont="1" applyFill="1"/>
    <xf numFmtId="0" fontId="6" fillId="0" borderId="0" xfId="0" applyFont="1"/>
    <xf numFmtId="167" fontId="6" fillId="3" borderId="0" xfId="2" applyNumberFormat="1" applyFont="1" applyFill="1"/>
    <xf numFmtId="0" fontId="9" fillId="3" borderId="0" xfId="0" applyFont="1" applyFill="1"/>
    <xf numFmtId="166" fontId="6" fillId="0" borderId="0" xfId="0" applyNumberFormat="1" applyFont="1"/>
    <xf numFmtId="166" fontId="6" fillId="5" borderId="0" xfId="0" applyNumberFormat="1" applyFont="1" applyFill="1"/>
    <xf numFmtId="167" fontId="6" fillId="0" borderId="0" xfId="2" applyNumberFormat="1" applyFont="1"/>
    <xf numFmtId="0" fontId="8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168" fontId="6" fillId="3" borderId="0" xfId="0" applyNumberFormat="1" applyFont="1" applyFill="1"/>
    <xf numFmtId="0" fontId="4" fillId="3" borderId="0" xfId="0" applyFont="1" applyFill="1" applyAlignment="1">
      <alignment horizontal="center" vertical="center" wrapText="1"/>
    </xf>
    <xf numFmtId="166" fontId="5" fillId="3" borderId="2" xfId="0" applyNumberFormat="1" applyFont="1" applyFill="1" applyBorder="1"/>
    <xf numFmtId="166" fontId="10" fillId="3" borderId="2" xfId="0" applyNumberFormat="1" applyFont="1" applyFill="1" applyBorder="1"/>
    <xf numFmtId="10" fontId="6" fillId="0" borderId="0" xfId="2" applyNumberFormat="1" applyFont="1"/>
    <xf numFmtId="166" fontId="5" fillId="3" borderId="0" xfId="0" applyNumberFormat="1" applyFont="1" applyFill="1"/>
    <xf numFmtId="166" fontId="6" fillId="3" borderId="0" xfId="0" applyNumberFormat="1" applyFont="1" applyFill="1"/>
    <xf numFmtId="0" fontId="8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/>
    <xf numFmtId="167" fontId="5" fillId="3" borderId="0" xfId="2" applyNumberFormat="1" applyFont="1" applyFill="1" applyBorder="1"/>
    <xf numFmtId="167" fontId="6" fillId="3" borderId="0" xfId="2" applyNumberFormat="1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167" fontId="5" fillId="6" borderId="1" xfId="2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3" borderId="0" xfId="0" applyFont="1" applyFill="1" applyAlignment="1"/>
    <xf numFmtId="0" fontId="5" fillId="0" borderId="3" xfId="0" applyFont="1" applyBorder="1"/>
    <xf numFmtId="0" fontId="6" fillId="0" borderId="3" xfId="0" applyFont="1" applyBorder="1"/>
    <xf numFmtId="166" fontId="5" fillId="5" borderId="2" xfId="0" applyNumberFormat="1" applyFont="1" applyFill="1" applyBorder="1"/>
    <xf numFmtId="0" fontId="6" fillId="6" borderId="5" xfId="0" applyFont="1" applyFill="1" applyBorder="1" applyAlignment="1">
      <alignment horizontal="left"/>
    </xf>
    <xf numFmtId="166" fontId="6" fillId="6" borderId="6" xfId="0" applyNumberFormat="1" applyFont="1" applyFill="1" applyBorder="1"/>
    <xf numFmtId="0" fontId="6" fillId="6" borderId="0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12" fillId="6" borderId="6" xfId="0" applyFont="1" applyFill="1" applyBorder="1"/>
    <xf numFmtId="166" fontId="6" fillId="6" borderId="8" xfId="0" applyNumberFormat="1" applyFont="1" applyFill="1" applyBorder="1"/>
    <xf numFmtId="10" fontId="12" fillId="6" borderId="8" xfId="0" applyNumberFormat="1" applyFont="1" applyFill="1" applyBorder="1"/>
    <xf numFmtId="9" fontId="5" fillId="2" borderId="0" xfId="0" applyNumberFormat="1" applyFont="1" applyFill="1"/>
    <xf numFmtId="10" fontId="12" fillId="4" borderId="0" xfId="2" applyNumberFormat="1" applyFont="1" applyFill="1"/>
    <xf numFmtId="0" fontId="3" fillId="0" borderId="0" xfId="0" applyFont="1"/>
    <xf numFmtId="167" fontId="6" fillId="6" borderId="8" xfId="2" applyNumberFormat="1" applyFont="1" applyFill="1" applyBorder="1" applyAlignment="1">
      <alignment horizontal="right"/>
    </xf>
    <xf numFmtId="10" fontId="6" fillId="6" borderId="8" xfId="2" applyNumberFormat="1" applyFont="1" applyFill="1" applyBorder="1" applyAlignment="1">
      <alignment horizontal="right"/>
    </xf>
    <xf numFmtId="166" fontId="5" fillId="3" borderId="3" xfId="0" applyNumberFormat="1" applyFont="1" applyFill="1" applyBorder="1"/>
    <xf numFmtId="166" fontId="6" fillId="0" borderId="3" xfId="0" applyNumberFormat="1" applyFont="1" applyBorder="1"/>
    <xf numFmtId="9" fontId="6" fillId="3" borderId="0" xfId="0" applyNumberFormat="1" applyFont="1" applyFill="1"/>
    <xf numFmtId="0" fontId="5" fillId="3" borderId="0" xfId="0" applyFont="1" applyFill="1" applyBorder="1" applyAlignment="1">
      <alignment horizontal="center" vertical="center" wrapText="1"/>
    </xf>
    <xf numFmtId="166" fontId="5" fillId="0" borderId="3" xfId="0" applyNumberFormat="1" applyFont="1" applyBorder="1"/>
    <xf numFmtId="10" fontId="6" fillId="3" borderId="0" xfId="2" applyNumberFormat="1" applyFont="1" applyFill="1"/>
    <xf numFmtId="165" fontId="6" fillId="3" borderId="0" xfId="3" applyFont="1" applyFill="1"/>
    <xf numFmtId="9" fontId="6" fillId="0" borderId="12" xfId="0" applyNumberFormat="1" applyFont="1" applyFill="1" applyBorder="1"/>
    <xf numFmtId="0" fontId="6" fillId="4" borderId="5" xfId="0" applyFont="1" applyFill="1" applyBorder="1" applyAlignment="1">
      <alignment horizontal="left"/>
    </xf>
    <xf numFmtId="166" fontId="6" fillId="4" borderId="6" xfId="0" applyNumberFormat="1" applyFont="1" applyFill="1" applyBorder="1"/>
    <xf numFmtId="0" fontId="6" fillId="4" borderId="0" xfId="0" applyFont="1" applyFill="1" applyBorder="1" applyAlignment="1">
      <alignment horizontal="left"/>
    </xf>
    <xf numFmtId="167" fontId="6" fillId="4" borderId="8" xfId="2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left"/>
    </xf>
    <xf numFmtId="168" fontId="6" fillId="4" borderId="10" xfId="0" applyNumberFormat="1" applyFont="1" applyFill="1" applyBorder="1"/>
    <xf numFmtId="10" fontId="12" fillId="3" borderId="2" xfId="2" applyNumberFormat="1" applyFont="1" applyFill="1" applyBorder="1"/>
    <xf numFmtId="10" fontId="12" fillId="6" borderId="10" xfId="0" applyNumberFormat="1" applyFont="1" applyFill="1" applyBorder="1"/>
    <xf numFmtId="0" fontId="0" fillId="3" borderId="0" xfId="0" applyFill="1"/>
    <xf numFmtId="0" fontId="5" fillId="4" borderId="0" xfId="0" applyFont="1" applyFill="1" applyBorder="1" applyAlignment="1">
      <alignment horizontal="left"/>
    </xf>
    <xf numFmtId="167" fontId="5" fillId="4" borderId="8" xfId="2" applyNumberFormat="1" applyFont="1" applyFill="1" applyBorder="1"/>
    <xf numFmtId="167" fontId="5" fillId="8" borderId="0" xfId="2" applyNumberFormat="1" applyFont="1" applyFill="1" applyBorder="1"/>
    <xf numFmtId="0" fontId="6" fillId="8" borderId="0" xfId="0" applyFont="1" applyFill="1" applyBorder="1" applyAlignment="1">
      <alignment horizontal="left"/>
    </xf>
    <xf numFmtId="0" fontId="6" fillId="3" borderId="1" xfId="0" applyFont="1" applyFill="1" applyBorder="1"/>
    <xf numFmtId="0" fontId="6" fillId="0" borderId="1" xfId="0" applyFont="1" applyBorder="1"/>
    <xf numFmtId="166" fontId="6" fillId="3" borderId="1" xfId="0" applyNumberFormat="1" applyFont="1" applyFill="1" applyBorder="1"/>
    <xf numFmtId="10" fontId="17" fillId="3" borderId="2" xfId="2" applyNumberFormat="1" applyFont="1" applyFill="1" applyBorder="1"/>
    <xf numFmtId="167" fontId="5" fillId="3" borderId="0" xfId="2" applyNumberFormat="1" applyFont="1" applyFill="1" applyBorder="1" applyAlignment="1"/>
    <xf numFmtId="9" fontId="6" fillId="3" borderId="0" xfId="0" applyNumberFormat="1" applyFont="1" applyFill="1" applyBorder="1"/>
    <xf numFmtId="0" fontId="6" fillId="3" borderId="0" xfId="0" applyFont="1" applyFill="1" applyBorder="1" applyAlignment="1">
      <alignment horizontal="center" vertical="center"/>
    </xf>
    <xf numFmtId="10" fontId="5" fillId="3" borderId="0" xfId="2" applyNumberFormat="1" applyFont="1" applyFill="1" applyBorder="1"/>
    <xf numFmtId="0" fontId="5" fillId="3" borderId="0" xfId="0" applyFont="1" applyFill="1" applyBorder="1"/>
    <xf numFmtId="10" fontId="6" fillId="3" borderId="0" xfId="2" applyNumberFormat="1" applyFont="1" applyFill="1" applyBorder="1"/>
    <xf numFmtId="0" fontId="15" fillId="3" borderId="0" xfId="0" applyFont="1" applyFill="1" applyAlignment="1"/>
    <xf numFmtId="0" fontId="14" fillId="3" borderId="0" xfId="0" applyFont="1" applyFill="1"/>
    <xf numFmtId="166" fontId="10" fillId="3" borderId="3" xfId="0" applyNumberFormat="1" applyFont="1" applyFill="1" applyBorder="1"/>
    <xf numFmtId="10" fontId="12" fillId="4" borderId="3" xfId="2" applyNumberFormat="1" applyFont="1" applyFill="1" applyBorder="1"/>
    <xf numFmtId="166" fontId="0" fillId="0" borderId="0" xfId="0" applyNumberFormat="1"/>
    <xf numFmtId="166" fontId="6" fillId="0" borderId="2" xfId="0" applyNumberFormat="1" applyFont="1" applyBorder="1"/>
    <xf numFmtId="170" fontId="20" fillId="8" borderId="0" xfId="2" applyNumberFormat="1" applyFont="1" applyFill="1"/>
    <xf numFmtId="0" fontId="21" fillId="3" borderId="0" xfId="0" applyFont="1" applyFill="1"/>
    <xf numFmtId="167" fontId="21" fillId="3" borderId="0" xfId="2" applyNumberFormat="1" applyFont="1" applyFill="1"/>
    <xf numFmtId="167" fontId="21" fillId="3" borderId="0" xfId="2" applyNumberFormat="1" applyFont="1" applyFill="1" applyBorder="1"/>
    <xf numFmtId="0" fontId="18" fillId="3" borderId="0" xfId="0" applyFont="1" applyFill="1"/>
    <xf numFmtId="166" fontId="6" fillId="6" borderId="10" xfId="0" applyNumberFormat="1" applyFont="1" applyFill="1" applyBorder="1"/>
    <xf numFmtId="167" fontId="5" fillId="6" borderId="13" xfId="2" applyNumberFormat="1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vertical="center" wrapText="1"/>
    </xf>
    <xf numFmtId="166" fontId="5" fillId="3" borderId="0" xfId="0" applyNumberFormat="1" applyFont="1" applyFill="1" applyBorder="1"/>
    <xf numFmtId="0" fontId="22" fillId="3" borderId="0" xfId="0" applyFont="1" applyFill="1" applyAlignment="1"/>
    <xf numFmtId="0" fontId="5" fillId="6" borderId="1" xfId="0" applyFont="1" applyFill="1" applyBorder="1" applyAlignment="1">
      <alignment vertical="center" wrapText="1"/>
    </xf>
    <xf numFmtId="0" fontId="22" fillId="3" borderId="0" xfId="0" applyFont="1" applyFill="1" applyAlignment="1">
      <alignment horizontal="center" vertical="center"/>
    </xf>
    <xf numFmtId="0" fontId="0" fillId="0" borderId="1" xfId="0" applyBorder="1"/>
    <xf numFmtId="167" fontId="5" fillId="6" borderId="19" xfId="2" applyNumberFormat="1" applyFont="1" applyFill="1" applyBorder="1" applyAlignment="1">
      <alignment horizontal="center" vertical="center" wrapText="1"/>
    </xf>
    <xf numFmtId="166" fontId="6" fillId="0" borderId="20" xfId="0" applyNumberFormat="1" applyFont="1" applyBorder="1"/>
    <xf numFmtId="166" fontId="6" fillId="5" borderId="20" xfId="0" applyNumberFormat="1" applyFont="1" applyFill="1" applyBorder="1"/>
    <xf numFmtId="166" fontId="5" fillId="5" borderId="16" xfId="0" applyNumberFormat="1" applyFont="1" applyFill="1" applyBorder="1"/>
    <xf numFmtId="0" fontId="5" fillId="6" borderId="19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168" fontId="5" fillId="3" borderId="0" xfId="0" applyNumberFormat="1" applyFont="1" applyFill="1"/>
    <xf numFmtId="0" fontId="5" fillId="3" borderId="0" xfId="0" applyFont="1" applyFill="1" applyBorder="1" applyAlignment="1">
      <alignment horizontal="left"/>
    </xf>
    <xf numFmtId="167" fontId="6" fillId="4" borderId="10" xfId="2" applyNumberFormat="1" applyFont="1" applyFill="1" applyBorder="1" applyAlignment="1">
      <alignment horizontal="right"/>
    </xf>
    <xf numFmtId="164" fontId="6" fillId="4" borderId="8" xfId="4" applyFont="1" applyFill="1" applyBorder="1" applyAlignment="1">
      <alignment horizontal="right"/>
    </xf>
    <xf numFmtId="164" fontId="6" fillId="4" borderId="8" xfId="4" applyFont="1" applyFill="1" applyBorder="1" applyAlignment="1"/>
    <xf numFmtId="0" fontId="10" fillId="6" borderId="13" xfId="0" applyFont="1" applyFill="1" applyBorder="1" applyAlignment="1">
      <alignment horizontal="center" vertical="center" wrapText="1"/>
    </xf>
    <xf numFmtId="166" fontId="6" fillId="3" borderId="20" xfId="0" applyNumberFormat="1" applyFont="1" applyFill="1" applyBorder="1"/>
    <xf numFmtId="166" fontId="6" fillId="3" borderId="21" xfId="0" applyNumberFormat="1" applyFont="1" applyFill="1" applyBorder="1"/>
    <xf numFmtId="0" fontId="8" fillId="7" borderId="19" xfId="0" applyFont="1" applyFill="1" applyBorder="1" applyAlignment="1">
      <alignment horizontal="center" vertical="center" wrapText="1"/>
    </xf>
    <xf numFmtId="166" fontId="25" fillId="3" borderId="16" xfId="0" applyNumberFormat="1" applyFont="1" applyFill="1" applyBorder="1"/>
    <xf numFmtId="0" fontId="15" fillId="3" borderId="0" xfId="0" applyFont="1" applyFill="1" applyAlignment="1">
      <alignment horizontal="center"/>
    </xf>
    <xf numFmtId="0" fontId="26" fillId="3" borderId="0" xfId="0" applyFont="1" applyFill="1" applyAlignment="1"/>
    <xf numFmtId="9" fontId="6" fillId="4" borderId="10" xfId="2" applyFont="1" applyFill="1" applyBorder="1"/>
    <xf numFmtId="0" fontId="27" fillId="3" borderId="0" xfId="0" applyFont="1" applyFill="1" applyAlignment="1"/>
    <xf numFmtId="167" fontId="10" fillId="6" borderId="14" xfId="2" applyNumberFormat="1" applyFont="1" applyFill="1" applyBorder="1" applyAlignment="1">
      <alignment horizontal="center" vertical="center" wrapText="1"/>
    </xf>
    <xf numFmtId="166" fontId="6" fillId="5" borderId="21" xfId="0" applyNumberFormat="1" applyFont="1" applyFill="1" applyBorder="1"/>
    <xf numFmtId="166" fontId="5" fillId="5" borderId="21" xfId="0" applyNumberFormat="1" applyFont="1" applyFill="1" applyBorder="1"/>
    <xf numFmtId="0" fontId="27" fillId="3" borderId="0" xfId="0" applyFont="1" applyFill="1" applyAlignment="1">
      <alignment horizontal="left"/>
    </xf>
    <xf numFmtId="10" fontId="12" fillId="6" borderId="3" xfId="2" applyNumberFormat="1" applyFont="1" applyFill="1" applyBorder="1"/>
    <xf numFmtId="171" fontId="6" fillId="6" borderId="8" xfId="2" applyNumberFormat="1" applyFont="1" applyFill="1" applyBorder="1" applyAlignment="1">
      <alignment horizontal="right"/>
    </xf>
    <xf numFmtId="0" fontId="6" fillId="3" borderId="20" xfId="0" applyFont="1" applyFill="1" applyBorder="1"/>
    <xf numFmtId="166" fontId="6" fillId="9" borderId="20" xfId="0" applyNumberFormat="1" applyFont="1" applyFill="1" applyBorder="1"/>
    <xf numFmtId="166" fontId="6" fillId="9" borderId="21" xfId="0" applyNumberFormat="1" applyFont="1" applyFill="1" applyBorder="1"/>
    <xf numFmtId="166" fontId="5" fillId="9" borderId="16" xfId="0" applyNumberFormat="1" applyFont="1" applyFill="1" applyBorder="1"/>
    <xf numFmtId="166" fontId="5" fillId="9" borderId="21" xfId="0" applyNumberFormat="1" applyFont="1" applyFill="1" applyBorder="1"/>
    <xf numFmtId="166" fontId="6" fillId="6" borderId="8" xfId="2" applyNumberFormat="1" applyFont="1" applyFill="1" applyBorder="1" applyAlignment="1">
      <alignment horizontal="right"/>
    </xf>
    <xf numFmtId="167" fontId="6" fillId="6" borderId="10" xfId="2" applyNumberFormat="1" applyFont="1" applyFill="1" applyBorder="1" applyAlignment="1">
      <alignment horizontal="right"/>
    </xf>
    <xf numFmtId="0" fontId="10" fillId="6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166" fontId="0" fillId="3" borderId="0" xfId="0" applyNumberFormat="1" applyFill="1"/>
    <xf numFmtId="0" fontId="0" fillId="0" borderId="0" xfId="0" applyBorder="1"/>
    <xf numFmtId="0" fontId="18" fillId="3" borderId="0" xfId="0" applyFont="1" applyFill="1" applyBorder="1"/>
    <xf numFmtId="0" fontId="29" fillId="3" borderId="0" xfId="0" applyFont="1" applyFill="1" applyBorder="1"/>
    <xf numFmtId="0" fontId="13" fillId="3" borderId="0" xfId="0" applyFont="1" applyFill="1" applyBorder="1"/>
    <xf numFmtId="166" fontId="6" fillId="0" borderId="1" xfId="0" applyNumberFormat="1" applyFont="1" applyBorder="1"/>
    <xf numFmtId="0" fontId="6" fillId="6" borderId="1" xfId="0" applyFont="1" applyFill="1" applyBorder="1"/>
    <xf numFmtId="166" fontId="6" fillId="6" borderId="1" xfId="0" applyNumberFormat="1" applyFont="1" applyFill="1" applyBorder="1"/>
    <xf numFmtId="0" fontId="0" fillId="6" borderId="1" xfId="0" applyFill="1" applyBorder="1"/>
    <xf numFmtId="166" fontId="0" fillId="6" borderId="1" xfId="0" applyNumberFormat="1" applyFill="1" applyBorder="1"/>
    <xf numFmtId="166" fontId="5" fillId="6" borderId="1" xfId="0" applyNumberFormat="1" applyFont="1" applyFill="1" applyBorder="1"/>
    <xf numFmtId="166" fontId="0" fillId="0" borderId="1" xfId="0" applyNumberFormat="1" applyBorder="1"/>
    <xf numFmtId="166" fontId="6" fillId="5" borderId="1" xfId="0" applyNumberFormat="1" applyFont="1" applyFill="1" applyBorder="1"/>
    <xf numFmtId="166" fontId="0" fillId="5" borderId="1" xfId="0" applyNumberFormat="1" applyFill="1" applyBorder="1"/>
    <xf numFmtId="0" fontId="5" fillId="6" borderId="1" xfId="0" applyFont="1" applyFill="1" applyBorder="1"/>
    <xf numFmtId="0" fontId="6" fillId="0" borderId="1" xfId="0" applyFont="1" applyFill="1" applyBorder="1"/>
    <xf numFmtId="10" fontId="30" fillId="4" borderId="0" xfId="2" applyNumberFormat="1" applyFont="1" applyFill="1"/>
    <xf numFmtId="10" fontId="30" fillId="3" borderId="2" xfId="2" applyNumberFormat="1" applyFont="1" applyFill="1" applyBorder="1"/>
    <xf numFmtId="0" fontId="8" fillId="7" borderId="18" xfId="0" applyFont="1" applyFill="1" applyBorder="1" applyAlignment="1">
      <alignment horizontal="center" vertical="center" wrapText="1"/>
    </xf>
    <xf numFmtId="166" fontId="6" fillId="0" borderId="23" xfId="0" applyNumberFormat="1" applyFont="1" applyBorder="1"/>
    <xf numFmtId="166" fontId="6" fillId="3" borderId="23" xfId="0" applyNumberFormat="1" applyFont="1" applyFill="1" applyBorder="1"/>
    <xf numFmtId="166" fontId="25" fillId="3" borderId="22" xfId="0" applyNumberFormat="1" applyFont="1" applyFill="1" applyBorder="1"/>
    <xf numFmtId="166" fontId="5" fillId="0" borderId="15" xfId="0" applyNumberFormat="1" applyFont="1" applyBorder="1"/>
    <xf numFmtId="9" fontId="6" fillId="6" borderId="10" xfId="2" applyFont="1" applyFill="1" applyBorder="1"/>
    <xf numFmtId="167" fontId="30" fillId="4" borderId="8" xfId="2" applyNumberFormat="1" applyFont="1" applyFill="1" applyBorder="1"/>
    <xf numFmtId="10" fontId="30" fillId="6" borderId="8" xfId="0" applyNumberFormat="1" applyFont="1" applyFill="1" applyBorder="1"/>
    <xf numFmtId="0" fontId="10" fillId="6" borderId="6" xfId="0" applyFont="1" applyFill="1" applyBorder="1"/>
    <xf numFmtId="166" fontId="6" fillId="3" borderId="24" xfId="0" applyNumberFormat="1" applyFont="1" applyFill="1" applyBorder="1"/>
    <xf numFmtId="166" fontId="6" fillId="0" borderId="27" xfId="0" applyNumberFormat="1" applyFont="1" applyBorder="1"/>
    <xf numFmtId="166" fontId="6" fillId="9" borderId="0" xfId="0" applyNumberFormat="1" applyFont="1" applyFill="1"/>
    <xf numFmtId="166" fontId="5" fillId="9" borderId="15" xfId="0" applyNumberFormat="1" applyFont="1" applyFill="1" applyBorder="1"/>
    <xf numFmtId="0" fontId="7" fillId="3" borderId="0" xfId="1" applyFont="1" applyFill="1"/>
    <xf numFmtId="9" fontId="5" fillId="3" borderId="0" xfId="0" applyNumberFormat="1" applyFont="1" applyFill="1"/>
    <xf numFmtId="0" fontId="13" fillId="3" borderId="0" xfId="0" applyFont="1" applyFill="1" applyBorder="1" applyAlignment="1">
      <alignment horizontal="center" vertical="center" wrapText="1"/>
    </xf>
    <xf numFmtId="10" fontId="12" fillId="3" borderId="0" xfId="0" applyNumberFormat="1" applyFont="1" applyFill="1" applyBorder="1"/>
    <xf numFmtId="0" fontId="5" fillId="6" borderId="13" xfId="0" applyFont="1" applyFill="1" applyBorder="1" applyAlignment="1">
      <alignment horizontal="center" vertical="center" wrapText="1"/>
    </xf>
    <xf numFmtId="0" fontId="32" fillId="0" borderId="0" xfId="0" applyFont="1"/>
    <xf numFmtId="10" fontId="33" fillId="4" borderId="0" xfId="2" applyNumberFormat="1" applyFont="1" applyFill="1"/>
    <xf numFmtId="166" fontId="32" fillId="0" borderId="0" xfId="0" applyNumberFormat="1" applyFont="1"/>
    <xf numFmtId="0" fontId="32" fillId="0" borderId="0" xfId="0" applyFont="1" applyBorder="1"/>
    <xf numFmtId="0" fontId="34" fillId="0" borderId="17" xfId="0" applyFont="1" applyBorder="1"/>
    <xf numFmtId="10" fontId="33" fillId="4" borderId="2" xfId="2" applyNumberFormat="1" applyFont="1" applyFill="1" applyBorder="1"/>
    <xf numFmtId="166" fontId="34" fillId="0" borderId="2" xfId="0" applyNumberFormat="1" applyFont="1" applyBorder="1"/>
    <xf numFmtId="10" fontId="35" fillId="4" borderId="0" xfId="2" applyNumberFormat="1" applyFont="1" applyFill="1"/>
    <xf numFmtId="10" fontId="35" fillId="4" borderId="2" xfId="2" applyNumberFormat="1" applyFont="1" applyFill="1" applyBorder="1"/>
    <xf numFmtId="167" fontId="34" fillId="6" borderId="1" xfId="2" applyNumberFormat="1" applyFont="1" applyFill="1" applyBorder="1" applyAlignment="1">
      <alignment horizontal="center" vertical="center" wrapText="1"/>
    </xf>
    <xf numFmtId="10" fontId="33" fillId="6" borderId="0" xfId="2" applyNumberFormat="1" applyFont="1" applyFill="1" applyAlignment="1">
      <alignment horizontal="center"/>
    </xf>
    <xf numFmtId="166" fontId="32" fillId="0" borderId="20" xfId="0" applyNumberFormat="1" applyFont="1" applyBorder="1"/>
    <xf numFmtId="166" fontId="32" fillId="5" borderId="20" xfId="0" applyNumberFormat="1" applyFont="1" applyFill="1" applyBorder="1"/>
    <xf numFmtId="10" fontId="37" fillId="4" borderId="0" xfId="2" applyNumberFormat="1" applyFont="1" applyFill="1"/>
    <xf numFmtId="10" fontId="37" fillId="4" borderId="3" xfId="2" applyNumberFormat="1" applyFont="1" applyFill="1" applyBorder="1"/>
    <xf numFmtId="10" fontId="37" fillId="6" borderId="3" xfId="2" applyNumberFormat="1" applyFont="1" applyFill="1" applyBorder="1"/>
    <xf numFmtId="0" fontId="34" fillId="6" borderId="1" xfId="0" applyFont="1" applyFill="1" applyBorder="1" applyAlignment="1">
      <alignment horizontal="center" vertical="center" wrapText="1"/>
    </xf>
    <xf numFmtId="167" fontId="34" fillId="6" borderId="13" xfId="2" applyNumberFormat="1" applyFont="1" applyFill="1" applyBorder="1" applyAlignment="1">
      <alignment horizontal="center" vertical="center" wrapText="1"/>
    </xf>
    <xf numFmtId="0" fontId="32" fillId="3" borderId="0" xfId="0" applyFont="1" applyFill="1"/>
    <xf numFmtId="0" fontId="5" fillId="6" borderId="25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left"/>
    </xf>
    <xf numFmtId="167" fontId="33" fillId="4" borderId="0" xfId="2" applyNumberFormat="1" applyFont="1" applyFill="1"/>
    <xf numFmtId="166" fontId="32" fillId="0" borderId="0" xfId="0" applyNumberFormat="1" applyFont="1" applyBorder="1"/>
    <xf numFmtId="10" fontId="33" fillId="4" borderId="0" xfId="2" applyNumberFormat="1" applyFont="1" applyFill="1" applyBorder="1"/>
    <xf numFmtId="10" fontId="35" fillId="4" borderId="0" xfId="2" applyNumberFormat="1" applyFont="1" applyFill="1" applyBorder="1"/>
    <xf numFmtId="0" fontId="34" fillId="0" borderId="15" xfId="0" applyFont="1" applyBorder="1"/>
    <xf numFmtId="166" fontId="34" fillId="3" borderId="15" xfId="0" applyNumberFormat="1" applyFont="1" applyFill="1" applyBorder="1"/>
    <xf numFmtId="166" fontId="34" fillId="0" borderId="15" xfId="0" applyNumberFormat="1" applyFont="1" applyBorder="1"/>
    <xf numFmtId="10" fontId="33" fillId="3" borderId="15" xfId="2" applyNumberFormat="1" applyFont="1" applyFill="1" applyBorder="1"/>
    <xf numFmtId="10" fontId="35" fillId="3" borderId="15" xfId="2" applyNumberFormat="1" applyFont="1" applyFill="1" applyBorder="1"/>
    <xf numFmtId="166" fontId="34" fillId="3" borderId="15" xfId="0" applyNumberFormat="1" applyFont="1" applyFill="1" applyBorder="1" applyAlignment="1">
      <alignment horizontal="center"/>
    </xf>
    <xf numFmtId="166" fontId="34" fillId="5" borderId="26" xfId="0" applyNumberFormat="1" applyFont="1" applyFill="1" applyBorder="1"/>
    <xf numFmtId="169" fontId="32" fillId="0" borderId="0" xfId="0" applyNumberFormat="1" applyFont="1" applyAlignment="1">
      <alignment horizontal="left"/>
    </xf>
    <xf numFmtId="169" fontId="32" fillId="0" borderId="0" xfId="0" applyNumberFormat="1" applyFont="1" applyBorder="1" applyAlignment="1">
      <alignment horizontal="left"/>
    </xf>
    <xf numFmtId="169" fontId="32" fillId="0" borderId="2" xfId="0" applyNumberFormat="1" applyFont="1" applyBorder="1" applyAlignment="1">
      <alignment horizontal="left"/>
    </xf>
    <xf numFmtId="166" fontId="39" fillId="3" borderId="2" xfId="0" applyNumberFormat="1" applyFont="1" applyFill="1" applyBorder="1"/>
    <xf numFmtId="166" fontId="40" fillId="3" borderId="2" xfId="0" applyNumberFormat="1" applyFont="1" applyFill="1" applyBorder="1"/>
    <xf numFmtId="166" fontId="41" fillId="3" borderId="2" xfId="0" applyNumberFormat="1" applyFont="1" applyFill="1" applyBorder="1"/>
    <xf numFmtId="0" fontId="34" fillId="0" borderId="1" xfId="0" applyFont="1" applyBorder="1" applyAlignment="1">
      <alignment horizontal="center"/>
    </xf>
    <xf numFmtId="166" fontId="34" fillId="0" borderId="0" xfId="0" applyNumberFormat="1" applyFont="1"/>
    <xf numFmtId="0" fontId="34" fillId="3" borderId="0" xfId="0" applyFont="1" applyFill="1"/>
    <xf numFmtId="0" fontId="32" fillId="10" borderId="4" xfId="0" applyFont="1" applyFill="1" applyBorder="1"/>
    <xf numFmtId="0" fontId="32" fillId="10" borderId="5" xfId="0" applyFont="1" applyFill="1" applyBorder="1"/>
    <xf numFmtId="0" fontId="34" fillId="10" borderId="5" xfId="0" applyFont="1" applyFill="1" applyBorder="1" applyAlignment="1">
      <alignment horizontal="center"/>
    </xf>
    <xf numFmtId="0" fontId="34" fillId="10" borderId="6" xfId="0" applyFont="1" applyFill="1" applyBorder="1" applyAlignment="1">
      <alignment horizontal="center"/>
    </xf>
    <xf numFmtId="0" fontId="34" fillId="3" borderId="0" xfId="0" applyFont="1" applyFill="1" applyAlignment="1">
      <alignment horizontal="center"/>
    </xf>
    <xf numFmtId="0" fontId="38" fillId="3" borderId="0" xfId="0" applyFont="1" applyFill="1" applyAlignment="1">
      <alignment horizontal="center"/>
    </xf>
    <xf numFmtId="0" fontId="34" fillId="3" borderId="7" xfId="0" applyFont="1" applyFill="1" applyBorder="1" applyAlignment="1">
      <alignment horizontal="left"/>
    </xf>
    <xf numFmtId="10" fontId="32" fillId="3" borderId="0" xfId="2" applyNumberFormat="1" applyFont="1" applyFill="1" applyBorder="1"/>
    <xf numFmtId="10" fontId="33" fillId="3" borderId="0" xfId="2" applyNumberFormat="1" applyFont="1" applyFill="1" applyBorder="1"/>
    <xf numFmtId="167" fontId="33" fillId="3" borderId="0" xfId="2" applyNumberFormat="1" applyFont="1" applyFill="1" applyBorder="1"/>
    <xf numFmtId="167" fontId="33" fillId="3" borderId="8" xfId="2" applyNumberFormat="1" applyFont="1" applyFill="1" applyBorder="1"/>
    <xf numFmtId="167" fontId="34" fillId="3" borderId="0" xfId="2" applyNumberFormat="1" applyFont="1" applyFill="1" applyBorder="1"/>
    <xf numFmtId="167" fontId="38" fillId="3" borderId="0" xfId="2" applyNumberFormat="1" applyFont="1" applyFill="1" applyBorder="1"/>
    <xf numFmtId="167" fontId="32" fillId="3" borderId="0" xfId="2" applyNumberFormat="1" applyFont="1" applyFill="1" applyBorder="1" applyAlignment="1">
      <alignment horizontal="right"/>
    </xf>
    <xf numFmtId="10" fontId="32" fillId="3" borderId="0" xfId="2" applyNumberFormat="1" applyFont="1" applyFill="1" applyBorder="1" applyAlignment="1">
      <alignment horizontal="right"/>
    </xf>
    <xf numFmtId="167" fontId="32" fillId="3" borderId="8" xfId="2" applyNumberFormat="1" applyFont="1" applyFill="1" applyBorder="1" applyAlignment="1">
      <alignment horizontal="right"/>
    </xf>
    <xf numFmtId="167" fontId="42" fillId="3" borderId="0" xfId="2" applyNumberFormat="1" applyFont="1" applyFill="1" applyBorder="1" applyAlignment="1">
      <alignment horizontal="right"/>
    </xf>
    <xf numFmtId="0" fontId="34" fillId="3" borderId="9" xfId="0" applyFont="1" applyFill="1" applyBorder="1" applyAlignment="1">
      <alignment horizontal="left"/>
    </xf>
    <xf numFmtId="168" fontId="32" fillId="3" borderId="3" xfId="0" applyNumberFormat="1" applyFont="1" applyFill="1" applyBorder="1"/>
    <xf numFmtId="168" fontId="32" fillId="3" borderId="10" xfId="0" applyNumberFormat="1" applyFont="1" applyFill="1" applyBorder="1"/>
    <xf numFmtId="168" fontId="32" fillId="3" borderId="0" xfId="0" applyNumberFormat="1" applyFont="1" applyFill="1" applyBorder="1"/>
    <xf numFmtId="168" fontId="42" fillId="3" borderId="0" xfId="0" applyNumberFormat="1" applyFont="1" applyFill="1" applyBorder="1"/>
    <xf numFmtId="0" fontId="32" fillId="3" borderId="0" xfId="0" applyFont="1" applyFill="1" applyAlignment="1">
      <alignment horizontal="left"/>
    </xf>
    <xf numFmtId="168" fontId="32" fillId="3" borderId="0" xfId="0" applyNumberFormat="1" applyFont="1" applyFill="1"/>
    <xf numFmtId="0" fontId="42" fillId="3" borderId="0" xfId="0" applyFont="1" applyFill="1"/>
    <xf numFmtId="0" fontId="34" fillId="3" borderId="4" xfId="0" applyFont="1" applyFill="1" applyBorder="1" applyAlignment="1">
      <alignment horizontal="left"/>
    </xf>
    <xf numFmtId="0" fontId="32" fillId="3" borderId="5" xfId="0" applyFont="1" applyFill="1" applyBorder="1"/>
    <xf numFmtId="0" fontId="36" fillId="3" borderId="6" xfId="0" applyFont="1" applyFill="1" applyBorder="1"/>
    <xf numFmtId="0" fontId="32" fillId="3" borderId="0" xfId="0" applyFont="1" applyFill="1" applyBorder="1"/>
    <xf numFmtId="166" fontId="34" fillId="3" borderId="8" xfId="0" applyNumberFormat="1" applyFont="1" applyFill="1" applyBorder="1"/>
    <xf numFmtId="166" fontId="32" fillId="3" borderId="0" xfId="0" applyNumberFormat="1" applyFont="1" applyFill="1"/>
    <xf numFmtId="9" fontId="33" fillId="3" borderId="8" xfId="2" applyFont="1" applyFill="1" applyBorder="1"/>
    <xf numFmtId="0" fontId="32" fillId="3" borderId="0" xfId="0" applyFont="1" applyFill="1" applyAlignment="1"/>
    <xf numFmtId="0" fontId="32" fillId="3" borderId="3" xfId="0" applyFont="1" applyFill="1" applyBorder="1"/>
    <xf numFmtId="167" fontId="33" fillId="3" borderId="10" xfId="2" applyNumberFormat="1" applyFont="1" applyFill="1" applyBorder="1"/>
    <xf numFmtId="0" fontId="0" fillId="8" borderId="0" xfId="0" applyFill="1"/>
    <xf numFmtId="0" fontId="43" fillId="8" borderId="0" xfId="0" applyFont="1" applyFill="1"/>
    <xf numFmtId="0" fontId="38" fillId="7" borderId="0" xfId="0" applyFont="1" applyFill="1" applyBorder="1" applyAlignment="1">
      <alignment horizontal="center" wrapText="1"/>
    </xf>
    <xf numFmtId="0" fontId="38" fillId="7" borderId="11" xfId="0" applyFont="1" applyFill="1" applyBorder="1" applyAlignment="1">
      <alignment horizontal="center" wrapText="1"/>
    </xf>
    <xf numFmtId="0" fontId="31" fillId="3" borderId="4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left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/>
    </xf>
    <xf numFmtId="166" fontId="6" fillId="0" borderId="0" xfId="0" applyNumberFormat="1" applyFont="1" applyFill="1"/>
    <xf numFmtId="0" fontId="44" fillId="3" borderId="0" xfId="1" applyFont="1" applyFill="1"/>
  </cellXfs>
  <cellStyles count="5">
    <cellStyle name="Dziesiętny" xfId="3" builtinId="3"/>
    <cellStyle name="Hiperłącze" xfId="1" builtinId="8"/>
    <cellStyle name="Normalny" xfId="0" builtinId="0"/>
    <cellStyle name="Procentowy" xfId="2" builtinId="5"/>
    <cellStyle name="Walutowy" xfId="4" builtinId="4"/>
  </cellStyles>
  <dxfs count="66">
    <dxf>
      <font>
        <b/>
        <i val="0"/>
        <color rgb="FF00B050"/>
      </font>
      <numFmt numFmtId="166" formatCode="#,##0.00\ &quot;zł&quot;"/>
      <fill>
        <patternFill>
          <bgColor theme="0"/>
        </patternFill>
      </fill>
    </dxf>
    <dxf>
      <font>
        <b/>
        <i val="0"/>
        <color rgb="FFC00000"/>
      </font>
    </dxf>
    <dxf>
      <font>
        <b/>
        <i val="0"/>
        <color rgb="FF00B050"/>
      </font>
      <numFmt numFmtId="166" formatCode="#,##0.00\ &quot;zł&quot;"/>
      <fill>
        <patternFill>
          <bgColor theme="0"/>
        </patternFill>
      </fill>
    </dxf>
    <dxf>
      <font>
        <b/>
        <i val="0"/>
        <color rgb="FFC00000"/>
      </font>
    </dxf>
    <dxf>
      <font>
        <b/>
        <i val="0"/>
        <color rgb="FF00B050"/>
      </font>
      <numFmt numFmtId="166" formatCode="#,##0.00\ &quot;zł&quot;"/>
      <fill>
        <patternFill>
          <bgColor theme="0"/>
        </patternFill>
      </fill>
    </dxf>
    <dxf>
      <font>
        <b/>
        <i val="0"/>
        <color rgb="FFC00000"/>
      </font>
    </dxf>
    <dxf>
      <font>
        <b/>
        <i val="0"/>
        <color rgb="FF00B050"/>
      </font>
      <numFmt numFmtId="166" formatCode="#,##0.00\ &quot;zł&quot;"/>
      <fill>
        <patternFill>
          <bgColor theme="0"/>
        </patternFill>
      </fill>
    </dxf>
    <dxf>
      <font>
        <b/>
        <i val="0"/>
        <color rgb="FFC00000"/>
      </font>
    </dxf>
    <dxf>
      <font>
        <b/>
        <i val="0"/>
        <color rgb="FF00B050"/>
      </font>
      <numFmt numFmtId="166" formatCode="#,##0.00\ &quot;zł&quot;"/>
      <fill>
        <patternFill>
          <bgColor theme="0"/>
        </patternFill>
      </fill>
    </dxf>
    <dxf>
      <font>
        <b/>
        <i val="0"/>
        <color rgb="FFC00000"/>
      </font>
    </dxf>
    <dxf>
      <font>
        <b/>
        <i val="0"/>
        <color rgb="FF00B050"/>
      </font>
      <numFmt numFmtId="166" formatCode="#,##0.00\ &quot;zł&quot;"/>
      <fill>
        <patternFill>
          <bgColor theme="0"/>
        </patternFill>
      </fill>
    </dxf>
    <dxf>
      <font>
        <b/>
        <i val="0"/>
        <color rgb="FFC00000"/>
      </font>
    </dxf>
    <dxf>
      <font>
        <b/>
        <i val="0"/>
        <color rgb="FF00B050"/>
      </font>
      <numFmt numFmtId="166" formatCode="#,##0.00\ &quot;zł&quot;"/>
      <fill>
        <patternFill>
          <bgColor theme="0"/>
        </patternFill>
      </fill>
    </dxf>
    <dxf>
      <font>
        <b/>
        <i val="0"/>
        <color rgb="FFC00000"/>
      </font>
    </dxf>
    <dxf>
      <font>
        <b/>
        <i val="0"/>
        <color rgb="FF00B050"/>
      </font>
      <numFmt numFmtId="166" formatCode="#,##0.00\ &quot;zł&quot;"/>
      <fill>
        <patternFill>
          <bgColor theme="0"/>
        </patternFill>
      </fill>
    </dxf>
    <dxf>
      <font>
        <b/>
        <i val="0"/>
        <color rgb="FFC00000"/>
      </font>
    </dxf>
    <dxf>
      <font>
        <b/>
        <i val="0"/>
        <color rgb="FF00B050"/>
      </font>
      <numFmt numFmtId="166" formatCode="#,##0.00\ &quot;zł&quot;"/>
      <fill>
        <patternFill>
          <bgColor theme="0"/>
        </patternFill>
      </fill>
    </dxf>
    <dxf>
      <font>
        <b/>
        <i val="0"/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arciniwuc.com/obligacje-skarbowe-czy-nadal-warto/" TargetMode="External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marciniwuc.com/obligacje-skarbowe-czy-nadal-warto/" TargetMode="External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marciniwuc.com/obligacje-skarbowe-czy-nadal-warto/" TargetMode="External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marciniwuc.com/obligacje-skarbowe-czy-nadal-warto/" TargetMode="External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marciniwuc.com/obligacje-skarbowe-czy-nadal-warto/" TargetMode="External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s://marciniwuc.com/obligacje-skarbowe-czy-nadal-warto/" TargetMode="External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marciniwuc.com/obligacje-skarbowe-czy-nadal-wart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77894</xdr:colOff>
      <xdr:row>29</xdr:row>
      <xdr:rowOff>160655</xdr:rowOff>
    </xdr:from>
    <xdr:to>
      <xdr:col>2</xdr:col>
      <xdr:colOff>588858</xdr:colOff>
      <xdr:row>30</xdr:row>
      <xdr:rowOff>171450</xdr:rowOff>
    </xdr:to>
    <xdr:pic>
      <xdr:nvPicPr>
        <xdr:cNvPr id="4" name="Grafika 3" descr="Strzałka w górę">
          <a:extLst>
            <a:ext uri="{FF2B5EF4-FFF2-40B4-BE49-F238E27FC236}">
              <a16:creationId xmlns:a16="http://schemas.microsoft.com/office/drawing/2014/main" id="{2E9D78B8-4766-490F-AB98-4A25FF165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68419" y="6856730"/>
          <a:ext cx="510964" cy="220345"/>
        </a:xfrm>
        <a:prstGeom prst="rect">
          <a:avLst/>
        </a:prstGeom>
      </xdr:spPr>
    </xdr:pic>
    <xdr:clientData/>
  </xdr:twoCellAnchor>
  <xdr:twoCellAnchor editAs="absolute">
    <xdr:from>
      <xdr:col>10</xdr:col>
      <xdr:colOff>0</xdr:colOff>
      <xdr:row>2</xdr:row>
      <xdr:rowOff>0</xdr:rowOff>
    </xdr:from>
    <xdr:to>
      <xdr:col>12</xdr:col>
      <xdr:colOff>643819</xdr:colOff>
      <xdr:row>4</xdr:row>
      <xdr:rowOff>201790</xdr:rowOff>
    </xdr:to>
    <xdr:pic>
      <xdr:nvPicPr>
        <xdr:cNvPr id="3" name="image1.png" title="https://marciniwuc.com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7E3A1F6-4F64-1140-8FD7-925A31ECF482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899400" y="266700"/>
          <a:ext cx="2472619" cy="6081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137507</xdr:colOff>
      <xdr:row>0</xdr:row>
      <xdr:rowOff>95250</xdr:rowOff>
    </xdr:from>
    <xdr:to>
      <xdr:col>17</xdr:col>
      <xdr:colOff>124172</xdr:colOff>
      <xdr:row>6</xdr:row>
      <xdr:rowOff>1017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84974CF-6D00-4A03-BA06-44A7829F9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49393" y="95250"/>
          <a:ext cx="3525289" cy="968930"/>
        </a:xfrm>
        <a:prstGeom prst="rect">
          <a:avLst/>
        </a:prstGeom>
      </xdr:spPr>
    </xdr:pic>
    <xdr:clientData/>
  </xdr:twoCellAnchor>
  <xdr:twoCellAnchor editAs="absolute">
    <xdr:from>
      <xdr:col>7</xdr:col>
      <xdr:colOff>0</xdr:colOff>
      <xdr:row>2</xdr:row>
      <xdr:rowOff>0</xdr:rowOff>
    </xdr:from>
    <xdr:to>
      <xdr:col>10</xdr:col>
      <xdr:colOff>48074</xdr:colOff>
      <xdr:row>5</xdr:row>
      <xdr:rowOff>111735</xdr:rowOff>
    </xdr:to>
    <xdr:pic>
      <xdr:nvPicPr>
        <xdr:cNvPr id="4" name="image1.png" title="https://marciniwuc.co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D52F0A-3E61-CE43-AFE8-C9E80A4C6D1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49273" y="438727"/>
          <a:ext cx="2472619" cy="6081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386715</xdr:colOff>
      <xdr:row>0</xdr:row>
      <xdr:rowOff>286790</xdr:rowOff>
    </xdr:from>
    <xdr:to>
      <xdr:col>17</xdr:col>
      <xdr:colOff>429794</xdr:colOff>
      <xdr:row>8</xdr:row>
      <xdr:rowOff>49248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E5B566B-E331-4B0F-89D7-CBF39FF74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2647" y="286790"/>
          <a:ext cx="5404096" cy="1329753"/>
        </a:xfrm>
        <a:prstGeom prst="rect">
          <a:avLst/>
        </a:prstGeom>
      </xdr:spPr>
    </xdr:pic>
    <xdr:clientData/>
  </xdr:twoCellAnchor>
  <xdr:twoCellAnchor editAs="absolute">
    <xdr:from>
      <xdr:col>6</xdr:col>
      <xdr:colOff>173182</xdr:colOff>
      <xdr:row>1</xdr:row>
      <xdr:rowOff>161637</xdr:rowOff>
    </xdr:from>
    <xdr:to>
      <xdr:col>9</xdr:col>
      <xdr:colOff>244346</xdr:colOff>
      <xdr:row>5</xdr:row>
      <xdr:rowOff>65554</xdr:rowOff>
    </xdr:to>
    <xdr:pic>
      <xdr:nvPicPr>
        <xdr:cNvPr id="3" name="image1.png" title="https://marciniwuc.co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780D5E-DE75-C644-B8C0-7428B04BD10C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99000" y="461819"/>
          <a:ext cx="2472619" cy="60819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819467</xdr:colOff>
      <xdr:row>1</xdr:row>
      <xdr:rowOff>30042</xdr:rowOff>
    </xdr:from>
    <xdr:to>
      <xdr:col>14</xdr:col>
      <xdr:colOff>572518</xdr:colOff>
      <xdr:row>6</xdr:row>
      <xdr:rowOff>85995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E0D7075-0D9F-48E7-8791-58AFDE3A4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1155" y="307855"/>
          <a:ext cx="3642426" cy="937015"/>
        </a:xfrm>
        <a:prstGeom prst="rect">
          <a:avLst/>
        </a:prstGeom>
      </xdr:spPr>
    </xdr:pic>
    <xdr:clientData/>
  </xdr:twoCellAnchor>
  <xdr:twoCellAnchor editAs="absolute">
    <xdr:from>
      <xdr:col>6</xdr:col>
      <xdr:colOff>232833</xdr:colOff>
      <xdr:row>0</xdr:row>
      <xdr:rowOff>254000</xdr:rowOff>
    </xdr:from>
    <xdr:to>
      <xdr:col>9</xdr:col>
      <xdr:colOff>641702</xdr:colOff>
      <xdr:row>4</xdr:row>
      <xdr:rowOff>47273</xdr:rowOff>
    </xdr:to>
    <xdr:pic>
      <xdr:nvPicPr>
        <xdr:cNvPr id="3" name="image1.png" title="https://marciniwuc.co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B84F5A-56D5-0444-8544-DEB630BB298E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92083" y="254000"/>
          <a:ext cx="2472619" cy="60819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607695</xdr:colOff>
      <xdr:row>1</xdr:row>
      <xdr:rowOff>66675</xdr:rowOff>
    </xdr:from>
    <xdr:to>
      <xdr:col>17</xdr:col>
      <xdr:colOff>275428</xdr:colOff>
      <xdr:row>6</xdr:row>
      <xdr:rowOff>171413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68E8F57-E9D7-4ADF-BD36-5DB6DBD6F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94395" y="247650"/>
          <a:ext cx="3632038" cy="981038"/>
        </a:xfrm>
        <a:prstGeom prst="rect">
          <a:avLst/>
        </a:prstGeom>
      </xdr:spPr>
    </xdr:pic>
    <xdr:clientData/>
  </xdr:twoCellAnchor>
  <xdr:twoCellAnchor editAs="absolute">
    <xdr:from>
      <xdr:col>7</xdr:col>
      <xdr:colOff>0</xdr:colOff>
      <xdr:row>3</xdr:row>
      <xdr:rowOff>0</xdr:rowOff>
    </xdr:from>
    <xdr:to>
      <xdr:col>10</xdr:col>
      <xdr:colOff>281869</xdr:colOff>
      <xdr:row>6</xdr:row>
      <xdr:rowOff>68440</xdr:rowOff>
    </xdr:to>
    <xdr:pic>
      <xdr:nvPicPr>
        <xdr:cNvPr id="4" name="image1.png" title="https://marciniwuc.co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0EC927-141D-6C4A-9BFF-14739B2DADC1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49333" y="603250"/>
          <a:ext cx="2472619" cy="60819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408882</xdr:colOff>
      <xdr:row>0</xdr:row>
      <xdr:rowOff>86592</xdr:rowOff>
    </xdr:from>
    <xdr:to>
      <xdr:col>17</xdr:col>
      <xdr:colOff>770792</xdr:colOff>
      <xdr:row>3</xdr:row>
      <xdr:rowOff>132748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7901613-6565-4120-9707-544D8AEA5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50655" y="86592"/>
          <a:ext cx="2706618" cy="647443"/>
        </a:xfrm>
        <a:prstGeom prst="rect">
          <a:avLst/>
        </a:prstGeom>
      </xdr:spPr>
    </xdr:pic>
    <xdr:clientData/>
  </xdr:twoCellAnchor>
  <xdr:twoCellAnchor editAs="oneCell">
    <xdr:from>
      <xdr:col>12</xdr:col>
      <xdr:colOff>385849</xdr:colOff>
      <xdr:row>4</xdr:row>
      <xdr:rowOff>91792</xdr:rowOff>
    </xdr:from>
    <xdr:to>
      <xdr:col>16</xdr:col>
      <xdr:colOff>627265</xdr:colOff>
      <xdr:row>9</xdr:row>
      <xdr:rowOff>115123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A1A966D-DF13-424B-9EB2-E818F7D07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27622" y="871110"/>
          <a:ext cx="1813560" cy="936346"/>
        </a:xfrm>
        <a:prstGeom prst="rect">
          <a:avLst/>
        </a:prstGeom>
      </xdr:spPr>
    </xdr:pic>
    <xdr:clientData/>
  </xdr:twoCellAnchor>
  <xdr:twoCellAnchor editAs="absolute">
    <xdr:from>
      <xdr:col>7</xdr:col>
      <xdr:colOff>0</xdr:colOff>
      <xdr:row>2</xdr:row>
      <xdr:rowOff>0</xdr:rowOff>
    </xdr:from>
    <xdr:to>
      <xdr:col>10</xdr:col>
      <xdr:colOff>232801</xdr:colOff>
      <xdr:row>5</xdr:row>
      <xdr:rowOff>100190</xdr:rowOff>
    </xdr:to>
    <xdr:pic>
      <xdr:nvPicPr>
        <xdr:cNvPr id="4" name="image1.png" title="https://marciniwuc.com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7B4329F-706D-3246-BFE6-6ECD51635196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287818" y="450273"/>
          <a:ext cx="2472619" cy="60819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571500</xdr:colOff>
      <xdr:row>38</xdr:row>
      <xdr:rowOff>56805</xdr:rowOff>
    </xdr:from>
    <xdr:to>
      <xdr:col>18</xdr:col>
      <xdr:colOff>638869</xdr:colOff>
      <xdr:row>39</xdr:row>
      <xdr:rowOff>164523</xdr:rowOff>
    </xdr:to>
    <xdr:cxnSp macro="">
      <xdr:nvCxnSpPr>
        <xdr:cNvPr id="5" name="Łącznik prosty ze strzałką 4">
          <a:extLst>
            <a:ext uri="{FF2B5EF4-FFF2-40B4-BE49-F238E27FC236}">
              <a16:creationId xmlns:a16="http://schemas.microsoft.com/office/drawing/2014/main" id="{DF5F5A31-D124-4DE2-82E8-1F8CE7273F35}"/>
            </a:ext>
          </a:extLst>
        </xdr:cNvPr>
        <xdr:cNvCxnSpPr/>
      </xdr:nvCxnSpPr>
      <xdr:spPr>
        <a:xfrm flipV="1">
          <a:off x="10823864" y="9070919"/>
          <a:ext cx="67369" cy="2722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169333</xdr:colOff>
      <xdr:row>22</xdr:row>
      <xdr:rowOff>112606</xdr:rowOff>
    </xdr:from>
    <xdr:to>
      <xdr:col>5</xdr:col>
      <xdr:colOff>65405</xdr:colOff>
      <xdr:row>24</xdr:row>
      <xdr:rowOff>10582</xdr:rowOff>
    </xdr:to>
    <xdr:sp macro="" textlink="">
      <xdr:nvSpPr>
        <xdr:cNvPr id="2" name="Owal 1">
          <a:extLst>
            <a:ext uri="{FF2B5EF4-FFF2-40B4-BE49-F238E27FC236}">
              <a16:creationId xmlns:a16="http://schemas.microsoft.com/office/drawing/2014/main" id="{5A0F5F62-A44E-4525-8441-1A04C411A3A3}"/>
            </a:ext>
          </a:extLst>
        </xdr:cNvPr>
        <xdr:cNvSpPr/>
      </xdr:nvSpPr>
      <xdr:spPr>
        <a:xfrm>
          <a:off x="2868083" y="5107939"/>
          <a:ext cx="901489" cy="236643"/>
        </a:xfrm>
        <a:prstGeom prst="ellipse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6</xdr:col>
      <xdr:colOff>35560</xdr:colOff>
      <xdr:row>22</xdr:row>
      <xdr:rowOff>127000</xdr:rowOff>
    </xdr:from>
    <xdr:to>
      <xdr:col>7</xdr:col>
      <xdr:colOff>35560</xdr:colOff>
      <xdr:row>24</xdr:row>
      <xdr:rowOff>32596</xdr:rowOff>
    </xdr:to>
    <xdr:sp macro="" textlink="">
      <xdr:nvSpPr>
        <xdr:cNvPr id="6" name="Owal 5">
          <a:extLst>
            <a:ext uri="{FF2B5EF4-FFF2-40B4-BE49-F238E27FC236}">
              <a16:creationId xmlns:a16="http://schemas.microsoft.com/office/drawing/2014/main" id="{252038B0-3295-4DB9-AAC4-D36C22627347}"/>
            </a:ext>
          </a:extLst>
        </xdr:cNvPr>
        <xdr:cNvSpPr/>
      </xdr:nvSpPr>
      <xdr:spPr>
        <a:xfrm>
          <a:off x="4745143" y="5122333"/>
          <a:ext cx="899584" cy="244263"/>
        </a:xfrm>
        <a:prstGeom prst="ellipse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6</xdr:col>
      <xdr:colOff>116417</xdr:colOff>
      <xdr:row>36</xdr:row>
      <xdr:rowOff>127000</xdr:rowOff>
    </xdr:from>
    <xdr:to>
      <xdr:col>7</xdr:col>
      <xdr:colOff>112607</xdr:colOff>
      <xdr:row>38</xdr:row>
      <xdr:rowOff>24976</xdr:rowOff>
    </xdr:to>
    <xdr:sp macro="" textlink="">
      <xdr:nvSpPr>
        <xdr:cNvPr id="7" name="Owal 6">
          <a:extLst>
            <a:ext uri="{FF2B5EF4-FFF2-40B4-BE49-F238E27FC236}">
              <a16:creationId xmlns:a16="http://schemas.microsoft.com/office/drawing/2014/main" id="{5680493E-84BE-47D3-A458-B08AAB0F1270}"/>
            </a:ext>
          </a:extLst>
        </xdr:cNvPr>
        <xdr:cNvSpPr/>
      </xdr:nvSpPr>
      <xdr:spPr>
        <a:xfrm>
          <a:off x="4826000" y="8350250"/>
          <a:ext cx="895774" cy="236643"/>
        </a:xfrm>
        <a:prstGeom prst="ellipse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169333</xdr:colOff>
      <xdr:row>36</xdr:row>
      <xdr:rowOff>137584</xdr:rowOff>
    </xdr:from>
    <xdr:to>
      <xdr:col>5</xdr:col>
      <xdr:colOff>59690</xdr:colOff>
      <xdr:row>38</xdr:row>
      <xdr:rowOff>35560</xdr:rowOff>
    </xdr:to>
    <xdr:sp macro="" textlink="">
      <xdr:nvSpPr>
        <xdr:cNvPr id="9" name="Owal 8">
          <a:extLst>
            <a:ext uri="{FF2B5EF4-FFF2-40B4-BE49-F238E27FC236}">
              <a16:creationId xmlns:a16="http://schemas.microsoft.com/office/drawing/2014/main" id="{9D5C7949-728B-4753-997E-C787FC27CD0D}"/>
            </a:ext>
          </a:extLst>
        </xdr:cNvPr>
        <xdr:cNvSpPr/>
      </xdr:nvSpPr>
      <xdr:spPr>
        <a:xfrm>
          <a:off x="2868083" y="8360834"/>
          <a:ext cx="895774" cy="236643"/>
        </a:xfrm>
        <a:prstGeom prst="ellipse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6</xdr:col>
      <xdr:colOff>42333</xdr:colOff>
      <xdr:row>51</xdr:row>
      <xdr:rowOff>148167</xdr:rowOff>
    </xdr:from>
    <xdr:to>
      <xdr:col>7</xdr:col>
      <xdr:colOff>38523</xdr:colOff>
      <xdr:row>53</xdr:row>
      <xdr:rowOff>44238</xdr:rowOff>
    </xdr:to>
    <xdr:sp macro="" textlink="">
      <xdr:nvSpPr>
        <xdr:cNvPr id="10" name="Owal 9">
          <a:extLst>
            <a:ext uri="{FF2B5EF4-FFF2-40B4-BE49-F238E27FC236}">
              <a16:creationId xmlns:a16="http://schemas.microsoft.com/office/drawing/2014/main" id="{EC83A6D4-6258-4F85-B450-23EE86221970}"/>
            </a:ext>
          </a:extLst>
        </xdr:cNvPr>
        <xdr:cNvSpPr/>
      </xdr:nvSpPr>
      <xdr:spPr>
        <a:xfrm>
          <a:off x="4751916" y="11990917"/>
          <a:ext cx="895774" cy="234738"/>
        </a:xfrm>
        <a:prstGeom prst="ellipse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146261</xdr:colOff>
      <xdr:row>51</xdr:row>
      <xdr:rowOff>141394</xdr:rowOff>
    </xdr:from>
    <xdr:to>
      <xdr:col>5</xdr:col>
      <xdr:colOff>38523</xdr:colOff>
      <xdr:row>53</xdr:row>
      <xdr:rowOff>37465</xdr:rowOff>
    </xdr:to>
    <xdr:sp macro="" textlink="">
      <xdr:nvSpPr>
        <xdr:cNvPr id="11" name="Owal 10">
          <a:extLst>
            <a:ext uri="{FF2B5EF4-FFF2-40B4-BE49-F238E27FC236}">
              <a16:creationId xmlns:a16="http://schemas.microsoft.com/office/drawing/2014/main" id="{68761FF7-EF9F-411F-A1E8-A61E34249DF7}"/>
            </a:ext>
          </a:extLst>
        </xdr:cNvPr>
        <xdr:cNvSpPr/>
      </xdr:nvSpPr>
      <xdr:spPr>
        <a:xfrm>
          <a:off x="2845011" y="11984144"/>
          <a:ext cx="897679" cy="234738"/>
        </a:xfrm>
        <a:prstGeom prst="ellipse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absolute">
    <xdr:from>
      <xdr:col>12</xdr:col>
      <xdr:colOff>0</xdr:colOff>
      <xdr:row>2</xdr:row>
      <xdr:rowOff>0</xdr:rowOff>
    </xdr:from>
    <xdr:to>
      <xdr:col>15</xdr:col>
      <xdr:colOff>36528</xdr:colOff>
      <xdr:row>5</xdr:row>
      <xdr:rowOff>100190</xdr:rowOff>
    </xdr:to>
    <xdr:pic>
      <xdr:nvPicPr>
        <xdr:cNvPr id="12" name="image1.png" title="https://marciniwuc.co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6AE41E-28E9-A541-BB22-78DDE1E7A767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1182" y="588818"/>
          <a:ext cx="2472619" cy="608190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atarzyna Iwuc" id="{B43CA1DF-7118-45BA-964F-63A2C59CCFB4}" userId="1f5fe913bd258826" providerId="Windows Liv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C16" dT="2020-09-21T09:29:18.97" personId="{B43CA1DF-7118-45BA-964F-63A2C59CCFB4}" id="{942CB4A9-2EF6-4C0A-963B-E023DA2EC257}">
    <text>Łączne zyski ptzy założeniu trzymania obligacji do terminów wykupu.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H17" dT="2020-09-20T11:47:51.80" personId="{B43CA1DF-7118-45BA-964F-63A2C59CCFB4}" id="{5B0E129D-1438-4D08-8D24-226471B0B109}">
    <text>Opłata za wcześniejszy wykup potrącana jest tylko gdy zakończysz oszczędzanie zanim spełnisz warunki określone w ustawie o IKE.</text>
  </threadedComment>
  <threadedComment ref="I17" dT="2020-09-20T11:47:51.80" personId="{B43CA1DF-7118-45BA-964F-63A2C59CCFB4}" id="{664E0748-4A34-4C29-B90A-D8A007FEF4E9}">
    <text>Podatek jest pobierany tylko gdy zakończysz oszczędzanie zanim spełnisz warunki określone w ustawie o IKE.</text>
  </threadedComment>
  <threadedComment ref="J17" dT="2020-09-20T11:41:47.01" personId="{B43CA1DF-7118-45BA-964F-63A2C59CCFB4}" id="{7EFCC24A-F854-4E7C-B855-E02058490235}">
    <text>Opłata za prowadzenie IKE pobierana jest do 20 lutego kolejnego roku, dla uproszczenia zakładam, że jest to koniec danego roku.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rciniwuc.com/obligacje-skarbowe-czy-nadal-warto/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arciniwuc.com/obligacje-skarbowe-czy-nadal-warto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marciniwuc.com/obligacje-skarbowe-czy-nadal-warto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marciniwuc.com/obligacje-skarbowe-czy-nadal-warto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marciniwuc.com/obligacje-skarbowe-czy-nadal-warto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marciniwuc.com/obligacje-skarbowe-czy-nadal-warto/" TargetMode="External"/><Relationship Id="rId6" Type="http://schemas.microsoft.com/office/2017/10/relationships/threadedComment" Target="../threadedComments/threadedComment2.xm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marciniwuc.com/obligacje-skarbowe-czy-nadal-war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64C2E-F735-488A-A6B5-625C28E1FCCF}">
  <sheetPr>
    <tabColor theme="4" tint="-0.499984740745262"/>
  </sheetPr>
  <dimension ref="A1:CZ130"/>
  <sheetViews>
    <sheetView tabSelected="1" zoomScaleNormal="100" workbookViewId="0">
      <selection activeCell="H40" sqref="H40"/>
    </sheetView>
  </sheetViews>
  <sheetFormatPr baseColWidth="10" defaultColWidth="8.83203125" defaultRowHeight="15" x14ac:dyDescent="0.2"/>
  <cols>
    <col min="1" max="1" width="1.1640625" style="63" customWidth="1"/>
    <col min="2" max="2" width="4.33203125" customWidth="1"/>
    <col min="3" max="3" width="11" customWidth="1"/>
    <col min="4" max="4" width="20.6640625" customWidth="1"/>
    <col min="5" max="8" width="12" customWidth="1"/>
    <col min="9" max="9" width="6.5" style="63" customWidth="1"/>
    <col min="10" max="13" width="12" customWidth="1"/>
    <col min="14" max="14" width="7.33203125" style="88" customWidth="1"/>
    <col min="15" max="15" width="18.83203125" style="88" customWidth="1"/>
    <col min="16" max="16" width="4.83203125" customWidth="1"/>
    <col min="17" max="17" width="4" customWidth="1"/>
    <col min="18" max="18" width="9.5" customWidth="1"/>
    <col min="19" max="22" width="8.83203125" customWidth="1"/>
    <col min="23" max="25" width="22.33203125" customWidth="1"/>
    <col min="26" max="28" width="8.83203125" customWidth="1"/>
    <col min="29" max="29" width="29.33203125" customWidth="1"/>
    <col min="30" max="30" width="37.1640625" customWidth="1"/>
    <col min="31" max="32" width="27.83203125" customWidth="1"/>
    <col min="33" max="33" width="5.5" style="63" customWidth="1"/>
    <col min="34" max="34" width="6.1640625" customWidth="1"/>
    <col min="35" max="35" width="7" customWidth="1"/>
    <col min="36" max="36" width="9.6640625" customWidth="1"/>
    <col min="37" max="38" width="8.83203125" customWidth="1"/>
    <col min="39" max="39" width="9.83203125" customWidth="1"/>
    <col min="40" max="40" width="11.6640625" customWidth="1"/>
    <col min="41" max="41" width="8" customWidth="1"/>
    <col min="42" max="46" width="8.83203125" customWidth="1"/>
    <col min="47" max="49" width="23.1640625" customWidth="1"/>
    <col min="50" max="50" width="15" customWidth="1"/>
    <col min="51" max="51" width="13.1640625" style="63" customWidth="1"/>
    <col min="52" max="52" width="5.1640625" customWidth="1"/>
    <col min="53" max="53" width="7.33203125" customWidth="1"/>
    <col min="54" max="63" width="8.83203125" customWidth="1"/>
    <col min="64" max="64" width="12.33203125" customWidth="1"/>
    <col min="65" max="67" width="24.6640625" customWidth="1"/>
    <col min="68" max="68" width="3.33203125" style="63" customWidth="1"/>
    <col min="72" max="72" width="10.5" customWidth="1"/>
    <col min="77" max="77" width="12.6640625" customWidth="1"/>
    <col min="78" max="78" width="31" customWidth="1"/>
    <col min="79" max="104" width="8.83203125" style="63"/>
  </cols>
  <sheetData>
    <row r="1" spans="1:104" s="63" customFormat="1" ht="5.75" customHeight="1" thickBot="1" x14ac:dyDescent="0.25">
      <c r="N1" s="88"/>
      <c r="O1" s="88"/>
    </row>
    <row r="2" spans="1:104" s="168" customFormat="1" ht="16" x14ac:dyDescent="0.2">
      <c r="A2" s="186"/>
      <c r="B2" s="209"/>
      <c r="C2" s="210"/>
      <c r="D2" s="211"/>
      <c r="E2" s="211" t="s">
        <v>53</v>
      </c>
      <c r="F2" s="211" t="s">
        <v>54</v>
      </c>
      <c r="G2" s="211" t="s">
        <v>55</v>
      </c>
      <c r="H2" s="212" t="s">
        <v>56</v>
      </c>
      <c r="I2" s="213"/>
      <c r="J2" s="213"/>
      <c r="K2" s="213"/>
      <c r="L2" s="213"/>
      <c r="M2" s="213"/>
      <c r="N2" s="214"/>
      <c r="O2" s="214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186"/>
      <c r="BO2" s="186"/>
      <c r="BP2" s="186"/>
      <c r="BQ2" s="186"/>
      <c r="BR2" s="186"/>
      <c r="BS2" s="186"/>
      <c r="BT2" s="186"/>
      <c r="BU2" s="186"/>
      <c r="BV2" s="186"/>
      <c r="BW2" s="186"/>
      <c r="BX2" s="186"/>
      <c r="BY2" s="186"/>
      <c r="BZ2" s="186"/>
      <c r="CA2" s="186"/>
      <c r="CB2" s="186"/>
      <c r="CC2" s="186"/>
      <c r="CD2" s="186"/>
      <c r="CE2" s="186"/>
      <c r="CF2" s="186"/>
      <c r="CG2" s="186"/>
      <c r="CH2" s="186"/>
      <c r="CI2" s="186"/>
      <c r="CJ2" s="186"/>
      <c r="CK2" s="186"/>
      <c r="CL2" s="186"/>
      <c r="CM2" s="186"/>
      <c r="CN2" s="186"/>
      <c r="CO2" s="186"/>
      <c r="CP2" s="186"/>
      <c r="CQ2" s="186"/>
      <c r="CR2" s="186"/>
      <c r="CS2" s="186"/>
      <c r="CT2" s="186"/>
      <c r="CU2" s="186"/>
      <c r="CV2" s="186"/>
      <c r="CW2" s="186"/>
      <c r="CX2" s="186"/>
      <c r="CY2" s="186"/>
      <c r="CZ2" s="186"/>
    </row>
    <row r="3" spans="1:104" s="168" customFormat="1" ht="16" x14ac:dyDescent="0.2">
      <c r="A3" s="186"/>
      <c r="B3" s="215" t="s">
        <v>26</v>
      </c>
      <c r="C3" s="216"/>
      <c r="D3" s="217"/>
      <c r="E3" s="217">
        <v>1.2999999999999999E-2</v>
      </c>
      <c r="F3" s="217">
        <v>1.4999999999999999E-2</v>
      </c>
      <c r="G3" s="218">
        <v>1.7000000000000001E-2</v>
      </c>
      <c r="H3" s="219">
        <v>0.02</v>
      </c>
      <c r="I3" s="220"/>
      <c r="J3" s="220"/>
      <c r="K3" s="268"/>
      <c r="L3" s="220"/>
      <c r="M3" s="220"/>
      <c r="N3" s="221"/>
      <c r="O3" s="221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86"/>
      <c r="BI3" s="186"/>
      <c r="BJ3" s="186"/>
      <c r="BK3" s="186"/>
      <c r="BL3" s="186"/>
      <c r="BM3" s="186"/>
      <c r="BN3" s="186"/>
      <c r="BO3" s="186"/>
      <c r="BP3" s="186"/>
      <c r="BQ3" s="186"/>
      <c r="BR3" s="186"/>
      <c r="BS3" s="186"/>
      <c r="BT3" s="186"/>
      <c r="BU3" s="186"/>
      <c r="BV3" s="186"/>
      <c r="BW3" s="186"/>
      <c r="BX3" s="186"/>
      <c r="BY3" s="186"/>
      <c r="BZ3" s="186"/>
      <c r="CA3" s="186"/>
      <c r="CB3" s="186"/>
      <c r="CC3" s="186"/>
      <c r="CD3" s="186"/>
      <c r="CE3" s="186"/>
      <c r="CF3" s="186"/>
      <c r="CG3" s="186"/>
      <c r="CH3" s="186"/>
      <c r="CI3" s="186"/>
      <c r="CJ3" s="186"/>
      <c r="CK3" s="186"/>
      <c r="CL3" s="186"/>
      <c r="CM3" s="186"/>
      <c r="CN3" s="186"/>
      <c r="CO3" s="186"/>
      <c r="CP3" s="186"/>
      <c r="CQ3" s="186"/>
      <c r="CR3" s="186"/>
      <c r="CS3" s="186"/>
      <c r="CT3" s="186"/>
      <c r="CU3" s="186"/>
      <c r="CV3" s="186"/>
      <c r="CW3" s="186"/>
      <c r="CX3" s="186"/>
      <c r="CY3" s="186"/>
      <c r="CZ3" s="186"/>
    </row>
    <row r="4" spans="1:104" s="168" customFormat="1" ht="16" x14ac:dyDescent="0.2">
      <c r="A4" s="186"/>
      <c r="B4" s="215" t="s">
        <v>27</v>
      </c>
      <c r="C4" s="216"/>
      <c r="D4" s="217"/>
      <c r="E4" s="217">
        <v>7.4999999999999997E-3</v>
      </c>
      <c r="F4" s="217">
        <v>1.2500000000000001E-2</v>
      </c>
      <c r="G4" s="218">
        <v>0.01</v>
      </c>
      <c r="H4" s="219">
        <v>1.4999999999999999E-2</v>
      </c>
      <c r="I4" s="220"/>
      <c r="J4" s="220"/>
      <c r="K4" s="220"/>
      <c r="L4" s="220"/>
      <c r="M4" s="220"/>
      <c r="N4" s="221"/>
      <c r="O4" s="221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</row>
    <row r="5" spans="1:104" s="168" customFormat="1" ht="16" x14ac:dyDescent="0.2">
      <c r="A5" s="186"/>
      <c r="B5" s="215" t="s">
        <v>32</v>
      </c>
      <c r="C5" s="222"/>
      <c r="D5" s="222"/>
      <c r="E5" s="222" t="s">
        <v>34</v>
      </c>
      <c r="F5" s="223" t="s">
        <v>33</v>
      </c>
      <c r="G5" s="222" t="s">
        <v>31</v>
      </c>
      <c r="H5" s="224" t="s">
        <v>48</v>
      </c>
      <c r="I5" s="222"/>
      <c r="J5" s="222"/>
      <c r="K5" s="222"/>
      <c r="L5" s="222"/>
      <c r="M5" s="222"/>
      <c r="N5" s="225"/>
      <c r="O5" s="225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</row>
    <row r="6" spans="1:104" s="168" customFormat="1" ht="17" thickBot="1" x14ac:dyDescent="0.25">
      <c r="A6" s="186"/>
      <c r="B6" s="226" t="s">
        <v>35</v>
      </c>
      <c r="C6" s="227"/>
      <c r="D6" s="227"/>
      <c r="E6" s="227">
        <v>0.7</v>
      </c>
      <c r="F6" s="227">
        <v>0.7</v>
      </c>
      <c r="G6" s="227">
        <v>2</v>
      </c>
      <c r="H6" s="228">
        <v>2</v>
      </c>
      <c r="I6" s="229"/>
      <c r="J6" s="229"/>
      <c r="K6" s="229"/>
      <c r="L6" s="229"/>
      <c r="M6" s="229"/>
      <c r="N6" s="230"/>
      <c r="O6" s="230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</row>
    <row r="7" spans="1:104" s="168" customFormat="1" ht="5.75" customHeight="1" thickBot="1" x14ac:dyDescent="0.25">
      <c r="A7" s="186"/>
      <c r="B7" s="231"/>
      <c r="C7" s="231"/>
      <c r="D7" s="231"/>
      <c r="E7" s="231"/>
      <c r="F7" s="232"/>
      <c r="G7" s="186"/>
      <c r="H7" s="186"/>
      <c r="I7" s="186"/>
      <c r="J7" s="186"/>
      <c r="K7" s="186"/>
      <c r="L7" s="186"/>
      <c r="M7" s="186"/>
      <c r="N7" s="233"/>
      <c r="O7" s="233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</row>
    <row r="8" spans="1:104" s="168" customFormat="1" ht="16" x14ac:dyDescent="0.2">
      <c r="A8" s="186"/>
      <c r="B8" s="234" t="s">
        <v>20</v>
      </c>
      <c r="C8" s="235"/>
      <c r="D8" s="235"/>
      <c r="E8" s="236">
        <v>10</v>
      </c>
      <c r="F8" s="186"/>
      <c r="G8" s="186"/>
      <c r="H8" s="186"/>
      <c r="I8" s="186"/>
      <c r="J8" s="186"/>
      <c r="K8" s="186"/>
      <c r="L8" s="186"/>
      <c r="M8" s="186"/>
      <c r="N8" s="233"/>
      <c r="O8" s="233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6"/>
      <c r="CV8" s="186"/>
      <c r="CW8" s="186"/>
      <c r="CX8" s="186"/>
      <c r="CY8" s="186"/>
      <c r="CZ8" s="186"/>
    </row>
    <row r="9" spans="1:104" s="168" customFormat="1" ht="16" x14ac:dyDescent="0.2">
      <c r="A9" s="186"/>
      <c r="B9" s="215" t="s">
        <v>21</v>
      </c>
      <c r="C9" s="237"/>
      <c r="D9" s="237"/>
      <c r="E9" s="238">
        <v>100</v>
      </c>
      <c r="F9" s="186"/>
      <c r="G9" s="186"/>
      <c r="H9" s="186"/>
      <c r="I9" s="186"/>
      <c r="J9" s="186"/>
      <c r="K9" s="186"/>
      <c r="L9" s="186"/>
      <c r="M9" s="186"/>
      <c r="N9" s="233"/>
      <c r="O9" s="233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239"/>
      <c r="AQ9" s="186"/>
      <c r="AR9" s="239"/>
      <c r="AS9" s="239"/>
      <c r="AT9" s="239"/>
      <c r="AU9" s="239"/>
      <c r="AV9" s="239"/>
      <c r="AW9" s="239"/>
      <c r="AX9" s="239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</row>
    <row r="10" spans="1:104" s="168" customFormat="1" ht="16" x14ac:dyDescent="0.2">
      <c r="A10" s="186"/>
      <c r="B10" s="215" t="s">
        <v>22</v>
      </c>
      <c r="C10" s="237"/>
      <c r="D10" s="237"/>
      <c r="E10" s="238">
        <f>E8*E9</f>
        <v>1000</v>
      </c>
      <c r="F10" s="186"/>
      <c r="G10" s="186"/>
      <c r="H10" s="186"/>
      <c r="I10" s="186"/>
      <c r="J10" s="186"/>
      <c r="K10" s="186"/>
      <c r="L10" s="186"/>
      <c r="M10" s="186"/>
      <c r="N10" s="233"/>
      <c r="O10" s="233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  <c r="CP10" s="186"/>
      <c r="CQ10" s="186"/>
      <c r="CR10" s="186"/>
      <c r="CS10" s="186"/>
      <c r="CT10" s="186"/>
      <c r="CU10" s="186"/>
      <c r="CV10" s="186"/>
      <c r="CW10" s="186"/>
      <c r="CX10" s="186"/>
      <c r="CY10" s="186"/>
      <c r="CZ10" s="186"/>
    </row>
    <row r="11" spans="1:104" s="168" customFormat="1" ht="16" x14ac:dyDescent="0.2">
      <c r="A11" s="186"/>
      <c r="B11" s="215" t="s">
        <v>16</v>
      </c>
      <c r="C11" s="237"/>
      <c r="D11" s="237"/>
      <c r="E11" s="240">
        <v>0.19</v>
      </c>
      <c r="F11" s="186"/>
      <c r="G11" s="186"/>
      <c r="H11" s="241"/>
      <c r="I11" s="186"/>
      <c r="J11" s="186"/>
      <c r="K11" s="186"/>
      <c r="L11" s="186"/>
      <c r="M11" s="186"/>
      <c r="N11" s="233"/>
      <c r="O11" s="233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  <c r="CP11" s="186"/>
      <c r="CQ11" s="186"/>
      <c r="CR11" s="186"/>
      <c r="CS11" s="186"/>
      <c r="CT11" s="186"/>
      <c r="CU11" s="186"/>
      <c r="CV11" s="186"/>
      <c r="CW11" s="186"/>
      <c r="CX11" s="186"/>
      <c r="CY11" s="186"/>
      <c r="CZ11" s="186"/>
    </row>
    <row r="12" spans="1:104" s="168" customFormat="1" ht="17" thickBot="1" x14ac:dyDescent="0.25">
      <c r="A12" s="186"/>
      <c r="B12" s="226" t="s">
        <v>62</v>
      </c>
      <c r="C12" s="242"/>
      <c r="D12" s="242"/>
      <c r="E12" s="243">
        <v>1.4999999999999999E-2</v>
      </c>
      <c r="F12" s="186"/>
      <c r="G12" s="186"/>
      <c r="H12" s="186"/>
      <c r="I12" s="186"/>
      <c r="J12" s="186"/>
      <c r="K12" s="186"/>
      <c r="L12" s="186"/>
      <c r="M12" s="186"/>
      <c r="N12" s="233"/>
      <c r="O12" s="233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  <c r="CP12" s="186"/>
      <c r="CQ12" s="186"/>
      <c r="CR12" s="186"/>
      <c r="CS12" s="186"/>
      <c r="CT12" s="186"/>
      <c r="CU12" s="186"/>
      <c r="CV12" s="186"/>
      <c r="CW12" s="186"/>
      <c r="CX12" s="186"/>
      <c r="CY12" s="186"/>
      <c r="CZ12" s="186"/>
    </row>
    <row r="13" spans="1:104" s="5" customFormat="1" ht="21" customHeight="1" x14ac:dyDescent="0.2">
      <c r="A13" s="2" t="s">
        <v>3</v>
      </c>
      <c r="B13" s="2"/>
      <c r="C13" s="2"/>
      <c r="D13" s="2"/>
      <c r="E13" s="2"/>
      <c r="F13" s="2"/>
      <c r="G13" s="269" t="s">
        <v>124</v>
      </c>
      <c r="H13" s="6"/>
      <c r="I13" s="4"/>
      <c r="J13" s="3"/>
      <c r="K13" s="3"/>
      <c r="L13" s="23"/>
      <c r="M13" s="23"/>
      <c r="N13" s="63"/>
      <c r="O13" s="63"/>
      <c r="P13" s="63"/>
      <c r="Q13" s="63"/>
      <c r="R13" s="63"/>
      <c r="S13" s="63"/>
      <c r="T13" s="4"/>
      <c r="U13" s="4"/>
      <c r="V13" s="4"/>
      <c r="W13" s="4"/>
      <c r="X13" s="4"/>
      <c r="Y13" s="4"/>
      <c r="Z13" s="4"/>
      <c r="AA13" s="4"/>
    </row>
    <row r="14" spans="1:104" x14ac:dyDescent="0.2">
      <c r="B14" s="104"/>
      <c r="C14" s="22"/>
      <c r="D14" s="22"/>
      <c r="E14" s="24"/>
      <c r="F14" s="4"/>
      <c r="G14" s="4"/>
      <c r="H14" s="63"/>
      <c r="J14" s="63"/>
      <c r="K14" s="63"/>
      <c r="L14" s="63"/>
      <c r="M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</row>
    <row r="15" spans="1:104" s="133" customFormat="1" ht="48.25" customHeight="1" x14ac:dyDescent="0.25">
      <c r="A15" s="131"/>
      <c r="B15" s="134"/>
      <c r="C15" s="134"/>
      <c r="D15" s="131"/>
      <c r="E15" s="247" t="s">
        <v>110</v>
      </c>
      <c r="F15" s="247"/>
      <c r="G15" s="247"/>
      <c r="H15" s="247"/>
      <c r="I15" s="131"/>
      <c r="J15" s="246" t="s">
        <v>109</v>
      </c>
      <c r="K15" s="246"/>
      <c r="L15" s="246"/>
      <c r="M15" s="246"/>
      <c r="N15" s="134"/>
      <c r="O15" s="134"/>
      <c r="P15" s="135" t="s">
        <v>30</v>
      </c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5" t="s">
        <v>18</v>
      </c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6" t="s">
        <v>29</v>
      </c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6" t="s">
        <v>0</v>
      </c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</row>
    <row r="16" spans="1:104" ht="60" customHeight="1" x14ac:dyDescent="0.2">
      <c r="B16" s="177" t="s">
        <v>28</v>
      </c>
      <c r="C16" s="177" t="s">
        <v>41</v>
      </c>
      <c r="D16" s="184" t="s">
        <v>42</v>
      </c>
      <c r="E16" s="206" t="s">
        <v>120</v>
      </c>
      <c r="F16" s="206" t="s">
        <v>121</v>
      </c>
      <c r="G16" s="206" t="s">
        <v>122</v>
      </c>
      <c r="H16" s="206" t="s">
        <v>123</v>
      </c>
      <c r="I16" s="186"/>
      <c r="J16" s="206" t="s">
        <v>120</v>
      </c>
      <c r="K16" s="206" t="s">
        <v>121</v>
      </c>
      <c r="L16" s="206" t="s">
        <v>122</v>
      </c>
      <c r="M16" s="206" t="s">
        <v>123</v>
      </c>
      <c r="P16" s="25" t="s">
        <v>28</v>
      </c>
      <c r="Q16" s="25" t="s">
        <v>59</v>
      </c>
      <c r="R16" s="25" t="s">
        <v>57</v>
      </c>
      <c r="S16" s="25" t="s">
        <v>58</v>
      </c>
      <c r="T16" s="25" t="s">
        <v>64</v>
      </c>
      <c r="U16" s="25" t="s">
        <v>2</v>
      </c>
      <c r="V16" s="25" t="s">
        <v>16</v>
      </c>
      <c r="W16" s="27" t="s">
        <v>90</v>
      </c>
      <c r="X16" s="27" t="s">
        <v>91</v>
      </c>
      <c r="Y16" s="27" t="s">
        <v>98</v>
      </c>
      <c r="Z16" s="27" t="s">
        <v>61</v>
      </c>
      <c r="AA16" s="25" t="s">
        <v>63</v>
      </c>
      <c r="AB16" s="25" t="s">
        <v>60</v>
      </c>
      <c r="AC16" s="25" t="s">
        <v>66</v>
      </c>
      <c r="AD16" s="25" t="s">
        <v>65</v>
      </c>
      <c r="AE16" s="25" t="s">
        <v>116</v>
      </c>
      <c r="AF16" s="25" t="s">
        <v>97</v>
      </c>
      <c r="AH16" s="27" t="s">
        <v>28</v>
      </c>
      <c r="AI16" s="27" t="s">
        <v>59</v>
      </c>
      <c r="AJ16" s="27" t="s">
        <v>57</v>
      </c>
      <c r="AK16" s="25" t="s">
        <v>58</v>
      </c>
      <c r="AL16" s="27" t="s">
        <v>43</v>
      </c>
      <c r="AM16" s="25" t="s">
        <v>40</v>
      </c>
      <c r="AN16" s="25" t="s">
        <v>2</v>
      </c>
      <c r="AO16" s="25" t="s">
        <v>16</v>
      </c>
      <c r="AP16" s="25" t="s">
        <v>46</v>
      </c>
      <c r="AQ16" s="25" t="s">
        <v>67</v>
      </c>
      <c r="AR16" s="27" t="s">
        <v>61</v>
      </c>
      <c r="AS16" s="25" t="s">
        <v>63</v>
      </c>
      <c r="AT16" s="25" t="s">
        <v>60</v>
      </c>
      <c r="AU16" s="25" t="s">
        <v>66</v>
      </c>
      <c r="AV16" s="25" t="s">
        <v>65</v>
      </c>
      <c r="AW16" s="25" t="s">
        <v>116</v>
      </c>
      <c r="AX16" s="25" t="s">
        <v>97</v>
      </c>
      <c r="AZ16" s="27" t="s">
        <v>29</v>
      </c>
      <c r="BA16" s="27" t="s">
        <v>59</v>
      </c>
      <c r="BB16" s="27" t="s">
        <v>57</v>
      </c>
      <c r="BC16" s="25" t="s">
        <v>58</v>
      </c>
      <c r="BD16" s="25" t="s">
        <v>67</v>
      </c>
      <c r="BE16" s="27" t="s">
        <v>61</v>
      </c>
      <c r="BF16" s="25" t="s">
        <v>63</v>
      </c>
      <c r="BG16" s="25" t="s">
        <v>60</v>
      </c>
      <c r="BH16" s="27" t="s">
        <v>84</v>
      </c>
      <c r="BI16" s="25" t="s">
        <v>75</v>
      </c>
      <c r="BJ16" s="25" t="s">
        <v>2</v>
      </c>
      <c r="BK16" s="25" t="s">
        <v>16</v>
      </c>
      <c r="BL16" s="25" t="s">
        <v>85</v>
      </c>
      <c r="BM16" s="25" t="s">
        <v>99</v>
      </c>
      <c r="BN16" s="25" t="s">
        <v>116</v>
      </c>
      <c r="BO16" s="25" t="s">
        <v>97</v>
      </c>
      <c r="BQ16" s="27" t="s">
        <v>0</v>
      </c>
      <c r="BR16" s="27" t="s">
        <v>59</v>
      </c>
      <c r="BS16" s="27" t="s">
        <v>57</v>
      </c>
      <c r="BT16" s="25" t="s">
        <v>58</v>
      </c>
      <c r="BU16" s="27" t="s">
        <v>43</v>
      </c>
      <c r="BV16" s="25" t="s">
        <v>40</v>
      </c>
      <c r="BW16" s="25" t="s">
        <v>2</v>
      </c>
      <c r="BX16" s="25" t="s">
        <v>16</v>
      </c>
      <c r="BY16" s="25" t="s">
        <v>46</v>
      </c>
      <c r="BZ16" s="25" t="s">
        <v>117</v>
      </c>
    </row>
    <row r="17" spans="2:78" ht="10.5" customHeight="1" x14ac:dyDescent="0.2">
      <c r="B17" s="168"/>
      <c r="C17" s="168"/>
      <c r="D17" s="168"/>
      <c r="E17" s="168"/>
      <c r="F17" s="168"/>
      <c r="G17" s="168"/>
      <c r="H17" s="168"/>
      <c r="I17" s="186"/>
      <c r="J17" s="168"/>
      <c r="K17" s="168"/>
      <c r="L17" s="168"/>
      <c r="M17" s="168"/>
      <c r="P17" s="69"/>
      <c r="Q17" s="69"/>
      <c r="R17" s="137"/>
      <c r="S17" s="137"/>
      <c r="T17" s="137"/>
      <c r="U17" s="137"/>
      <c r="V17" s="137"/>
      <c r="W17" s="137"/>
      <c r="X17" s="68"/>
      <c r="Y17" s="137"/>
      <c r="Z17" s="137"/>
      <c r="AA17" s="137"/>
      <c r="AB17" s="137"/>
      <c r="AC17" s="96"/>
      <c r="AD17" s="96"/>
      <c r="AE17" s="96"/>
      <c r="AF17" s="96"/>
      <c r="AH17" s="69"/>
      <c r="AI17" s="69"/>
      <c r="AJ17" s="96"/>
      <c r="AK17" s="96"/>
      <c r="AL17" s="137"/>
      <c r="AM17" s="137"/>
      <c r="AN17" s="137"/>
      <c r="AO17" s="137"/>
      <c r="AP17" s="137"/>
      <c r="AQ17" s="96"/>
      <c r="AR17" s="137"/>
      <c r="AS17" s="137"/>
      <c r="AT17" s="137"/>
      <c r="AU17" s="137"/>
      <c r="AV17" s="137"/>
      <c r="AW17" s="137"/>
      <c r="AX17" s="137"/>
      <c r="AZ17" s="69"/>
      <c r="BA17" s="69"/>
      <c r="BB17" s="96"/>
      <c r="BC17" s="96"/>
      <c r="BD17" s="96"/>
      <c r="BE17" s="96"/>
      <c r="BF17" s="96"/>
      <c r="BG17" s="96"/>
      <c r="BH17" s="137"/>
      <c r="BI17" s="137"/>
      <c r="BJ17" s="137"/>
      <c r="BK17" s="137"/>
      <c r="BL17" s="137"/>
      <c r="BM17" s="137"/>
      <c r="BN17" s="137"/>
      <c r="BO17" s="137"/>
      <c r="BQ17" s="69"/>
      <c r="BR17" s="69"/>
      <c r="BS17" s="96"/>
      <c r="BT17" s="96"/>
      <c r="BU17" s="137"/>
      <c r="BV17" s="137"/>
      <c r="BW17" s="137"/>
      <c r="BX17" s="137"/>
      <c r="BY17" s="137"/>
      <c r="BZ17" s="96"/>
    </row>
    <row r="18" spans="2:78" ht="16.25" customHeight="1" x14ac:dyDescent="0.2">
      <c r="B18" s="168">
        <v>1</v>
      </c>
      <c r="C18" s="178">
        <v>2.5000000000000001E-2</v>
      </c>
      <c r="D18" s="168" t="s">
        <v>4</v>
      </c>
      <c r="E18" s="207">
        <f>AF18</f>
        <v>1010.53</v>
      </c>
      <c r="F18" s="207">
        <f>AX18</f>
        <v>1015</v>
      </c>
      <c r="G18" s="207">
        <f>BO18</f>
        <v>1016.9999999999999</v>
      </c>
      <c r="H18" s="207">
        <f>BT18</f>
        <v>1020</v>
      </c>
      <c r="I18" s="208"/>
      <c r="J18" s="207">
        <f>AE18</f>
        <v>1004.86</v>
      </c>
      <c r="K18" s="207">
        <f>AW18</f>
        <v>1006.48</v>
      </c>
      <c r="L18" s="207">
        <f t="shared" ref="L18:L29" si="0">BN18</f>
        <v>1000</v>
      </c>
      <c r="M18" s="207">
        <f>BZ18</f>
        <v>1000</v>
      </c>
      <c r="P18" s="69">
        <v>1</v>
      </c>
      <c r="Q18" s="69">
        <f>$E$8</f>
        <v>10</v>
      </c>
      <c r="R18" s="137">
        <f>E10</f>
        <v>1000</v>
      </c>
      <c r="S18" s="137">
        <f t="shared" ref="S18:S29" si="1">R18+T18</f>
        <v>1013</v>
      </c>
      <c r="T18" s="137">
        <f>R18*$E$3</f>
        <v>13</v>
      </c>
      <c r="U18" s="137">
        <f>MIN(Q18*$E$6,T18)</f>
        <v>7</v>
      </c>
      <c r="V18" s="137">
        <f t="shared" ref="V18:V29" si="2">MAX(0,(T18-U18)*$E$11)</f>
        <v>1.1400000000000001</v>
      </c>
      <c r="W18" s="137">
        <f>T18-U18-V18</f>
        <v>4.8599999999999994</v>
      </c>
      <c r="X18" s="70">
        <f>(SUM($T$18:T18)-U18)*0.81</f>
        <v>4.8600000000000003</v>
      </c>
      <c r="Y18" s="137">
        <f t="shared" ref="Y18:Y29" si="3">T18*(1-$E$11)</f>
        <v>10.530000000000001</v>
      </c>
      <c r="Z18" s="137"/>
      <c r="AA18" s="137"/>
      <c r="AB18" s="137">
        <f>AB17+SUM(Y18:AA18)</f>
        <v>10.530000000000001</v>
      </c>
      <c r="AC18" s="143">
        <f>AB18</f>
        <v>10.530000000000001</v>
      </c>
      <c r="AD18" s="143">
        <f>X18</f>
        <v>4.8600000000000003</v>
      </c>
      <c r="AE18" s="145">
        <f>Q18*$E$9+X18+SUM($AA$18:AA18)+SUM($Z$18:Z18)</f>
        <v>1004.86</v>
      </c>
      <c r="AF18" s="145">
        <f t="shared" ref="AF18:AF28" si="4">Q18*$E$9+AC18</f>
        <v>1010.53</v>
      </c>
      <c r="AH18" s="69">
        <v>1</v>
      </c>
      <c r="AI18" s="69">
        <f t="shared" ref="AI18:AI23" si="5">$E$8</f>
        <v>10</v>
      </c>
      <c r="AJ18" s="137">
        <f>E10</f>
        <v>1000</v>
      </c>
      <c r="AK18" s="137">
        <f>AJ18*(1+$F$3)</f>
        <v>1014.9999999999999</v>
      </c>
      <c r="AL18" s="137">
        <f>AJ18*$F$3</f>
        <v>15</v>
      </c>
      <c r="AM18" s="137">
        <f>AM17+AL18</f>
        <v>15</v>
      </c>
      <c r="AN18" s="137">
        <f>IF(AI18*$F$6&lt;=AM18,AI18*$F$6,AM18)</f>
        <v>7</v>
      </c>
      <c r="AO18" s="137">
        <f t="shared" ref="AO18:AO23" si="6">IF(AM18&gt;AN18,(AM18-AN18)*$E$11,0)</f>
        <v>1.52</v>
      </c>
      <c r="AP18" s="137">
        <f>AM18-AN18-AO18</f>
        <v>6.48</v>
      </c>
      <c r="AQ18" s="96"/>
      <c r="AR18" s="137"/>
      <c r="AS18" s="137"/>
      <c r="AT18" s="137"/>
      <c r="AU18" s="137">
        <f>AM18</f>
        <v>15</v>
      </c>
      <c r="AV18" s="137">
        <f t="shared" ref="AV18:AV23" si="7">AP18</f>
        <v>6.48</v>
      </c>
      <c r="AW18" s="144">
        <f>$E$8*$E$9+AV18</f>
        <v>1006.48</v>
      </c>
      <c r="AX18" s="144">
        <f>$E$8*$E$9+AU18</f>
        <v>1015</v>
      </c>
      <c r="AZ18" s="69">
        <v>1</v>
      </c>
      <c r="BA18" s="69">
        <f t="shared" ref="BA18:BA27" si="8">$E$8</f>
        <v>10</v>
      </c>
      <c r="BB18" s="137">
        <f>E10</f>
        <v>1000</v>
      </c>
      <c r="BC18" s="137">
        <f>BB18*(1+G3)</f>
        <v>1016.9999999999999</v>
      </c>
      <c r="BD18" s="96"/>
      <c r="BE18" s="96"/>
      <c r="BF18" s="96"/>
      <c r="BG18" s="96"/>
      <c r="BH18" s="137">
        <f>BB18*$G$3</f>
        <v>17</v>
      </c>
      <c r="BI18" s="137">
        <f>BI17+BH18</f>
        <v>17</v>
      </c>
      <c r="BJ18" s="137">
        <f t="shared" ref="BJ18:BJ26" si="9">IF(BA18*$G$6&lt;=BI18,BA18*$G$6,BI18)</f>
        <v>17</v>
      </c>
      <c r="BK18" s="137">
        <f t="shared" ref="BK18:BK27" si="10">IF(BI18&gt;BJ18,(BI18-BJ18)*$E$11,0)</f>
        <v>0</v>
      </c>
      <c r="BL18" s="137">
        <f>BI18-BJ18-BK18</f>
        <v>0</v>
      </c>
      <c r="BM18" s="137">
        <f>$E$10+BL18</f>
        <v>1000</v>
      </c>
      <c r="BN18" s="137">
        <f>BM18+BG18</f>
        <v>1000</v>
      </c>
      <c r="BO18" s="137">
        <f>BC18</f>
        <v>1016.9999999999999</v>
      </c>
      <c r="BQ18" s="69">
        <v>1</v>
      </c>
      <c r="BR18" s="69">
        <f t="shared" ref="BR18:BR29" si="11">$E$8</f>
        <v>10</v>
      </c>
      <c r="BS18" s="137">
        <f>E10</f>
        <v>1000</v>
      </c>
      <c r="BT18" s="144">
        <f t="shared" ref="BT18:BT29" si="12">BS18+BU18</f>
        <v>1020</v>
      </c>
      <c r="BU18" s="137">
        <f>BS18*$H$3</f>
        <v>20</v>
      </c>
      <c r="BV18" s="137">
        <f>BV17+BU18</f>
        <v>20</v>
      </c>
      <c r="BW18" s="137">
        <f t="shared" ref="BW18:BW28" si="13">IF(BR18*$G$6&lt;=BV18,BR18*$G$6,BV18)</f>
        <v>20</v>
      </c>
      <c r="BX18" s="137">
        <f t="shared" ref="BX18:BX29" si="14">IF(BV18&gt;BW18,(BV18-BW18)*$E$11,0)</f>
        <v>0</v>
      </c>
      <c r="BY18" s="137">
        <f>BV18-BW18-BX18</f>
        <v>0</v>
      </c>
      <c r="BZ18" s="144">
        <f>$BS$18+BY18</f>
        <v>1000</v>
      </c>
    </row>
    <row r="19" spans="2:78" ht="16.25" customHeight="1" x14ac:dyDescent="0.2">
      <c r="B19" s="168">
        <v>2</v>
      </c>
      <c r="C19" s="178">
        <v>2.5000000000000001E-2</v>
      </c>
      <c r="D19" s="168" t="s">
        <v>5</v>
      </c>
      <c r="E19" s="207">
        <f t="shared" ref="E19:E29" si="15">AF19</f>
        <v>1036.9829394999999</v>
      </c>
      <c r="F19" s="207">
        <f t="shared" ref="F19:F29" si="16">AX19</f>
        <v>1053.0625</v>
      </c>
      <c r="G19" s="207">
        <f t="shared" ref="G19:G29" si="17">BO19</f>
        <v>1052.5949999999998</v>
      </c>
      <c r="H19" s="207">
        <f t="shared" ref="H19:H28" si="18">BT19</f>
        <v>1060.8</v>
      </c>
      <c r="I19" s="208"/>
      <c r="J19" s="207">
        <f t="shared" ref="J19:J29" si="19">AE19</f>
        <v>1031.3129394999999</v>
      </c>
      <c r="K19" s="207">
        <f t="shared" ref="K19:K29" si="20">AW19</f>
        <v>1037.3106250000001</v>
      </c>
      <c r="L19" s="207">
        <f>BN19</f>
        <v>1026.4019499999999</v>
      </c>
      <c r="M19" s="207">
        <f t="shared" ref="M19:M29" si="21">BZ19</f>
        <v>1033.048</v>
      </c>
      <c r="P19" s="69">
        <v>2</v>
      </c>
      <c r="Q19" s="69">
        <f>$E$8</f>
        <v>10</v>
      </c>
      <c r="R19" s="137">
        <f>R18</f>
        <v>1000</v>
      </c>
      <c r="S19" s="137">
        <f t="shared" si="1"/>
        <v>1032.5</v>
      </c>
      <c r="T19" s="137">
        <f>IF(C18&gt;0,R19*(C18+$E$4),R19*$E$4)</f>
        <v>32.5</v>
      </c>
      <c r="U19" s="137">
        <f>$E$6*Q19</f>
        <v>7</v>
      </c>
      <c r="V19" s="137">
        <f t="shared" si="2"/>
        <v>4.8449999999999998</v>
      </c>
      <c r="W19" s="137">
        <f t="shared" ref="W19:W29" si="22">T19-U19-V19</f>
        <v>20.655000000000001</v>
      </c>
      <c r="X19" s="70">
        <f>(SUM($T$18:T19)-U19)*0.81</f>
        <v>31.185000000000002</v>
      </c>
      <c r="Y19" s="137">
        <f t="shared" si="3"/>
        <v>26.325000000000003</v>
      </c>
      <c r="Z19" s="137"/>
      <c r="AA19" s="137">
        <f t="shared" ref="AA19:AA29" si="23">AB18*$E$12*(1-$E$11)</f>
        <v>0.12793950000000001</v>
      </c>
      <c r="AB19" s="137">
        <f>AB18+SUM(Y19:AA19)</f>
        <v>36.982939500000001</v>
      </c>
      <c r="AC19" s="143">
        <f>AB19</f>
        <v>36.982939500000001</v>
      </c>
      <c r="AD19" s="143">
        <f>AC18+W19+Z19+AA19</f>
        <v>31.312939500000002</v>
      </c>
      <c r="AE19" s="145">
        <f>Q19*$E$9+X19+SUM($AA$18:AA19)+SUM($Z$18:Z19)</f>
        <v>1031.3129394999999</v>
      </c>
      <c r="AF19" s="145">
        <f t="shared" si="4"/>
        <v>1036.9829394999999</v>
      </c>
      <c r="AH19" s="69">
        <v>2</v>
      </c>
      <c r="AI19" s="69">
        <f t="shared" si="5"/>
        <v>10</v>
      </c>
      <c r="AJ19" s="137">
        <f>AK18</f>
        <v>1014.9999999999999</v>
      </c>
      <c r="AK19" s="137">
        <f t="shared" ref="AK19:AK29" si="24">AK18+AL19</f>
        <v>1053.0625</v>
      </c>
      <c r="AL19" s="137">
        <f>IF(C18&gt;0,AK18*($F$4+C18),AK18*$F$4)</f>
        <v>38.0625</v>
      </c>
      <c r="AM19" s="137">
        <f t="shared" ref="AM19:AM29" si="25">AM18+AL19</f>
        <v>53.0625</v>
      </c>
      <c r="AN19" s="137">
        <f>IF(AI19*$F$6&lt;=AM19,AI19*$F$6,AM19)</f>
        <v>7</v>
      </c>
      <c r="AO19" s="137">
        <f t="shared" si="6"/>
        <v>8.7518750000000001</v>
      </c>
      <c r="AP19" s="137">
        <f>AM19-AN19-AO19</f>
        <v>37.310625000000002</v>
      </c>
      <c r="AQ19" s="96"/>
      <c r="AR19" s="137"/>
      <c r="AS19" s="137"/>
      <c r="AT19" s="137"/>
      <c r="AU19" s="137">
        <f t="shared" ref="AU19:AU21" si="26">AM19</f>
        <v>53.0625</v>
      </c>
      <c r="AV19" s="137">
        <f t="shared" si="7"/>
        <v>37.310625000000002</v>
      </c>
      <c r="AW19" s="144">
        <f>$E$8*$E$9+AV19</f>
        <v>1037.3106250000001</v>
      </c>
      <c r="AX19" s="144">
        <f>$E$8*$E$9+AU19</f>
        <v>1053.0625</v>
      </c>
      <c r="AZ19" s="69">
        <v>2</v>
      </c>
      <c r="BA19" s="69">
        <f t="shared" si="8"/>
        <v>10</v>
      </c>
      <c r="BB19" s="137">
        <f t="shared" ref="BB19:BB26" si="27">BC18</f>
        <v>1016.9999999999999</v>
      </c>
      <c r="BC19" s="137">
        <f t="shared" ref="BC19:BC27" si="28">BC18+BH19</f>
        <v>1052.5949999999998</v>
      </c>
      <c r="BD19" s="96"/>
      <c r="BE19" s="96"/>
      <c r="BF19" s="96"/>
      <c r="BG19" s="96"/>
      <c r="BH19" s="137">
        <f>IF(C18&gt;0,BC18*($G$4+C18),BC18*$G$4)</f>
        <v>35.594999999999999</v>
      </c>
      <c r="BI19" s="137">
        <f>BI18+BH19</f>
        <v>52.594999999999999</v>
      </c>
      <c r="BJ19" s="137">
        <f t="shared" si="9"/>
        <v>20</v>
      </c>
      <c r="BK19" s="137">
        <f t="shared" si="10"/>
        <v>6.1930499999999995</v>
      </c>
      <c r="BL19" s="137">
        <f>BI19-BJ19-BK19</f>
        <v>26.401949999999999</v>
      </c>
      <c r="BM19" s="137">
        <f>$E$10+BL19</f>
        <v>1026.4019499999999</v>
      </c>
      <c r="BN19" s="137">
        <f>BM19+BG19</f>
        <v>1026.4019499999999</v>
      </c>
      <c r="BO19" s="137">
        <f t="shared" ref="BO19:BO26" si="29">BC19</f>
        <v>1052.5949999999998</v>
      </c>
      <c r="BQ19" s="69">
        <v>2</v>
      </c>
      <c r="BR19" s="69">
        <f t="shared" si="11"/>
        <v>10</v>
      </c>
      <c r="BS19" s="137">
        <f t="shared" ref="BS19:BS25" si="30">BT18</f>
        <v>1020</v>
      </c>
      <c r="BT19" s="144">
        <f t="shared" si="12"/>
        <v>1060.8</v>
      </c>
      <c r="BU19" s="137">
        <f t="shared" ref="BU19:BU29" si="31">IF(C18&gt;0,BT18*($H$4+C18),BT18*$H$4)</f>
        <v>40.800000000000004</v>
      </c>
      <c r="BV19" s="137">
        <f t="shared" ref="BV19:BV25" si="32">BV18+BU19</f>
        <v>60.800000000000004</v>
      </c>
      <c r="BW19" s="137">
        <f t="shared" si="13"/>
        <v>20</v>
      </c>
      <c r="BX19" s="137">
        <f t="shared" si="14"/>
        <v>7.7520000000000007</v>
      </c>
      <c r="BY19" s="137">
        <f>BV19-BW19-BX19</f>
        <v>33.048000000000002</v>
      </c>
      <c r="BZ19" s="144">
        <f t="shared" ref="BZ19:BZ29" si="33">$BS$18+BY19</f>
        <v>1033.048</v>
      </c>
    </row>
    <row r="20" spans="2:78" ht="16.25" customHeight="1" x14ac:dyDescent="0.2">
      <c r="B20" s="168">
        <v>3</v>
      </c>
      <c r="C20" s="178">
        <v>2.5000000000000001E-2</v>
      </c>
      <c r="D20" s="168" t="s">
        <v>6</v>
      </c>
      <c r="E20" s="207">
        <f t="shared" si="15"/>
        <v>1063.757282214925</v>
      </c>
      <c r="F20" s="207">
        <f t="shared" si="16"/>
        <v>1092.5523437500001</v>
      </c>
      <c r="G20" s="207">
        <f t="shared" si="17"/>
        <v>1089.4358249999998</v>
      </c>
      <c r="H20" s="207">
        <f t="shared" si="18"/>
        <v>1103.232</v>
      </c>
      <c r="I20" s="208"/>
      <c r="J20" s="207">
        <f t="shared" si="19"/>
        <v>1058.0872822149249</v>
      </c>
      <c r="K20" s="207">
        <f t="shared" si="20"/>
        <v>1069.2973984375001</v>
      </c>
      <c r="L20" s="207">
        <f t="shared" si="0"/>
        <v>1056.24301825</v>
      </c>
      <c r="M20" s="207">
        <f t="shared" si="21"/>
        <v>1067.4179200000001</v>
      </c>
      <c r="P20" s="69">
        <v>3</v>
      </c>
      <c r="Q20" s="69">
        <f>$E$8</f>
        <v>10</v>
      </c>
      <c r="R20" s="137">
        <f t="shared" ref="R20:R29" si="34">R19</f>
        <v>1000</v>
      </c>
      <c r="S20" s="137">
        <f t="shared" si="1"/>
        <v>1032.5</v>
      </c>
      <c r="T20" s="137">
        <f>IF(C19&gt;0,R20*(C19+$E$4),R20*$E$4)</f>
        <v>32.5</v>
      </c>
      <c r="U20" s="137">
        <f>$E$6*Q20</f>
        <v>7</v>
      </c>
      <c r="V20" s="137">
        <f t="shared" si="2"/>
        <v>4.8449999999999998</v>
      </c>
      <c r="W20" s="137">
        <f t="shared" si="22"/>
        <v>20.655000000000001</v>
      </c>
      <c r="X20" s="70">
        <f>(SUM($T$18:T20)-U20)*0.81</f>
        <v>57.510000000000005</v>
      </c>
      <c r="Y20" s="137">
        <f t="shared" si="3"/>
        <v>26.325000000000003</v>
      </c>
      <c r="Z20" s="137"/>
      <c r="AA20" s="137">
        <f t="shared" si="23"/>
        <v>0.44934271492500005</v>
      </c>
      <c r="AB20" s="137">
        <f t="shared" ref="AB20:AB28" si="35">AB19+SUM(Y20:AA20)</f>
        <v>63.757282214924999</v>
      </c>
      <c r="AC20" s="143">
        <f>AB20</f>
        <v>63.757282214924999</v>
      </c>
      <c r="AD20" s="143">
        <f t="shared" ref="AD20:AD28" si="36">AC19+W20+Z20+AA20</f>
        <v>58.087282214925004</v>
      </c>
      <c r="AE20" s="145">
        <f>Q20*$E$9+X20+SUM($AA$18:AA20)+SUM($Z$18:Z20)</f>
        <v>1058.0872822149249</v>
      </c>
      <c r="AF20" s="145">
        <f t="shared" si="4"/>
        <v>1063.757282214925</v>
      </c>
      <c r="AH20" s="69">
        <v>3</v>
      </c>
      <c r="AI20" s="69">
        <f t="shared" si="5"/>
        <v>10</v>
      </c>
      <c r="AJ20" s="137">
        <f>AK19</f>
        <v>1053.0625</v>
      </c>
      <c r="AK20" s="137">
        <f t="shared" si="24"/>
        <v>1092.5523437500001</v>
      </c>
      <c r="AL20" s="137">
        <f>IF(C19&gt;0,AK19*($F$4+C19),AK19*$F$4)</f>
        <v>39.489843750000006</v>
      </c>
      <c r="AM20" s="137">
        <f t="shared" si="25"/>
        <v>92.552343750000006</v>
      </c>
      <c r="AN20" s="137">
        <f>IF(AI20*$F$6&lt;=AM20,AI20*$F$6,AM20)</f>
        <v>7</v>
      </c>
      <c r="AO20" s="137">
        <f t="shared" si="6"/>
        <v>16.254945312500002</v>
      </c>
      <c r="AP20" s="137">
        <f t="shared" ref="AP20" si="37">AM20-AN20-AO20</f>
        <v>69.297398437500007</v>
      </c>
      <c r="AQ20" s="96"/>
      <c r="AR20" s="137"/>
      <c r="AS20" s="137"/>
      <c r="AT20" s="137"/>
      <c r="AU20" s="137">
        <f t="shared" si="26"/>
        <v>92.552343750000006</v>
      </c>
      <c r="AV20" s="137">
        <f t="shared" si="7"/>
        <v>69.297398437500007</v>
      </c>
      <c r="AW20" s="144">
        <f t="shared" ref="AW20:AW29" si="38">$E$8*$E$9+AV20</f>
        <v>1069.2973984375001</v>
      </c>
      <c r="AX20" s="144">
        <f t="shared" ref="AX20:AX29" si="39">$E$8*$E$9+AU20</f>
        <v>1092.5523437500001</v>
      </c>
      <c r="AZ20" s="69">
        <v>3</v>
      </c>
      <c r="BA20" s="69">
        <f t="shared" si="8"/>
        <v>10</v>
      </c>
      <c r="BB20" s="137">
        <f t="shared" si="27"/>
        <v>1052.5949999999998</v>
      </c>
      <c r="BC20" s="137">
        <f t="shared" si="28"/>
        <v>1089.4358249999998</v>
      </c>
      <c r="BD20" s="96"/>
      <c r="BE20" s="96"/>
      <c r="BF20" s="96"/>
      <c r="BG20" s="96"/>
      <c r="BH20" s="137">
        <f t="shared" ref="BH20:BH27" si="40">IF(C19&gt;0,BC19*($G$4+C19),BC19*$G$4)</f>
        <v>36.840824999999995</v>
      </c>
      <c r="BI20" s="137">
        <f t="shared" ref="BI20:BI29" si="41">BI19+BH20</f>
        <v>89.435824999999994</v>
      </c>
      <c r="BJ20" s="137">
        <f t="shared" si="9"/>
        <v>20</v>
      </c>
      <c r="BK20" s="137">
        <f t="shared" si="10"/>
        <v>13.192806749999999</v>
      </c>
      <c r="BL20" s="137">
        <f>BI20-BJ20-BK20</f>
        <v>56.243018249999992</v>
      </c>
      <c r="BM20" s="137">
        <f>$E$10+BL20</f>
        <v>1056.24301825</v>
      </c>
      <c r="BN20" s="137">
        <f t="shared" ref="BN20:BN26" si="42">BM20+BG20</f>
        <v>1056.24301825</v>
      </c>
      <c r="BO20" s="137">
        <f t="shared" si="29"/>
        <v>1089.4358249999998</v>
      </c>
      <c r="BQ20" s="69">
        <v>3</v>
      </c>
      <c r="BR20" s="69">
        <f t="shared" si="11"/>
        <v>10</v>
      </c>
      <c r="BS20" s="137">
        <f t="shared" si="30"/>
        <v>1060.8</v>
      </c>
      <c r="BT20" s="144">
        <f t="shared" si="12"/>
        <v>1103.232</v>
      </c>
      <c r="BU20" s="137">
        <f t="shared" si="31"/>
        <v>42.432000000000002</v>
      </c>
      <c r="BV20" s="137">
        <f t="shared" si="32"/>
        <v>103.232</v>
      </c>
      <c r="BW20" s="137">
        <f t="shared" si="13"/>
        <v>20</v>
      </c>
      <c r="BX20" s="137">
        <f t="shared" si="14"/>
        <v>15.814080000000001</v>
      </c>
      <c r="BY20" s="137">
        <f t="shared" ref="BY20" si="43">BV20-BW20-BX20</f>
        <v>67.417919999999995</v>
      </c>
      <c r="BZ20" s="144">
        <f t="shared" si="33"/>
        <v>1067.4179200000001</v>
      </c>
    </row>
    <row r="21" spans="2:78" ht="16.25" customHeight="1" x14ac:dyDescent="0.2">
      <c r="B21" s="168">
        <v>4</v>
      </c>
      <c r="C21" s="178">
        <v>2.5000000000000001E-2</v>
      </c>
      <c r="D21" s="168" t="s">
        <v>7</v>
      </c>
      <c r="E21" s="207">
        <f t="shared" si="15"/>
        <v>1091.8569331938363</v>
      </c>
      <c r="F21" s="207">
        <f t="shared" si="16"/>
        <v>1133.5230566406251</v>
      </c>
      <c r="G21" s="207">
        <f t="shared" si="17"/>
        <v>1127.5660788749997</v>
      </c>
      <c r="H21" s="207">
        <f t="shared" si="18"/>
        <v>1147.3612800000001</v>
      </c>
      <c r="I21" s="208"/>
      <c r="J21" s="207">
        <f t="shared" si="19"/>
        <v>1090.8569331938365</v>
      </c>
      <c r="K21" s="207">
        <f t="shared" si="20"/>
        <v>1102.4836758789063</v>
      </c>
      <c r="L21" s="207">
        <f t="shared" si="0"/>
        <v>1087.1285238887499</v>
      </c>
      <c r="M21" s="207">
        <f t="shared" si="21"/>
        <v>1103.1626368</v>
      </c>
      <c r="P21" s="146">
        <v>4</v>
      </c>
      <c r="Q21" s="138">
        <f>$E$8</f>
        <v>10</v>
      </c>
      <c r="R21" s="139">
        <f t="shared" si="34"/>
        <v>1000</v>
      </c>
      <c r="S21" s="139">
        <f t="shared" si="1"/>
        <v>1032.5</v>
      </c>
      <c r="T21" s="139">
        <f>IF(C20&gt;0,R21*(C20+$E$4),R21*$E$4)</f>
        <v>32.5</v>
      </c>
      <c r="U21" s="139"/>
      <c r="V21" s="139">
        <f t="shared" si="2"/>
        <v>6.1749999999999998</v>
      </c>
      <c r="W21" s="139">
        <f t="shared" si="22"/>
        <v>26.324999999999999</v>
      </c>
      <c r="X21" s="139">
        <f>(SUM($T$18:T21)-U21)*0.81</f>
        <v>89.50500000000001</v>
      </c>
      <c r="Y21" s="139">
        <f t="shared" si="3"/>
        <v>26.325000000000003</v>
      </c>
      <c r="Z21" s="139">
        <f>Q22*($E$9-99.9)</f>
        <v>0.99999999999994316</v>
      </c>
      <c r="AA21" s="139">
        <f t="shared" si="23"/>
        <v>0.77465097891133872</v>
      </c>
      <c r="AB21" s="139">
        <f t="shared" si="35"/>
        <v>91.856933193836284</v>
      </c>
      <c r="AC21" s="141">
        <f>AB21</f>
        <v>91.856933193836284</v>
      </c>
      <c r="AD21" s="141">
        <f>AC20+W21+AA21</f>
        <v>90.85693319383634</v>
      </c>
      <c r="AE21" s="141">
        <f>Q21*$E$9+X21+SUM($AA$18:AA21)+SUM($Z$18:Z20)</f>
        <v>1090.8569331938365</v>
      </c>
      <c r="AF21" s="141">
        <f t="shared" si="4"/>
        <v>1091.8569331938363</v>
      </c>
      <c r="AH21" s="69">
        <v>4</v>
      </c>
      <c r="AI21" s="69">
        <f t="shared" si="5"/>
        <v>10</v>
      </c>
      <c r="AJ21" s="137">
        <f>AK20</f>
        <v>1092.5523437500001</v>
      </c>
      <c r="AK21" s="137">
        <f t="shared" si="24"/>
        <v>1133.5230566406251</v>
      </c>
      <c r="AL21" s="137">
        <f>IF(C20&gt;0,AK20*($F$4+C20),AK20*$F$4)</f>
        <v>40.970712890625009</v>
      </c>
      <c r="AM21" s="137">
        <f t="shared" si="25"/>
        <v>133.52305664062501</v>
      </c>
      <c r="AN21" s="137">
        <f>IF(AI21*$F$6&lt;=AM21,AI21*$F$6,AM21)</f>
        <v>7</v>
      </c>
      <c r="AO21" s="137">
        <f t="shared" si="6"/>
        <v>24.039380761718753</v>
      </c>
      <c r="AP21" s="137">
        <f>AM21-AN21-AO21</f>
        <v>102.48367587890627</v>
      </c>
      <c r="AQ21" s="96"/>
      <c r="AR21" s="137"/>
      <c r="AS21" s="137"/>
      <c r="AT21" s="137"/>
      <c r="AU21" s="137">
        <f t="shared" si="26"/>
        <v>133.52305664062501</v>
      </c>
      <c r="AV21" s="137">
        <f t="shared" si="7"/>
        <v>102.48367587890627</v>
      </c>
      <c r="AW21" s="144">
        <f t="shared" si="38"/>
        <v>1102.4836758789063</v>
      </c>
      <c r="AX21" s="144">
        <f t="shared" si="39"/>
        <v>1133.5230566406251</v>
      </c>
      <c r="AZ21" s="69">
        <v>4</v>
      </c>
      <c r="BA21" s="69">
        <f t="shared" si="8"/>
        <v>10</v>
      </c>
      <c r="BB21" s="137">
        <f t="shared" si="27"/>
        <v>1089.4358249999998</v>
      </c>
      <c r="BC21" s="137">
        <f t="shared" si="28"/>
        <v>1127.5660788749997</v>
      </c>
      <c r="BD21" s="96"/>
      <c r="BE21" s="96"/>
      <c r="BF21" s="96"/>
      <c r="BG21" s="96"/>
      <c r="BH21" s="137">
        <f t="shared" si="40"/>
        <v>38.130253874999994</v>
      </c>
      <c r="BI21" s="137">
        <f t="shared" si="41"/>
        <v>127.56607887499999</v>
      </c>
      <c r="BJ21" s="137">
        <f t="shared" si="9"/>
        <v>20</v>
      </c>
      <c r="BK21" s="137">
        <f t="shared" si="10"/>
        <v>20.437554986249999</v>
      </c>
      <c r="BL21" s="137">
        <f>BI21-BJ21-BK21</f>
        <v>87.128523888749982</v>
      </c>
      <c r="BM21" s="137">
        <f t="shared" ref="BM21:BM26" si="44">$E$10+BL21</f>
        <v>1087.1285238887499</v>
      </c>
      <c r="BN21" s="137">
        <f t="shared" si="42"/>
        <v>1087.1285238887499</v>
      </c>
      <c r="BO21" s="137">
        <f t="shared" si="29"/>
        <v>1127.5660788749997</v>
      </c>
      <c r="BQ21" s="69">
        <v>4</v>
      </c>
      <c r="BR21" s="69">
        <f t="shared" si="11"/>
        <v>10</v>
      </c>
      <c r="BS21" s="137">
        <f t="shared" si="30"/>
        <v>1103.232</v>
      </c>
      <c r="BT21" s="144">
        <f t="shared" si="12"/>
        <v>1147.3612800000001</v>
      </c>
      <c r="BU21" s="137">
        <f t="shared" si="31"/>
        <v>44.129280000000001</v>
      </c>
      <c r="BV21" s="137">
        <f t="shared" si="32"/>
        <v>147.36127999999999</v>
      </c>
      <c r="BW21" s="137">
        <f t="shared" si="13"/>
        <v>20</v>
      </c>
      <c r="BX21" s="137">
        <f t="shared" si="14"/>
        <v>24.198643199999999</v>
      </c>
      <c r="BY21" s="137">
        <f>BV21-BW21-BX21</f>
        <v>103.1626368</v>
      </c>
      <c r="BZ21" s="144">
        <f t="shared" si="33"/>
        <v>1103.1626368</v>
      </c>
    </row>
    <row r="22" spans="2:78" ht="16.25" customHeight="1" x14ac:dyDescent="0.2">
      <c r="B22" s="168">
        <v>5</v>
      </c>
      <c r="C22" s="178">
        <v>2.5000000000000001E-2</v>
      </c>
      <c r="D22" s="168" t="s">
        <v>8</v>
      </c>
      <c r="E22" s="207">
        <f t="shared" si="15"/>
        <v>1103.5029949321413</v>
      </c>
      <c r="F22" s="207">
        <f t="shared" si="16"/>
        <v>1176.0301712646485</v>
      </c>
      <c r="G22" s="207">
        <f t="shared" si="17"/>
        <v>1167.0308916356246</v>
      </c>
      <c r="H22" s="207">
        <f t="shared" si="18"/>
        <v>1193.2557312000001</v>
      </c>
      <c r="I22" s="208"/>
      <c r="J22" s="207">
        <f t="shared" si="19"/>
        <v>1097.8329949321414</v>
      </c>
      <c r="K22" s="207">
        <f t="shared" si="20"/>
        <v>1136.9144387243653</v>
      </c>
      <c r="L22" s="207">
        <f t="shared" si="0"/>
        <v>1119.0950222248562</v>
      </c>
      <c r="M22" s="207">
        <f t="shared" si="21"/>
        <v>1140.3371422719999</v>
      </c>
      <c r="P22" s="147">
        <v>5</v>
      </c>
      <c r="Q22" s="69">
        <f>INT((S21-V21)/99.9)</f>
        <v>10</v>
      </c>
      <c r="R22" s="137">
        <f t="shared" si="34"/>
        <v>1000</v>
      </c>
      <c r="S22" s="137">
        <f t="shared" si="1"/>
        <v>1013</v>
      </c>
      <c r="T22" s="137">
        <f>R22*$E$3</f>
        <v>13</v>
      </c>
      <c r="U22" s="137">
        <f>MIN(Q22*$E$6,T22)</f>
        <v>7</v>
      </c>
      <c r="V22" s="137">
        <f t="shared" si="2"/>
        <v>1.1400000000000001</v>
      </c>
      <c r="W22" s="137">
        <f t="shared" si="22"/>
        <v>4.8599999999999994</v>
      </c>
      <c r="X22" s="70">
        <f>(SUM($T$18:T22)-U22)*0.81</f>
        <v>94.365000000000009</v>
      </c>
      <c r="Y22" s="137">
        <f t="shared" si="3"/>
        <v>10.530000000000001</v>
      </c>
      <c r="Z22" s="137"/>
      <c r="AA22" s="137">
        <f t="shared" si="23"/>
        <v>1.1160617383051108</v>
      </c>
      <c r="AB22" s="137">
        <f t="shared" si="35"/>
        <v>103.50299493214139</v>
      </c>
      <c r="AC22" s="143">
        <f t="shared" ref="AC22:AC24" si="45">AB22</f>
        <v>103.50299493214139</v>
      </c>
      <c r="AD22" s="143">
        <f>AC21+W22+Z22+AA22</f>
        <v>97.832994932141389</v>
      </c>
      <c r="AE22" s="145">
        <f>Q22*$E$9+X22+SUM($AA$18:AA22)+SUM($Z$18:Z22)</f>
        <v>1097.8329949321414</v>
      </c>
      <c r="AF22" s="145">
        <f t="shared" si="4"/>
        <v>1103.5029949321413</v>
      </c>
      <c r="AH22" s="69">
        <v>5</v>
      </c>
      <c r="AI22" s="69">
        <f t="shared" si="5"/>
        <v>10</v>
      </c>
      <c r="AJ22" s="137">
        <f>AK21</f>
        <v>1133.5230566406251</v>
      </c>
      <c r="AK22" s="137">
        <f t="shared" si="24"/>
        <v>1176.0301712646485</v>
      </c>
      <c r="AL22" s="137">
        <f>IF(C21&gt;0,AK21*($F$4+C21),AK21*$F$4)</f>
        <v>42.507114624023444</v>
      </c>
      <c r="AM22" s="137">
        <f t="shared" si="25"/>
        <v>176.03017126464846</v>
      </c>
      <c r="AN22" s="137">
        <f>IF(AI22*$F$6&lt;=AM22,AI22*$F$6,AM22)</f>
        <v>7</v>
      </c>
      <c r="AO22" s="137">
        <f t="shared" si="6"/>
        <v>32.115732540283204</v>
      </c>
      <c r="AP22" s="137">
        <f t="shared" ref="AP22:AP23" si="46">AM22-AN22-AO22</f>
        <v>136.91443872436525</v>
      </c>
      <c r="AQ22" s="96"/>
      <c r="AR22" s="137"/>
      <c r="AS22" s="137"/>
      <c r="AT22" s="137"/>
      <c r="AU22" s="137">
        <f>AM22</f>
        <v>176.03017126464846</v>
      </c>
      <c r="AV22" s="137">
        <f t="shared" si="7"/>
        <v>136.91443872436525</v>
      </c>
      <c r="AW22" s="144">
        <f t="shared" si="38"/>
        <v>1136.9144387243653</v>
      </c>
      <c r="AX22" s="144">
        <f t="shared" si="39"/>
        <v>1176.0301712646485</v>
      </c>
      <c r="AZ22" s="69">
        <v>5</v>
      </c>
      <c r="BA22" s="69">
        <f t="shared" si="8"/>
        <v>10</v>
      </c>
      <c r="BB22" s="137">
        <f t="shared" si="27"/>
        <v>1127.5660788749997</v>
      </c>
      <c r="BC22" s="137">
        <f t="shared" si="28"/>
        <v>1167.0308916356246</v>
      </c>
      <c r="BD22" s="96"/>
      <c r="BE22" s="96"/>
      <c r="BF22" s="96"/>
      <c r="BG22" s="96"/>
      <c r="BH22" s="137">
        <f t="shared" si="40"/>
        <v>39.464812760624994</v>
      </c>
      <c r="BI22" s="137">
        <f t="shared" si="41"/>
        <v>167.03089163562498</v>
      </c>
      <c r="BJ22" s="137">
        <f t="shared" si="9"/>
        <v>20</v>
      </c>
      <c r="BK22" s="137">
        <f t="shared" si="10"/>
        <v>27.935869410768746</v>
      </c>
      <c r="BL22" s="137">
        <f t="shared" ref="BL22:BL27" si="47">BI22-BJ22-BK22</f>
        <v>119.09502222485624</v>
      </c>
      <c r="BM22" s="137">
        <f t="shared" si="44"/>
        <v>1119.0950222248562</v>
      </c>
      <c r="BN22" s="137">
        <f t="shared" si="42"/>
        <v>1119.0950222248562</v>
      </c>
      <c r="BO22" s="137">
        <f t="shared" si="29"/>
        <v>1167.0308916356246</v>
      </c>
      <c r="BQ22" s="69">
        <v>5</v>
      </c>
      <c r="BR22" s="69">
        <f t="shared" si="11"/>
        <v>10</v>
      </c>
      <c r="BS22" s="137">
        <f t="shared" si="30"/>
        <v>1147.3612800000001</v>
      </c>
      <c r="BT22" s="144">
        <f t="shared" si="12"/>
        <v>1193.2557312000001</v>
      </c>
      <c r="BU22" s="137">
        <f t="shared" si="31"/>
        <v>45.894451200000006</v>
      </c>
      <c r="BV22" s="137">
        <f t="shared" si="32"/>
        <v>193.25573120000001</v>
      </c>
      <c r="BW22" s="137">
        <f t="shared" si="13"/>
        <v>20</v>
      </c>
      <c r="BX22" s="137">
        <f t="shared" si="14"/>
        <v>32.918588928000005</v>
      </c>
      <c r="BY22" s="137">
        <f t="shared" ref="BY22:BY25" si="48">BV22-BW22-BX22</f>
        <v>140.33714227199999</v>
      </c>
      <c r="BZ22" s="144">
        <f t="shared" si="33"/>
        <v>1140.3371422719999</v>
      </c>
    </row>
    <row r="23" spans="2:78" ht="16.25" customHeight="1" x14ac:dyDescent="0.2">
      <c r="B23" s="168">
        <v>6</v>
      </c>
      <c r="C23" s="178">
        <v>2.5000000000000001E-2</v>
      </c>
      <c r="D23" s="168" t="s">
        <v>9</v>
      </c>
      <c r="E23" s="207">
        <f t="shared" si="15"/>
        <v>1131.0855563205669</v>
      </c>
      <c r="F23" s="207">
        <f t="shared" si="16"/>
        <v>1178.306355176529</v>
      </c>
      <c r="G23" s="207">
        <f t="shared" si="17"/>
        <v>1207.8769728428715</v>
      </c>
      <c r="H23" s="207">
        <f t="shared" si="18"/>
        <v>1240.9859604480002</v>
      </c>
      <c r="I23" s="208"/>
      <c r="J23" s="207">
        <f t="shared" si="19"/>
        <v>1125.415556320567</v>
      </c>
      <c r="K23" s="207">
        <f t="shared" si="20"/>
        <v>1178.306355176529</v>
      </c>
      <c r="L23" s="207">
        <f t="shared" si="0"/>
        <v>1152.1803480027261</v>
      </c>
      <c r="M23" s="207">
        <f t="shared" si="21"/>
        <v>1178.9986279628799</v>
      </c>
      <c r="P23" s="147">
        <v>6</v>
      </c>
      <c r="Q23" s="69">
        <f t="shared" ref="Q23:Q29" si="49">$E$8</f>
        <v>10</v>
      </c>
      <c r="R23" s="137">
        <f t="shared" si="34"/>
        <v>1000</v>
      </c>
      <c r="S23" s="137">
        <f t="shared" si="1"/>
        <v>1032.5</v>
      </c>
      <c r="T23" s="137">
        <f>IF(C22&gt;0,R23*(C22+$E$4),R23*$E$4)</f>
        <v>32.5</v>
      </c>
      <c r="U23" s="137">
        <f>$E$6*Q23</f>
        <v>7</v>
      </c>
      <c r="V23" s="137">
        <f t="shared" si="2"/>
        <v>4.8449999999999998</v>
      </c>
      <c r="W23" s="137">
        <f t="shared" si="22"/>
        <v>20.655000000000001</v>
      </c>
      <c r="X23" s="70">
        <f>(SUM($T$18:T23)-U23)*0.81</f>
        <v>120.69000000000001</v>
      </c>
      <c r="Y23" s="137">
        <f t="shared" si="3"/>
        <v>26.325000000000003</v>
      </c>
      <c r="Z23" s="137"/>
      <c r="AA23" s="137">
        <f t="shared" si="23"/>
        <v>1.2575613884255179</v>
      </c>
      <c r="AB23" s="137">
        <f t="shared" si="35"/>
        <v>131.08555632056692</v>
      </c>
      <c r="AC23" s="143">
        <f t="shared" si="45"/>
        <v>131.08555632056692</v>
      </c>
      <c r="AD23" s="143">
        <f t="shared" si="36"/>
        <v>125.41555632056691</v>
      </c>
      <c r="AE23" s="145">
        <f>Q23*$E$9+X23+SUM($AA$18:AA23)+SUM($Z$18:Z23)</f>
        <v>1125.415556320567</v>
      </c>
      <c r="AF23" s="145">
        <f t="shared" si="4"/>
        <v>1131.0855563205669</v>
      </c>
      <c r="AH23" s="138">
        <v>6</v>
      </c>
      <c r="AI23" s="138">
        <f t="shared" si="5"/>
        <v>10</v>
      </c>
      <c r="AJ23" s="139">
        <f>AK22</f>
        <v>1176.0301712646485</v>
      </c>
      <c r="AK23" s="139">
        <f>AK22+AL23</f>
        <v>1220.1313026870728</v>
      </c>
      <c r="AL23" s="139">
        <f>IF(C22&gt;0,AK22*($F$4+C22),AK22*$F$4)</f>
        <v>44.101131422424324</v>
      </c>
      <c r="AM23" s="139">
        <f>AM22+AL23</f>
        <v>220.13130268707278</v>
      </c>
      <c r="AN23" s="139"/>
      <c r="AO23" s="142">
        <f t="shared" si="6"/>
        <v>41.824947510543829</v>
      </c>
      <c r="AP23" s="142">
        <f t="shared" si="46"/>
        <v>178.30635517652894</v>
      </c>
      <c r="AQ23" s="139">
        <f>(AJ18+AP23)-AJ24</f>
        <v>78.306355176528996</v>
      </c>
      <c r="AR23" s="139">
        <v>0</v>
      </c>
      <c r="AS23" s="139">
        <f t="shared" ref="AS23:AS29" si="50">AT22*$E$12*(1-$E$11)</f>
        <v>0</v>
      </c>
      <c r="AT23" s="139">
        <f>AT22+SUM(AQ23:AS23)</f>
        <v>78.306355176528996</v>
      </c>
      <c r="AU23" s="139">
        <f>AM23-AO23+AR23</f>
        <v>178.30635517652894</v>
      </c>
      <c r="AV23" s="139">
        <f t="shared" si="7"/>
        <v>178.30635517652894</v>
      </c>
      <c r="AW23" s="139">
        <f t="shared" si="38"/>
        <v>1178.306355176529</v>
      </c>
      <c r="AX23" s="139">
        <f t="shared" si="39"/>
        <v>1178.306355176529</v>
      </c>
      <c r="AZ23" s="69">
        <v>6</v>
      </c>
      <c r="BA23" s="69">
        <f t="shared" si="8"/>
        <v>10</v>
      </c>
      <c r="BB23" s="137">
        <f t="shared" si="27"/>
        <v>1167.0308916356246</v>
      </c>
      <c r="BC23" s="137">
        <f t="shared" si="28"/>
        <v>1207.8769728428715</v>
      </c>
      <c r="BD23" s="96"/>
      <c r="BE23" s="96"/>
      <c r="BF23" s="96"/>
      <c r="BG23" s="96"/>
      <c r="BH23" s="137">
        <f t="shared" si="40"/>
        <v>40.846081207246861</v>
      </c>
      <c r="BI23" s="137">
        <f t="shared" si="41"/>
        <v>207.87697284287185</v>
      </c>
      <c r="BJ23" s="137">
        <f t="shared" si="9"/>
        <v>20</v>
      </c>
      <c r="BK23" s="137">
        <f t="shared" si="10"/>
        <v>35.696624840145653</v>
      </c>
      <c r="BL23" s="137">
        <f t="shared" si="47"/>
        <v>152.18034800272619</v>
      </c>
      <c r="BM23" s="137">
        <f t="shared" si="44"/>
        <v>1152.1803480027261</v>
      </c>
      <c r="BN23" s="137">
        <f t="shared" si="42"/>
        <v>1152.1803480027261</v>
      </c>
      <c r="BO23" s="137">
        <f t="shared" si="29"/>
        <v>1207.8769728428715</v>
      </c>
      <c r="BQ23" s="69">
        <v>6</v>
      </c>
      <c r="BR23" s="69">
        <f t="shared" si="11"/>
        <v>10</v>
      </c>
      <c r="BS23" s="137">
        <f t="shared" si="30"/>
        <v>1193.2557312000001</v>
      </c>
      <c r="BT23" s="144">
        <f t="shared" si="12"/>
        <v>1240.9859604480002</v>
      </c>
      <c r="BU23" s="137">
        <f t="shared" si="31"/>
        <v>47.730229248000008</v>
      </c>
      <c r="BV23" s="137">
        <f t="shared" si="32"/>
        <v>240.98596044800001</v>
      </c>
      <c r="BW23" s="137">
        <f t="shared" si="13"/>
        <v>20</v>
      </c>
      <c r="BX23" s="137">
        <f t="shared" si="14"/>
        <v>41.987332485120007</v>
      </c>
      <c r="BY23" s="137">
        <f t="shared" si="48"/>
        <v>178.99862796287999</v>
      </c>
      <c r="BZ23" s="144">
        <f t="shared" si="33"/>
        <v>1178.9986279628799</v>
      </c>
    </row>
    <row r="24" spans="2:78" ht="16.25" customHeight="1" x14ac:dyDescent="0.2">
      <c r="B24" s="168">
        <v>7</v>
      </c>
      <c r="C24" s="178">
        <v>2.5000000000000001E-2</v>
      </c>
      <c r="D24" s="168" t="s">
        <v>10</v>
      </c>
      <c r="E24" s="207">
        <f t="shared" si="15"/>
        <v>1159.0032458298617</v>
      </c>
      <c r="F24" s="207">
        <f t="shared" si="16"/>
        <v>1195.7577773919238</v>
      </c>
      <c r="G24" s="207">
        <f t="shared" si="17"/>
        <v>1250.1526668923721</v>
      </c>
      <c r="H24" s="207">
        <f t="shared" si="18"/>
        <v>1290.6253988659203</v>
      </c>
      <c r="I24" s="208"/>
      <c r="J24" s="207">
        <f t="shared" si="19"/>
        <v>1153.3332458298619</v>
      </c>
      <c r="K24" s="207">
        <f t="shared" si="20"/>
        <v>1186.3857773919237</v>
      </c>
      <c r="L24" s="207">
        <f t="shared" si="0"/>
        <v>1186.4236601828215</v>
      </c>
      <c r="M24" s="207">
        <f t="shared" si="21"/>
        <v>1219.2065730813952</v>
      </c>
      <c r="P24" s="147">
        <v>7</v>
      </c>
      <c r="Q24" s="69">
        <f t="shared" si="49"/>
        <v>10</v>
      </c>
      <c r="R24" s="137">
        <f t="shared" si="34"/>
        <v>1000</v>
      </c>
      <c r="S24" s="137">
        <f t="shared" si="1"/>
        <v>1032.5</v>
      </c>
      <c r="T24" s="137">
        <f>IF(C23&gt;0,R24*(C23+$E$4),R24*$E$4)</f>
        <v>32.5</v>
      </c>
      <c r="U24" s="137">
        <f>$E$6*Q24</f>
        <v>7</v>
      </c>
      <c r="V24" s="137">
        <f t="shared" si="2"/>
        <v>4.8449999999999998</v>
      </c>
      <c r="W24" s="137">
        <f t="shared" si="22"/>
        <v>20.655000000000001</v>
      </c>
      <c r="X24" s="70">
        <f>(SUM($T$18:T24)-U24)*0.81</f>
        <v>147.01500000000001</v>
      </c>
      <c r="Y24" s="137">
        <f t="shared" si="3"/>
        <v>26.325000000000003</v>
      </c>
      <c r="Z24" s="137"/>
      <c r="AA24" s="137">
        <f t="shared" si="23"/>
        <v>1.5926895092948881</v>
      </c>
      <c r="AB24" s="137">
        <f t="shared" si="35"/>
        <v>159.00324582986181</v>
      </c>
      <c r="AC24" s="143">
        <f t="shared" si="45"/>
        <v>159.00324582986181</v>
      </c>
      <c r="AD24" s="143">
        <f t="shared" si="36"/>
        <v>153.33324582986182</v>
      </c>
      <c r="AE24" s="145">
        <f>Q24*$E$9+X24+SUM($AA$18:AA24)+SUM($Z$18:Z24)</f>
        <v>1153.3332458298619</v>
      </c>
      <c r="AF24" s="145">
        <f t="shared" si="4"/>
        <v>1159.0032458298617</v>
      </c>
      <c r="AH24" s="69">
        <v>7</v>
      </c>
      <c r="AI24" s="69">
        <f>INT((AJ18+AP23)/99.9)</f>
        <v>11</v>
      </c>
      <c r="AJ24" s="137">
        <f>AI24*$E$9</f>
        <v>1100</v>
      </c>
      <c r="AK24" s="137">
        <f>AJ24*(1+$F$3)</f>
        <v>1116.5</v>
      </c>
      <c r="AL24" s="137">
        <f>AJ24*$F$3</f>
        <v>16.5</v>
      </c>
      <c r="AM24" s="137">
        <f>AM23+AL24</f>
        <v>236.63130268707278</v>
      </c>
      <c r="AN24" s="137">
        <f>IF(AI24*$F$6&lt;=SUM($AL$24,AL24),AI24*$F$6,SUM($AL$24,AL24))</f>
        <v>7.6999999999999993</v>
      </c>
      <c r="AO24" s="137">
        <f>IF(SUM($AL$24:AL24)&gt;AN24,(SUM($AL$24:AL24)-AN24)*$E$11,0)</f>
        <v>1.6720000000000002</v>
      </c>
      <c r="AP24" s="137">
        <f>AM24-$AO$23-AN24-AO24</f>
        <v>185.43435517652895</v>
      </c>
      <c r="AQ24" s="96"/>
      <c r="AS24" s="137">
        <f t="shared" si="50"/>
        <v>0.9514222153948273</v>
      </c>
      <c r="AT24" s="137">
        <f t="shared" ref="AT24:AT29" si="51">AT23+SUM(AQ24:AS24)</f>
        <v>79.257777391923824</v>
      </c>
      <c r="AU24" s="137">
        <f>AM24-$AO$23+SUM($AR$23:AR23)+SUM($AS$23:AS24)</f>
        <v>195.75777739192375</v>
      </c>
      <c r="AV24" s="137">
        <f>AP24+AT24-$AQ$23-$AR$23</f>
        <v>186.3857773919238</v>
      </c>
      <c r="AW24" s="144">
        <f>$E$8*$E$9+AV24</f>
        <v>1186.3857773919237</v>
      </c>
      <c r="AX24" s="144">
        <f t="shared" si="39"/>
        <v>1195.7577773919238</v>
      </c>
      <c r="AZ24" s="69">
        <v>7</v>
      </c>
      <c r="BA24" s="69">
        <f t="shared" si="8"/>
        <v>10</v>
      </c>
      <c r="BB24" s="137">
        <f t="shared" si="27"/>
        <v>1207.8769728428715</v>
      </c>
      <c r="BC24" s="137">
        <f t="shared" si="28"/>
        <v>1250.1526668923721</v>
      </c>
      <c r="BD24" s="96"/>
      <c r="BE24" s="96"/>
      <c r="BF24" s="96"/>
      <c r="BG24" s="96"/>
      <c r="BH24" s="137">
        <f t="shared" si="40"/>
        <v>42.275694049500508</v>
      </c>
      <c r="BI24" s="137">
        <f t="shared" si="41"/>
        <v>250.15266689237237</v>
      </c>
      <c r="BJ24" s="137">
        <f t="shared" si="9"/>
        <v>20</v>
      </c>
      <c r="BK24" s="137">
        <f t="shared" si="10"/>
        <v>43.729006709550752</v>
      </c>
      <c r="BL24" s="137">
        <f t="shared" si="47"/>
        <v>186.42366018282161</v>
      </c>
      <c r="BM24" s="137">
        <f t="shared" si="44"/>
        <v>1186.4236601828215</v>
      </c>
      <c r="BN24" s="137">
        <f t="shared" si="42"/>
        <v>1186.4236601828215</v>
      </c>
      <c r="BO24" s="137">
        <f t="shared" si="29"/>
        <v>1250.1526668923721</v>
      </c>
      <c r="BQ24" s="69">
        <v>7</v>
      </c>
      <c r="BR24" s="69">
        <f t="shared" si="11"/>
        <v>10</v>
      </c>
      <c r="BS24" s="137">
        <f t="shared" si="30"/>
        <v>1240.9859604480002</v>
      </c>
      <c r="BT24" s="144">
        <f t="shared" si="12"/>
        <v>1290.6253988659203</v>
      </c>
      <c r="BU24" s="137">
        <f t="shared" si="31"/>
        <v>49.639438417920012</v>
      </c>
      <c r="BV24" s="137">
        <f t="shared" si="32"/>
        <v>290.62539886592003</v>
      </c>
      <c r="BW24" s="137">
        <f t="shared" si="13"/>
        <v>20</v>
      </c>
      <c r="BX24" s="137">
        <f t="shared" si="14"/>
        <v>51.418825784524806</v>
      </c>
      <c r="BY24" s="137">
        <f t="shared" si="48"/>
        <v>219.20657308139522</v>
      </c>
      <c r="BZ24" s="144">
        <f t="shared" si="33"/>
        <v>1219.2065730813952</v>
      </c>
    </row>
    <row r="25" spans="2:78" ht="16.25" customHeight="1" x14ac:dyDescent="0.2">
      <c r="B25" s="168">
        <v>8</v>
      </c>
      <c r="C25" s="178">
        <v>2.5000000000000001E-2</v>
      </c>
      <c r="D25" s="168" t="s">
        <v>11</v>
      </c>
      <c r="E25" s="207">
        <f t="shared" si="15"/>
        <v>1188.2601352666945</v>
      </c>
      <c r="F25" s="207">
        <f t="shared" si="16"/>
        <v>1238.5895093872357</v>
      </c>
      <c r="G25" s="207">
        <f t="shared" si="17"/>
        <v>1293.9080102336052</v>
      </c>
      <c r="H25" s="207">
        <f t="shared" si="18"/>
        <v>1342.2504148205571</v>
      </c>
      <c r="I25" s="208"/>
      <c r="J25" s="207">
        <f t="shared" si="19"/>
        <v>1187.2601352666948</v>
      </c>
      <c r="K25" s="207">
        <f t="shared" si="20"/>
        <v>1221.2624468872357</v>
      </c>
      <c r="L25" s="207">
        <f t="shared" si="0"/>
        <v>1221.8654882892204</v>
      </c>
      <c r="M25" s="207">
        <f t="shared" si="21"/>
        <v>1261.022836004651</v>
      </c>
      <c r="P25" s="138">
        <v>8</v>
      </c>
      <c r="Q25" s="138">
        <f t="shared" si="49"/>
        <v>10</v>
      </c>
      <c r="R25" s="139">
        <f t="shared" si="34"/>
        <v>1000</v>
      </c>
      <c r="S25" s="139">
        <f t="shared" si="1"/>
        <v>1032.5</v>
      </c>
      <c r="T25" s="139">
        <f>IF(C24&gt;0,R25*(C24+$E$4),R25*$E$4)</f>
        <v>32.5</v>
      </c>
      <c r="U25" s="139"/>
      <c r="V25" s="139">
        <f t="shared" si="2"/>
        <v>6.1749999999999998</v>
      </c>
      <c r="W25" s="139">
        <f t="shared" si="22"/>
        <v>26.324999999999999</v>
      </c>
      <c r="X25" s="139">
        <f>(SUM($T$18:T25)-U25)*0.81</f>
        <v>179.01000000000002</v>
      </c>
      <c r="Y25" s="139">
        <f t="shared" si="3"/>
        <v>26.325000000000003</v>
      </c>
      <c r="Z25" s="139">
        <f>Q26*($E$9-99.9)</f>
        <v>0.99999999999994316</v>
      </c>
      <c r="AA25" s="139">
        <f t="shared" si="23"/>
        <v>1.931889436832821</v>
      </c>
      <c r="AB25" s="139">
        <f t="shared" si="35"/>
        <v>188.26013526669459</v>
      </c>
      <c r="AC25" s="141">
        <f>AB25</f>
        <v>188.26013526669459</v>
      </c>
      <c r="AD25" s="141">
        <f t="shared" si="36"/>
        <v>188.26013526669456</v>
      </c>
      <c r="AE25" s="141">
        <f>Q25*$E$9+X25+SUM($AA$18:AA25)+SUM($Z$18:Z24)</f>
        <v>1187.2601352666948</v>
      </c>
      <c r="AF25" s="141">
        <f t="shared" si="4"/>
        <v>1188.2601352666945</v>
      </c>
      <c r="AH25" s="69">
        <v>8</v>
      </c>
      <c r="AI25" s="69">
        <f>AI24</f>
        <v>11</v>
      </c>
      <c r="AJ25" s="137">
        <f>AK24</f>
        <v>1116.5</v>
      </c>
      <c r="AK25" s="137">
        <f t="shared" si="24"/>
        <v>1158.3687500000001</v>
      </c>
      <c r="AL25" s="137">
        <f>IF(C24&gt;0,AK24*($F$4+C24),AK24*$F$4)</f>
        <v>41.868750000000006</v>
      </c>
      <c r="AM25" s="137">
        <f t="shared" si="25"/>
        <v>278.50005268707275</v>
      </c>
      <c r="AN25" s="137">
        <f>IF(AI25*$F$6&lt;=SUM($AL$24,AL25),AI25*$F$6,SUM($AL$24,AL25))</f>
        <v>7.6999999999999993</v>
      </c>
      <c r="AO25" s="137">
        <f>IF(SUM($AL$24:AL25)&gt;AN25,(SUM($AL$24:AL25)-AN25)*$E$11,0)</f>
        <v>9.627062500000001</v>
      </c>
      <c r="AP25" s="137">
        <f>(AM25-AN25)*(1-$E$11)</f>
        <v>219.34804267652896</v>
      </c>
      <c r="AQ25" s="137"/>
      <c r="AR25" s="137"/>
      <c r="AS25" s="137">
        <f t="shared" si="50"/>
        <v>0.96298199531187456</v>
      </c>
      <c r="AT25" s="137">
        <f t="shared" si="51"/>
        <v>80.220759387235702</v>
      </c>
      <c r="AU25" s="137">
        <f>AM25-$AO$23+SUM($AR$23:AR25)+SUM($AS$23:AS25)</f>
        <v>238.58950938723561</v>
      </c>
      <c r="AV25" s="137">
        <f>AP25+AT25-$AQ$23</f>
        <v>221.26244688723568</v>
      </c>
      <c r="AW25" s="144">
        <f t="shared" si="38"/>
        <v>1221.2624468872357</v>
      </c>
      <c r="AX25" s="144">
        <f t="shared" si="39"/>
        <v>1238.5895093872357</v>
      </c>
      <c r="AZ25" s="69">
        <v>8</v>
      </c>
      <c r="BA25" s="69">
        <f t="shared" si="8"/>
        <v>10</v>
      </c>
      <c r="BB25" s="137">
        <f t="shared" si="27"/>
        <v>1250.1526668923721</v>
      </c>
      <c r="BC25" s="137">
        <f t="shared" si="28"/>
        <v>1293.9080102336052</v>
      </c>
      <c r="BD25" s="96"/>
      <c r="BE25" s="96"/>
      <c r="BF25" s="96"/>
      <c r="BG25" s="96"/>
      <c r="BH25" s="137">
        <f t="shared" si="40"/>
        <v>43.755343341233029</v>
      </c>
      <c r="BI25" s="137">
        <f t="shared" si="41"/>
        <v>293.90801023360541</v>
      </c>
      <c r="BJ25" s="137">
        <f t="shared" si="9"/>
        <v>20</v>
      </c>
      <c r="BK25" s="137">
        <f t="shared" si="10"/>
        <v>52.04252194438503</v>
      </c>
      <c r="BL25" s="137">
        <f t="shared" si="47"/>
        <v>221.86548828922037</v>
      </c>
      <c r="BM25" s="137">
        <f t="shared" si="44"/>
        <v>1221.8654882892204</v>
      </c>
      <c r="BN25" s="137">
        <f t="shared" si="42"/>
        <v>1221.8654882892204</v>
      </c>
      <c r="BO25" s="137">
        <f t="shared" si="29"/>
        <v>1293.9080102336052</v>
      </c>
      <c r="BQ25" s="69">
        <v>8</v>
      </c>
      <c r="BR25" s="69">
        <f t="shared" si="11"/>
        <v>10</v>
      </c>
      <c r="BS25" s="137">
        <f t="shared" si="30"/>
        <v>1290.6253988659203</v>
      </c>
      <c r="BT25" s="144">
        <f t="shared" si="12"/>
        <v>1342.2504148205571</v>
      </c>
      <c r="BU25" s="137">
        <f t="shared" si="31"/>
        <v>51.625015954636808</v>
      </c>
      <c r="BV25" s="137">
        <f t="shared" si="32"/>
        <v>342.25041482055684</v>
      </c>
      <c r="BW25" s="137">
        <f t="shared" si="13"/>
        <v>20</v>
      </c>
      <c r="BX25" s="137">
        <f t="shared" si="14"/>
        <v>61.227578815905801</v>
      </c>
      <c r="BY25" s="137">
        <f t="shared" si="48"/>
        <v>261.02283600465103</v>
      </c>
      <c r="BZ25" s="144">
        <f t="shared" si="33"/>
        <v>1261.022836004651</v>
      </c>
    </row>
    <row r="26" spans="2:78" ht="16.25" customHeight="1" x14ac:dyDescent="0.2">
      <c r="B26" s="168">
        <v>9</v>
      </c>
      <c r="C26" s="178">
        <v>2.5000000000000001E-2</v>
      </c>
      <c r="D26" s="168" t="s">
        <v>12</v>
      </c>
      <c r="E26" s="207">
        <f t="shared" si="15"/>
        <v>1201.077495910185</v>
      </c>
      <c r="F26" s="207">
        <f t="shared" si="16"/>
        <v>1283.0030197387905</v>
      </c>
      <c r="G26" s="207">
        <f t="shared" si="17"/>
        <v>1339.1947905917814</v>
      </c>
      <c r="H26" s="207">
        <f t="shared" si="18"/>
        <v>1395.9404314133794</v>
      </c>
      <c r="I26" s="208"/>
      <c r="J26" s="207">
        <f t="shared" si="19"/>
        <v>1195.4074959101849</v>
      </c>
      <c r="K26" s="207">
        <f t="shared" si="20"/>
        <v>1257.4225798950406</v>
      </c>
      <c r="L26" s="207">
        <f t="shared" si="0"/>
        <v>1258.5477803793431</v>
      </c>
      <c r="M26" s="207">
        <f t="shared" si="21"/>
        <v>1304.5117494448371</v>
      </c>
      <c r="P26" s="147">
        <v>9</v>
      </c>
      <c r="Q26" s="69">
        <f t="shared" si="49"/>
        <v>10</v>
      </c>
      <c r="R26" s="137">
        <f t="shared" si="34"/>
        <v>1000</v>
      </c>
      <c r="S26" s="137">
        <f t="shared" si="1"/>
        <v>1013</v>
      </c>
      <c r="T26" s="137">
        <f>R26*$E$3</f>
        <v>13</v>
      </c>
      <c r="U26" s="137">
        <f>MIN(Q26*$E$6,T26)</f>
        <v>7</v>
      </c>
      <c r="V26" s="137">
        <f t="shared" si="2"/>
        <v>1.1400000000000001</v>
      </c>
      <c r="W26" s="137">
        <f t="shared" si="22"/>
        <v>4.8599999999999994</v>
      </c>
      <c r="X26" s="70">
        <f>(SUM($T$18:T26)-U26)*0.81</f>
        <v>183.87</v>
      </c>
      <c r="Y26" s="137">
        <f t="shared" si="3"/>
        <v>10.530000000000001</v>
      </c>
      <c r="Z26" s="137"/>
      <c r="AA26" s="137">
        <f t="shared" si="23"/>
        <v>2.2873606434903393</v>
      </c>
      <c r="AB26" s="137">
        <f t="shared" si="35"/>
        <v>201.07749591018492</v>
      </c>
      <c r="AC26" s="143">
        <f>AB26</f>
        <v>201.07749591018492</v>
      </c>
      <c r="AD26" s="143">
        <f t="shared" si="36"/>
        <v>195.40749591018493</v>
      </c>
      <c r="AE26" s="145">
        <f>Q26*$E$9+X26+SUM($AA$18:AA26)+SUM($Z$18:Z26)</f>
        <v>1195.4074959101849</v>
      </c>
      <c r="AF26" s="145">
        <f t="shared" si="4"/>
        <v>1201.077495910185</v>
      </c>
      <c r="AH26" s="69">
        <v>9</v>
      </c>
      <c r="AI26" s="69">
        <f t="shared" ref="AI26:AI28" si="52">AI25</f>
        <v>11</v>
      </c>
      <c r="AJ26" s="137">
        <f>AK25</f>
        <v>1158.3687500000001</v>
      </c>
      <c r="AK26" s="137">
        <f t="shared" si="24"/>
        <v>1201.8075781250002</v>
      </c>
      <c r="AL26" s="137">
        <f>IF(C25&gt;0,AK25*($F$4+C25),AK25*$F$4)</f>
        <v>43.438828125000008</v>
      </c>
      <c r="AM26" s="137">
        <f t="shared" si="25"/>
        <v>321.93888081207274</v>
      </c>
      <c r="AN26" s="137">
        <f>IF(AI26*$F$6&lt;=SUM($AL$24,AL26),AI26*$F$6,SUM($AL$24,AL26))</f>
        <v>7.6999999999999993</v>
      </c>
      <c r="AO26" s="137">
        <f>IF(SUM($AL$24:AL26)&gt;AN26,(SUM($AL$24:AL26)-AN26)*$E$11,0)</f>
        <v>17.880439843750004</v>
      </c>
      <c r="AP26" s="137">
        <f t="shared" ref="AP26:AP29" si="53">(AM26-AN26)*(1-$E$11)</f>
        <v>254.53349345777895</v>
      </c>
      <c r="AQ26" s="137"/>
      <c r="AR26" s="137"/>
      <c r="AS26" s="137">
        <f t="shared" si="50"/>
        <v>0.97468222655491388</v>
      </c>
      <c r="AT26" s="137">
        <f t="shared" si="51"/>
        <v>81.195441613790621</v>
      </c>
      <c r="AU26" s="137">
        <f>AM26-$AO$23+SUM($AR$23:AR26)+SUM($AS$23:AS26)</f>
        <v>283.0030197387905</v>
      </c>
      <c r="AV26" s="137">
        <f>AP26+AT26-$AQ$23</f>
        <v>257.4225798950406</v>
      </c>
      <c r="AW26" s="144">
        <f t="shared" si="38"/>
        <v>1257.4225798950406</v>
      </c>
      <c r="AX26" s="144">
        <f t="shared" si="39"/>
        <v>1283.0030197387905</v>
      </c>
      <c r="AZ26" s="69">
        <v>9</v>
      </c>
      <c r="BA26" s="69">
        <f t="shared" si="8"/>
        <v>10</v>
      </c>
      <c r="BB26" s="137">
        <f t="shared" si="27"/>
        <v>1293.9080102336052</v>
      </c>
      <c r="BC26" s="137">
        <f t="shared" si="28"/>
        <v>1339.1947905917814</v>
      </c>
      <c r="BD26" s="96"/>
      <c r="BE26" s="96"/>
      <c r="BF26" s="96"/>
      <c r="BG26" s="96"/>
      <c r="BH26" s="137">
        <f t="shared" si="40"/>
        <v>45.286780358176188</v>
      </c>
      <c r="BI26" s="137">
        <f t="shared" si="41"/>
        <v>339.19479059178161</v>
      </c>
      <c r="BJ26" s="137">
        <f t="shared" si="9"/>
        <v>20</v>
      </c>
      <c r="BK26" s="137">
        <f t="shared" si="10"/>
        <v>60.647010212438509</v>
      </c>
      <c r="BL26" s="137">
        <f t="shared" si="47"/>
        <v>258.54778037934312</v>
      </c>
      <c r="BM26" s="137">
        <f t="shared" si="44"/>
        <v>1258.5477803793431</v>
      </c>
      <c r="BN26" s="137">
        <f t="shared" si="42"/>
        <v>1258.5477803793431</v>
      </c>
      <c r="BO26" s="137">
        <f t="shared" si="29"/>
        <v>1339.1947905917814</v>
      </c>
      <c r="BQ26" s="69">
        <v>9</v>
      </c>
      <c r="BR26" s="69">
        <f t="shared" si="11"/>
        <v>10</v>
      </c>
      <c r="BS26" s="137">
        <f t="shared" ref="BS26:BS29" si="54">BT25</f>
        <v>1342.2504148205571</v>
      </c>
      <c r="BT26" s="144">
        <f t="shared" si="12"/>
        <v>1395.9404314133794</v>
      </c>
      <c r="BU26" s="137">
        <f t="shared" si="31"/>
        <v>53.690016592822289</v>
      </c>
      <c r="BV26" s="137">
        <f t="shared" ref="BV26:BV28" si="55">BV25+BU26</f>
        <v>395.94043141337914</v>
      </c>
      <c r="BW26" s="137">
        <f t="shared" si="13"/>
        <v>20</v>
      </c>
      <c r="BX26" s="137">
        <f t="shared" si="14"/>
        <v>71.428681968542037</v>
      </c>
      <c r="BY26" s="137">
        <f t="shared" ref="BY26:BY29" si="56">BV26-BW26-BX26</f>
        <v>304.51174944483711</v>
      </c>
      <c r="BZ26" s="144">
        <f t="shared" si="33"/>
        <v>1304.5117494448371</v>
      </c>
    </row>
    <row r="27" spans="2:78" ht="16.25" customHeight="1" x14ac:dyDescent="0.2">
      <c r="B27" s="168">
        <v>10</v>
      </c>
      <c r="C27" s="178">
        <v>2.5000000000000001E-2</v>
      </c>
      <c r="D27" s="168" t="s">
        <v>13</v>
      </c>
      <c r="E27" s="207">
        <f t="shared" si="15"/>
        <v>1229.8455874854938</v>
      </c>
      <c r="F27" s="207">
        <f t="shared" si="16"/>
        <v>1329.0573285340856</v>
      </c>
      <c r="G27" s="207">
        <f t="shared" si="17"/>
        <v>1314.0139526926198</v>
      </c>
      <c r="H27" s="207">
        <f t="shared" si="18"/>
        <v>1451.7780486699146</v>
      </c>
      <c r="I27" s="208"/>
      <c r="J27" s="207">
        <f t="shared" si="19"/>
        <v>1224.1755874854935</v>
      </c>
      <c r="K27" s="207">
        <f t="shared" si="20"/>
        <v>1294.9140096961951</v>
      </c>
      <c r="L27" s="207">
        <f t="shared" si="0"/>
        <v>1312.7139526926201</v>
      </c>
      <c r="M27" s="207">
        <f t="shared" si="21"/>
        <v>1349.7402194226306</v>
      </c>
      <c r="P27" s="147">
        <v>10</v>
      </c>
      <c r="Q27" s="69">
        <f t="shared" si="49"/>
        <v>10</v>
      </c>
      <c r="R27" s="137">
        <f t="shared" si="34"/>
        <v>1000</v>
      </c>
      <c r="S27" s="137">
        <f t="shared" si="1"/>
        <v>1032.5</v>
      </c>
      <c r="T27" s="137">
        <f>IF(C26&gt;0,R27*(C26+$E$4),R27*$E$4)</f>
        <v>32.5</v>
      </c>
      <c r="U27" s="137">
        <f>$E$6*Q27</f>
        <v>7</v>
      </c>
      <c r="V27" s="137">
        <f t="shared" si="2"/>
        <v>4.8449999999999998</v>
      </c>
      <c r="W27" s="137">
        <f t="shared" si="22"/>
        <v>20.655000000000001</v>
      </c>
      <c r="X27" s="70">
        <f>(SUM($T$18:T27)-U27)*0.81</f>
        <v>210.19500000000002</v>
      </c>
      <c r="Y27" s="137">
        <f t="shared" si="3"/>
        <v>26.325000000000003</v>
      </c>
      <c r="Z27" s="137"/>
      <c r="AA27" s="137">
        <f t="shared" si="23"/>
        <v>2.4430915753087468</v>
      </c>
      <c r="AB27" s="137">
        <f t="shared" si="35"/>
        <v>229.84558748549367</v>
      </c>
      <c r="AC27" s="143">
        <f>AB27</f>
        <v>229.84558748549367</v>
      </c>
      <c r="AD27" s="143">
        <f>AC26+W27+Z27+AA27</f>
        <v>224.17558748549368</v>
      </c>
      <c r="AE27" s="145">
        <f>Q27*$E$9+X27+SUM($AA$18:AA27)+SUM($Z$18:Z27)</f>
        <v>1224.1755874854935</v>
      </c>
      <c r="AF27" s="145">
        <f t="shared" si="4"/>
        <v>1229.8455874854938</v>
      </c>
      <c r="AH27" s="69">
        <v>10</v>
      </c>
      <c r="AI27" s="69">
        <f t="shared" si="52"/>
        <v>11</v>
      </c>
      <c r="AJ27" s="137">
        <f>AK26</f>
        <v>1201.8075781250002</v>
      </c>
      <c r="AK27" s="137">
        <f t="shared" si="24"/>
        <v>1246.8753623046878</v>
      </c>
      <c r="AL27" s="137">
        <f>IF(C26&gt;0,AK26*($F$4+C26),AK26*$F$4)</f>
        <v>45.067784179687514</v>
      </c>
      <c r="AM27" s="137">
        <f t="shared" si="25"/>
        <v>367.00666499176026</v>
      </c>
      <c r="AN27" s="137">
        <f>IF(AI27*$F$6&lt;=SUM($AL$24,AL27),AI27*$F$6,SUM($AL$24,AL27))</f>
        <v>7.6999999999999993</v>
      </c>
      <c r="AO27" s="137">
        <f>IF(SUM($AL$24:AL27)&gt;AN27,(SUM($AL$24:AL27)-AN27)*$E$11,0)</f>
        <v>26.443318837890637</v>
      </c>
      <c r="AP27" s="137">
        <f t="shared" si="53"/>
        <v>291.03839864332582</v>
      </c>
      <c r="AQ27" s="137"/>
      <c r="AR27" s="137"/>
      <c r="AS27" s="137">
        <f t="shared" si="50"/>
        <v>0.986524615607556</v>
      </c>
      <c r="AT27" s="137">
        <f t="shared" si="51"/>
        <v>82.181966229398171</v>
      </c>
      <c r="AU27" s="137">
        <f>AM27-$AO$23+SUM($AR$23:AR27)+SUM($AS$23:AS27)</f>
        <v>329.05732853408557</v>
      </c>
      <c r="AV27" s="137">
        <f>AP27+AT27-$AQ$23</f>
        <v>294.91400969619497</v>
      </c>
      <c r="AW27" s="144">
        <f t="shared" si="38"/>
        <v>1294.9140096961951</v>
      </c>
      <c r="AX27" s="144">
        <f t="shared" si="39"/>
        <v>1329.0573285340856</v>
      </c>
      <c r="AZ27" s="138">
        <v>10</v>
      </c>
      <c r="BA27" s="138">
        <f t="shared" si="8"/>
        <v>10</v>
      </c>
      <c r="BB27" s="139">
        <f>BC26</f>
        <v>1339.1947905917814</v>
      </c>
      <c r="BC27" s="139">
        <f t="shared" si="28"/>
        <v>1386.0666082624937</v>
      </c>
      <c r="BD27" s="139">
        <f>BM27-BA28*$E$9</f>
        <v>12.713952692620069</v>
      </c>
      <c r="BE27" s="139">
        <f>BA28*(100-99.9)</f>
        <v>1.2999999999999261</v>
      </c>
      <c r="BF27" s="140"/>
      <c r="BG27" s="141">
        <f>BG26+SUM(BD27:BF27)</f>
        <v>14.013952692619995</v>
      </c>
      <c r="BH27" s="139">
        <f t="shared" si="40"/>
        <v>46.871817670712353</v>
      </c>
      <c r="BI27" s="139">
        <f t="shared" si="41"/>
        <v>386.06660826249396</v>
      </c>
      <c r="BJ27" s="142">
        <v>0</v>
      </c>
      <c r="BK27" s="139">
        <f t="shared" si="10"/>
        <v>73.352655569873846</v>
      </c>
      <c r="BL27" s="139">
        <f t="shared" si="47"/>
        <v>312.71395269262013</v>
      </c>
      <c r="BM27" s="139">
        <f>$E$10+BL27</f>
        <v>1312.7139526926201</v>
      </c>
      <c r="BN27" s="139">
        <f>BM27</f>
        <v>1312.7139526926201</v>
      </c>
      <c r="BO27" s="139">
        <f>BC27-BK27+BE27</f>
        <v>1314.0139526926198</v>
      </c>
      <c r="BQ27" s="69">
        <v>10</v>
      </c>
      <c r="BR27" s="69">
        <f t="shared" si="11"/>
        <v>10</v>
      </c>
      <c r="BS27" s="137">
        <f t="shared" si="54"/>
        <v>1395.9404314133794</v>
      </c>
      <c r="BT27" s="144">
        <f t="shared" si="12"/>
        <v>1451.7780486699146</v>
      </c>
      <c r="BU27" s="137">
        <f t="shared" si="31"/>
        <v>55.837617256535175</v>
      </c>
      <c r="BV27" s="137">
        <f t="shared" si="55"/>
        <v>451.77804866991431</v>
      </c>
      <c r="BW27" s="137">
        <f t="shared" si="13"/>
        <v>20</v>
      </c>
      <c r="BX27" s="137">
        <f t="shared" si="14"/>
        <v>82.037829247283724</v>
      </c>
      <c r="BY27" s="137">
        <f t="shared" si="56"/>
        <v>349.74021942263062</v>
      </c>
      <c r="BZ27" s="144">
        <f t="shared" si="33"/>
        <v>1349.7402194226306</v>
      </c>
    </row>
    <row r="28" spans="2:78" ht="16.25" customHeight="1" x14ac:dyDescent="0.2">
      <c r="B28" s="168">
        <v>11</v>
      </c>
      <c r="C28" s="178">
        <v>2.5000000000000001E-2</v>
      </c>
      <c r="D28" s="168" t="s">
        <v>14</v>
      </c>
      <c r="E28" s="207">
        <f t="shared" si="15"/>
        <v>1258.9632113734424</v>
      </c>
      <c r="F28" s="207">
        <f t="shared" si="16"/>
        <v>1376.8136655101985</v>
      </c>
      <c r="G28" s="207">
        <f t="shared" si="17"/>
        <v>1336.3241619830089</v>
      </c>
      <c r="H28" s="207">
        <f t="shared" si="18"/>
        <v>1509.8491706167113</v>
      </c>
      <c r="I28" s="208"/>
      <c r="J28" s="207">
        <f t="shared" si="19"/>
        <v>1253.2932113734423</v>
      </c>
      <c r="K28" s="207">
        <f t="shared" si="20"/>
        <v>1333.7863597158871</v>
      </c>
      <c r="L28" s="207">
        <f t="shared" si="0"/>
        <v>1314.2241619830093</v>
      </c>
      <c r="M28" s="207">
        <f t="shared" si="21"/>
        <v>1396.7778281995359</v>
      </c>
      <c r="P28" s="147">
        <v>11</v>
      </c>
      <c r="Q28" s="69">
        <f t="shared" si="49"/>
        <v>10</v>
      </c>
      <c r="R28" s="137">
        <f t="shared" si="34"/>
        <v>1000</v>
      </c>
      <c r="S28" s="137">
        <f t="shared" si="1"/>
        <v>1032.5</v>
      </c>
      <c r="T28" s="137">
        <f>IF(C27&gt;0,R28*(C27+$E$4),R28*$E$4)</f>
        <v>32.5</v>
      </c>
      <c r="U28" s="137">
        <f>$E$6*Q28</f>
        <v>7</v>
      </c>
      <c r="V28" s="137">
        <f t="shared" si="2"/>
        <v>4.8449999999999998</v>
      </c>
      <c r="W28" s="137">
        <f t="shared" si="22"/>
        <v>20.655000000000001</v>
      </c>
      <c r="X28" s="70">
        <f>(SUM($T$18:T28)-U28)*0.81</f>
        <v>236.52</v>
      </c>
      <c r="Y28" s="137">
        <f t="shared" si="3"/>
        <v>26.325000000000003</v>
      </c>
      <c r="Z28" s="137"/>
      <c r="AA28" s="137">
        <f t="shared" si="23"/>
        <v>2.7926238879487482</v>
      </c>
      <c r="AB28" s="137">
        <f t="shared" si="35"/>
        <v>258.96321137344239</v>
      </c>
      <c r="AC28" s="143">
        <f>AB28</f>
        <v>258.96321137344239</v>
      </c>
      <c r="AD28" s="143">
        <f t="shared" si="36"/>
        <v>253.2932113734424</v>
      </c>
      <c r="AE28" s="145">
        <f>Q28*$E$9+X28+SUM($AA$18:AA28)+SUM($Z$18:Z28)</f>
        <v>1253.2932113734423</v>
      </c>
      <c r="AF28" s="145">
        <f t="shared" si="4"/>
        <v>1258.9632113734424</v>
      </c>
      <c r="AH28" s="69">
        <v>11</v>
      </c>
      <c r="AI28" s="69">
        <f t="shared" si="52"/>
        <v>11</v>
      </c>
      <c r="AJ28" s="137">
        <f>AI28*$E$9</f>
        <v>1100</v>
      </c>
      <c r="AK28" s="137">
        <f t="shared" si="24"/>
        <v>1293.6331883911137</v>
      </c>
      <c r="AL28" s="137">
        <f>IF(C27&gt;0,AK27*($F$4+C27),AK27*$F$4)</f>
        <v>46.757826086425801</v>
      </c>
      <c r="AM28" s="137">
        <f t="shared" si="25"/>
        <v>413.76449107818604</v>
      </c>
      <c r="AN28" s="137">
        <f>IF(AI28*$F$6&lt;=SUM($AL$24,AL28),AI28*$F$6,SUM($AL$24,AL28))</f>
        <v>7.6999999999999993</v>
      </c>
      <c r="AO28" s="137">
        <f>IF(SUM($AL$24:AL28)&gt;AN28,(SUM($AL$24:AL28)-AN28)*$E$11,0)</f>
        <v>35.327305794311542</v>
      </c>
      <c r="AP28" s="137">
        <f t="shared" si="53"/>
        <v>328.91223777333073</v>
      </c>
      <c r="AQ28" s="137"/>
      <c r="AR28" s="137"/>
      <c r="AS28" s="137">
        <f t="shared" si="50"/>
        <v>0.99851088968718782</v>
      </c>
      <c r="AT28" s="137">
        <f t="shared" si="51"/>
        <v>83.180477119085353</v>
      </c>
      <c r="AU28" s="137">
        <f>AM28-$AO$23+SUM($AR$23:AR28)+SUM($AS$23:AS28)</f>
        <v>376.81366551019858</v>
      </c>
      <c r="AV28" s="137">
        <f>AP28+AT28-$AQ$23</f>
        <v>333.7863597158871</v>
      </c>
      <c r="AW28" s="144">
        <f t="shared" si="38"/>
        <v>1333.7863597158871</v>
      </c>
      <c r="AX28" s="144">
        <f t="shared" si="39"/>
        <v>1376.8136655101985</v>
      </c>
      <c r="AZ28" s="69">
        <v>11</v>
      </c>
      <c r="BA28" s="69">
        <f>INT((BB18+BL27)/99.9)</f>
        <v>13</v>
      </c>
      <c r="BB28" s="137">
        <f>BA28*$E$9</f>
        <v>1300</v>
      </c>
      <c r="BC28" s="137">
        <f>BB28+BH28</f>
        <v>1322.1</v>
      </c>
      <c r="BD28" s="96"/>
      <c r="BE28" s="96"/>
      <c r="BF28" s="137">
        <f>BG27*$E$12</f>
        <v>0.21020929038929992</v>
      </c>
      <c r="BG28" s="137">
        <f t="shared" ref="BG28:BG29" si="57">BG27+SUM(BD28:BF28)</f>
        <v>14.224161983009294</v>
      </c>
      <c r="BH28" s="137">
        <f>BB28*$G$3</f>
        <v>22.1</v>
      </c>
      <c r="BI28" s="137">
        <f t="shared" si="41"/>
        <v>408.16660826249398</v>
      </c>
      <c r="BJ28" s="137">
        <f>IF(BA28*$G$6&lt;=BH28,$E$8*$G$6,BH28)</f>
        <v>22.1</v>
      </c>
      <c r="BK28" s="137">
        <f>IF(BH28&gt;BJ28,(BH28-BJ28)*$E$11,0)</f>
        <v>0</v>
      </c>
      <c r="BL28" s="137">
        <f>BL27+BH28-BJ28-BK28</f>
        <v>312.71395269262013</v>
      </c>
      <c r="BM28" s="137">
        <f>BC28-BJ28-BK28</f>
        <v>1300</v>
      </c>
      <c r="BN28" s="137">
        <f>BM28+BG28</f>
        <v>1314.2241619830093</v>
      </c>
      <c r="BO28" s="137">
        <f>BO27+BH28+BF28</f>
        <v>1336.3241619830089</v>
      </c>
      <c r="BQ28" s="69">
        <v>11</v>
      </c>
      <c r="BR28" s="69">
        <f t="shared" si="11"/>
        <v>10</v>
      </c>
      <c r="BS28" s="137">
        <f t="shared" si="54"/>
        <v>1451.7780486699146</v>
      </c>
      <c r="BT28" s="144">
        <f t="shared" si="12"/>
        <v>1509.8491706167113</v>
      </c>
      <c r="BU28" s="137">
        <f t="shared" si="31"/>
        <v>58.071121946796588</v>
      </c>
      <c r="BV28" s="137">
        <f t="shared" si="55"/>
        <v>509.84917061671092</v>
      </c>
      <c r="BW28" s="137">
        <f t="shared" si="13"/>
        <v>20</v>
      </c>
      <c r="BX28" s="137">
        <f t="shared" si="14"/>
        <v>93.071342417175075</v>
      </c>
      <c r="BY28" s="137">
        <f t="shared" si="56"/>
        <v>396.77782819953586</v>
      </c>
      <c r="BZ28" s="144">
        <f t="shared" si="33"/>
        <v>1396.7778281995359</v>
      </c>
    </row>
    <row r="29" spans="2:78" ht="16.25" customHeight="1" x14ac:dyDescent="0.2">
      <c r="B29" s="168">
        <v>12</v>
      </c>
      <c r="C29" s="178">
        <v>2.5000000000000001E-2</v>
      </c>
      <c r="D29" s="168" t="s">
        <v>15</v>
      </c>
      <c r="E29" s="207">
        <f t="shared" si="15"/>
        <v>1288.4346143916298</v>
      </c>
      <c r="F29" s="207">
        <f t="shared" si="16"/>
        <v>1380.328110610264</v>
      </c>
      <c r="G29" s="207">
        <f t="shared" si="17"/>
        <v>1382.811024412754</v>
      </c>
      <c r="H29" s="207">
        <f>BT29-BX29</f>
        <v>1461.8969413275177</v>
      </c>
      <c r="I29" s="208"/>
      <c r="J29" s="207">
        <f t="shared" si="19"/>
        <v>1288.43461439163</v>
      </c>
      <c r="K29" s="207">
        <f t="shared" si="20"/>
        <v>1380.328110610264</v>
      </c>
      <c r="L29" s="207">
        <f t="shared" si="0"/>
        <v>1348.7600594127543</v>
      </c>
      <c r="M29" s="207">
        <f t="shared" si="21"/>
        <v>1461.8969413275172</v>
      </c>
      <c r="P29" s="138">
        <v>12</v>
      </c>
      <c r="Q29" s="138">
        <f t="shared" si="49"/>
        <v>10</v>
      </c>
      <c r="R29" s="139">
        <f t="shared" si="34"/>
        <v>1000</v>
      </c>
      <c r="S29" s="139">
        <f t="shared" si="1"/>
        <v>1032.5</v>
      </c>
      <c r="T29" s="139">
        <f>IF(C28&gt;0,R29*(C28+$E$4),R29*$E$4)</f>
        <v>32.5</v>
      </c>
      <c r="U29" s="139"/>
      <c r="V29" s="139">
        <f t="shared" si="2"/>
        <v>6.1749999999999998</v>
      </c>
      <c r="W29" s="139">
        <f t="shared" si="22"/>
        <v>26.324999999999999</v>
      </c>
      <c r="X29" s="139">
        <f>(SUM($T$18:T29)-U29)*0.81</f>
        <v>268.51500000000004</v>
      </c>
      <c r="Y29" s="139">
        <f t="shared" si="3"/>
        <v>26.325000000000003</v>
      </c>
      <c r="Z29" s="139"/>
      <c r="AA29" s="139">
        <f t="shared" si="23"/>
        <v>3.1464030181873253</v>
      </c>
      <c r="AB29" s="139">
        <f>AB28+SUM(Y29:AA29)</f>
        <v>288.43461439162974</v>
      </c>
      <c r="AC29" s="141">
        <f>AB29</f>
        <v>288.43461439162974</v>
      </c>
      <c r="AD29" s="141">
        <f>AC28+W29+Z29+AA29</f>
        <v>288.43461439162968</v>
      </c>
      <c r="AE29" s="141">
        <f>Q29*$E$9+X29+SUM($AA$18:AA29)+SUM($Z$18:Z29)</f>
        <v>1288.43461439163</v>
      </c>
      <c r="AF29" s="141">
        <f>Q29*$E$9+AC29</f>
        <v>1288.4346143916298</v>
      </c>
      <c r="AH29" s="138">
        <v>12</v>
      </c>
      <c r="AI29" s="138">
        <f>AI28</f>
        <v>11</v>
      </c>
      <c r="AJ29" s="139">
        <f>AK28</f>
        <v>1293.6331883911137</v>
      </c>
      <c r="AK29" s="139">
        <f t="shared" si="24"/>
        <v>1342.1444329557805</v>
      </c>
      <c r="AL29" s="139">
        <f>IF(C28&gt;0,AK28*($F$4+C28),AK28*$F$4)</f>
        <v>48.511244564666768</v>
      </c>
      <c r="AM29" s="139">
        <f t="shared" si="25"/>
        <v>462.27573564285279</v>
      </c>
      <c r="AN29" s="139"/>
      <c r="AO29" s="142">
        <f>IF(SUM($AL$24:AL29)&gt;AN29,(SUM($AL$24:AL29)-AN29)*$E$11,0)</f>
        <v>46.007442261598229</v>
      </c>
      <c r="AP29" s="142">
        <f t="shared" si="53"/>
        <v>374.4433458707108</v>
      </c>
      <c r="AQ29" s="139">
        <f t="shared" ref="AQ29" si="58">AQ28</f>
        <v>0</v>
      </c>
      <c r="AR29" s="139">
        <v>0</v>
      </c>
      <c r="AS29" s="139">
        <f t="shared" si="50"/>
        <v>1.0106427969968872</v>
      </c>
      <c r="AT29" s="139">
        <f t="shared" si="51"/>
        <v>84.191119916082243</v>
      </c>
      <c r="AU29" s="139">
        <f>AM29-$AO$23+SUM($AR$23:AR29)+SUM($AS$23:AS29)-AO29</f>
        <v>380.32811061026399</v>
      </c>
      <c r="AV29" s="139">
        <f>AP29+AT29-$AQ$23</f>
        <v>380.32811061026405</v>
      </c>
      <c r="AW29" s="139">
        <f t="shared" si="38"/>
        <v>1380.328110610264</v>
      </c>
      <c r="AX29" s="139">
        <f t="shared" si="39"/>
        <v>1380.328110610264</v>
      </c>
      <c r="AZ29" s="69">
        <v>12</v>
      </c>
      <c r="BA29" s="69">
        <f>BA28</f>
        <v>13</v>
      </c>
      <c r="BB29" s="137">
        <f>BC28</f>
        <v>1322.1</v>
      </c>
      <c r="BC29" s="137">
        <f>BC28+BH29</f>
        <v>1368.3734999999999</v>
      </c>
      <c r="BD29" s="143"/>
      <c r="BE29" s="143"/>
      <c r="BF29" s="137">
        <f>BG28*$E$12</f>
        <v>0.21336242974513941</v>
      </c>
      <c r="BG29" s="137">
        <f t="shared" si="57"/>
        <v>14.437524412754433</v>
      </c>
      <c r="BH29" s="137">
        <f>IF(C28&gt;0,BC28*($G$4+C28),BC28*$G$4)</f>
        <v>46.273499999999999</v>
      </c>
      <c r="BI29" s="137">
        <f t="shared" si="41"/>
        <v>454.44010826249399</v>
      </c>
      <c r="BJ29" s="137">
        <f>IF(BA29*$G$6&lt;=(BH29+BH28),BA29*$G$6,(BH29+BH28))</f>
        <v>26</v>
      </c>
      <c r="BK29" s="137">
        <f>IF((BI29-BI27)&gt;BJ29,(BI29-BI27-BJ29)*$E$11,0)</f>
        <v>8.0509650000000068</v>
      </c>
      <c r="BL29" s="137">
        <f>BI29-BK27-BJ29-BK29</f>
        <v>347.03648769262014</v>
      </c>
      <c r="BM29" s="137">
        <f>BC29-BJ29-BK29</f>
        <v>1334.322535</v>
      </c>
      <c r="BN29" s="137">
        <f>BM29+BG29</f>
        <v>1348.7600594127543</v>
      </c>
      <c r="BO29" s="137">
        <f>BO28+BH29+BF29</f>
        <v>1382.811024412754</v>
      </c>
      <c r="BQ29" s="138">
        <v>12</v>
      </c>
      <c r="BR29" s="138">
        <f t="shared" si="11"/>
        <v>10</v>
      </c>
      <c r="BS29" s="139">
        <f t="shared" si="54"/>
        <v>1509.8491706167113</v>
      </c>
      <c r="BT29" s="139">
        <f t="shared" si="12"/>
        <v>1570.2431374413798</v>
      </c>
      <c r="BU29" s="139">
        <f t="shared" si="31"/>
        <v>60.393966824668453</v>
      </c>
      <c r="BV29" s="139">
        <f>BV28+BU29</f>
        <v>570.24313744137942</v>
      </c>
      <c r="BW29" s="139"/>
      <c r="BX29" s="139">
        <f t="shared" si="14"/>
        <v>108.34619611386209</v>
      </c>
      <c r="BY29" s="139">
        <f t="shared" si="56"/>
        <v>461.89694132751731</v>
      </c>
      <c r="BZ29" s="139">
        <f t="shared" si="33"/>
        <v>1461.8969413275172</v>
      </c>
    </row>
    <row r="30" spans="2:78" s="63" customFormat="1" ht="16.25" customHeight="1" x14ac:dyDescent="0.2">
      <c r="E30" s="132"/>
      <c r="F30" s="132"/>
      <c r="H30" s="132"/>
      <c r="L30" s="132"/>
      <c r="N30" s="88"/>
      <c r="O30" s="88"/>
      <c r="P30" s="7" t="s">
        <v>36</v>
      </c>
      <c r="AE30" s="82"/>
    </row>
    <row r="31" spans="2:78" s="63" customFormat="1" x14ac:dyDescent="0.2">
      <c r="H31" s="132"/>
      <c r="N31" s="88"/>
      <c r="O31" s="88"/>
      <c r="R31" s="132"/>
      <c r="AA31" s="19"/>
      <c r="AN31" s="132"/>
      <c r="AO31" s="132"/>
      <c r="AP31" s="132"/>
      <c r="BE31" s="132"/>
      <c r="BJ31" s="132"/>
      <c r="BK31" s="132"/>
      <c r="BM31" s="132"/>
    </row>
    <row r="32" spans="2:78" s="63" customFormat="1" x14ac:dyDescent="0.2">
      <c r="C32" s="245" t="s">
        <v>119</v>
      </c>
      <c r="D32" s="244"/>
      <c r="E32" s="244"/>
      <c r="F32" s="132"/>
      <c r="N32" s="88"/>
      <c r="O32" s="88"/>
      <c r="Z32" s="132"/>
      <c r="AR32" s="132"/>
      <c r="BL32" s="132"/>
      <c r="BM32" s="132"/>
    </row>
    <row r="33" spans="14:15" s="63" customFormat="1" x14ac:dyDescent="0.2">
      <c r="N33" s="88"/>
      <c r="O33" s="88"/>
    </row>
    <row r="34" spans="14:15" s="63" customFormat="1" x14ac:dyDescent="0.2">
      <c r="N34" s="88"/>
      <c r="O34" s="88"/>
    </row>
    <row r="35" spans="14:15" s="63" customFormat="1" x14ac:dyDescent="0.2">
      <c r="N35" s="88"/>
      <c r="O35" s="88"/>
    </row>
    <row r="36" spans="14:15" s="63" customFormat="1" x14ac:dyDescent="0.2">
      <c r="N36" s="88"/>
      <c r="O36" s="88"/>
    </row>
    <row r="37" spans="14:15" s="63" customFormat="1" x14ac:dyDescent="0.2">
      <c r="N37" s="88"/>
      <c r="O37" s="88"/>
    </row>
    <row r="38" spans="14:15" s="63" customFormat="1" x14ac:dyDescent="0.2">
      <c r="N38" s="88"/>
      <c r="O38" s="88"/>
    </row>
    <row r="39" spans="14:15" s="63" customFormat="1" x14ac:dyDescent="0.2">
      <c r="N39" s="88"/>
      <c r="O39" s="88"/>
    </row>
    <row r="40" spans="14:15" s="63" customFormat="1" x14ac:dyDescent="0.2">
      <c r="N40" s="88"/>
      <c r="O40" s="88"/>
    </row>
    <row r="41" spans="14:15" s="63" customFormat="1" x14ac:dyDescent="0.2">
      <c r="N41" s="88"/>
      <c r="O41" s="88"/>
    </row>
    <row r="42" spans="14:15" s="63" customFormat="1" x14ac:dyDescent="0.2">
      <c r="N42" s="88"/>
      <c r="O42" s="88"/>
    </row>
    <row r="43" spans="14:15" s="63" customFormat="1" x14ac:dyDescent="0.2">
      <c r="N43" s="88"/>
      <c r="O43" s="88"/>
    </row>
    <row r="44" spans="14:15" s="63" customFormat="1" x14ac:dyDescent="0.2">
      <c r="N44" s="88"/>
      <c r="O44" s="88"/>
    </row>
    <row r="45" spans="14:15" s="63" customFormat="1" x14ac:dyDescent="0.2">
      <c r="N45" s="88"/>
      <c r="O45" s="88"/>
    </row>
    <row r="46" spans="14:15" s="63" customFormat="1" x14ac:dyDescent="0.2">
      <c r="N46" s="88"/>
      <c r="O46" s="88"/>
    </row>
    <row r="47" spans="14:15" s="63" customFormat="1" x14ac:dyDescent="0.2">
      <c r="N47" s="88"/>
      <c r="O47" s="88"/>
    </row>
    <row r="48" spans="14:15" s="63" customFormat="1" x14ac:dyDescent="0.2">
      <c r="N48" s="88"/>
      <c r="O48" s="88"/>
    </row>
    <row r="49" spans="14:15" s="63" customFormat="1" x14ac:dyDescent="0.2">
      <c r="N49" s="88"/>
      <c r="O49" s="88"/>
    </row>
    <row r="50" spans="14:15" s="63" customFormat="1" x14ac:dyDescent="0.2">
      <c r="N50" s="88"/>
      <c r="O50" s="88"/>
    </row>
    <row r="51" spans="14:15" s="63" customFormat="1" x14ac:dyDescent="0.2">
      <c r="N51" s="88"/>
      <c r="O51" s="88"/>
    </row>
    <row r="52" spans="14:15" s="63" customFormat="1" x14ac:dyDescent="0.2">
      <c r="N52" s="88"/>
      <c r="O52" s="88"/>
    </row>
    <row r="53" spans="14:15" s="63" customFormat="1" x14ac:dyDescent="0.2">
      <c r="N53" s="88"/>
      <c r="O53" s="88"/>
    </row>
    <row r="54" spans="14:15" s="63" customFormat="1" x14ac:dyDescent="0.2">
      <c r="N54" s="88"/>
      <c r="O54" s="88"/>
    </row>
    <row r="55" spans="14:15" s="63" customFormat="1" x14ac:dyDescent="0.2">
      <c r="N55" s="88"/>
      <c r="O55" s="88"/>
    </row>
    <row r="56" spans="14:15" s="63" customFormat="1" x14ac:dyDescent="0.2">
      <c r="N56" s="88"/>
      <c r="O56" s="88"/>
    </row>
    <row r="57" spans="14:15" s="63" customFormat="1" x14ac:dyDescent="0.2">
      <c r="N57" s="88"/>
      <c r="O57" s="88"/>
    </row>
    <row r="58" spans="14:15" s="63" customFormat="1" x14ac:dyDescent="0.2">
      <c r="N58" s="88"/>
      <c r="O58" s="88"/>
    </row>
    <row r="59" spans="14:15" s="63" customFormat="1" x14ac:dyDescent="0.2">
      <c r="N59" s="88"/>
      <c r="O59" s="88"/>
    </row>
    <row r="60" spans="14:15" s="63" customFormat="1" x14ac:dyDescent="0.2">
      <c r="N60" s="88"/>
      <c r="O60" s="88"/>
    </row>
    <row r="61" spans="14:15" s="63" customFormat="1" x14ac:dyDescent="0.2">
      <c r="N61" s="88"/>
      <c r="O61" s="88"/>
    </row>
    <row r="62" spans="14:15" s="63" customFormat="1" x14ac:dyDescent="0.2">
      <c r="N62" s="88"/>
      <c r="O62" s="88"/>
    </row>
    <row r="63" spans="14:15" s="63" customFormat="1" x14ac:dyDescent="0.2">
      <c r="N63" s="88"/>
      <c r="O63" s="88"/>
    </row>
    <row r="64" spans="14:15" s="63" customFormat="1" x14ac:dyDescent="0.2">
      <c r="N64" s="88"/>
      <c r="O64" s="88"/>
    </row>
    <row r="65" spans="14:15" s="63" customFormat="1" x14ac:dyDescent="0.2">
      <c r="N65" s="88"/>
      <c r="O65" s="88"/>
    </row>
    <row r="66" spans="14:15" s="63" customFormat="1" x14ac:dyDescent="0.2">
      <c r="N66" s="88"/>
      <c r="O66" s="88"/>
    </row>
    <row r="67" spans="14:15" s="63" customFormat="1" x14ac:dyDescent="0.2">
      <c r="N67" s="88"/>
      <c r="O67" s="88"/>
    </row>
    <row r="68" spans="14:15" s="63" customFormat="1" x14ac:dyDescent="0.2">
      <c r="N68" s="88"/>
      <c r="O68" s="88"/>
    </row>
    <row r="69" spans="14:15" s="63" customFormat="1" x14ac:dyDescent="0.2">
      <c r="N69" s="88"/>
      <c r="O69" s="88"/>
    </row>
    <row r="70" spans="14:15" s="63" customFormat="1" x14ac:dyDescent="0.2">
      <c r="N70" s="88"/>
      <c r="O70" s="88"/>
    </row>
    <row r="71" spans="14:15" s="63" customFormat="1" x14ac:dyDescent="0.2">
      <c r="N71" s="88"/>
      <c r="O71" s="88"/>
    </row>
    <row r="72" spans="14:15" s="63" customFormat="1" x14ac:dyDescent="0.2">
      <c r="N72" s="88"/>
      <c r="O72" s="88"/>
    </row>
    <row r="73" spans="14:15" s="63" customFormat="1" x14ac:dyDescent="0.2">
      <c r="N73" s="88"/>
      <c r="O73" s="88"/>
    </row>
    <row r="74" spans="14:15" s="63" customFormat="1" x14ac:dyDescent="0.2">
      <c r="N74" s="88"/>
      <c r="O74" s="88"/>
    </row>
    <row r="75" spans="14:15" s="63" customFormat="1" x14ac:dyDescent="0.2">
      <c r="N75" s="88"/>
      <c r="O75" s="88"/>
    </row>
    <row r="76" spans="14:15" s="63" customFormat="1" x14ac:dyDescent="0.2">
      <c r="N76" s="88"/>
      <c r="O76" s="88"/>
    </row>
    <row r="77" spans="14:15" s="63" customFormat="1" x14ac:dyDescent="0.2">
      <c r="N77" s="88"/>
      <c r="O77" s="88"/>
    </row>
    <row r="78" spans="14:15" s="63" customFormat="1" x14ac:dyDescent="0.2">
      <c r="N78" s="88"/>
      <c r="O78" s="88"/>
    </row>
    <row r="79" spans="14:15" s="63" customFormat="1" x14ac:dyDescent="0.2">
      <c r="N79" s="88"/>
      <c r="O79" s="88"/>
    </row>
    <row r="80" spans="14:15" s="63" customFormat="1" x14ac:dyDescent="0.2">
      <c r="N80" s="88"/>
      <c r="O80" s="88"/>
    </row>
    <row r="81" spans="14:15" s="63" customFormat="1" x14ac:dyDescent="0.2">
      <c r="N81" s="88"/>
      <c r="O81" s="88"/>
    </row>
    <row r="82" spans="14:15" s="63" customFormat="1" x14ac:dyDescent="0.2">
      <c r="N82" s="88"/>
      <c r="O82" s="88"/>
    </row>
    <row r="83" spans="14:15" s="63" customFormat="1" x14ac:dyDescent="0.2">
      <c r="N83" s="88"/>
      <c r="O83" s="88"/>
    </row>
    <row r="84" spans="14:15" s="63" customFormat="1" x14ac:dyDescent="0.2">
      <c r="N84" s="88"/>
      <c r="O84" s="88"/>
    </row>
    <row r="85" spans="14:15" s="63" customFormat="1" x14ac:dyDescent="0.2">
      <c r="N85" s="88"/>
      <c r="O85" s="88"/>
    </row>
    <row r="86" spans="14:15" s="63" customFormat="1" x14ac:dyDescent="0.2">
      <c r="N86" s="88"/>
      <c r="O86" s="88"/>
    </row>
    <row r="87" spans="14:15" s="63" customFormat="1" x14ac:dyDescent="0.2">
      <c r="N87" s="88"/>
      <c r="O87" s="88"/>
    </row>
    <row r="88" spans="14:15" s="63" customFormat="1" x14ac:dyDescent="0.2">
      <c r="N88" s="88"/>
      <c r="O88" s="88"/>
    </row>
    <row r="89" spans="14:15" s="63" customFormat="1" x14ac:dyDescent="0.2">
      <c r="N89" s="88"/>
      <c r="O89" s="88"/>
    </row>
    <row r="90" spans="14:15" s="63" customFormat="1" x14ac:dyDescent="0.2">
      <c r="N90" s="88"/>
      <c r="O90" s="88"/>
    </row>
    <row r="91" spans="14:15" s="63" customFormat="1" x14ac:dyDescent="0.2">
      <c r="N91" s="88"/>
      <c r="O91" s="88"/>
    </row>
    <row r="92" spans="14:15" s="63" customFormat="1" x14ac:dyDescent="0.2">
      <c r="N92" s="88"/>
      <c r="O92" s="88"/>
    </row>
    <row r="93" spans="14:15" s="63" customFormat="1" x14ac:dyDescent="0.2">
      <c r="N93" s="88"/>
      <c r="O93" s="88"/>
    </row>
    <row r="94" spans="14:15" s="63" customFormat="1" x14ac:dyDescent="0.2">
      <c r="N94" s="88"/>
      <c r="O94" s="88"/>
    </row>
    <row r="95" spans="14:15" s="63" customFormat="1" x14ac:dyDescent="0.2">
      <c r="N95" s="88"/>
      <c r="O95" s="88"/>
    </row>
    <row r="96" spans="14:15" s="63" customFormat="1" x14ac:dyDescent="0.2">
      <c r="N96" s="88"/>
      <c r="O96" s="88"/>
    </row>
    <row r="97" spans="14:15" s="63" customFormat="1" x14ac:dyDescent="0.2">
      <c r="N97" s="88"/>
      <c r="O97" s="88"/>
    </row>
    <row r="98" spans="14:15" s="63" customFormat="1" x14ac:dyDescent="0.2">
      <c r="N98" s="88"/>
      <c r="O98" s="88"/>
    </row>
    <row r="99" spans="14:15" s="63" customFormat="1" x14ac:dyDescent="0.2">
      <c r="N99" s="88"/>
      <c r="O99" s="88"/>
    </row>
    <row r="100" spans="14:15" s="63" customFormat="1" x14ac:dyDescent="0.2">
      <c r="N100" s="88"/>
      <c r="O100" s="88"/>
    </row>
    <row r="101" spans="14:15" s="63" customFormat="1" x14ac:dyDescent="0.2">
      <c r="N101" s="88"/>
      <c r="O101" s="88"/>
    </row>
    <row r="102" spans="14:15" s="63" customFormat="1" x14ac:dyDescent="0.2">
      <c r="N102" s="88"/>
      <c r="O102" s="88"/>
    </row>
    <row r="103" spans="14:15" s="63" customFormat="1" x14ac:dyDescent="0.2">
      <c r="N103" s="88"/>
      <c r="O103" s="88"/>
    </row>
    <row r="104" spans="14:15" s="63" customFormat="1" x14ac:dyDescent="0.2">
      <c r="N104" s="88"/>
      <c r="O104" s="88"/>
    </row>
    <row r="105" spans="14:15" s="63" customFormat="1" x14ac:dyDescent="0.2">
      <c r="N105" s="88"/>
      <c r="O105" s="88"/>
    </row>
    <row r="106" spans="14:15" s="63" customFormat="1" x14ac:dyDescent="0.2">
      <c r="N106" s="88"/>
      <c r="O106" s="88"/>
    </row>
    <row r="107" spans="14:15" s="63" customFormat="1" x14ac:dyDescent="0.2">
      <c r="N107" s="88"/>
      <c r="O107" s="88"/>
    </row>
    <row r="108" spans="14:15" s="63" customFormat="1" x14ac:dyDescent="0.2">
      <c r="N108" s="88"/>
      <c r="O108" s="88"/>
    </row>
    <row r="109" spans="14:15" s="63" customFormat="1" x14ac:dyDescent="0.2">
      <c r="N109" s="88"/>
      <c r="O109" s="88"/>
    </row>
    <row r="110" spans="14:15" s="63" customFormat="1" x14ac:dyDescent="0.2">
      <c r="N110" s="88"/>
      <c r="O110" s="88"/>
    </row>
    <row r="111" spans="14:15" s="63" customFormat="1" x14ac:dyDescent="0.2">
      <c r="N111" s="88"/>
      <c r="O111" s="88"/>
    </row>
    <row r="112" spans="14:15" s="63" customFormat="1" x14ac:dyDescent="0.2">
      <c r="N112" s="88"/>
      <c r="O112" s="88"/>
    </row>
    <row r="113" spans="14:15" s="63" customFormat="1" x14ac:dyDescent="0.2">
      <c r="N113" s="88"/>
      <c r="O113" s="88"/>
    </row>
    <row r="114" spans="14:15" s="63" customFormat="1" x14ac:dyDescent="0.2">
      <c r="N114" s="88"/>
      <c r="O114" s="88"/>
    </row>
    <row r="115" spans="14:15" s="63" customFormat="1" x14ac:dyDescent="0.2">
      <c r="N115" s="88"/>
      <c r="O115" s="88"/>
    </row>
    <row r="116" spans="14:15" s="63" customFormat="1" x14ac:dyDescent="0.2">
      <c r="N116" s="88"/>
      <c r="O116" s="88"/>
    </row>
    <row r="117" spans="14:15" s="63" customFormat="1" x14ac:dyDescent="0.2">
      <c r="N117" s="88"/>
      <c r="O117" s="88"/>
    </row>
    <row r="118" spans="14:15" s="63" customFormat="1" x14ac:dyDescent="0.2">
      <c r="N118" s="88"/>
      <c r="O118" s="88"/>
    </row>
    <row r="119" spans="14:15" s="63" customFormat="1" x14ac:dyDescent="0.2">
      <c r="N119" s="88"/>
      <c r="O119" s="88"/>
    </row>
    <row r="120" spans="14:15" s="63" customFormat="1" x14ac:dyDescent="0.2">
      <c r="N120" s="88"/>
      <c r="O120" s="88"/>
    </row>
    <row r="121" spans="14:15" s="63" customFormat="1" x14ac:dyDescent="0.2">
      <c r="N121" s="88"/>
      <c r="O121" s="88"/>
    </row>
    <row r="122" spans="14:15" s="63" customFormat="1" x14ac:dyDescent="0.2">
      <c r="N122" s="88"/>
      <c r="O122" s="88"/>
    </row>
    <row r="123" spans="14:15" s="63" customFormat="1" x14ac:dyDescent="0.2">
      <c r="N123" s="88"/>
      <c r="O123" s="88"/>
    </row>
    <row r="124" spans="14:15" s="63" customFormat="1" x14ac:dyDescent="0.2">
      <c r="N124" s="88"/>
      <c r="O124" s="88"/>
    </row>
    <row r="125" spans="14:15" s="63" customFormat="1" x14ac:dyDescent="0.2">
      <c r="N125" s="88"/>
      <c r="O125" s="88"/>
    </row>
    <row r="126" spans="14:15" s="63" customFormat="1" x14ac:dyDescent="0.2">
      <c r="N126" s="88"/>
      <c r="O126" s="88"/>
    </row>
    <row r="127" spans="14:15" s="63" customFormat="1" x14ac:dyDescent="0.2">
      <c r="N127" s="88"/>
      <c r="O127" s="88"/>
    </row>
    <row r="128" spans="14:15" s="63" customFormat="1" x14ac:dyDescent="0.2">
      <c r="N128" s="88"/>
      <c r="O128" s="88"/>
    </row>
    <row r="129" spans="14:15" s="63" customFormat="1" x14ac:dyDescent="0.2">
      <c r="N129" s="88"/>
      <c r="O129" s="88"/>
    </row>
    <row r="130" spans="14:15" s="63" customFormat="1" x14ac:dyDescent="0.2">
      <c r="N130" s="88"/>
      <c r="O130" s="88"/>
    </row>
  </sheetData>
  <mergeCells count="2">
    <mergeCell ref="J15:M15"/>
    <mergeCell ref="E15:H15"/>
  </mergeCells>
  <conditionalFormatting sqref="E29:H29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65" priority="95" bottom="1" rank="1"/>
    <cfRule type="top10" dxfId="64" priority="96" rank="1"/>
  </conditionalFormatting>
  <conditionalFormatting sqref="E28:H28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63" priority="68" bottom="1" rank="1"/>
    <cfRule type="top10" dxfId="62" priority="69" rank="1"/>
  </conditionalFormatting>
  <conditionalFormatting sqref="E27:H27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61" priority="65" bottom="1" rank="1"/>
    <cfRule type="top10" dxfId="60" priority="66" rank="1"/>
  </conditionalFormatting>
  <conditionalFormatting sqref="E26:H26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59" priority="62" bottom="1" rank="1"/>
    <cfRule type="top10" dxfId="58" priority="63" rank="1"/>
  </conditionalFormatting>
  <conditionalFormatting sqref="E25:H25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57" priority="59" bottom="1" rank="1"/>
    <cfRule type="top10" dxfId="56" priority="60" rank="1"/>
  </conditionalFormatting>
  <conditionalFormatting sqref="E24:H24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55" priority="56" bottom="1" rank="1"/>
    <cfRule type="top10" dxfId="54" priority="57" rank="1"/>
  </conditionalFormatting>
  <conditionalFormatting sqref="E23:H23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53" priority="53" bottom="1" rank="1"/>
    <cfRule type="top10" dxfId="52" priority="54" rank="1"/>
  </conditionalFormatting>
  <conditionalFormatting sqref="E22:H22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51" priority="50" bottom="1" rank="1"/>
    <cfRule type="top10" dxfId="50" priority="51" rank="1"/>
  </conditionalFormatting>
  <conditionalFormatting sqref="E21:H21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49" priority="47" bottom="1" rank="1"/>
    <cfRule type="top10" dxfId="48" priority="48" rank="1"/>
  </conditionalFormatting>
  <conditionalFormatting sqref="E20:H20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47" priority="44" bottom="1" rank="1"/>
    <cfRule type="top10" dxfId="46" priority="45" rank="1"/>
  </conditionalFormatting>
  <conditionalFormatting sqref="E19:H19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45" priority="41" bottom="1" rank="1"/>
    <cfRule type="top10" dxfId="44" priority="42" rank="1"/>
  </conditionalFormatting>
  <conditionalFormatting sqref="E18:H18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43" priority="38" bottom="1" rank="1"/>
    <cfRule type="top10" dxfId="42" priority="39" rank="1"/>
  </conditionalFormatting>
  <conditionalFormatting sqref="J21:M21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41" priority="35" bottom="1" rank="1"/>
    <cfRule type="top10" dxfId="40" priority="36" rank="1"/>
  </conditionalFormatting>
  <conditionalFormatting sqref="J18:M18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39" priority="32" bottom="1" rank="1"/>
    <cfRule type="top10" dxfId="38" priority="33" rank="1"/>
  </conditionalFormatting>
  <conditionalFormatting sqref="J19:M19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37" priority="29" bottom="1" rank="1"/>
    <cfRule type="top10" dxfId="36" priority="30" rank="1"/>
  </conditionalFormatting>
  <conditionalFormatting sqref="J20:M20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35" priority="26" bottom="1" rank="1"/>
    <cfRule type="top10" dxfId="34" priority="27" rank="1"/>
  </conditionalFormatting>
  <conditionalFormatting sqref="J22:M22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33" priority="23" bottom="1" rank="1"/>
    <cfRule type="top10" dxfId="32" priority="24" rank="1"/>
  </conditionalFormatting>
  <conditionalFormatting sqref="J23:M2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31" priority="20" bottom="1" rank="1"/>
    <cfRule type="top10" dxfId="30" priority="21" rank="1"/>
  </conditionalFormatting>
  <conditionalFormatting sqref="J24:M2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29" priority="17" bottom="1" rank="1"/>
    <cfRule type="top10" dxfId="28" priority="18" rank="1"/>
  </conditionalFormatting>
  <conditionalFormatting sqref="J25:M2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27" priority="14" bottom="1" rank="1"/>
    <cfRule type="top10" dxfId="26" priority="15" rank="1"/>
  </conditionalFormatting>
  <conditionalFormatting sqref="J26:M2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25" priority="11" bottom="1" rank="1"/>
    <cfRule type="top10" dxfId="24" priority="12" rank="1"/>
  </conditionalFormatting>
  <conditionalFormatting sqref="J27:M2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23" priority="8" bottom="1" rank="1"/>
    <cfRule type="top10" dxfId="22" priority="9" rank="1"/>
  </conditionalFormatting>
  <conditionalFormatting sqref="J28:M2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21" priority="5" bottom="1" rank="1"/>
    <cfRule type="top10" dxfId="20" priority="6" rank="1"/>
  </conditionalFormatting>
  <conditionalFormatting sqref="J29:M2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19" priority="2" bottom="1" rank="1"/>
    <cfRule type="top10" dxfId="18" priority="3" rank="1"/>
  </conditionalFormatting>
  <hyperlinks>
    <hyperlink ref="G13" r:id="rId1" xr:uid="{24836354-DF90-A24E-932F-E9E58781D570}"/>
  </hyperlinks>
  <pageMargins left="0.7" right="0.7" top="0.75" bottom="0.75" header="0.3" footer="0.3"/>
  <pageSetup paperSize="9" orientation="portrait" verticalDpi="3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1314B-3CD5-4912-BB8E-723199075EE3}">
  <sheetPr>
    <tabColor rgb="FFC00000"/>
  </sheetPr>
  <dimension ref="A1:AA171"/>
  <sheetViews>
    <sheetView zoomScale="110" zoomScaleNormal="110" workbookViewId="0">
      <selection activeCell="O13" sqref="O13"/>
    </sheetView>
  </sheetViews>
  <sheetFormatPr baseColWidth="10" defaultColWidth="8.83203125" defaultRowHeight="15" x14ac:dyDescent="0.2"/>
  <cols>
    <col min="1" max="1" width="8.6640625" style="5" customWidth="1"/>
    <col min="2" max="2" width="9.6640625" style="5" customWidth="1"/>
    <col min="3" max="3" width="11.5" style="5" customWidth="1"/>
    <col min="4" max="4" width="10.1640625" style="5" customWidth="1"/>
    <col min="5" max="5" width="8.6640625" style="5" customWidth="1"/>
    <col min="6" max="6" width="9" style="5" customWidth="1"/>
    <col min="7" max="7" width="10" style="10" customWidth="1"/>
    <col min="8" max="8" width="11.1640625" style="10" customWidth="1"/>
    <col min="9" max="9" width="8.5" style="10" customWidth="1"/>
    <col min="10" max="10" width="12.1640625" style="10" customWidth="1"/>
    <col min="11" max="11" width="13.1640625" style="10" customWidth="1"/>
    <col min="12" max="12" width="11.1640625" style="24" hidden="1" customWidth="1"/>
    <col min="13" max="13" width="12.33203125" style="24" hidden="1" customWidth="1"/>
    <col min="14" max="14" width="14.33203125" style="63" customWidth="1"/>
    <col min="15" max="15" width="15" customWidth="1"/>
    <col min="16" max="19" width="8.83203125" style="63"/>
    <col min="20" max="27" width="8.83203125" style="4"/>
    <col min="28" max="16384" width="8.83203125" style="5"/>
  </cols>
  <sheetData>
    <row r="1" spans="1:19" s="2" customFormat="1" ht="19" customHeight="1" x14ac:dyDescent="0.25">
      <c r="A1" s="256" t="s">
        <v>105</v>
      </c>
      <c r="B1" s="256"/>
      <c r="C1" s="256"/>
      <c r="D1" s="256"/>
      <c r="E1" s="256"/>
      <c r="F1" s="256"/>
      <c r="G1" s="256"/>
      <c r="H1" s="114"/>
      <c r="I1" s="114"/>
      <c r="J1" s="114"/>
      <c r="K1" s="113"/>
      <c r="L1" s="31"/>
      <c r="M1" s="31"/>
    </row>
    <row r="2" spans="1:19" s="2" customFormat="1" thickBot="1" x14ac:dyDescent="0.25">
      <c r="C2" s="11"/>
      <c r="D2" s="11"/>
      <c r="E2" s="11"/>
      <c r="F2" s="11"/>
      <c r="H2" s="11"/>
      <c r="I2" s="11"/>
      <c r="J2" s="11"/>
      <c r="K2" s="11"/>
      <c r="L2" s="20"/>
      <c r="M2" s="20"/>
    </row>
    <row r="3" spans="1:19" s="2" customFormat="1" ht="12" customHeight="1" x14ac:dyDescent="0.2">
      <c r="A3" s="248" t="s">
        <v>45</v>
      </c>
      <c r="B3" s="55" t="s">
        <v>21</v>
      </c>
      <c r="C3" s="55"/>
      <c r="D3" s="55"/>
      <c r="E3" s="55"/>
      <c r="F3" s="56">
        <v>100</v>
      </c>
      <c r="H3" s="19"/>
      <c r="J3" s="12"/>
      <c r="K3" s="12"/>
      <c r="L3" s="67"/>
      <c r="M3" s="21"/>
    </row>
    <row r="4" spans="1:19" s="2" customFormat="1" ht="14" x14ac:dyDescent="0.2">
      <c r="A4" s="249"/>
      <c r="B4" s="64" t="s">
        <v>26</v>
      </c>
      <c r="C4" s="64"/>
      <c r="D4" s="64"/>
      <c r="E4" s="64"/>
      <c r="F4" s="156">
        <v>0.02</v>
      </c>
      <c r="H4" s="6"/>
      <c r="J4" s="12"/>
      <c r="K4" s="12"/>
      <c r="L4" s="67"/>
      <c r="M4" s="21"/>
    </row>
    <row r="5" spans="1:19" s="2" customFormat="1" ht="14" x14ac:dyDescent="0.2">
      <c r="A5" s="249"/>
      <c r="B5" s="64" t="s">
        <v>27</v>
      </c>
      <c r="C5" s="64"/>
      <c r="D5" s="64"/>
      <c r="E5" s="64"/>
      <c r="F5" s="156">
        <v>1.4999999999999999E-2</v>
      </c>
      <c r="H5" s="6"/>
      <c r="J5" s="12"/>
      <c r="K5" s="12"/>
      <c r="L5" s="67"/>
      <c r="M5" s="21"/>
    </row>
    <row r="6" spans="1:19" s="2" customFormat="1" ht="14" x14ac:dyDescent="0.2">
      <c r="A6" s="249"/>
      <c r="B6" s="57" t="s">
        <v>32</v>
      </c>
      <c r="C6" s="57"/>
      <c r="D6" s="57"/>
      <c r="E6" s="57"/>
      <c r="F6" s="58" t="s">
        <v>48</v>
      </c>
      <c r="H6" s="6"/>
      <c r="J6" s="12"/>
      <c r="K6" s="12"/>
      <c r="L6" s="21"/>
      <c r="M6" s="21"/>
    </row>
    <row r="7" spans="1:19" s="2" customFormat="1" ht="14" x14ac:dyDescent="0.2">
      <c r="A7" s="249"/>
      <c r="B7" s="57" t="s">
        <v>35</v>
      </c>
      <c r="C7" s="57"/>
      <c r="D7" s="57"/>
      <c r="E7" s="57"/>
      <c r="F7" s="107">
        <v>2</v>
      </c>
      <c r="H7" s="6"/>
      <c r="J7" s="12"/>
      <c r="K7" s="12"/>
      <c r="L7" s="21"/>
      <c r="M7" s="21"/>
    </row>
    <row r="8" spans="1:19" s="2" customFormat="1" thickBot="1" x14ac:dyDescent="0.25">
      <c r="A8" s="250"/>
      <c r="B8" s="59" t="s">
        <v>89</v>
      </c>
      <c r="C8" s="59"/>
      <c r="D8" s="59"/>
      <c r="E8" s="59"/>
      <c r="F8" s="105">
        <v>0.19</v>
      </c>
      <c r="H8" s="13"/>
      <c r="J8" s="12"/>
      <c r="K8" s="12"/>
      <c r="L8" s="21"/>
      <c r="M8" s="21"/>
    </row>
    <row r="9" spans="1:19" s="2" customFormat="1" thickBot="1" x14ac:dyDescent="0.25">
      <c r="B9" s="102"/>
      <c r="C9" s="102"/>
      <c r="D9" s="102"/>
      <c r="E9" s="102"/>
      <c r="F9" s="102"/>
      <c r="G9" s="103"/>
      <c r="H9" s="103"/>
      <c r="J9" s="102"/>
      <c r="K9" s="102"/>
      <c r="L9" s="104"/>
      <c r="M9" s="104"/>
    </row>
    <row r="10" spans="1:19" x14ac:dyDescent="0.2">
      <c r="A10" s="251" t="s">
        <v>25</v>
      </c>
      <c r="B10" s="35" t="s">
        <v>20</v>
      </c>
      <c r="C10" s="35"/>
      <c r="D10" s="35"/>
      <c r="E10" s="35"/>
      <c r="F10" s="158">
        <v>10</v>
      </c>
      <c r="G10" s="1" t="s">
        <v>23</v>
      </c>
      <c r="H10" s="6"/>
      <c r="I10" s="6"/>
      <c r="J10" s="12"/>
      <c r="K10" s="12"/>
      <c r="L10" s="21"/>
      <c r="M10" s="21"/>
      <c r="O10" s="63"/>
    </row>
    <row r="11" spans="1:19" x14ac:dyDescent="0.2">
      <c r="A11" s="252"/>
      <c r="B11" s="37" t="s">
        <v>22</v>
      </c>
      <c r="C11" s="37"/>
      <c r="D11" s="37"/>
      <c r="E11" s="37"/>
      <c r="F11" s="40">
        <f>F10*F3</f>
        <v>1000</v>
      </c>
      <c r="G11" s="4"/>
      <c r="H11" s="6"/>
      <c r="I11" s="6"/>
      <c r="J11" s="12"/>
      <c r="K11" s="12"/>
      <c r="L11" s="21"/>
      <c r="M11" s="21"/>
      <c r="O11" s="63"/>
    </row>
    <row r="12" spans="1:19" x14ac:dyDescent="0.2">
      <c r="A12" s="252"/>
      <c r="B12" s="37" t="s">
        <v>39</v>
      </c>
      <c r="C12" s="37"/>
      <c r="D12" s="37"/>
      <c r="E12" s="37"/>
      <c r="F12" s="41">
        <v>2.5000000000000001E-2</v>
      </c>
      <c r="G12" s="1" t="s">
        <v>24</v>
      </c>
      <c r="H12" s="6"/>
      <c r="I12" s="6"/>
      <c r="J12" s="12"/>
      <c r="K12" s="12"/>
      <c r="L12" s="21"/>
      <c r="M12" s="21"/>
      <c r="O12" s="63"/>
    </row>
    <row r="13" spans="1:19" x14ac:dyDescent="0.2">
      <c r="A13" s="252"/>
      <c r="B13" s="37" t="s">
        <v>49</v>
      </c>
      <c r="C13" s="37"/>
      <c r="D13" s="37"/>
      <c r="E13" s="37"/>
      <c r="F13" s="41">
        <v>2.5000000000000001E-2</v>
      </c>
      <c r="G13" s="1" t="s">
        <v>82</v>
      </c>
      <c r="H13" s="6"/>
      <c r="I13" s="6"/>
      <c r="J13" s="12"/>
      <c r="K13" s="12"/>
      <c r="L13" s="21"/>
      <c r="M13" s="21"/>
      <c r="O13" s="63"/>
    </row>
    <row r="14" spans="1:19" ht="16" thickBot="1" x14ac:dyDescent="0.25">
      <c r="A14" s="253"/>
      <c r="B14" s="38" t="s">
        <v>44</v>
      </c>
      <c r="C14" s="38"/>
      <c r="D14" s="38"/>
      <c r="E14" s="38"/>
      <c r="F14" s="62">
        <f>F13</f>
        <v>2.5000000000000001E-2</v>
      </c>
      <c r="G14" s="1" t="s">
        <v>82</v>
      </c>
      <c r="H14" s="6"/>
      <c r="I14" s="6"/>
      <c r="J14" s="12"/>
      <c r="K14" s="12"/>
      <c r="L14" s="21"/>
      <c r="M14" s="21"/>
      <c r="O14" s="63"/>
    </row>
    <row r="15" spans="1:19" s="4" customFormat="1" x14ac:dyDescent="0.2">
      <c r="A15" s="165"/>
      <c r="B15" s="21"/>
      <c r="C15" s="21"/>
      <c r="D15" s="21"/>
      <c r="E15" s="21"/>
      <c r="F15" s="166"/>
      <c r="G15" s="1"/>
      <c r="H15" s="6"/>
      <c r="I15" s="6"/>
      <c r="J15" s="12"/>
      <c r="K15" s="12"/>
      <c r="L15" s="21"/>
      <c r="M15" s="21"/>
      <c r="N15" s="63"/>
      <c r="O15" s="63"/>
      <c r="P15" s="63"/>
      <c r="Q15" s="63"/>
      <c r="R15" s="63"/>
      <c r="S15" s="63"/>
    </row>
    <row r="16" spans="1:19" ht="21" customHeight="1" x14ac:dyDescent="0.2">
      <c r="A16" s="2" t="s">
        <v>3</v>
      </c>
      <c r="B16" s="2"/>
      <c r="C16" s="2"/>
      <c r="D16" s="2"/>
      <c r="E16" s="2"/>
      <c r="F16" s="2"/>
      <c r="G16" s="269" t="s">
        <v>124</v>
      </c>
      <c r="H16" s="6"/>
      <c r="I16" s="4"/>
      <c r="J16" s="3"/>
      <c r="K16" s="3"/>
      <c r="L16" s="66"/>
      <c r="M16" s="23"/>
      <c r="O16" s="63"/>
    </row>
    <row r="17" spans="1:27" ht="16" thickBot="1" x14ac:dyDescent="0.25">
      <c r="A17" s="4"/>
      <c r="B17" s="4"/>
      <c r="C17" s="4"/>
      <c r="D17" s="6"/>
      <c r="E17" s="6"/>
      <c r="F17" s="6"/>
      <c r="G17" s="4"/>
      <c r="H17" s="4"/>
      <c r="I17" s="5"/>
      <c r="J17" s="4"/>
      <c r="K17" s="4"/>
      <c r="L17" s="22"/>
      <c r="M17" s="22"/>
    </row>
    <row r="18" spans="1:27" s="30" customFormat="1" ht="105" x14ac:dyDescent="0.2">
      <c r="A18" s="27" t="s">
        <v>0</v>
      </c>
      <c r="B18" s="254" t="s">
        <v>81</v>
      </c>
      <c r="C18" s="255"/>
      <c r="D18" s="27" t="s">
        <v>41</v>
      </c>
      <c r="E18" s="27" t="s">
        <v>83</v>
      </c>
      <c r="F18" s="27" t="s">
        <v>84</v>
      </c>
      <c r="G18" s="25" t="s">
        <v>40</v>
      </c>
      <c r="H18" s="25" t="s">
        <v>2</v>
      </c>
      <c r="I18" s="25" t="s">
        <v>16</v>
      </c>
      <c r="J18" s="90" t="s">
        <v>85</v>
      </c>
      <c r="K18" s="97" t="s">
        <v>100</v>
      </c>
      <c r="L18" s="117" t="s">
        <v>102</v>
      </c>
      <c r="M18" s="108" t="s">
        <v>87</v>
      </c>
      <c r="N18" s="101" t="s">
        <v>72</v>
      </c>
      <c r="O18" s="111" t="s">
        <v>88</v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</row>
    <row r="19" spans="1:27" s="4" customFormat="1" ht="14" x14ac:dyDescent="0.2">
      <c r="A19" s="5"/>
      <c r="B19" s="5" t="s">
        <v>17</v>
      </c>
      <c r="C19" s="8">
        <f>$F$11</f>
        <v>1000</v>
      </c>
      <c r="D19" s="8"/>
      <c r="E19" s="8"/>
      <c r="F19" s="8"/>
      <c r="G19" s="8"/>
      <c r="H19" s="8"/>
      <c r="I19" s="8"/>
      <c r="J19" s="8"/>
      <c r="K19" s="98"/>
      <c r="L19" s="8"/>
      <c r="M19" s="8"/>
      <c r="N19" s="98"/>
      <c r="O19" s="98"/>
    </row>
    <row r="20" spans="1:27" s="4" customFormat="1" ht="14" x14ac:dyDescent="0.2">
      <c r="A20" s="5">
        <v>1</v>
      </c>
      <c r="B20" s="5" t="s">
        <v>4</v>
      </c>
      <c r="C20" s="8">
        <f>C19*(1+F4)</f>
        <v>1020</v>
      </c>
      <c r="D20" s="43">
        <f>F12</f>
        <v>2.5000000000000001E-2</v>
      </c>
      <c r="E20" s="148">
        <f>F4</f>
        <v>0.02</v>
      </c>
      <c r="F20" s="8">
        <f>C19*F4</f>
        <v>20</v>
      </c>
      <c r="G20" s="8">
        <f>C20-$C$19</f>
        <v>20</v>
      </c>
      <c r="H20" s="8">
        <f t="shared" ref="H20:H30" si="0">IF($F$10*$F$7&lt;=G20,$F$10*$F$7,G20)</f>
        <v>20</v>
      </c>
      <c r="I20" s="8">
        <f t="shared" ref="I20:I31" si="1">IF(G20&gt;H20,(G20-H20)*$F$8,0)</f>
        <v>0</v>
      </c>
      <c r="J20" s="8">
        <f>G20-H20-I20</f>
        <v>0</v>
      </c>
      <c r="K20" s="99">
        <f t="shared" ref="K20:K31" si="2">$F$11+J20</f>
        <v>1000</v>
      </c>
      <c r="L20" s="8">
        <f>C19*D20</f>
        <v>25</v>
      </c>
      <c r="M20" s="8">
        <f>M19+L20</f>
        <v>25</v>
      </c>
      <c r="N20" s="124">
        <f t="shared" ref="N20:N31" si="3">$F$11+M20</f>
        <v>1025</v>
      </c>
      <c r="O20" s="109">
        <f>K20-N20</f>
        <v>-25</v>
      </c>
    </row>
    <row r="21" spans="1:27" s="4" customFormat="1" ht="14" x14ac:dyDescent="0.2">
      <c r="A21" s="5">
        <v>2</v>
      </c>
      <c r="B21" s="5" t="s">
        <v>5</v>
      </c>
      <c r="C21" s="8">
        <f t="shared" ref="C21:C31" si="4">C20*(1+(D20+$F$5))</f>
        <v>1060.8</v>
      </c>
      <c r="D21" s="43">
        <f>F13</f>
        <v>2.5000000000000001E-2</v>
      </c>
      <c r="E21" s="148">
        <f t="shared" ref="E21:E31" si="5">(MAX(0,D20)+$F$5)</f>
        <v>0.04</v>
      </c>
      <c r="F21" s="8">
        <f t="shared" ref="F21:F31" si="6">IF(D20&gt;0,C20*($F$5+D20),C20*$F$5)</f>
        <v>40.800000000000004</v>
      </c>
      <c r="G21" s="8">
        <f>C21-$C$19</f>
        <v>60.799999999999955</v>
      </c>
      <c r="H21" s="8">
        <f t="shared" si="0"/>
        <v>20</v>
      </c>
      <c r="I21" s="8">
        <f t="shared" si="1"/>
        <v>7.7519999999999918</v>
      </c>
      <c r="J21" s="8">
        <f>G21-H21-I21</f>
        <v>33.047999999999959</v>
      </c>
      <c r="K21" s="99">
        <f t="shared" si="2"/>
        <v>1033.048</v>
      </c>
      <c r="L21" s="8">
        <f>($C$19+M20)*D21</f>
        <v>25.625</v>
      </c>
      <c r="M21" s="8">
        <f>M20+L21</f>
        <v>50.625</v>
      </c>
      <c r="N21" s="124">
        <f t="shared" si="3"/>
        <v>1050.625</v>
      </c>
      <c r="O21" s="109">
        <f t="shared" ref="O21:O31" si="7">K21-N21</f>
        <v>-17.576999999999998</v>
      </c>
    </row>
    <row r="22" spans="1:27" s="4" customFormat="1" ht="14" x14ac:dyDescent="0.2">
      <c r="A22" s="5">
        <v>3</v>
      </c>
      <c r="B22" s="5" t="s">
        <v>6</v>
      </c>
      <c r="C22" s="8">
        <f t="shared" si="4"/>
        <v>1103.232</v>
      </c>
      <c r="D22" s="43">
        <f>D21</f>
        <v>2.5000000000000001E-2</v>
      </c>
      <c r="E22" s="148">
        <f t="shared" si="5"/>
        <v>0.04</v>
      </c>
      <c r="F22" s="8">
        <f t="shared" si="6"/>
        <v>42.432000000000002</v>
      </c>
      <c r="G22" s="8">
        <f t="shared" ref="G22:G31" si="8">C22-$C$19</f>
        <v>103.23199999999997</v>
      </c>
      <c r="H22" s="8">
        <f t="shared" si="0"/>
        <v>20</v>
      </c>
      <c r="I22" s="8">
        <f t="shared" si="1"/>
        <v>15.814079999999995</v>
      </c>
      <c r="J22" s="8">
        <f t="shared" ref="J22:J31" si="9">G22-H22-I22</f>
        <v>67.417919999999981</v>
      </c>
      <c r="K22" s="99">
        <f t="shared" si="2"/>
        <v>1067.4179199999999</v>
      </c>
      <c r="L22" s="8">
        <f t="shared" ref="L22:L31" si="10">($C$19+M21)*D22</f>
        <v>26.265625</v>
      </c>
      <c r="M22" s="8">
        <f t="shared" ref="M22:M30" si="11">M21+L22</f>
        <v>76.890625</v>
      </c>
      <c r="N22" s="124">
        <f t="shared" si="3"/>
        <v>1076.890625</v>
      </c>
      <c r="O22" s="109">
        <f t="shared" si="7"/>
        <v>-9.4727050000001327</v>
      </c>
    </row>
    <row r="23" spans="1:27" s="4" customFormat="1" ht="14" x14ac:dyDescent="0.2">
      <c r="A23" s="5">
        <v>4</v>
      </c>
      <c r="B23" s="5" t="s">
        <v>7</v>
      </c>
      <c r="C23" s="8">
        <f t="shared" si="4"/>
        <v>1147.3612800000001</v>
      </c>
      <c r="D23" s="43">
        <f>D22</f>
        <v>2.5000000000000001E-2</v>
      </c>
      <c r="E23" s="148">
        <f t="shared" si="5"/>
        <v>0.04</v>
      </c>
      <c r="F23" s="8">
        <f t="shared" si="6"/>
        <v>44.129280000000001</v>
      </c>
      <c r="G23" s="8">
        <f t="shared" si="8"/>
        <v>147.36128000000008</v>
      </c>
      <c r="H23" s="8">
        <f t="shared" si="0"/>
        <v>20</v>
      </c>
      <c r="I23" s="8">
        <f t="shared" si="1"/>
        <v>24.198643200000014</v>
      </c>
      <c r="J23" s="8">
        <f>G23-H23-I23</f>
        <v>103.16263680000006</v>
      </c>
      <c r="K23" s="99">
        <f t="shared" si="2"/>
        <v>1103.1626368</v>
      </c>
      <c r="L23" s="8">
        <f t="shared" si="10"/>
        <v>26.922265625000001</v>
      </c>
      <c r="M23" s="8">
        <f t="shared" si="11"/>
        <v>103.81289062499999</v>
      </c>
      <c r="N23" s="124">
        <f t="shared" si="3"/>
        <v>1103.8128906249999</v>
      </c>
      <c r="O23" s="109">
        <f t="shared" si="7"/>
        <v>-0.65025382499993611</v>
      </c>
    </row>
    <row r="24" spans="1:27" s="4" customFormat="1" ht="14" x14ac:dyDescent="0.2">
      <c r="A24" s="5">
        <v>5</v>
      </c>
      <c r="B24" s="5" t="s">
        <v>8</v>
      </c>
      <c r="C24" s="8">
        <f t="shared" si="4"/>
        <v>1193.2557312000001</v>
      </c>
      <c r="D24" s="43">
        <f t="shared" ref="D24:D30" si="12">D23</f>
        <v>2.5000000000000001E-2</v>
      </c>
      <c r="E24" s="148">
        <f t="shared" si="5"/>
        <v>0.04</v>
      </c>
      <c r="F24" s="8">
        <f t="shared" si="6"/>
        <v>45.894451200000006</v>
      </c>
      <c r="G24" s="8">
        <f t="shared" si="8"/>
        <v>193.25573120000013</v>
      </c>
      <c r="H24" s="8">
        <f t="shared" si="0"/>
        <v>20</v>
      </c>
      <c r="I24" s="8">
        <f t="shared" si="1"/>
        <v>32.918588928000027</v>
      </c>
      <c r="J24" s="8">
        <f t="shared" si="9"/>
        <v>140.33714227200011</v>
      </c>
      <c r="K24" s="99">
        <f t="shared" si="2"/>
        <v>1140.3371422720002</v>
      </c>
      <c r="L24" s="8">
        <f t="shared" si="10"/>
        <v>27.595322265625001</v>
      </c>
      <c r="M24" s="8">
        <f t="shared" si="11"/>
        <v>131.40821289062501</v>
      </c>
      <c r="N24" s="124">
        <f t="shared" si="3"/>
        <v>1131.408212890625</v>
      </c>
      <c r="O24" s="109">
        <f t="shared" si="7"/>
        <v>8.9289293813751556</v>
      </c>
    </row>
    <row r="25" spans="1:27" s="4" customFormat="1" ht="14" x14ac:dyDescent="0.2">
      <c r="A25" s="5">
        <v>6</v>
      </c>
      <c r="B25" s="5" t="s">
        <v>9</v>
      </c>
      <c r="C25" s="8">
        <f t="shared" si="4"/>
        <v>1240.9859604480002</v>
      </c>
      <c r="D25" s="43">
        <f t="shared" si="12"/>
        <v>2.5000000000000001E-2</v>
      </c>
      <c r="E25" s="148">
        <f t="shared" si="5"/>
        <v>0.04</v>
      </c>
      <c r="F25" s="8">
        <f t="shared" si="6"/>
        <v>47.730229248000008</v>
      </c>
      <c r="G25" s="8">
        <f t="shared" si="8"/>
        <v>240.98596044800024</v>
      </c>
      <c r="H25" s="8">
        <f t="shared" si="0"/>
        <v>20</v>
      </c>
      <c r="I25" s="8">
        <f t="shared" si="1"/>
        <v>41.987332485120049</v>
      </c>
      <c r="J25" s="8">
        <f t="shared" si="9"/>
        <v>178.99862796288019</v>
      </c>
      <c r="K25" s="99">
        <f t="shared" si="2"/>
        <v>1178.9986279628802</v>
      </c>
      <c r="L25" s="8">
        <f t="shared" si="10"/>
        <v>28.285205322265625</v>
      </c>
      <c r="M25" s="8">
        <f t="shared" si="11"/>
        <v>159.69341821289063</v>
      </c>
      <c r="N25" s="124">
        <f t="shared" si="3"/>
        <v>1159.6934182128907</v>
      </c>
      <c r="O25" s="109">
        <f t="shared" si="7"/>
        <v>19.305209749989444</v>
      </c>
    </row>
    <row r="26" spans="1:27" s="4" customFormat="1" ht="14" x14ac:dyDescent="0.2">
      <c r="A26" s="5">
        <v>7</v>
      </c>
      <c r="B26" s="5" t="s">
        <v>10</v>
      </c>
      <c r="C26" s="8">
        <f t="shared" si="4"/>
        <v>1290.6253988659203</v>
      </c>
      <c r="D26" s="43">
        <f t="shared" si="12"/>
        <v>2.5000000000000001E-2</v>
      </c>
      <c r="E26" s="148">
        <f t="shared" si="5"/>
        <v>0.04</v>
      </c>
      <c r="F26" s="8">
        <f t="shared" si="6"/>
        <v>49.639438417920012</v>
      </c>
      <c r="G26" s="8">
        <f t="shared" si="8"/>
        <v>290.62539886592026</v>
      </c>
      <c r="H26" s="8">
        <f t="shared" si="0"/>
        <v>20</v>
      </c>
      <c r="I26" s="8">
        <f t="shared" si="1"/>
        <v>51.418825784524849</v>
      </c>
      <c r="J26" s="8">
        <f t="shared" si="9"/>
        <v>219.20657308139542</v>
      </c>
      <c r="K26" s="99">
        <f t="shared" si="2"/>
        <v>1219.2065730813954</v>
      </c>
      <c r="L26" s="8">
        <f t="shared" si="10"/>
        <v>28.992335455322269</v>
      </c>
      <c r="M26" s="8">
        <f t="shared" si="11"/>
        <v>188.6857536682129</v>
      </c>
      <c r="N26" s="124">
        <f t="shared" si="3"/>
        <v>1188.6857536682128</v>
      </c>
      <c r="O26" s="109">
        <f t="shared" si="7"/>
        <v>30.520819413182608</v>
      </c>
    </row>
    <row r="27" spans="1:27" s="4" customFormat="1" ht="14" x14ac:dyDescent="0.2">
      <c r="A27" s="5">
        <v>8</v>
      </c>
      <c r="B27" s="5" t="s">
        <v>11</v>
      </c>
      <c r="C27" s="8">
        <f t="shared" si="4"/>
        <v>1342.2504148205571</v>
      </c>
      <c r="D27" s="43">
        <f t="shared" si="12"/>
        <v>2.5000000000000001E-2</v>
      </c>
      <c r="E27" s="148">
        <f t="shared" si="5"/>
        <v>0.04</v>
      </c>
      <c r="F27" s="8">
        <f t="shared" si="6"/>
        <v>51.625015954636808</v>
      </c>
      <c r="G27" s="8">
        <f t="shared" si="8"/>
        <v>342.25041482055713</v>
      </c>
      <c r="H27" s="8">
        <f t="shared" si="0"/>
        <v>20</v>
      </c>
      <c r="I27" s="8">
        <f t="shared" si="1"/>
        <v>61.227578815905858</v>
      </c>
      <c r="J27" s="8">
        <f t="shared" si="9"/>
        <v>261.02283600465125</v>
      </c>
      <c r="K27" s="99">
        <f t="shared" si="2"/>
        <v>1261.0228360046513</v>
      </c>
      <c r="L27" s="8">
        <f t="shared" si="10"/>
        <v>29.717143841705322</v>
      </c>
      <c r="M27" s="8">
        <f t="shared" si="11"/>
        <v>218.4028975099182</v>
      </c>
      <c r="N27" s="124">
        <f t="shared" si="3"/>
        <v>1218.4028975099181</v>
      </c>
      <c r="O27" s="109">
        <f t="shared" si="7"/>
        <v>42.619938494733105</v>
      </c>
    </row>
    <row r="28" spans="1:27" s="4" customFormat="1" ht="14" x14ac:dyDescent="0.2">
      <c r="A28" s="5">
        <v>9</v>
      </c>
      <c r="B28" s="5" t="s">
        <v>12</v>
      </c>
      <c r="C28" s="8">
        <f t="shared" si="4"/>
        <v>1395.9404314133794</v>
      </c>
      <c r="D28" s="43">
        <f t="shared" si="12"/>
        <v>2.5000000000000001E-2</v>
      </c>
      <c r="E28" s="148">
        <f t="shared" si="5"/>
        <v>0.04</v>
      </c>
      <c r="F28" s="8">
        <f t="shared" si="6"/>
        <v>53.690016592822289</v>
      </c>
      <c r="G28" s="8">
        <f t="shared" si="8"/>
        <v>395.94043141337943</v>
      </c>
      <c r="H28" s="8">
        <f t="shared" si="0"/>
        <v>20</v>
      </c>
      <c r="I28" s="8">
        <f t="shared" si="1"/>
        <v>71.428681968542094</v>
      </c>
      <c r="J28" s="8">
        <f t="shared" si="9"/>
        <v>304.51174944483733</v>
      </c>
      <c r="K28" s="99">
        <f t="shared" si="2"/>
        <v>1304.5117494448373</v>
      </c>
      <c r="L28" s="8">
        <f t="shared" si="10"/>
        <v>30.460072437747954</v>
      </c>
      <c r="M28" s="8">
        <f t="shared" si="11"/>
        <v>248.86296994766616</v>
      </c>
      <c r="N28" s="124">
        <f t="shared" si="3"/>
        <v>1248.8629699476662</v>
      </c>
      <c r="O28" s="109">
        <f t="shared" si="7"/>
        <v>55.648779497171063</v>
      </c>
    </row>
    <row r="29" spans="1:27" s="4" customFormat="1" ht="14" x14ac:dyDescent="0.2">
      <c r="A29" s="5">
        <v>10</v>
      </c>
      <c r="B29" s="5" t="s">
        <v>13</v>
      </c>
      <c r="C29" s="8">
        <f t="shared" si="4"/>
        <v>1451.7780486699146</v>
      </c>
      <c r="D29" s="43">
        <f t="shared" si="12"/>
        <v>2.5000000000000001E-2</v>
      </c>
      <c r="E29" s="148">
        <f t="shared" si="5"/>
        <v>0.04</v>
      </c>
      <c r="F29" s="8">
        <f t="shared" si="6"/>
        <v>55.837617256535175</v>
      </c>
      <c r="G29" s="8">
        <f t="shared" si="8"/>
        <v>451.7780486699146</v>
      </c>
      <c r="H29" s="8">
        <f t="shared" si="0"/>
        <v>20</v>
      </c>
      <c r="I29" s="8">
        <f t="shared" si="1"/>
        <v>82.037829247283781</v>
      </c>
      <c r="J29" s="8">
        <f t="shared" si="9"/>
        <v>349.74021942263084</v>
      </c>
      <c r="K29" s="99">
        <f t="shared" si="2"/>
        <v>1349.7402194226308</v>
      </c>
      <c r="L29" s="8">
        <f t="shared" si="10"/>
        <v>31.221574248691656</v>
      </c>
      <c r="M29" s="8">
        <f t="shared" si="11"/>
        <v>280.0845441963578</v>
      </c>
      <c r="N29" s="124">
        <f t="shared" si="3"/>
        <v>1280.0845441963579</v>
      </c>
      <c r="O29" s="109">
        <f t="shared" si="7"/>
        <v>69.655675226272933</v>
      </c>
    </row>
    <row r="30" spans="1:27" s="4" customFormat="1" thickBot="1" x14ac:dyDescent="0.25">
      <c r="A30" s="33">
        <v>11</v>
      </c>
      <c r="B30" s="5" t="s">
        <v>14</v>
      </c>
      <c r="C30" s="8">
        <f t="shared" si="4"/>
        <v>1509.8491706167113</v>
      </c>
      <c r="D30" s="43">
        <f t="shared" si="12"/>
        <v>2.5000000000000001E-2</v>
      </c>
      <c r="E30" s="148">
        <f t="shared" si="5"/>
        <v>0.04</v>
      </c>
      <c r="F30" s="8">
        <f t="shared" si="6"/>
        <v>58.071121946796588</v>
      </c>
      <c r="G30" s="8">
        <f t="shared" si="8"/>
        <v>509.84917061671126</v>
      </c>
      <c r="H30" s="8">
        <f t="shared" si="0"/>
        <v>20</v>
      </c>
      <c r="I30" s="8">
        <f t="shared" si="1"/>
        <v>93.071342417175146</v>
      </c>
      <c r="J30" s="8">
        <f t="shared" si="9"/>
        <v>396.77782819953609</v>
      </c>
      <c r="K30" s="99">
        <f t="shared" si="2"/>
        <v>1396.7778281995361</v>
      </c>
      <c r="L30" s="8">
        <f t="shared" si="10"/>
        <v>32.002113604908949</v>
      </c>
      <c r="M30" s="8">
        <f t="shared" si="11"/>
        <v>312.08665780126677</v>
      </c>
      <c r="N30" s="124">
        <f t="shared" si="3"/>
        <v>1312.0866578012667</v>
      </c>
      <c r="O30" s="110">
        <f t="shared" si="7"/>
        <v>84.691170398269378</v>
      </c>
    </row>
    <row r="31" spans="1:27" s="2" customFormat="1" ht="27" thickBot="1" x14ac:dyDescent="0.35">
      <c r="A31" s="32">
        <v>12</v>
      </c>
      <c r="B31" s="15" t="s">
        <v>15</v>
      </c>
      <c r="C31" s="15">
        <f t="shared" si="4"/>
        <v>1570.2431374413798</v>
      </c>
      <c r="D31" s="61">
        <f>F14</f>
        <v>2.5000000000000001E-2</v>
      </c>
      <c r="E31" s="149">
        <f t="shared" si="5"/>
        <v>0.04</v>
      </c>
      <c r="F31" s="15">
        <f t="shared" si="6"/>
        <v>60.393966824668453</v>
      </c>
      <c r="G31" s="15">
        <f t="shared" si="8"/>
        <v>570.24313744137976</v>
      </c>
      <c r="H31" s="16">
        <v>0</v>
      </c>
      <c r="I31" s="15">
        <f t="shared" si="1"/>
        <v>108.34619611386215</v>
      </c>
      <c r="J31" s="15">
        <f t="shared" si="9"/>
        <v>461.8969413275176</v>
      </c>
      <c r="K31" s="100">
        <f t="shared" si="2"/>
        <v>1461.8969413275177</v>
      </c>
      <c r="L31" s="15">
        <f t="shared" si="10"/>
        <v>32.802166445031666</v>
      </c>
      <c r="M31" s="15">
        <f>M30+L31</f>
        <v>344.88882424629844</v>
      </c>
      <c r="N31" s="126">
        <f t="shared" si="3"/>
        <v>1344.8888242462986</v>
      </c>
      <c r="O31" s="112">
        <f t="shared" si="7"/>
        <v>117.0081170812191</v>
      </c>
    </row>
    <row r="32" spans="1:27" s="4" customFormat="1" ht="14" x14ac:dyDescent="0.2">
      <c r="G32" s="6"/>
      <c r="H32" s="6"/>
      <c r="I32" s="6"/>
      <c r="J32" s="6"/>
      <c r="K32" s="6"/>
      <c r="L32" s="24"/>
      <c r="M32" s="24"/>
    </row>
    <row r="33" spans="1:13" s="4" customFormat="1" ht="14" x14ac:dyDescent="0.2">
      <c r="A33" s="5"/>
      <c r="G33" s="6"/>
      <c r="H33" s="3"/>
      <c r="I33" s="6"/>
      <c r="J33" s="6"/>
      <c r="K33" s="6"/>
      <c r="L33" s="24"/>
      <c r="M33" s="24"/>
    </row>
    <row r="34" spans="1:13" s="4" customFormat="1" ht="14" x14ac:dyDescent="0.2">
      <c r="G34" s="6"/>
      <c r="H34" s="6"/>
      <c r="I34" s="6"/>
      <c r="J34" s="6"/>
      <c r="K34" s="6"/>
      <c r="L34" s="24"/>
      <c r="M34" s="24"/>
    </row>
    <row r="35" spans="1:13" s="4" customFormat="1" ht="14" x14ac:dyDescent="0.2">
      <c r="G35" s="6"/>
      <c r="H35" s="6"/>
      <c r="I35" s="6"/>
      <c r="J35" s="6"/>
      <c r="K35" s="6"/>
      <c r="L35" s="24"/>
      <c r="M35" s="24"/>
    </row>
    <row r="36" spans="1:13" s="4" customFormat="1" ht="14" x14ac:dyDescent="0.2">
      <c r="G36" s="6"/>
      <c r="H36" s="6"/>
      <c r="I36" s="6"/>
      <c r="J36" s="6"/>
      <c r="K36" s="6"/>
      <c r="L36" s="24"/>
      <c r="M36" s="24"/>
    </row>
    <row r="37" spans="1:13" s="4" customFormat="1" ht="14" x14ac:dyDescent="0.2">
      <c r="G37" s="6"/>
      <c r="H37" s="6"/>
      <c r="I37" s="52"/>
      <c r="J37" s="6"/>
      <c r="K37" s="6"/>
      <c r="L37" s="24"/>
      <c r="M37" s="24"/>
    </row>
    <row r="38" spans="1:13" s="4" customFormat="1" ht="14" x14ac:dyDescent="0.2">
      <c r="G38" s="6"/>
      <c r="H38" s="6"/>
      <c r="I38" s="6"/>
      <c r="J38" s="6"/>
      <c r="K38" s="6"/>
      <c r="L38" s="24"/>
      <c r="M38" s="24"/>
    </row>
    <row r="39" spans="1:13" s="4" customFormat="1" ht="14" x14ac:dyDescent="0.2">
      <c r="G39" s="6"/>
      <c r="H39" s="6"/>
      <c r="I39" s="6"/>
      <c r="J39" s="6"/>
      <c r="K39" s="6"/>
      <c r="L39" s="24"/>
      <c r="M39" s="24"/>
    </row>
    <row r="40" spans="1:13" s="4" customFormat="1" ht="14" x14ac:dyDescent="0.2">
      <c r="D40" s="52"/>
      <c r="E40" s="52"/>
      <c r="F40" s="52"/>
      <c r="G40" s="6"/>
      <c r="H40" s="6"/>
      <c r="I40" s="6"/>
      <c r="J40" s="6"/>
      <c r="K40" s="6"/>
      <c r="L40" s="24"/>
      <c r="M40" s="24"/>
    </row>
    <row r="41" spans="1:13" s="4" customFormat="1" ht="14" x14ac:dyDescent="0.2">
      <c r="G41" s="6"/>
      <c r="H41" s="6"/>
      <c r="I41" s="6"/>
      <c r="J41" s="6"/>
      <c r="K41" s="6"/>
      <c r="L41" s="24"/>
      <c r="M41" s="24"/>
    </row>
    <row r="42" spans="1:13" s="4" customFormat="1" ht="14" x14ac:dyDescent="0.2">
      <c r="G42" s="6"/>
      <c r="H42" s="6"/>
      <c r="I42" s="6"/>
      <c r="J42" s="6"/>
      <c r="K42" s="6"/>
      <c r="L42" s="24"/>
      <c r="M42" s="24"/>
    </row>
    <row r="43" spans="1:13" s="4" customFormat="1" ht="14" x14ac:dyDescent="0.2">
      <c r="G43" s="6"/>
      <c r="H43" s="6"/>
      <c r="I43" s="6"/>
      <c r="J43" s="6"/>
      <c r="K43" s="6"/>
      <c r="L43" s="24"/>
      <c r="M43" s="24"/>
    </row>
    <row r="44" spans="1:13" s="4" customFormat="1" ht="14" x14ac:dyDescent="0.2">
      <c r="G44" s="6"/>
      <c r="H44" s="6"/>
      <c r="I44" s="6"/>
      <c r="J44" s="6"/>
      <c r="K44" s="6"/>
      <c r="L44" s="24"/>
      <c r="M44" s="24"/>
    </row>
    <row r="45" spans="1:13" s="4" customFormat="1" ht="14" x14ac:dyDescent="0.2">
      <c r="G45" s="6"/>
      <c r="H45" s="6"/>
      <c r="I45" s="6"/>
      <c r="J45" s="6"/>
      <c r="K45" s="6"/>
      <c r="L45" s="24"/>
      <c r="M45" s="24"/>
    </row>
    <row r="46" spans="1:13" s="4" customFormat="1" ht="14" x14ac:dyDescent="0.2">
      <c r="G46" s="6"/>
      <c r="H46" s="6"/>
      <c r="I46" s="6"/>
      <c r="J46" s="6"/>
      <c r="K46" s="6"/>
      <c r="L46" s="24"/>
      <c r="M46" s="24"/>
    </row>
    <row r="47" spans="1:13" s="4" customFormat="1" ht="14" x14ac:dyDescent="0.2">
      <c r="G47" s="6"/>
      <c r="H47" s="6"/>
      <c r="I47" s="6"/>
      <c r="J47" s="6"/>
      <c r="K47" s="6"/>
      <c r="L47" s="24"/>
      <c r="M47" s="24"/>
    </row>
    <row r="48" spans="1:13" s="4" customFormat="1" ht="14" x14ac:dyDescent="0.2">
      <c r="G48" s="6"/>
      <c r="H48" s="6"/>
      <c r="I48" s="6"/>
      <c r="J48" s="6"/>
      <c r="K48" s="6"/>
      <c r="L48" s="24"/>
      <c r="M48" s="24"/>
    </row>
    <row r="49" spans="7:13" s="4" customFormat="1" ht="14" x14ac:dyDescent="0.2">
      <c r="G49" s="6"/>
      <c r="H49" s="6"/>
      <c r="I49" s="6"/>
      <c r="J49" s="6"/>
      <c r="K49" s="6"/>
      <c r="L49" s="24"/>
      <c r="M49" s="24"/>
    </row>
    <row r="50" spans="7:13" s="4" customFormat="1" ht="14" x14ac:dyDescent="0.2">
      <c r="G50" s="6"/>
      <c r="H50" s="6"/>
      <c r="I50" s="6"/>
      <c r="J50" s="6"/>
      <c r="K50" s="6"/>
      <c r="L50" s="24"/>
      <c r="M50" s="24"/>
    </row>
    <row r="51" spans="7:13" s="4" customFormat="1" ht="14" x14ac:dyDescent="0.2">
      <c r="G51" s="6"/>
      <c r="H51" s="6"/>
      <c r="I51" s="6"/>
      <c r="J51" s="6"/>
      <c r="K51" s="6"/>
      <c r="L51" s="24"/>
      <c r="M51" s="24"/>
    </row>
    <row r="52" spans="7:13" s="4" customFormat="1" ht="14" x14ac:dyDescent="0.2">
      <c r="G52" s="6"/>
      <c r="H52" s="6"/>
      <c r="I52" s="6"/>
      <c r="J52" s="6"/>
      <c r="K52" s="6"/>
      <c r="L52" s="24"/>
      <c r="M52" s="24"/>
    </row>
    <row r="53" spans="7:13" s="4" customFormat="1" ht="14" x14ac:dyDescent="0.2">
      <c r="G53" s="6"/>
      <c r="H53" s="6"/>
      <c r="I53" s="6"/>
      <c r="J53" s="6"/>
      <c r="K53" s="6"/>
      <c r="L53" s="24"/>
      <c r="M53" s="24"/>
    </row>
    <row r="54" spans="7:13" s="4" customFormat="1" ht="14" x14ac:dyDescent="0.2">
      <c r="G54" s="6"/>
      <c r="H54" s="6"/>
      <c r="I54" s="6"/>
      <c r="J54" s="6"/>
      <c r="K54" s="6"/>
      <c r="L54" s="24"/>
      <c r="M54" s="24"/>
    </row>
    <row r="55" spans="7:13" s="4" customFormat="1" ht="14" x14ac:dyDescent="0.2">
      <c r="G55" s="6"/>
      <c r="H55" s="6"/>
      <c r="I55" s="6"/>
      <c r="J55" s="6"/>
      <c r="K55" s="6"/>
      <c r="L55" s="24"/>
      <c r="M55" s="24"/>
    </row>
    <row r="56" spans="7:13" s="4" customFormat="1" ht="14" x14ac:dyDescent="0.2">
      <c r="G56" s="6"/>
      <c r="H56" s="6"/>
      <c r="I56" s="6"/>
      <c r="J56" s="6"/>
      <c r="K56" s="6"/>
      <c r="L56" s="24"/>
      <c r="M56" s="24"/>
    </row>
    <row r="57" spans="7:13" s="4" customFormat="1" ht="14" x14ac:dyDescent="0.2">
      <c r="G57" s="6"/>
      <c r="H57" s="6"/>
      <c r="I57" s="6"/>
      <c r="J57" s="6"/>
      <c r="K57" s="6"/>
      <c r="L57" s="24"/>
      <c r="M57" s="24"/>
    </row>
    <row r="58" spans="7:13" s="4" customFormat="1" ht="14" x14ac:dyDescent="0.2">
      <c r="G58" s="6"/>
      <c r="H58" s="6"/>
      <c r="I58" s="6"/>
      <c r="J58" s="6"/>
      <c r="K58" s="6"/>
      <c r="L58" s="24"/>
      <c r="M58" s="24"/>
    </row>
    <row r="59" spans="7:13" s="4" customFormat="1" ht="14" x14ac:dyDescent="0.2">
      <c r="G59" s="6"/>
      <c r="H59" s="6"/>
      <c r="I59" s="6"/>
      <c r="J59" s="6"/>
      <c r="K59" s="6"/>
      <c r="L59" s="24"/>
      <c r="M59" s="24"/>
    </row>
    <row r="60" spans="7:13" s="4" customFormat="1" ht="14" x14ac:dyDescent="0.2">
      <c r="G60" s="6"/>
      <c r="H60" s="6"/>
      <c r="I60" s="6"/>
      <c r="J60" s="6"/>
      <c r="K60" s="6"/>
      <c r="L60" s="24"/>
      <c r="M60" s="24"/>
    </row>
    <row r="61" spans="7:13" s="4" customFormat="1" ht="14" x14ac:dyDescent="0.2">
      <c r="G61" s="6"/>
      <c r="H61" s="6"/>
      <c r="I61" s="6"/>
      <c r="J61" s="6"/>
      <c r="K61" s="6"/>
      <c r="L61" s="24"/>
      <c r="M61" s="24"/>
    </row>
    <row r="62" spans="7:13" s="4" customFormat="1" ht="14" x14ac:dyDescent="0.2">
      <c r="G62" s="6"/>
      <c r="H62" s="6"/>
      <c r="I62" s="6"/>
      <c r="J62" s="6"/>
      <c r="K62" s="6"/>
      <c r="L62" s="24"/>
      <c r="M62" s="24"/>
    </row>
    <row r="63" spans="7:13" s="4" customFormat="1" ht="14" x14ac:dyDescent="0.2">
      <c r="G63" s="6"/>
      <c r="H63" s="6"/>
      <c r="I63" s="6"/>
      <c r="J63" s="6"/>
      <c r="K63" s="6"/>
      <c r="L63" s="24"/>
      <c r="M63" s="24"/>
    </row>
    <row r="64" spans="7:13" s="4" customFormat="1" ht="14" x14ac:dyDescent="0.2">
      <c r="G64" s="6"/>
      <c r="H64" s="6"/>
      <c r="I64" s="6"/>
      <c r="J64" s="6"/>
      <c r="K64" s="6"/>
      <c r="L64" s="24"/>
      <c r="M64" s="24"/>
    </row>
    <row r="65" spans="7:13" s="4" customFormat="1" ht="14" x14ac:dyDescent="0.2">
      <c r="G65" s="6"/>
      <c r="H65" s="6"/>
      <c r="I65" s="6"/>
      <c r="J65" s="6"/>
      <c r="K65" s="6"/>
      <c r="L65" s="24"/>
      <c r="M65" s="24"/>
    </row>
    <row r="66" spans="7:13" s="4" customFormat="1" ht="14" x14ac:dyDescent="0.2">
      <c r="G66" s="6"/>
      <c r="H66" s="6"/>
      <c r="I66" s="6"/>
      <c r="J66" s="6"/>
      <c r="K66" s="6"/>
      <c r="L66" s="24"/>
      <c r="M66" s="24"/>
    </row>
    <row r="67" spans="7:13" s="4" customFormat="1" ht="14" x14ac:dyDescent="0.2">
      <c r="G67" s="6"/>
      <c r="H67" s="6"/>
      <c r="I67" s="6"/>
      <c r="J67" s="6"/>
      <c r="K67" s="6"/>
      <c r="L67" s="24"/>
      <c r="M67" s="24"/>
    </row>
    <row r="68" spans="7:13" s="4" customFormat="1" ht="14" x14ac:dyDescent="0.2">
      <c r="G68" s="6"/>
      <c r="H68" s="6"/>
      <c r="I68" s="6"/>
      <c r="J68" s="6"/>
      <c r="K68" s="6"/>
      <c r="L68" s="24"/>
      <c r="M68" s="24"/>
    </row>
    <row r="69" spans="7:13" s="4" customFormat="1" ht="14" x14ac:dyDescent="0.2">
      <c r="G69" s="6"/>
      <c r="H69" s="6"/>
      <c r="I69" s="6"/>
      <c r="J69" s="6"/>
      <c r="K69" s="6"/>
      <c r="L69" s="24"/>
      <c r="M69" s="24"/>
    </row>
    <row r="70" spans="7:13" s="4" customFormat="1" ht="14" x14ac:dyDescent="0.2">
      <c r="G70" s="6"/>
      <c r="H70" s="6"/>
      <c r="I70" s="6"/>
      <c r="J70" s="6"/>
      <c r="K70" s="6"/>
      <c r="L70" s="24"/>
      <c r="M70" s="24"/>
    </row>
    <row r="71" spans="7:13" s="4" customFormat="1" ht="14" x14ac:dyDescent="0.2">
      <c r="G71" s="6"/>
      <c r="H71" s="6"/>
      <c r="I71" s="6"/>
      <c r="J71" s="6"/>
      <c r="K71" s="6"/>
      <c r="L71" s="24"/>
      <c r="M71" s="24"/>
    </row>
    <row r="72" spans="7:13" s="4" customFormat="1" ht="14" x14ac:dyDescent="0.2">
      <c r="G72" s="6"/>
      <c r="H72" s="6"/>
      <c r="I72" s="6"/>
      <c r="J72" s="6"/>
      <c r="K72" s="6"/>
      <c r="L72" s="24"/>
      <c r="M72" s="24"/>
    </row>
    <row r="73" spans="7:13" s="4" customFormat="1" ht="14" x14ac:dyDescent="0.2">
      <c r="G73" s="6"/>
      <c r="H73" s="6"/>
      <c r="I73" s="6"/>
      <c r="J73" s="6"/>
      <c r="K73" s="6"/>
      <c r="L73" s="24"/>
      <c r="M73" s="24"/>
    </row>
    <row r="74" spans="7:13" s="4" customFormat="1" ht="14" x14ac:dyDescent="0.2">
      <c r="G74" s="6"/>
      <c r="H74" s="6"/>
      <c r="I74" s="6"/>
      <c r="J74" s="6"/>
      <c r="K74" s="6"/>
      <c r="L74" s="24"/>
      <c r="M74" s="24"/>
    </row>
    <row r="75" spans="7:13" s="4" customFormat="1" ht="14" x14ac:dyDescent="0.2">
      <c r="G75" s="6"/>
      <c r="H75" s="6"/>
      <c r="I75" s="6"/>
      <c r="J75" s="6"/>
      <c r="K75" s="6"/>
      <c r="L75" s="24"/>
      <c r="M75" s="24"/>
    </row>
    <row r="76" spans="7:13" s="4" customFormat="1" ht="14" x14ac:dyDescent="0.2">
      <c r="G76" s="6"/>
      <c r="H76" s="6"/>
      <c r="I76" s="6"/>
      <c r="J76" s="6"/>
      <c r="K76" s="6"/>
      <c r="L76" s="24"/>
      <c r="M76" s="24"/>
    </row>
    <row r="77" spans="7:13" s="4" customFormat="1" ht="14" x14ac:dyDescent="0.2">
      <c r="G77" s="6"/>
      <c r="H77" s="6"/>
      <c r="I77" s="6"/>
      <c r="J77" s="6"/>
      <c r="K77" s="6"/>
      <c r="L77" s="24"/>
      <c r="M77" s="24"/>
    </row>
    <row r="78" spans="7:13" s="4" customFormat="1" ht="14" x14ac:dyDescent="0.2">
      <c r="G78" s="6"/>
      <c r="H78" s="6"/>
      <c r="I78" s="6"/>
      <c r="J78" s="6"/>
      <c r="K78" s="6"/>
      <c r="L78" s="24"/>
      <c r="M78" s="24"/>
    </row>
    <row r="79" spans="7:13" s="4" customFormat="1" ht="14" x14ac:dyDescent="0.2">
      <c r="G79" s="6"/>
      <c r="H79" s="6"/>
      <c r="I79" s="6"/>
      <c r="J79" s="6"/>
      <c r="K79" s="6"/>
      <c r="L79" s="24"/>
      <c r="M79" s="24"/>
    </row>
    <row r="80" spans="7:13" s="4" customFormat="1" ht="14" x14ac:dyDescent="0.2">
      <c r="G80" s="6"/>
      <c r="H80" s="6"/>
      <c r="I80" s="6"/>
      <c r="J80" s="6"/>
      <c r="K80" s="6"/>
      <c r="L80" s="24"/>
      <c r="M80" s="24"/>
    </row>
    <row r="81" spans="7:13" s="4" customFormat="1" ht="14" x14ac:dyDescent="0.2">
      <c r="G81" s="6"/>
      <c r="H81" s="6"/>
      <c r="I81" s="6"/>
      <c r="J81" s="6"/>
      <c r="K81" s="6"/>
      <c r="L81" s="24"/>
      <c r="M81" s="24"/>
    </row>
    <row r="82" spans="7:13" s="4" customFormat="1" ht="14" x14ac:dyDescent="0.2">
      <c r="G82" s="6"/>
      <c r="H82" s="6"/>
      <c r="I82" s="6"/>
      <c r="J82" s="6"/>
      <c r="K82" s="6"/>
      <c r="L82" s="24"/>
      <c r="M82" s="24"/>
    </row>
    <row r="83" spans="7:13" s="4" customFormat="1" ht="14" x14ac:dyDescent="0.2">
      <c r="G83" s="6"/>
      <c r="H83" s="6"/>
      <c r="I83" s="6"/>
      <c r="J83" s="6"/>
      <c r="K83" s="6"/>
      <c r="L83" s="24"/>
      <c r="M83" s="24"/>
    </row>
    <row r="84" spans="7:13" s="4" customFormat="1" ht="14" x14ac:dyDescent="0.2">
      <c r="G84" s="6"/>
      <c r="H84" s="6"/>
      <c r="I84" s="6"/>
      <c r="J84" s="6"/>
      <c r="K84" s="6"/>
      <c r="L84" s="24"/>
      <c r="M84" s="24"/>
    </row>
    <row r="85" spans="7:13" s="4" customFormat="1" ht="14" x14ac:dyDescent="0.2">
      <c r="G85" s="6"/>
      <c r="H85" s="6"/>
      <c r="I85" s="6"/>
      <c r="J85" s="6"/>
      <c r="K85" s="6"/>
      <c r="L85" s="24"/>
      <c r="M85" s="24"/>
    </row>
    <row r="86" spans="7:13" s="4" customFormat="1" ht="14" x14ac:dyDescent="0.2">
      <c r="G86" s="6"/>
      <c r="H86" s="6"/>
      <c r="I86" s="6"/>
      <c r="J86" s="6"/>
      <c r="K86" s="6"/>
      <c r="L86" s="24"/>
      <c r="M86" s="24"/>
    </row>
    <row r="87" spans="7:13" s="4" customFormat="1" ht="14" x14ac:dyDescent="0.2">
      <c r="G87" s="6"/>
      <c r="H87" s="6"/>
      <c r="I87" s="6"/>
      <c r="J87" s="6"/>
      <c r="K87" s="6"/>
      <c r="L87" s="24"/>
      <c r="M87" s="24"/>
    </row>
    <row r="88" spans="7:13" s="4" customFormat="1" ht="14" x14ac:dyDescent="0.2">
      <c r="G88" s="6"/>
      <c r="H88" s="6"/>
      <c r="I88" s="6"/>
      <c r="J88" s="6"/>
      <c r="K88" s="6"/>
      <c r="L88" s="24"/>
      <c r="M88" s="24"/>
    </row>
    <row r="89" spans="7:13" s="4" customFormat="1" ht="14" x14ac:dyDescent="0.2">
      <c r="G89" s="6"/>
      <c r="H89" s="6"/>
      <c r="I89" s="6"/>
      <c r="J89" s="6"/>
      <c r="K89" s="6"/>
      <c r="L89" s="24"/>
      <c r="M89" s="24"/>
    </row>
    <row r="90" spans="7:13" s="4" customFormat="1" ht="14" x14ac:dyDescent="0.2">
      <c r="G90" s="6"/>
      <c r="H90" s="6"/>
      <c r="I90" s="6"/>
      <c r="J90" s="6"/>
      <c r="K90" s="6"/>
      <c r="L90" s="24"/>
      <c r="M90" s="24"/>
    </row>
    <row r="91" spans="7:13" s="4" customFormat="1" ht="14" x14ac:dyDescent="0.2">
      <c r="G91" s="6"/>
      <c r="H91" s="6"/>
      <c r="I91" s="6"/>
      <c r="J91" s="6"/>
      <c r="K91" s="6"/>
      <c r="L91" s="24"/>
      <c r="M91" s="24"/>
    </row>
    <row r="92" spans="7:13" s="4" customFormat="1" ht="14" x14ac:dyDescent="0.2">
      <c r="G92" s="6"/>
      <c r="H92" s="6"/>
      <c r="I92" s="6"/>
      <c r="J92" s="6"/>
      <c r="K92" s="6"/>
      <c r="L92" s="24"/>
      <c r="M92" s="24"/>
    </row>
    <row r="93" spans="7:13" s="4" customFormat="1" ht="14" x14ac:dyDescent="0.2">
      <c r="G93" s="6"/>
      <c r="H93" s="6"/>
      <c r="I93" s="6"/>
      <c r="J93" s="6"/>
      <c r="K93" s="6"/>
      <c r="L93" s="24"/>
      <c r="M93" s="24"/>
    </row>
    <row r="94" spans="7:13" s="4" customFormat="1" ht="14" x14ac:dyDescent="0.2">
      <c r="G94" s="6"/>
      <c r="H94" s="6"/>
      <c r="I94" s="6"/>
      <c r="J94" s="6"/>
      <c r="K94" s="6"/>
      <c r="L94" s="24"/>
      <c r="M94" s="24"/>
    </row>
    <row r="95" spans="7:13" s="4" customFormat="1" ht="14" x14ac:dyDescent="0.2">
      <c r="G95" s="6"/>
      <c r="H95" s="6"/>
      <c r="I95" s="6"/>
      <c r="J95" s="6"/>
      <c r="K95" s="6"/>
      <c r="L95" s="24"/>
      <c r="M95" s="24"/>
    </row>
    <row r="96" spans="7:13" s="4" customFormat="1" ht="14" x14ac:dyDescent="0.2">
      <c r="G96" s="6"/>
      <c r="H96" s="6"/>
      <c r="I96" s="6"/>
      <c r="J96" s="6"/>
      <c r="K96" s="6"/>
      <c r="L96" s="24"/>
      <c r="M96" s="24"/>
    </row>
    <row r="97" spans="7:13" s="4" customFormat="1" ht="14" x14ac:dyDescent="0.2">
      <c r="G97" s="6"/>
      <c r="H97" s="6"/>
      <c r="I97" s="6"/>
      <c r="J97" s="6"/>
      <c r="K97" s="6"/>
      <c r="L97" s="24"/>
      <c r="M97" s="24"/>
    </row>
    <row r="98" spans="7:13" s="4" customFormat="1" ht="14" x14ac:dyDescent="0.2">
      <c r="G98" s="6"/>
      <c r="H98" s="6"/>
      <c r="I98" s="6"/>
      <c r="J98" s="6"/>
      <c r="K98" s="6"/>
      <c r="L98" s="24"/>
      <c r="M98" s="24"/>
    </row>
    <row r="99" spans="7:13" s="4" customFormat="1" ht="14" x14ac:dyDescent="0.2">
      <c r="G99" s="6"/>
      <c r="H99" s="6"/>
      <c r="I99" s="6"/>
      <c r="J99" s="6"/>
      <c r="K99" s="6"/>
      <c r="L99" s="24"/>
      <c r="M99" s="24"/>
    </row>
    <row r="100" spans="7:13" s="4" customFormat="1" ht="14" x14ac:dyDescent="0.2">
      <c r="G100" s="6"/>
      <c r="H100" s="6"/>
      <c r="I100" s="6"/>
      <c r="J100" s="6"/>
      <c r="K100" s="6"/>
      <c r="L100" s="24"/>
      <c r="M100" s="24"/>
    </row>
    <row r="101" spans="7:13" s="4" customFormat="1" ht="14" x14ac:dyDescent="0.2">
      <c r="G101" s="6"/>
      <c r="H101" s="6"/>
      <c r="I101" s="6"/>
      <c r="J101" s="6"/>
      <c r="K101" s="6"/>
      <c r="L101" s="24"/>
      <c r="M101" s="24"/>
    </row>
    <row r="102" spans="7:13" s="4" customFormat="1" ht="14" x14ac:dyDescent="0.2">
      <c r="G102" s="6"/>
      <c r="H102" s="6"/>
      <c r="I102" s="6"/>
      <c r="J102" s="6"/>
      <c r="K102" s="6"/>
      <c r="L102" s="24"/>
      <c r="M102" s="24"/>
    </row>
    <row r="103" spans="7:13" s="4" customFormat="1" ht="14" x14ac:dyDescent="0.2">
      <c r="G103" s="6"/>
      <c r="H103" s="6"/>
      <c r="I103" s="6"/>
      <c r="J103" s="6"/>
      <c r="K103" s="6"/>
      <c r="L103" s="24"/>
      <c r="M103" s="24"/>
    </row>
    <row r="104" spans="7:13" s="4" customFormat="1" ht="14" x14ac:dyDescent="0.2">
      <c r="G104" s="6"/>
      <c r="H104" s="6"/>
      <c r="I104" s="6"/>
      <c r="J104" s="6"/>
      <c r="K104" s="6"/>
      <c r="L104" s="24"/>
      <c r="M104" s="24"/>
    </row>
    <row r="105" spans="7:13" s="4" customFormat="1" ht="14" x14ac:dyDescent="0.2">
      <c r="G105" s="6"/>
      <c r="H105" s="6"/>
      <c r="I105" s="6"/>
      <c r="J105" s="6"/>
      <c r="K105" s="6"/>
      <c r="L105" s="24"/>
      <c r="M105" s="24"/>
    </row>
    <row r="106" spans="7:13" s="4" customFormat="1" ht="14" x14ac:dyDescent="0.2">
      <c r="G106" s="6"/>
      <c r="H106" s="6"/>
      <c r="I106" s="6"/>
      <c r="J106" s="6"/>
      <c r="K106" s="6"/>
      <c r="L106" s="24"/>
      <c r="M106" s="24"/>
    </row>
    <row r="107" spans="7:13" s="4" customFormat="1" ht="14" x14ac:dyDescent="0.2">
      <c r="G107" s="6"/>
      <c r="H107" s="6"/>
      <c r="I107" s="6"/>
      <c r="J107" s="6"/>
      <c r="K107" s="6"/>
      <c r="L107" s="24"/>
      <c r="M107" s="24"/>
    </row>
    <row r="108" spans="7:13" s="4" customFormat="1" ht="14" x14ac:dyDescent="0.2">
      <c r="G108" s="6"/>
      <c r="H108" s="6"/>
      <c r="I108" s="6"/>
      <c r="J108" s="6"/>
      <c r="K108" s="6"/>
      <c r="L108" s="24"/>
      <c r="M108" s="24"/>
    </row>
    <row r="109" spans="7:13" s="4" customFormat="1" ht="14" x14ac:dyDescent="0.2">
      <c r="G109" s="6"/>
      <c r="H109" s="6"/>
      <c r="I109" s="6"/>
      <c r="J109" s="6"/>
      <c r="K109" s="6"/>
      <c r="L109" s="24"/>
      <c r="M109" s="24"/>
    </row>
    <row r="110" spans="7:13" s="4" customFormat="1" ht="14" x14ac:dyDescent="0.2">
      <c r="G110" s="6"/>
      <c r="H110" s="6"/>
      <c r="I110" s="6"/>
      <c r="J110" s="6"/>
      <c r="K110" s="6"/>
      <c r="L110" s="24"/>
      <c r="M110" s="24"/>
    </row>
    <row r="111" spans="7:13" s="4" customFormat="1" ht="14" x14ac:dyDescent="0.2">
      <c r="G111" s="6"/>
      <c r="H111" s="6"/>
      <c r="I111" s="6"/>
      <c r="J111" s="6"/>
      <c r="K111" s="6"/>
      <c r="L111" s="24"/>
      <c r="M111" s="24"/>
    </row>
    <row r="112" spans="7:13" s="4" customFormat="1" ht="14" x14ac:dyDescent="0.2">
      <c r="G112" s="6"/>
      <c r="H112" s="6"/>
      <c r="I112" s="6"/>
      <c r="J112" s="6"/>
      <c r="K112" s="6"/>
      <c r="L112" s="24"/>
      <c r="M112" s="24"/>
    </row>
    <row r="113" spans="7:13" s="4" customFormat="1" ht="14" x14ac:dyDescent="0.2">
      <c r="G113" s="6"/>
      <c r="H113" s="6"/>
      <c r="I113" s="6"/>
      <c r="J113" s="6"/>
      <c r="K113" s="6"/>
      <c r="L113" s="24"/>
      <c r="M113" s="24"/>
    </row>
    <row r="114" spans="7:13" s="4" customFormat="1" ht="14" x14ac:dyDescent="0.2">
      <c r="G114" s="6"/>
      <c r="H114" s="6"/>
      <c r="I114" s="6"/>
      <c r="J114" s="6"/>
      <c r="K114" s="6"/>
      <c r="L114" s="24"/>
      <c r="M114" s="24"/>
    </row>
    <row r="115" spans="7:13" s="4" customFormat="1" ht="14" x14ac:dyDescent="0.2">
      <c r="G115" s="6"/>
      <c r="H115" s="6"/>
      <c r="I115" s="6"/>
      <c r="J115" s="6"/>
      <c r="K115" s="6"/>
      <c r="L115" s="24"/>
      <c r="M115" s="24"/>
    </row>
    <row r="116" spans="7:13" s="4" customFormat="1" ht="14" x14ac:dyDescent="0.2">
      <c r="G116" s="6"/>
      <c r="H116" s="6"/>
      <c r="I116" s="6"/>
      <c r="J116" s="6"/>
      <c r="K116" s="6"/>
      <c r="L116" s="24"/>
      <c r="M116" s="24"/>
    </row>
    <row r="117" spans="7:13" s="4" customFormat="1" ht="14" x14ac:dyDescent="0.2">
      <c r="G117" s="6"/>
      <c r="H117" s="6"/>
      <c r="I117" s="6"/>
      <c r="J117" s="6"/>
      <c r="K117" s="6"/>
      <c r="L117" s="24"/>
      <c r="M117" s="24"/>
    </row>
    <row r="118" spans="7:13" s="4" customFormat="1" ht="14" x14ac:dyDescent="0.2">
      <c r="G118" s="6"/>
      <c r="H118" s="6"/>
      <c r="I118" s="6"/>
      <c r="J118" s="6"/>
      <c r="K118" s="6"/>
      <c r="L118" s="24"/>
      <c r="M118" s="24"/>
    </row>
    <row r="119" spans="7:13" s="4" customFormat="1" ht="14" x14ac:dyDescent="0.2">
      <c r="G119" s="6"/>
      <c r="H119" s="6"/>
      <c r="I119" s="6"/>
      <c r="J119" s="6"/>
      <c r="K119" s="6"/>
      <c r="L119" s="24"/>
      <c r="M119" s="24"/>
    </row>
    <row r="120" spans="7:13" s="4" customFormat="1" ht="14" x14ac:dyDescent="0.2">
      <c r="G120" s="6"/>
      <c r="H120" s="6"/>
      <c r="I120" s="6"/>
      <c r="J120" s="6"/>
      <c r="K120" s="6"/>
      <c r="L120" s="24"/>
      <c r="M120" s="24"/>
    </row>
    <row r="121" spans="7:13" s="4" customFormat="1" ht="14" x14ac:dyDescent="0.2">
      <c r="G121" s="6"/>
      <c r="H121" s="6"/>
      <c r="I121" s="6"/>
      <c r="J121" s="6"/>
      <c r="K121" s="6"/>
      <c r="L121" s="24"/>
      <c r="M121" s="24"/>
    </row>
    <row r="122" spans="7:13" s="4" customFormat="1" ht="14" x14ac:dyDescent="0.2">
      <c r="G122" s="6"/>
      <c r="H122" s="6"/>
      <c r="I122" s="6"/>
      <c r="J122" s="6"/>
      <c r="K122" s="6"/>
      <c r="L122" s="24"/>
      <c r="M122" s="24"/>
    </row>
    <row r="123" spans="7:13" s="4" customFormat="1" ht="14" x14ac:dyDescent="0.2">
      <c r="G123" s="6"/>
      <c r="H123" s="6"/>
      <c r="I123" s="6"/>
      <c r="J123" s="6"/>
      <c r="K123" s="6"/>
      <c r="L123" s="24"/>
      <c r="M123" s="24"/>
    </row>
    <row r="124" spans="7:13" s="4" customFormat="1" ht="14" x14ac:dyDescent="0.2">
      <c r="G124" s="6"/>
      <c r="H124" s="6"/>
      <c r="I124" s="6"/>
      <c r="J124" s="6"/>
      <c r="K124" s="6"/>
      <c r="L124" s="24"/>
      <c r="M124" s="24"/>
    </row>
    <row r="125" spans="7:13" s="4" customFormat="1" ht="14" x14ac:dyDescent="0.2">
      <c r="G125" s="6"/>
      <c r="H125" s="6"/>
      <c r="I125" s="6"/>
      <c r="J125" s="6"/>
      <c r="K125" s="6"/>
      <c r="L125" s="24"/>
      <c r="M125" s="24"/>
    </row>
    <row r="126" spans="7:13" s="4" customFormat="1" ht="14" x14ac:dyDescent="0.2">
      <c r="G126" s="6"/>
      <c r="H126" s="6"/>
      <c r="I126" s="6"/>
      <c r="J126" s="6"/>
      <c r="K126" s="6"/>
      <c r="L126" s="24"/>
      <c r="M126" s="24"/>
    </row>
    <row r="127" spans="7:13" s="4" customFormat="1" ht="14" x14ac:dyDescent="0.2">
      <c r="G127" s="6"/>
      <c r="H127" s="6"/>
      <c r="I127" s="6"/>
      <c r="J127" s="6"/>
      <c r="K127" s="6"/>
      <c r="L127" s="24"/>
      <c r="M127" s="24"/>
    </row>
    <row r="128" spans="7:13" s="4" customFormat="1" ht="14" x14ac:dyDescent="0.2">
      <c r="G128" s="6"/>
      <c r="H128" s="6"/>
      <c r="I128" s="6"/>
      <c r="J128" s="6"/>
      <c r="K128" s="6"/>
      <c r="L128" s="24"/>
      <c r="M128" s="24"/>
    </row>
    <row r="129" spans="7:13" s="4" customFormat="1" ht="14" x14ac:dyDescent="0.2">
      <c r="G129" s="6"/>
      <c r="H129" s="6"/>
      <c r="I129" s="6"/>
      <c r="J129" s="6"/>
      <c r="K129" s="6"/>
      <c r="L129" s="24"/>
      <c r="M129" s="24"/>
    </row>
    <row r="130" spans="7:13" s="4" customFormat="1" ht="14" x14ac:dyDescent="0.2">
      <c r="G130" s="6"/>
      <c r="H130" s="6"/>
      <c r="I130" s="6"/>
      <c r="J130" s="6"/>
      <c r="K130" s="6"/>
      <c r="L130" s="24"/>
      <c r="M130" s="24"/>
    </row>
    <row r="131" spans="7:13" s="4" customFormat="1" ht="14" x14ac:dyDescent="0.2">
      <c r="G131" s="6"/>
      <c r="H131" s="6"/>
      <c r="I131" s="6"/>
      <c r="J131" s="6"/>
      <c r="K131" s="6"/>
      <c r="L131" s="24"/>
      <c r="M131" s="24"/>
    </row>
    <row r="132" spans="7:13" s="4" customFormat="1" ht="14" x14ac:dyDescent="0.2">
      <c r="G132" s="6"/>
      <c r="H132" s="6"/>
      <c r="I132" s="6"/>
      <c r="J132" s="6"/>
      <c r="K132" s="6"/>
      <c r="L132" s="24"/>
      <c r="M132" s="24"/>
    </row>
    <row r="133" spans="7:13" s="4" customFormat="1" ht="14" x14ac:dyDescent="0.2">
      <c r="G133" s="6"/>
      <c r="H133" s="6"/>
      <c r="I133" s="6"/>
      <c r="J133" s="6"/>
      <c r="K133" s="6"/>
      <c r="L133" s="24"/>
      <c r="M133" s="24"/>
    </row>
    <row r="134" spans="7:13" s="4" customFormat="1" ht="14" x14ac:dyDescent="0.2">
      <c r="G134" s="6"/>
      <c r="H134" s="6"/>
      <c r="I134" s="6"/>
      <c r="J134" s="6"/>
      <c r="K134" s="6"/>
      <c r="L134" s="24"/>
      <c r="M134" s="24"/>
    </row>
    <row r="135" spans="7:13" s="4" customFormat="1" ht="14" x14ac:dyDescent="0.2">
      <c r="G135" s="6"/>
      <c r="H135" s="6"/>
      <c r="I135" s="6"/>
      <c r="J135" s="6"/>
      <c r="K135" s="6"/>
      <c r="L135" s="24"/>
      <c r="M135" s="24"/>
    </row>
    <row r="136" spans="7:13" s="4" customFormat="1" ht="14" x14ac:dyDescent="0.2">
      <c r="G136" s="6"/>
      <c r="H136" s="6"/>
      <c r="I136" s="6"/>
      <c r="J136" s="6"/>
      <c r="K136" s="6"/>
      <c r="L136" s="24"/>
      <c r="M136" s="24"/>
    </row>
    <row r="137" spans="7:13" s="4" customFormat="1" ht="14" x14ac:dyDescent="0.2">
      <c r="G137" s="6"/>
      <c r="H137" s="6"/>
      <c r="I137" s="6"/>
      <c r="J137" s="6"/>
      <c r="K137" s="6"/>
      <c r="L137" s="24"/>
      <c r="M137" s="24"/>
    </row>
    <row r="138" spans="7:13" s="4" customFormat="1" ht="14" x14ac:dyDescent="0.2">
      <c r="G138" s="6"/>
      <c r="H138" s="6"/>
      <c r="I138" s="6"/>
      <c r="J138" s="6"/>
      <c r="K138" s="6"/>
      <c r="L138" s="24"/>
      <c r="M138" s="24"/>
    </row>
    <row r="139" spans="7:13" s="4" customFormat="1" ht="14" x14ac:dyDescent="0.2">
      <c r="G139" s="6"/>
      <c r="H139" s="6"/>
      <c r="I139" s="6"/>
      <c r="J139" s="6"/>
      <c r="K139" s="6"/>
      <c r="L139" s="24"/>
      <c r="M139" s="24"/>
    </row>
    <row r="140" spans="7:13" s="4" customFormat="1" ht="14" x14ac:dyDescent="0.2">
      <c r="G140" s="6"/>
      <c r="H140" s="6"/>
      <c r="I140" s="6"/>
      <c r="J140" s="6"/>
      <c r="K140" s="6"/>
      <c r="L140" s="24"/>
      <c r="M140" s="24"/>
    </row>
    <row r="141" spans="7:13" s="4" customFormat="1" ht="14" x14ac:dyDescent="0.2">
      <c r="G141" s="6"/>
      <c r="H141" s="6"/>
      <c r="I141" s="6"/>
      <c r="J141" s="6"/>
      <c r="K141" s="6"/>
      <c r="L141" s="24"/>
      <c r="M141" s="24"/>
    </row>
    <row r="142" spans="7:13" s="4" customFormat="1" ht="14" x14ac:dyDescent="0.2">
      <c r="G142" s="6"/>
      <c r="H142" s="6"/>
      <c r="I142" s="6"/>
      <c r="J142" s="6"/>
      <c r="K142" s="6"/>
      <c r="L142" s="24"/>
      <c r="M142" s="24"/>
    </row>
    <row r="143" spans="7:13" s="4" customFormat="1" ht="14" x14ac:dyDescent="0.2">
      <c r="G143" s="6"/>
      <c r="H143" s="6"/>
      <c r="I143" s="6"/>
      <c r="J143" s="6"/>
      <c r="K143" s="6"/>
      <c r="L143" s="24"/>
      <c r="M143" s="24"/>
    </row>
    <row r="144" spans="7:13" s="4" customFormat="1" ht="14" x14ac:dyDescent="0.2">
      <c r="G144" s="6"/>
      <c r="H144" s="6"/>
      <c r="I144" s="6"/>
      <c r="J144" s="6"/>
      <c r="K144" s="6"/>
      <c r="L144" s="24"/>
      <c r="M144" s="24"/>
    </row>
    <row r="145" spans="7:13" s="4" customFormat="1" ht="14" x14ac:dyDescent="0.2">
      <c r="G145" s="6"/>
      <c r="H145" s="6"/>
      <c r="I145" s="6"/>
      <c r="J145" s="6"/>
      <c r="K145" s="6"/>
      <c r="L145" s="24"/>
      <c r="M145" s="24"/>
    </row>
    <row r="146" spans="7:13" s="4" customFormat="1" ht="14" x14ac:dyDescent="0.2">
      <c r="G146" s="6"/>
      <c r="H146" s="6"/>
      <c r="I146" s="6"/>
      <c r="J146" s="6"/>
      <c r="K146" s="6"/>
      <c r="L146" s="24"/>
      <c r="M146" s="24"/>
    </row>
    <row r="147" spans="7:13" s="4" customFormat="1" ht="14" x14ac:dyDescent="0.2">
      <c r="G147" s="6"/>
      <c r="H147" s="6"/>
      <c r="I147" s="6"/>
      <c r="J147" s="6"/>
      <c r="K147" s="6"/>
      <c r="L147" s="24"/>
      <c r="M147" s="24"/>
    </row>
    <row r="148" spans="7:13" s="4" customFormat="1" ht="14" x14ac:dyDescent="0.2">
      <c r="G148" s="6"/>
      <c r="H148" s="6"/>
      <c r="I148" s="6"/>
      <c r="J148" s="6"/>
      <c r="K148" s="6"/>
      <c r="L148" s="24"/>
      <c r="M148" s="24"/>
    </row>
    <row r="149" spans="7:13" s="4" customFormat="1" ht="14" x14ac:dyDescent="0.2">
      <c r="G149" s="6"/>
      <c r="H149" s="6"/>
      <c r="I149" s="6"/>
      <c r="J149" s="6"/>
      <c r="K149" s="6"/>
      <c r="L149" s="24"/>
      <c r="M149" s="24"/>
    </row>
    <row r="150" spans="7:13" s="4" customFormat="1" ht="14" x14ac:dyDescent="0.2">
      <c r="G150" s="6"/>
      <c r="H150" s="6"/>
      <c r="I150" s="6"/>
      <c r="J150" s="6"/>
      <c r="K150" s="6"/>
      <c r="L150" s="24"/>
      <c r="M150" s="24"/>
    </row>
    <row r="151" spans="7:13" s="4" customFormat="1" ht="14" x14ac:dyDescent="0.2">
      <c r="G151" s="6"/>
      <c r="H151" s="6"/>
      <c r="I151" s="6"/>
      <c r="J151" s="6"/>
      <c r="K151" s="6"/>
      <c r="L151" s="24"/>
      <c r="M151" s="24"/>
    </row>
    <row r="152" spans="7:13" s="4" customFormat="1" ht="14" x14ac:dyDescent="0.2">
      <c r="G152" s="6"/>
      <c r="H152" s="6"/>
      <c r="I152" s="6"/>
      <c r="J152" s="6"/>
      <c r="K152" s="6"/>
      <c r="L152" s="24"/>
      <c r="M152" s="24"/>
    </row>
    <row r="153" spans="7:13" s="4" customFormat="1" ht="14" x14ac:dyDescent="0.2">
      <c r="G153" s="6"/>
      <c r="H153" s="6"/>
      <c r="I153" s="6"/>
      <c r="J153" s="6"/>
      <c r="K153" s="6"/>
      <c r="L153" s="24"/>
      <c r="M153" s="24"/>
    </row>
    <row r="154" spans="7:13" s="4" customFormat="1" ht="14" x14ac:dyDescent="0.2">
      <c r="G154" s="6"/>
      <c r="H154" s="6"/>
      <c r="I154" s="6"/>
      <c r="J154" s="6"/>
      <c r="K154" s="6"/>
      <c r="L154" s="24"/>
      <c r="M154" s="24"/>
    </row>
    <row r="155" spans="7:13" s="4" customFormat="1" ht="14" x14ac:dyDescent="0.2">
      <c r="G155" s="6"/>
      <c r="H155" s="6"/>
      <c r="I155" s="6"/>
      <c r="J155" s="6"/>
      <c r="K155" s="6"/>
      <c r="L155" s="24"/>
      <c r="M155" s="24"/>
    </row>
    <row r="156" spans="7:13" s="4" customFormat="1" ht="14" x14ac:dyDescent="0.2">
      <c r="G156" s="6"/>
      <c r="H156" s="6"/>
      <c r="I156" s="6"/>
      <c r="J156" s="6"/>
      <c r="K156" s="6"/>
      <c r="L156" s="24"/>
      <c r="M156" s="24"/>
    </row>
    <row r="157" spans="7:13" s="4" customFormat="1" ht="14" x14ac:dyDescent="0.2">
      <c r="G157" s="6"/>
      <c r="H157" s="6"/>
      <c r="I157" s="6"/>
      <c r="J157" s="6"/>
      <c r="K157" s="6"/>
      <c r="L157" s="24"/>
      <c r="M157" s="24"/>
    </row>
    <row r="158" spans="7:13" s="4" customFormat="1" ht="14" x14ac:dyDescent="0.2">
      <c r="G158" s="6"/>
      <c r="H158" s="6"/>
      <c r="I158" s="6"/>
      <c r="J158" s="6"/>
      <c r="K158" s="6"/>
      <c r="L158" s="24"/>
      <c r="M158" s="24"/>
    </row>
    <row r="159" spans="7:13" s="4" customFormat="1" ht="14" x14ac:dyDescent="0.2">
      <c r="G159" s="6"/>
      <c r="H159" s="6"/>
      <c r="I159" s="6"/>
      <c r="J159" s="6"/>
      <c r="K159" s="6"/>
      <c r="L159" s="24"/>
      <c r="M159" s="24"/>
    </row>
    <row r="160" spans="7:13" s="4" customFormat="1" ht="14" x14ac:dyDescent="0.2">
      <c r="G160" s="6"/>
      <c r="H160" s="6"/>
      <c r="I160" s="6"/>
      <c r="J160" s="6"/>
      <c r="K160" s="6"/>
      <c r="L160" s="24"/>
      <c r="M160" s="24"/>
    </row>
    <row r="161" spans="7:13" s="4" customFormat="1" ht="14" x14ac:dyDescent="0.2">
      <c r="G161" s="6"/>
      <c r="H161" s="6"/>
      <c r="I161" s="6"/>
      <c r="J161" s="6"/>
      <c r="K161" s="6"/>
      <c r="L161" s="24"/>
      <c r="M161" s="24"/>
    </row>
    <row r="162" spans="7:13" s="4" customFormat="1" ht="14" x14ac:dyDescent="0.2">
      <c r="G162" s="6"/>
      <c r="H162" s="6"/>
      <c r="I162" s="6"/>
      <c r="J162" s="6"/>
      <c r="K162" s="6"/>
      <c r="L162" s="24"/>
      <c r="M162" s="24"/>
    </row>
    <row r="163" spans="7:13" s="4" customFormat="1" ht="14" x14ac:dyDescent="0.2">
      <c r="G163" s="6"/>
      <c r="H163" s="6"/>
      <c r="I163" s="6"/>
      <c r="J163" s="6"/>
      <c r="K163" s="6"/>
      <c r="L163" s="24"/>
      <c r="M163" s="24"/>
    </row>
    <row r="164" spans="7:13" s="4" customFormat="1" ht="14" x14ac:dyDescent="0.2">
      <c r="G164" s="6"/>
      <c r="H164" s="6"/>
      <c r="I164" s="6"/>
      <c r="J164" s="6"/>
      <c r="K164" s="6"/>
      <c r="L164" s="24"/>
      <c r="M164" s="24"/>
    </row>
    <row r="165" spans="7:13" s="4" customFormat="1" ht="14" x14ac:dyDescent="0.2">
      <c r="G165" s="6"/>
      <c r="H165" s="6"/>
      <c r="I165" s="6"/>
      <c r="J165" s="6"/>
      <c r="K165" s="6"/>
      <c r="L165" s="24"/>
      <c r="M165" s="24"/>
    </row>
    <row r="166" spans="7:13" s="4" customFormat="1" ht="14" x14ac:dyDescent="0.2">
      <c r="G166" s="6"/>
      <c r="H166" s="6"/>
      <c r="I166" s="6"/>
      <c r="J166" s="6"/>
      <c r="K166" s="6"/>
      <c r="L166" s="24"/>
      <c r="M166" s="24"/>
    </row>
    <row r="167" spans="7:13" s="4" customFormat="1" ht="14" x14ac:dyDescent="0.2">
      <c r="G167" s="6"/>
      <c r="H167" s="6"/>
      <c r="I167" s="6"/>
      <c r="J167" s="6"/>
      <c r="K167" s="6"/>
      <c r="L167" s="24"/>
      <c r="M167" s="24"/>
    </row>
    <row r="168" spans="7:13" s="4" customFormat="1" ht="14" x14ac:dyDescent="0.2">
      <c r="G168" s="6"/>
      <c r="H168" s="6"/>
      <c r="I168" s="6"/>
      <c r="J168" s="6"/>
      <c r="K168" s="6"/>
      <c r="L168" s="24"/>
      <c r="M168" s="24"/>
    </row>
    <row r="169" spans="7:13" s="4" customFormat="1" ht="14" x14ac:dyDescent="0.2">
      <c r="G169" s="6"/>
      <c r="H169" s="6"/>
      <c r="I169" s="6"/>
      <c r="J169" s="6"/>
      <c r="K169" s="6"/>
      <c r="L169" s="24"/>
      <c r="M169" s="24"/>
    </row>
    <row r="170" spans="7:13" s="4" customFormat="1" ht="14" x14ac:dyDescent="0.2">
      <c r="G170" s="6"/>
      <c r="H170" s="6"/>
      <c r="I170" s="6"/>
      <c r="J170" s="6"/>
      <c r="K170" s="6"/>
      <c r="L170" s="24"/>
      <c r="M170" s="24"/>
    </row>
    <row r="171" spans="7:13" s="4" customFormat="1" ht="14" x14ac:dyDescent="0.2">
      <c r="G171" s="6"/>
      <c r="H171" s="6"/>
      <c r="I171" s="6"/>
      <c r="J171" s="6"/>
      <c r="K171" s="6"/>
      <c r="L171" s="24"/>
      <c r="M171" s="24"/>
    </row>
  </sheetData>
  <mergeCells count="4">
    <mergeCell ref="A3:A8"/>
    <mergeCell ref="A10:A14"/>
    <mergeCell ref="B18:C18"/>
    <mergeCell ref="A1:G1"/>
  </mergeCells>
  <conditionalFormatting sqref="O20:O31">
    <cfRule type="cellIs" dxfId="17" priority="1" operator="lessThan">
      <formula>0</formula>
    </cfRule>
    <cfRule type="cellIs" dxfId="16" priority="2" operator="greaterThan">
      <formula>0</formula>
    </cfRule>
  </conditionalFormatting>
  <hyperlinks>
    <hyperlink ref="G16" r:id="rId1" xr:uid="{5BE84A74-5717-5E48-B506-8A6D2496E718}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BBFA1-334C-4E26-81A9-4ED8FBB1208C}">
  <sheetPr>
    <tabColor rgb="FFC00000"/>
  </sheetPr>
  <dimension ref="A1:Z162"/>
  <sheetViews>
    <sheetView zoomScale="110" zoomScaleNormal="110" workbookViewId="0">
      <selection activeCell="G35" sqref="G35"/>
    </sheetView>
  </sheetViews>
  <sheetFormatPr baseColWidth="10" defaultColWidth="8.83203125" defaultRowHeight="15" x14ac:dyDescent="0.2"/>
  <cols>
    <col min="1" max="1" width="6.83203125" style="5" customWidth="1"/>
    <col min="2" max="2" width="9.6640625" style="5" customWidth="1"/>
    <col min="3" max="3" width="11.5" style="5" customWidth="1"/>
    <col min="4" max="4" width="12" style="5" customWidth="1"/>
    <col min="5" max="5" width="9" style="5" customWidth="1"/>
    <col min="6" max="6" width="10.5" style="10" customWidth="1"/>
    <col min="7" max="7" width="10" style="10" customWidth="1"/>
    <col min="8" max="8" width="10.33203125" style="10" customWidth="1"/>
    <col min="9" max="9" width="11.1640625" style="10" customWidth="1"/>
    <col min="10" max="11" width="13.83203125" style="24" customWidth="1"/>
    <col min="12" max="12" width="13.83203125" hidden="1" customWidth="1"/>
    <col min="13" max="13" width="14.33203125" style="63" hidden="1" customWidth="1"/>
    <col min="14" max="14" width="14.33203125" style="63" customWidth="1"/>
    <col min="15" max="15" width="14.1640625" style="63" customWidth="1"/>
    <col min="16" max="18" width="8.83203125" style="63"/>
    <col min="19" max="26" width="8.83203125" style="4"/>
    <col min="27" max="16384" width="8.83203125" style="5"/>
  </cols>
  <sheetData>
    <row r="1" spans="1:12" s="2" customFormat="1" ht="24" customHeight="1" x14ac:dyDescent="0.25">
      <c r="A1" s="116" t="s">
        <v>106</v>
      </c>
      <c r="B1" s="116"/>
      <c r="C1" s="116"/>
      <c r="D1" s="116"/>
      <c r="E1" s="116"/>
      <c r="F1" s="116"/>
      <c r="G1" s="116"/>
      <c r="H1" s="116"/>
      <c r="I1" s="116"/>
      <c r="J1" s="31"/>
      <c r="K1" s="31"/>
    </row>
    <row r="2" spans="1:12" s="2" customFormat="1" thickBot="1" x14ac:dyDescent="0.25">
      <c r="C2" s="11"/>
      <c r="D2" s="11"/>
      <c r="E2" s="11"/>
      <c r="G2" s="11"/>
      <c r="H2" s="11"/>
      <c r="I2" s="11"/>
      <c r="J2" s="20"/>
      <c r="K2" s="20"/>
    </row>
    <row r="3" spans="1:12" s="2" customFormat="1" ht="13" customHeight="1" x14ac:dyDescent="0.2">
      <c r="A3" s="260" t="s">
        <v>45</v>
      </c>
      <c r="B3" s="55" t="s">
        <v>21</v>
      </c>
      <c r="C3" s="55"/>
      <c r="D3" s="55"/>
      <c r="E3" s="55"/>
      <c r="F3" s="56">
        <v>100</v>
      </c>
      <c r="G3" s="19"/>
      <c r="I3" s="12"/>
      <c r="J3" s="21"/>
      <c r="K3" s="21"/>
    </row>
    <row r="4" spans="1:12" s="2" customFormat="1" ht="14.5" customHeight="1" x14ac:dyDescent="0.2">
      <c r="A4" s="261"/>
      <c r="B4" s="57" t="s">
        <v>26</v>
      </c>
      <c r="C4" s="64"/>
      <c r="D4" s="64"/>
      <c r="E4" s="64"/>
      <c r="F4" s="156">
        <v>1.7000000000000001E-2</v>
      </c>
      <c r="G4" s="6"/>
      <c r="I4" s="12"/>
      <c r="J4" s="21"/>
      <c r="K4" s="21"/>
    </row>
    <row r="5" spans="1:12" s="2" customFormat="1" ht="14.5" customHeight="1" x14ac:dyDescent="0.2">
      <c r="A5" s="261"/>
      <c r="B5" s="57" t="s">
        <v>27</v>
      </c>
      <c r="C5" s="64"/>
      <c r="D5" s="64"/>
      <c r="E5" s="64"/>
      <c r="F5" s="156">
        <v>0.01</v>
      </c>
      <c r="G5" s="6"/>
      <c r="I5" s="12"/>
      <c r="J5" s="21"/>
      <c r="K5" s="21"/>
    </row>
    <row r="6" spans="1:12" s="2" customFormat="1" ht="14.5" customHeight="1" x14ac:dyDescent="0.2">
      <c r="A6" s="261"/>
      <c r="B6" s="57" t="s">
        <v>32</v>
      </c>
      <c r="C6" s="57"/>
      <c r="D6" s="57"/>
      <c r="E6" s="57"/>
      <c r="F6" s="58" t="s">
        <v>31</v>
      </c>
      <c r="G6" s="6"/>
      <c r="I6" s="12"/>
      <c r="J6" s="21"/>
      <c r="K6" s="21"/>
    </row>
    <row r="7" spans="1:12" s="2" customFormat="1" ht="14.75" customHeight="1" x14ac:dyDescent="0.2">
      <c r="A7" s="261"/>
      <c r="B7" s="57" t="s">
        <v>35</v>
      </c>
      <c r="C7" s="57"/>
      <c r="D7" s="57"/>
      <c r="E7" s="57"/>
      <c r="F7" s="106">
        <v>2</v>
      </c>
      <c r="G7" s="13"/>
      <c r="I7" s="12"/>
      <c r="J7" s="21"/>
      <c r="K7" s="21"/>
    </row>
    <row r="8" spans="1:12" s="2" customFormat="1" ht="14.75" customHeight="1" thickBot="1" x14ac:dyDescent="0.25">
      <c r="A8" s="262"/>
      <c r="B8" s="59" t="s">
        <v>89</v>
      </c>
      <c r="C8" s="59"/>
      <c r="D8" s="59"/>
      <c r="E8" s="59"/>
      <c r="F8" s="115">
        <v>0.19</v>
      </c>
      <c r="G8" s="13"/>
      <c r="I8" s="12"/>
      <c r="J8" s="21"/>
      <c r="K8" s="21"/>
    </row>
    <row r="9" spans="1:12" s="2" customFormat="1" thickBot="1" x14ac:dyDescent="0.25">
      <c r="B9" s="12"/>
      <c r="C9" s="12"/>
      <c r="D9" s="12"/>
      <c r="E9" s="12"/>
      <c r="F9" s="13"/>
      <c r="G9" s="13"/>
      <c r="I9" s="12"/>
      <c r="J9" s="21"/>
      <c r="K9" s="21"/>
    </row>
    <row r="10" spans="1:12" x14ac:dyDescent="0.2">
      <c r="A10" s="257" t="s">
        <v>25</v>
      </c>
      <c r="B10" s="35" t="s">
        <v>20</v>
      </c>
      <c r="C10" s="35"/>
      <c r="D10" s="35"/>
      <c r="E10" s="35"/>
      <c r="F10" s="158">
        <v>10</v>
      </c>
      <c r="G10" s="1" t="s">
        <v>23</v>
      </c>
      <c r="H10" s="6"/>
      <c r="I10" s="12"/>
      <c r="J10" s="21"/>
      <c r="K10" s="21"/>
      <c r="L10" s="63"/>
    </row>
    <row r="11" spans="1:12" x14ac:dyDescent="0.2">
      <c r="A11" s="258"/>
      <c r="B11" s="37" t="s">
        <v>22</v>
      </c>
      <c r="C11" s="37"/>
      <c r="D11" s="37"/>
      <c r="E11" s="37"/>
      <c r="F11" s="40">
        <f>F10*F3</f>
        <v>1000</v>
      </c>
      <c r="G11" s="4"/>
      <c r="H11" s="6"/>
      <c r="I11" s="12"/>
      <c r="J11" s="21"/>
      <c r="K11" s="21"/>
      <c r="L11" s="63"/>
    </row>
    <row r="12" spans="1:12" x14ac:dyDescent="0.2">
      <c r="A12" s="258"/>
      <c r="B12" s="37" t="s">
        <v>39</v>
      </c>
      <c r="C12" s="37"/>
      <c r="D12" s="37"/>
      <c r="E12" s="37"/>
      <c r="F12" s="41">
        <v>2.5000000000000001E-2</v>
      </c>
      <c r="G12" s="1" t="s">
        <v>24</v>
      </c>
      <c r="H12" s="6"/>
      <c r="I12" s="12"/>
      <c r="J12" s="21"/>
      <c r="K12" s="21"/>
      <c r="L12" s="63"/>
    </row>
    <row r="13" spans="1:12" x14ac:dyDescent="0.2">
      <c r="A13" s="258"/>
      <c r="B13" s="37" t="s">
        <v>50</v>
      </c>
      <c r="C13" s="37"/>
      <c r="D13" s="37"/>
      <c r="E13" s="37"/>
      <c r="F13" s="41">
        <v>2.5000000000000001E-2</v>
      </c>
      <c r="G13" s="1" t="s">
        <v>82</v>
      </c>
      <c r="H13" s="6"/>
      <c r="I13" s="12"/>
      <c r="J13" s="21"/>
      <c r="K13" s="21"/>
      <c r="L13" s="63"/>
    </row>
    <row r="14" spans="1:12" ht="16" thickBot="1" x14ac:dyDescent="0.25">
      <c r="A14" s="259"/>
      <c r="B14" s="38" t="s">
        <v>44</v>
      </c>
      <c r="C14" s="38"/>
      <c r="D14" s="38"/>
      <c r="E14" s="38"/>
      <c r="F14" s="62">
        <f>F13</f>
        <v>2.5000000000000001E-2</v>
      </c>
      <c r="G14" s="1" t="s">
        <v>82</v>
      </c>
      <c r="H14" s="6"/>
      <c r="I14" s="12"/>
      <c r="J14" s="21"/>
      <c r="K14" s="21"/>
      <c r="L14" s="63"/>
    </row>
    <row r="15" spans="1:12" ht="21" customHeight="1" x14ac:dyDescent="0.2">
      <c r="A15" s="2" t="s">
        <v>3</v>
      </c>
      <c r="B15" s="2"/>
      <c r="C15" s="2"/>
      <c r="D15" s="2"/>
      <c r="E15" s="2"/>
      <c r="F15" s="2"/>
      <c r="G15" s="269" t="s">
        <v>124</v>
      </c>
      <c r="H15" s="6"/>
      <c r="I15" s="4"/>
      <c r="J15" s="3"/>
      <c r="K15" s="3"/>
      <c r="L15" s="63"/>
    </row>
    <row r="16" spans="1:12" ht="16" thickBot="1" x14ac:dyDescent="0.25">
      <c r="A16" s="4"/>
      <c r="B16" s="4"/>
      <c r="C16" s="4"/>
      <c r="D16" s="6"/>
      <c r="E16" s="6"/>
      <c r="F16" s="4"/>
      <c r="G16" s="4"/>
      <c r="H16" s="5"/>
      <c r="I16" s="4"/>
      <c r="J16" s="22"/>
      <c r="K16" s="22"/>
    </row>
    <row r="17" spans="1:26" s="30" customFormat="1" ht="90.25" customHeight="1" x14ac:dyDescent="0.2">
      <c r="A17" s="27" t="s">
        <v>29</v>
      </c>
      <c r="B17" s="254" t="s">
        <v>81</v>
      </c>
      <c r="C17" s="255"/>
      <c r="D17" s="27" t="s">
        <v>41</v>
      </c>
      <c r="E17" s="27" t="s">
        <v>83</v>
      </c>
      <c r="F17" s="27" t="s">
        <v>84</v>
      </c>
      <c r="G17" s="25" t="s">
        <v>75</v>
      </c>
      <c r="H17" s="25" t="s">
        <v>2</v>
      </c>
      <c r="I17" s="25" t="s">
        <v>16</v>
      </c>
      <c r="J17" s="90" t="s">
        <v>85</v>
      </c>
      <c r="K17" s="97" t="s">
        <v>100</v>
      </c>
      <c r="L17" s="117" t="s">
        <v>95</v>
      </c>
      <c r="M17" s="108" t="s">
        <v>87</v>
      </c>
      <c r="N17" s="101" t="s">
        <v>72</v>
      </c>
      <c r="O17" s="150" t="s">
        <v>88</v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s="4" customFormat="1" ht="14" x14ac:dyDescent="0.2">
      <c r="A18" s="5"/>
      <c r="B18" s="5" t="s">
        <v>17</v>
      </c>
      <c r="C18" s="8">
        <f>$F$11</f>
        <v>1000</v>
      </c>
      <c r="D18" s="8"/>
      <c r="F18" s="8"/>
      <c r="G18" s="8"/>
      <c r="H18" s="8"/>
      <c r="I18" s="8"/>
      <c r="J18" s="8"/>
      <c r="K18" s="98"/>
      <c r="L18" s="8"/>
      <c r="M18" s="8"/>
      <c r="N18" s="98"/>
      <c r="O18" s="151"/>
    </row>
    <row r="19" spans="1:26" s="4" customFormat="1" ht="14" x14ac:dyDescent="0.2">
      <c r="A19" s="5">
        <v>1</v>
      </c>
      <c r="B19" s="5" t="s">
        <v>4</v>
      </c>
      <c r="C19" s="8">
        <f>C18*(1+F4)</f>
        <v>1016.9999999999999</v>
      </c>
      <c r="D19" s="43">
        <f>F12</f>
        <v>2.5000000000000001E-2</v>
      </c>
      <c r="E19" s="148">
        <f>F4</f>
        <v>1.7000000000000001E-2</v>
      </c>
      <c r="F19" s="8">
        <f>C18*F4</f>
        <v>17</v>
      </c>
      <c r="G19" s="8">
        <f t="shared" ref="G19:G28" si="0">C19-$C$18</f>
        <v>16.999999999999886</v>
      </c>
      <c r="H19" s="8">
        <f t="shared" ref="H19:H27" si="1">IF($F$10*$F$7&lt;=G19,$F$10*$F$7,G19)</f>
        <v>16.999999999999886</v>
      </c>
      <c r="I19" s="8">
        <f t="shared" ref="I19:I27" si="2">IF(G19&gt;H19,(G19-H19)*$F$8,0)</f>
        <v>0</v>
      </c>
      <c r="J19" s="8">
        <f>G19-H19-I19</f>
        <v>0</v>
      </c>
      <c r="K19" s="99">
        <f>$F$11+J19</f>
        <v>1000</v>
      </c>
      <c r="L19" s="8">
        <f>C18*D19</f>
        <v>25</v>
      </c>
      <c r="M19" s="8">
        <f t="shared" ref="M19:M28" si="3">M18+L19</f>
        <v>25</v>
      </c>
      <c r="N19" s="124">
        <f>$F$11+M19</f>
        <v>1025</v>
      </c>
      <c r="O19" s="152">
        <f t="shared" ref="O19:O28" si="4">J19-M19</f>
        <v>-25</v>
      </c>
    </row>
    <row r="20" spans="1:26" s="4" customFormat="1" ht="14" x14ac:dyDescent="0.2">
      <c r="A20" s="5">
        <v>2</v>
      </c>
      <c r="B20" s="5" t="s">
        <v>5</v>
      </c>
      <c r="C20" s="8">
        <f>C19+F20</f>
        <v>1052.5949999999998</v>
      </c>
      <c r="D20" s="43">
        <f>$F$13</f>
        <v>2.5000000000000001E-2</v>
      </c>
      <c r="E20" s="148">
        <f t="shared" ref="E20:E28" si="5">MAX(D19,0)+$F$5</f>
        <v>3.5000000000000003E-2</v>
      </c>
      <c r="F20" s="8">
        <f t="shared" ref="F20:F28" si="6">IF(D19&gt;0,C19*($F$5+D19),C19*$F$5)</f>
        <v>35.594999999999999</v>
      </c>
      <c r="G20" s="8">
        <f t="shared" si="0"/>
        <v>52.5949999999998</v>
      </c>
      <c r="H20" s="8">
        <f t="shared" si="1"/>
        <v>20</v>
      </c>
      <c r="I20" s="8">
        <f>IF(G20&gt;H20,(G20-H20)*$F$8,0)</f>
        <v>6.1930499999999622</v>
      </c>
      <c r="J20" s="8">
        <f>G20-H20-I20</f>
        <v>26.401949999999836</v>
      </c>
      <c r="K20" s="99">
        <f t="shared" ref="K20:K28" si="7">$F$11+J20</f>
        <v>1026.4019499999999</v>
      </c>
      <c r="L20" s="8">
        <f>($C$18+M19)*D20</f>
        <v>25.625</v>
      </c>
      <c r="M20" s="8">
        <f t="shared" si="3"/>
        <v>50.625</v>
      </c>
      <c r="N20" s="124">
        <f t="shared" ref="N20:N28" si="8">$F$11+M20</f>
        <v>1050.625</v>
      </c>
      <c r="O20" s="152">
        <f t="shared" si="4"/>
        <v>-24.223050000000164</v>
      </c>
    </row>
    <row r="21" spans="1:26" s="4" customFormat="1" ht="14" x14ac:dyDescent="0.2">
      <c r="A21" s="5">
        <v>3</v>
      </c>
      <c r="B21" s="5" t="s">
        <v>6</v>
      </c>
      <c r="C21" s="8">
        <f t="shared" ref="C21:C28" si="9">C20*(1+(D20+$F$5))</f>
        <v>1089.4358249999998</v>
      </c>
      <c r="D21" s="43">
        <f t="shared" ref="D21:D27" si="10">$F$13</f>
        <v>2.5000000000000001E-2</v>
      </c>
      <c r="E21" s="148">
        <f t="shared" si="5"/>
        <v>3.5000000000000003E-2</v>
      </c>
      <c r="F21" s="8">
        <f t="shared" si="6"/>
        <v>36.840824999999995</v>
      </c>
      <c r="G21" s="8">
        <f t="shared" si="0"/>
        <v>89.435824999999795</v>
      </c>
      <c r="H21" s="8">
        <f t="shared" si="1"/>
        <v>20</v>
      </c>
      <c r="I21" s="8">
        <f t="shared" si="2"/>
        <v>13.192806749999962</v>
      </c>
      <c r="J21" s="8">
        <f t="shared" ref="J21:J28" si="11">G21-H21-I21</f>
        <v>56.243018249999835</v>
      </c>
      <c r="K21" s="99">
        <f t="shared" si="7"/>
        <v>1056.2430182499997</v>
      </c>
      <c r="L21" s="8">
        <f t="shared" ref="L21:L28" si="12">($C$18+M20)*D21</f>
        <v>26.265625</v>
      </c>
      <c r="M21" s="8">
        <f t="shared" si="3"/>
        <v>76.890625</v>
      </c>
      <c r="N21" s="124">
        <f t="shared" si="8"/>
        <v>1076.890625</v>
      </c>
      <c r="O21" s="152">
        <f t="shared" si="4"/>
        <v>-20.647606750000165</v>
      </c>
    </row>
    <row r="22" spans="1:26" s="4" customFormat="1" ht="14" x14ac:dyDescent="0.2">
      <c r="A22" s="5">
        <v>4</v>
      </c>
      <c r="B22" s="5" t="s">
        <v>7</v>
      </c>
      <c r="C22" s="8">
        <f t="shared" si="9"/>
        <v>1127.5660788749997</v>
      </c>
      <c r="D22" s="43">
        <f t="shared" si="10"/>
        <v>2.5000000000000001E-2</v>
      </c>
      <c r="E22" s="148">
        <f t="shared" si="5"/>
        <v>3.5000000000000003E-2</v>
      </c>
      <c r="F22" s="8">
        <f t="shared" si="6"/>
        <v>38.130253874999994</v>
      </c>
      <c r="G22" s="8">
        <f t="shared" si="0"/>
        <v>127.56607887499968</v>
      </c>
      <c r="H22" s="8">
        <f t="shared" si="1"/>
        <v>20</v>
      </c>
      <c r="I22" s="8">
        <f t="shared" si="2"/>
        <v>20.437554986249939</v>
      </c>
      <c r="J22" s="8">
        <f>G22-H22-I22</f>
        <v>87.12852388874974</v>
      </c>
      <c r="K22" s="99">
        <f t="shared" si="7"/>
        <v>1087.1285238887497</v>
      </c>
      <c r="L22" s="8">
        <f t="shared" si="12"/>
        <v>26.922265625000001</v>
      </c>
      <c r="M22" s="8">
        <f t="shared" si="3"/>
        <v>103.81289062499999</v>
      </c>
      <c r="N22" s="124">
        <f t="shared" si="8"/>
        <v>1103.8128906249999</v>
      </c>
      <c r="O22" s="152">
        <f t="shared" si="4"/>
        <v>-16.684366736250254</v>
      </c>
    </row>
    <row r="23" spans="1:26" s="4" customFormat="1" ht="14" x14ac:dyDescent="0.2">
      <c r="A23" s="5">
        <v>5</v>
      </c>
      <c r="B23" s="5" t="s">
        <v>8</v>
      </c>
      <c r="C23" s="8">
        <f t="shared" si="9"/>
        <v>1167.0308916356246</v>
      </c>
      <c r="D23" s="43">
        <f t="shared" si="10"/>
        <v>2.5000000000000001E-2</v>
      </c>
      <c r="E23" s="148">
        <f t="shared" si="5"/>
        <v>3.5000000000000003E-2</v>
      </c>
      <c r="F23" s="8">
        <f t="shared" si="6"/>
        <v>39.464812760624994</v>
      </c>
      <c r="G23" s="8">
        <f t="shared" si="0"/>
        <v>167.03089163562458</v>
      </c>
      <c r="H23" s="8">
        <f t="shared" si="1"/>
        <v>20</v>
      </c>
      <c r="I23" s="8">
        <f t="shared" si="2"/>
        <v>27.935869410768671</v>
      </c>
      <c r="J23" s="8">
        <f t="shared" si="11"/>
        <v>119.09502222485591</v>
      </c>
      <c r="K23" s="99">
        <f t="shared" si="7"/>
        <v>1119.0950222248559</v>
      </c>
      <c r="L23" s="8">
        <f t="shared" si="12"/>
        <v>27.595322265625001</v>
      </c>
      <c r="M23" s="8">
        <f t="shared" si="3"/>
        <v>131.40821289062501</v>
      </c>
      <c r="N23" s="124">
        <f t="shared" si="8"/>
        <v>1131.408212890625</v>
      </c>
      <c r="O23" s="152">
        <f t="shared" si="4"/>
        <v>-12.313190665769099</v>
      </c>
    </row>
    <row r="24" spans="1:26" s="4" customFormat="1" ht="14" x14ac:dyDescent="0.2">
      <c r="A24" s="5">
        <v>6</v>
      </c>
      <c r="B24" s="5" t="s">
        <v>9</v>
      </c>
      <c r="C24" s="8">
        <f t="shared" si="9"/>
        <v>1207.8769728428713</v>
      </c>
      <c r="D24" s="43">
        <f t="shared" si="10"/>
        <v>2.5000000000000001E-2</v>
      </c>
      <c r="E24" s="148">
        <f t="shared" si="5"/>
        <v>3.5000000000000003E-2</v>
      </c>
      <c r="F24" s="8">
        <f t="shared" si="6"/>
        <v>40.846081207246861</v>
      </c>
      <c r="G24" s="8">
        <f t="shared" si="0"/>
        <v>207.87697284287128</v>
      </c>
      <c r="H24" s="8">
        <f t="shared" si="1"/>
        <v>20</v>
      </c>
      <c r="I24" s="8">
        <f t="shared" si="2"/>
        <v>35.696624840145546</v>
      </c>
      <c r="J24" s="8">
        <f t="shared" si="11"/>
        <v>152.18034800272574</v>
      </c>
      <c r="K24" s="99">
        <f t="shared" si="7"/>
        <v>1152.1803480027256</v>
      </c>
      <c r="L24" s="8">
        <f t="shared" si="12"/>
        <v>28.285205322265625</v>
      </c>
      <c r="M24" s="8">
        <f t="shared" si="3"/>
        <v>159.69341821289063</v>
      </c>
      <c r="N24" s="124">
        <f t="shared" si="8"/>
        <v>1159.6934182128907</v>
      </c>
      <c r="O24" s="152">
        <f t="shared" si="4"/>
        <v>-7.5130702101648978</v>
      </c>
    </row>
    <row r="25" spans="1:26" s="4" customFormat="1" ht="14" x14ac:dyDescent="0.2">
      <c r="A25" s="5">
        <v>7</v>
      </c>
      <c r="B25" s="5" t="s">
        <v>10</v>
      </c>
      <c r="C25" s="8">
        <f t="shared" si="9"/>
        <v>1250.1526668923716</v>
      </c>
      <c r="D25" s="43">
        <f t="shared" si="10"/>
        <v>2.5000000000000001E-2</v>
      </c>
      <c r="E25" s="148">
        <f t="shared" si="5"/>
        <v>3.5000000000000003E-2</v>
      </c>
      <c r="F25" s="8">
        <f t="shared" si="6"/>
        <v>42.275694049500501</v>
      </c>
      <c r="G25" s="8">
        <f t="shared" si="0"/>
        <v>250.1526668923716</v>
      </c>
      <c r="H25" s="8">
        <f t="shared" si="1"/>
        <v>20</v>
      </c>
      <c r="I25" s="8">
        <f t="shared" si="2"/>
        <v>43.729006709550603</v>
      </c>
      <c r="J25" s="8">
        <f t="shared" si="11"/>
        <v>186.42366018282098</v>
      </c>
      <c r="K25" s="99">
        <f t="shared" si="7"/>
        <v>1186.4236601828211</v>
      </c>
      <c r="L25" s="8">
        <f t="shared" si="12"/>
        <v>28.992335455322269</v>
      </c>
      <c r="M25" s="8">
        <f t="shared" si="3"/>
        <v>188.6857536682129</v>
      </c>
      <c r="N25" s="124">
        <f t="shared" si="8"/>
        <v>1188.6857536682128</v>
      </c>
      <c r="O25" s="152">
        <f t="shared" si="4"/>
        <v>-2.2620934853919152</v>
      </c>
    </row>
    <row r="26" spans="1:26" s="4" customFormat="1" ht="14" x14ac:dyDescent="0.2">
      <c r="A26" s="5">
        <v>8</v>
      </c>
      <c r="B26" s="5" t="s">
        <v>11</v>
      </c>
      <c r="C26" s="8">
        <f t="shared" si="9"/>
        <v>1293.9080102336045</v>
      </c>
      <c r="D26" s="43">
        <f t="shared" si="10"/>
        <v>2.5000000000000001E-2</v>
      </c>
      <c r="E26" s="148">
        <f t="shared" si="5"/>
        <v>3.5000000000000003E-2</v>
      </c>
      <c r="F26" s="8">
        <f t="shared" si="6"/>
        <v>43.755343341233008</v>
      </c>
      <c r="G26" s="8">
        <f t="shared" si="0"/>
        <v>293.9080102336045</v>
      </c>
      <c r="H26" s="8">
        <f t="shared" si="1"/>
        <v>20</v>
      </c>
      <c r="I26" s="8">
        <f t="shared" si="2"/>
        <v>52.042521944384859</v>
      </c>
      <c r="J26" s="8">
        <f t="shared" si="11"/>
        <v>221.86548828921963</v>
      </c>
      <c r="K26" s="99">
        <f t="shared" si="7"/>
        <v>1221.8654882892197</v>
      </c>
      <c r="L26" s="8">
        <f t="shared" si="12"/>
        <v>29.717143841705322</v>
      </c>
      <c r="M26" s="8">
        <f t="shared" si="3"/>
        <v>218.4028975099182</v>
      </c>
      <c r="N26" s="124">
        <f t="shared" si="8"/>
        <v>1218.4028975099181</v>
      </c>
      <c r="O26" s="152">
        <f t="shared" si="4"/>
        <v>3.4625907793014221</v>
      </c>
    </row>
    <row r="27" spans="1:26" s="4" customFormat="1" thickBot="1" x14ac:dyDescent="0.25">
      <c r="A27" s="33">
        <v>9</v>
      </c>
      <c r="B27" s="5" t="s">
        <v>12</v>
      </c>
      <c r="C27" s="8">
        <f t="shared" si="9"/>
        <v>1339.1947905917805</v>
      </c>
      <c r="D27" s="43">
        <f t="shared" si="10"/>
        <v>2.5000000000000001E-2</v>
      </c>
      <c r="E27" s="148">
        <f t="shared" si="5"/>
        <v>3.5000000000000003E-2</v>
      </c>
      <c r="F27" s="8">
        <f t="shared" si="6"/>
        <v>45.286780358176159</v>
      </c>
      <c r="G27" s="8">
        <f t="shared" si="0"/>
        <v>339.19479059178047</v>
      </c>
      <c r="H27" s="8">
        <f t="shared" si="1"/>
        <v>20</v>
      </c>
      <c r="I27" s="8">
        <f t="shared" si="2"/>
        <v>60.647010212438289</v>
      </c>
      <c r="J27" s="8">
        <f t="shared" si="11"/>
        <v>258.54778037934216</v>
      </c>
      <c r="K27" s="118">
        <f t="shared" si="7"/>
        <v>1258.5477803793422</v>
      </c>
      <c r="L27" s="8">
        <f t="shared" si="12"/>
        <v>30.460072437747954</v>
      </c>
      <c r="M27" s="8">
        <f t="shared" si="3"/>
        <v>248.86296994766616</v>
      </c>
      <c r="N27" s="125">
        <f t="shared" si="8"/>
        <v>1248.8629699476662</v>
      </c>
      <c r="O27" s="152">
        <f t="shared" si="4"/>
        <v>9.6848104316759986</v>
      </c>
    </row>
    <row r="28" spans="1:26" s="2" customFormat="1" ht="25" customHeight="1" thickBot="1" x14ac:dyDescent="0.35">
      <c r="A28" s="32">
        <v>10</v>
      </c>
      <c r="B28" s="15" t="s">
        <v>13</v>
      </c>
      <c r="C28" s="15">
        <f t="shared" si="9"/>
        <v>1386.0666082624928</v>
      </c>
      <c r="D28" s="61">
        <f>F14</f>
        <v>2.5000000000000001E-2</v>
      </c>
      <c r="E28" s="149">
        <f t="shared" si="5"/>
        <v>3.5000000000000003E-2</v>
      </c>
      <c r="F28" s="15">
        <f t="shared" si="6"/>
        <v>46.871817670712318</v>
      </c>
      <c r="G28" s="15">
        <f t="shared" si="0"/>
        <v>386.06660826249276</v>
      </c>
      <c r="H28" s="16">
        <v>0</v>
      </c>
      <c r="I28" s="15">
        <f>IF(G28&gt;H28,(G28-H28)*$F$8,0)</f>
        <v>73.352655569873633</v>
      </c>
      <c r="J28" s="15">
        <f t="shared" si="11"/>
        <v>312.71395269261916</v>
      </c>
      <c r="K28" s="119">
        <f t="shared" si="7"/>
        <v>1312.7139526926192</v>
      </c>
      <c r="L28" s="15">
        <f t="shared" si="12"/>
        <v>31.221574248691656</v>
      </c>
      <c r="M28" s="15">
        <f t="shared" si="3"/>
        <v>280.0845441963578</v>
      </c>
      <c r="N28" s="126">
        <f t="shared" si="8"/>
        <v>1280.0845441963579</v>
      </c>
      <c r="O28" s="153">
        <f t="shared" si="4"/>
        <v>32.629408496261362</v>
      </c>
    </row>
    <row r="29" spans="1:26" s="4" customFormat="1" ht="14" x14ac:dyDescent="0.2">
      <c r="F29" s="6"/>
      <c r="G29" s="6"/>
      <c r="H29" s="6"/>
      <c r="I29" s="6"/>
      <c r="J29" s="8"/>
      <c r="K29" s="8"/>
    </row>
    <row r="30" spans="1:26" s="4" customFormat="1" ht="14" x14ac:dyDescent="0.2">
      <c r="A30" s="5"/>
      <c r="F30" s="6"/>
      <c r="G30" s="6"/>
      <c r="H30" s="53"/>
      <c r="I30" s="53"/>
      <c r="J30" s="24"/>
      <c r="K30" s="24"/>
    </row>
    <row r="31" spans="1:26" s="4" customFormat="1" ht="14" x14ac:dyDescent="0.2">
      <c r="F31" s="6"/>
      <c r="G31" s="6"/>
      <c r="H31" s="53"/>
      <c r="I31" s="53"/>
      <c r="J31" s="24"/>
      <c r="K31" s="24"/>
    </row>
    <row r="32" spans="1:26" s="4" customFormat="1" ht="14" x14ac:dyDescent="0.2">
      <c r="F32" s="6"/>
      <c r="G32" s="6"/>
      <c r="H32" s="6"/>
      <c r="I32" s="6"/>
      <c r="J32" s="24"/>
      <c r="K32" s="24"/>
    </row>
    <row r="33" spans="6:11" s="4" customFormat="1" ht="14" x14ac:dyDescent="0.2">
      <c r="F33" s="6"/>
      <c r="G33" s="6"/>
      <c r="H33" s="6"/>
      <c r="I33" s="6"/>
      <c r="J33" s="24"/>
      <c r="K33" s="24"/>
    </row>
    <row r="34" spans="6:11" s="4" customFormat="1" ht="14" x14ac:dyDescent="0.2">
      <c r="F34" s="6"/>
      <c r="G34" s="6"/>
      <c r="H34" s="52"/>
      <c r="I34" s="6"/>
      <c r="J34" s="24"/>
      <c r="K34" s="24"/>
    </row>
    <row r="35" spans="6:11" s="4" customFormat="1" ht="14" x14ac:dyDescent="0.2">
      <c r="F35" s="6"/>
      <c r="G35" s="6"/>
      <c r="H35" s="6"/>
      <c r="I35" s="6"/>
      <c r="J35" s="24"/>
      <c r="K35" s="24"/>
    </row>
    <row r="36" spans="6:11" s="4" customFormat="1" ht="14" x14ac:dyDescent="0.2">
      <c r="F36" s="6"/>
      <c r="G36" s="6"/>
      <c r="H36" s="6"/>
      <c r="I36" s="6"/>
      <c r="J36" s="24"/>
      <c r="K36" s="24"/>
    </row>
    <row r="37" spans="6:11" s="4" customFormat="1" ht="14" x14ac:dyDescent="0.2">
      <c r="F37" s="6"/>
      <c r="G37" s="6"/>
      <c r="H37" s="6"/>
      <c r="I37" s="6"/>
      <c r="J37" s="24"/>
      <c r="K37" s="24"/>
    </row>
    <row r="38" spans="6:11" s="4" customFormat="1" ht="14" x14ac:dyDescent="0.2">
      <c r="F38" s="6"/>
      <c r="G38" s="6"/>
      <c r="H38" s="6"/>
      <c r="I38" s="6"/>
      <c r="J38" s="24"/>
      <c r="K38" s="24"/>
    </row>
    <row r="39" spans="6:11" s="4" customFormat="1" ht="14" x14ac:dyDescent="0.2">
      <c r="F39" s="6"/>
      <c r="G39" s="6"/>
      <c r="H39" s="6"/>
      <c r="I39" s="6"/>
      <c r="J39" s="24"/>
      <c r="K39" s="24"/>
    </row>
    <row r="40" spans="6:11" s="4" customFormat="1" ht="14" x14ac:dyDescent="0.2">
      <c r="F40" s="6"/>
      <c r="G40" s="6"/>
      <c r="H40" s="6"/>
      <c r="I40" s="6"/>
      <c r="J40" s="24"/>
      <c r="K40" s="24"/>
    </row>
    <row r="41" spans="6:11" s="4" customFormat="1" ht="14" x14ac:dyDescent="0.2">
      <c r="F41" s="6"/>
      <c r="G41" s="6"/>
      <c r="H41" s="6"/>
      <c r="I41" s="6"/>
      <c r="J41" s="24"/>
      <c r="K41" s="24"/>
    </row>
    <row r="42" spans="6:11" s="4" customFormat="1" ht="14" x14ac:dyDescent="0.2">
      <c r="F42" s="6"/>
      <c r="G42" s="6"/>
      <c r="H42" s="6"/>
      <c r="I42" s="6"/>
      <c r="J42" s="24"/>
      <c r="K42" s="24"/>
    </row>
    <row r="43" spans="6:11" s="4" customFormat="1" ht="14" x14ac:dyDescent="0.2">
      <c r="F43" s="6"/>
      <c r="G43" s="6"/>
      <c r="H43" s="6"/>
      <c r="I43" s="6"/>
      <c r="J43" s="24"/>
      <c r="K43" s="24"/>
    </row>
    <row r="44" spans="6:11" s="4" customFormat="1" ht="14" x14ac:dyDescent="0.2">
      <c r="F44" s="6"/>
      <c r="G44" s="6"/>
      <c r="H44" s="6"/>
      <c r="I44" s="6"/>
      <c r="J44" s="24"/>
      <c r="K44" s="24"/>
    </row>
    <row r="45" spans="6:11" s="4" customFormat="1" ht="14" x14ac:dyDescent="0.2">
      <c r="F45" s="6"/>
      <c r="G45" s="6"/>
      <c r="H45" s="6"/>
      <c r="I45" s="6"/>
      <c r="J45" s="24"/>
      <c r="K45" s="24"/>
    </row>
    <row r="46" spans="6:11" s="4" customFormat="1" ht="14" x14ac:dyDescent="0.2">
      <c r="F46" s="6"/>
      <c r="G46" s="6"/>
      <c r="H46" s="6"/>
      <c r="I46" s="6"/>
      <c r="J46" s="24"/>
      <c r="K46" s="24"/>
    </row>
    <row r="47" spans="6:11" s="4" customFormat="1" ht="14" x14ac:dyDescent="0.2">
      <c r="F47" s="6"/>
      <c r="G47" s="6"/>
      <c r="H47" s="6"/>
      <c r="I47" s="6"/>
      <c r="J47" s="24"/>
      <c r="K47" s="24"/>
    </row>
    <row r="48" spans="6:11" s="4" customFormat="1" ht="14" x14ac:dyDescent="0.2">
      <c r="F48" s="6"/>
      <c r="G48" s="6"/>
      <c r="H48" s="6"/>
      <c r="I48" s="6"/>
      <c r="J48" s="24"/>
      <c r="K48" s="24"/>
    </row>
    <row r="49" spans="6:11" s="4" customFormat="1" ht="14" x14ac:dyDescent="0.2">
      <c r="F49" s="6"/>
      <c r="G49" s="6"/>
      <c r="H49" s="6"/>
      <c r="I49" s="6"/>
      <c r="J49" s="24"/>
      <c r="K49" s="24"/>
    </row>
    <row r="50" spans="6:11" s="4" customFormat="1" ht="14" x14ac:dyDescent="0.2">
      <c r="F50" s="6"/>
      <c r="G50" s="6"/>
      <c r="H50" s="6"/>
      <c r="I50" s="6"/>
      <c r="J50" s="24"/>
      <c r="K50" s="24"/>
    </row>
    <row r="51" spans="6:11" s="4" customFormat="1" ht="14" x14ac:dyDescent="0.2">
      <c r="F51" s="6"/>
      <c r="G51" s="6"/>
      <c r="H51" s="6"/>
      <c r="I51" s="6"/>
      <c r="J51" s="24"/>
      <c r="K51" s="24"/>
    </row>
    <row r="52" spans="6:11" s="4" customFormat="1" ht="14" x14ac:dyDescent="0.2">
      <c r="F52" s="6"/>
      <c r="G52" s="6"/>
      <c r="H52" s="6"/>
      <c r="I52" s="6"/>
      <c r="J52" s="24"/>
      <c r="K52" s="24"/>
    </row>
    <row r="53" spans="6:11" s="4" customFormat="1" ht="14" x14ac:dyDescent="0.2">
      <c r="F53" s="6"/>
      <c r="G53" s="6"/>
      <c r="H53" s="6"/>
      <c r="I53" s="6"/>
      <c r="J53" s="24"/>
      <c r="K53" s="24"/>
    </row>
    <row r="54" spans="6:11" s="4" customFormat="1" ht="14" x14ac:dyDescent="0.2">
      <c r="F54" s="6"/>
      <c r="G54" s="6"/>
      <c r="H54" s="6"/>
      <c r="I54" s="6"/>
      <c r="J54" s="24"/>
      <c r="K54" s="24"/>
    </row>
    <row r="55" spans="6:11" s="4" customFormat="1" ht="14" x14ac:dyDescent="0.2">
      <c r="F55" s="6"/>
      <c r="G55" s="6"/>
      <c r="H55" s="6"/>
      <c r="I55" s="6"/>
      <c r="J55" s="24"/>
      <c r="K55" s="24"/>
    </row>
    <row r="56" spans="6:11" s="4" customFormat="1" ht="14" x14ac:dyDescent="0.2">
      <c r="F56" s="6"/>
      <c r="G56" s="6"/>
      <c r="H56" s="6"/>
      <c r="I56" s="6"/>
      <c r="J56" s="24"/>
      <c r="K56" s="24"/>
    </row>
    <row r="57" spans="6:11" s="4" customFormat="1" ht="14" x14ac:dyDescent="0.2">
      <c r="F57" s="6"/>
      <c r="G57" s="6"/>
      <c r="H57" s="6"/>
      <c r="I57" s="6"/>
      <c r="J57" s="24"/>
      <c r="K57" s="24"/>
    </row>
    <row r="58" spans="6:11" s="4" customFormat="1" ht="14" x14ac:dyDescent="0.2">
      <c r="F58" s="6"/>
      <c r="G58" s="6"/>
      <c r="H58" s="6"/>
      <c r="I58" s="6"/>
      <c r="J58" s="24"/>
      <c r="K58" s="24"/>
    </row>
    <row r="59" spans="6:11" s="4" customFormat="1" ht="14" x14ac:dyDescent="0.2">
      <c r="F59" s="6"/>
      <c r="G59" s="6"/>
      <c r="H59" s="6"/>
      <c r="I59" s="6"/>
      <c r="J59" s="24"/>
      <c r="K59" s="24"/>
    </row>
    <row r="60" spans="6:11" s="4" customFormat="1" ht="14" x14ac:dyDescent="0.2">
      <c r="F60" s="6"/>
      <c r="G60" s="6"/>
      <c r="H60" s="6"/>
      <c r="I60" s="6"/>
      <c r="J60" s="24"/>
      <c r="K60" s="24"/>
    </row>
    <row r="61" spans="6:11" s="4" customFormat="1" ht="14" x14ac:dyDescent="0.2">
      <c r="F61" s="6"/>
      <c r="G61" s="6"/>
      <c r="H61" s="6"/>
      <c r="I61" s="6"/>
      <c r="J61" s="24"/>
      <c r="K61" s="24"/>
    </row>
    <row r="62" spans="6:11" s="4" customFormat="1" ht="14" x14ac:dyDescent="0.2">
      <c r="F62" s="6"/>
      <c r="G62" s="6"/>
      <c r="H62" s="6"/>
      <c r="I62" s="6"/>
      <c r="J62" s="24"/>
      <c r="K62" s="24"/>
    </row>
    <row r="63" spans="6:11" s="4" customFormat="1" ht="14" x14ac:dyDescent="0.2">
      <c r="F63" s="6"/>
      <c r="G63" s="6"/>
      <c r="H63" s="6"/>
      <c r="I63" s="6"/>
      <c r="J63" s="24"/>
      <c r="K63" s="24"/>
    </row>
    <row r="64" spans="6:11" s="4" customFormat="1" ht="14" x14ac:dyDescent="0.2">
      <c r="F64" s="6"/>
      <c r="G64" s="6"/>
      <c r="H64" s="6"/>
      <c r="I64" s="6"/>
      <c r="J64" s="24"/>
      <c r="K64" s="24"/>
    </row>
    <row r="65" spans="6:11" s="4" customFormat="1" ht="14" x14ac:dyDescent="0.2">
      <c r="F65" s="6"/>
      <c r="G65" s="6"/>
      <c r="H65" s="6"/>
      <c r="I65" s="6"/>
      <c r="J65" s="24"/>
      <c r="K65" s="24"/>
    </row>
    <row r="66" spans="6:11" s="4" customFormat="1" ht="14" x14ac:dyDescent="0.2">
      <c r="F66" s="6"/>
      <c r="G66" s="6"/>
      <c r="H66" s="6"/>
      <c r="I66" s="6"/>
      <c r="J66" s="24"/>
      <c r="K66" s="24"/>
    </row>
    <row r="67" spans="6:11" s="4" customFormat="1" ht="14" x14ac:dyDescent="0.2">
      <c r="F67" s="6"/>
      <c r="G67" s="6"/>
      <c r="H67" s="6"/>
      <c r="I67" s="6"/>
      <c r="J67" s="24"/>
      <c r="K67" s="24"/>
    </row>
    <row r="68" spans="6:11" s="4" customFormat="1" ht="14" x14ac:dyDescent="0.2">
      <c r="F68" s="6"/>
      <c r="G68" s="6"/>
      <c r="H68" s="6"/>
      <c r="I68" s="6"/>
      <c r="J68" s="24"/>
      <c r="K68" s="24"/>
    </row>
    <row r="69" spans="6:11" s="4" customFormat="1" ht="14" x14ac:dyDescent="0.2">
      <c r="F69" s="6"/>
      <c r="G69" s="6"/>
      <c r="H69" s="6"/>
      <c r="I69" s="6"/>
      <c r="J69" s="24"/>
      <c r="K69" s="24"/>
    </row>
    <row r="70" spans="6:11" s="4" customFormat="1" ht="14" x14ac:dyDescent="0.2">
      <c r="F70" s="6"/>
      <c r="G70" s="6"/>
      <c r="H70" s="6"/>
      <c r="I70" s="6"/>
      <c r="J70" s="24"/>
      <c r="K70" s="24"/>
    </row>
    <row r="71" spans="6:11" s="4" customFormat="1" ht="14" x14ac:dyDescent="0.2">
      <c r="F71" s="6"/>
      <c r="G71" s="6"/>
      <c r="H71" s="6"/>
      <c r="I71" s="6"/>
      <c r="J71" s="24"/>
      <c r="K71" s="24"/>
    </row>
    <row r="72" spans="6:11" s="4" customFormat="1" ht="14" x14ac:dyDescent="0.2">
      <c r="F72" s="6"/>
      <c r="G72" s="6"/>
      <c r="H72" s="6"/>
      <c r="I72" s="6"/>
      <c r="J72" s="24"/>
      <c r="K72" s="24"/>
    </row>
    <row r="73" spans="6:11" s="4" customFormat="1" ht="14" x14ac:dyDescent="0.2">
      <c r="F73" s="6"/>
      <c r="G73" s="6"/>
      <c r="H73" s="6"/>
      <c r="I73" s="6"/>
      <c r="J73" s="24"/>
      <c r="K73" s="24"/>
    </row>
    <row r="74" spans="6:11" s="4" customFormat="1" ht="14" x14ac:dyDescent="0.2">
      <c r="F74" s="6"/>
      <c r="G74" s="6"/>
      <c r="H74" s="6"/>
      <c r="I74" s="6"/>
      <c r="J74" s="24"/>
      <c r="K74" s="24"/>
    </row>
    <row r="75" spans="6:11" s="4" customFormat="1" ht="14" x14ac:dyDescent="0.2">
      <c r="F75" s="6"/>
      <c r="G75" s="6"/>
      <c r="H75" s="6"/>
      <c r="I75" s="6"/>
      <c r="J75" s="24"/>
      <c r="K75" s="24"/>
    </row>
    <row r="76" spans="6:11" s="4" customFormat="1" ht="14" x14ac:dyDescent="0.2">
      <c r="F76" s="6"/>
      <c r="G76" s="6"/>
      <c r="H76" s="6"/>
      <c r="I76" s="6"/>
      <c r="J76" s="24"/>
      <c r="K76" s="24"/>
    </row>
    <row r="77" spans="6:11" s="4" customFormat="1" ht="14" x14ac:dyDescent="0.2">
      <c r="F77" s="6"/>
      <c r="G77" s="6"/>
      <c r="H77" s="6"/>
      <c r="I77" s="6"/>
      <c r="J77" s="24"/>
      <c r="K77" s="24"/>
    </row>
    <row r="78" spans="6:11" s="4" customFormat="1" ht="14" x14ac:dyDescent="0.2">
      <c r="F78" s="6"/>
      <c r="G78" s="6"/>
      <c r="H78" s="6"/>
      <c r="I78" s="6"/>
      <c r="J78" s="24"/>
      <c r="K78" s="24"/>
    </row>
    <row r="79" spans="6:11" s="4" customFormat="1" ht="14" x14ac:dyDescent="0.2">
      <c r="F79" s="6"/>
      <c r="G79" s="6"/>
      <c r="H79" s="6"/>
      <c r="I79" s="6"/>
      <c r="J79" s="24"/>
      <c r="K79" s="24"/>
    </row>
    <row r="80" spans="6:11" s="4" customFormat="1" ht="14" x14ac:dyDescent="0.2">
      <c r="F80" s="6"/>
      <c r="G80" s="6"/>
      <c r="H80" s="6"/>
      <c r="I80" s="6"/>
      <c r="J80" s="24"/>
      <c r="K80" s="24"/>
    </row>
    <row r="81" spans="6:11" s="4" customFormat="1" ht="14" x14ac:dyDescent="0.2">
      <c r="F81" s="6"/>
      <c r="G81" s="6"/>
      <c r="H81" s="6"/>
      <c r="I81" s="6"/>
      <c r="J81" s="24"/>
      <c r="K81" s="24"/>
    </row>
    <row r="82" spans="6:11" s="4" customFormat="1" ht="14" x14ac:dyDescent="0.2">
      <c r="F82" s="6"/>
      <c r="G82" s="6"/>
      <c r="H82" s="6"/>
      <c r="I82" s="6"/>
      <c r="J82" s="24"/>
      <c r="K82" s="24"/>
    </row>
    <row r="83" spans="6:11" s="4" customFormat="1" ht="14" x14ac:dyDescent="0.2">
      <c r="F83" s="6"/>
      <c r="G83" s="6"/>
      <c r="H83" s="6"/>
      <c r="I83" s="6"/>
      <c r="J83" s="24"/>
      <c r="K83" s="24"/>
    </row>
    <row r="84" spans="6:11" s="4" customFormat="1" ht="14" x14ac:dyDescent="0.2">
      <c r="F84" s="6"/>
      <c r="G84" s="6"/>
      <c r="H84" s="6"/>
      <c r="I84" s="6"/>
      <c r="J84" s="24"/>
      <c r="K84" s="24"/>
    </row>
    <row r="85" spans="6:11" s="4" customFormat="1" ht="14" x14ac:dyDescent="0.2">
      <c r="F85" s="6"/>
      <c r="G85" s="6"/>
      <c r="H85" s="6"/>
      <c r="I85" s="6"/>
      <c r="J85" s="24"/>
      <c r="K85" s="24"/>
    </row>
    <row r="86" spans="6:11" s="4" customFormat="1" ht="14" x14ac:dyDescent="0.2">
      <c r="F86" s="6"/>
      <c r="G86" s="6"/>
      <c r="H86" s="6"/>
      <c r="I86" s="6"/>
      <c r="J86" s="24"/>
      <c r="K86" s="24"/>
    </row>
    <row r="87" spans="6:11" s="4" customFormat="1" ht="14" x14ac:dyDescent="0.2">
      <c r="F87" s="6"/>
      <c r="G87" s="6"/>
      <c r="H87" s="6"/>
      <c r="I87" s="6"/>
      <c r="J87" s="24"/>
      <c r="K87" s="24"/>
    </row>
    <row r="88" spans="6:11" s="4" customFormat="1" ht="14" x14ac:dyDescent="0.2">
      <c r="F88" s="6"/>
      <c r="G88" s="6"/>
      <c r="H88" s="6"/>
      <c r="I88" s="6"/>
      <c r="J88" s="24"/>
      <c r="K88" s="24"/>
    </row>
    <row r="89" spans="6:11" s="4" customFormat="1" ht="14" x14ac:dyDescent="0.2">
      <c r="F89" s="6"/>
      <c r="G89" s="6"/>
      <c r="H89" s="6"/>
      <c r="I89" s="6"/>
      <c r="J89" s="24"/>
      <c r="K89" s="24"/>
    </row>
    <row r="90" spans="6:11" s="4" customFormat="1" ht="14" x14ac:dyDescent="0.2">
      <c r="F90" s="6"/>
      <c r="G90" s="6"/>
      <c r="H90" s="6"/>
      <c r="I90" s="6"/>
      <c r="J90" s="24"/>
      <c r="K90" s="24"/>
    </row>
    <row r="91" spans="6:11" s="4" customFormat="1" ht="14" x14ac:dyDescent="0.2">
      <c r="F91" s="6"/>
      <c r="G91" s="6"/>
      <c r="H91" s="6"/>
      <c r="I91" s="6"/>
      <c r="J91" s="24"/>
      <c r="K91" s="24"/>
    </row>
    <row r="92" spans="6:11" s="4" customFormat="1" ht="14" x14ac:dyDescent="0.2">
      <c r="F92" s="6"/>
      <c r="G92" s="6"/>
      <c r="H92" s="6"/>
      <c r="I92" s="6"/>
      <c r="J92" s="24"/>
      <c r="K92" s="24"/>
    </row>
    <row r="93" spans="6:11" s="4" customFormat="1" ht="14" x14ac:dyDescent="0.2">
      <c r="F93" s="6"/>
      <c r="G93" s="6"/>
      <c r="H93" s="6"/>
      <c r="I93" s="6"/>
      <c r="J93" s="24"/>
      <c r="K93" s="24"/>
    </row>
    <row r="94" spans="6:11" s="4" customFormat="1" ht="14" x14ac:dyDescent="0.2">
      <c r="F94" s="6"/>
      <c r="G94" s="6"/>
      <c r="H94" s="6"/>
      <c r="I94" s="6"/>
      <c r="J94" s="24"/>
      <c r="K94" s="24"/>
    </row>
    <row r="95" spans="6:11" s="4" customFormat="1" ht="14" x14ac:dyDescent="0.2">
      <c r="F95" s="6"/>
      <c r="G95" s="6"/>
      <c r="H95" s="6"/>
      <c r="I95" s="6"/>
      <c r="J95" s="24"/>
      <c r="K95" s="24"/>
    </row>
    <row r="96" spans="6:11" s="4" customFormat="1" ht="14" x14ac:dyDescent="0.2">
      <c r="F96" s="6"/>
      <c r="G96" s="6"/>
      <c r="H96" s="6"/>
      <c r="I96" s="6"/>
      <c r="J96" s="24"/>
      <c r="K96" s="24"/>
    </row>
    <row r="97" spans="6:11" s="4" customFormat="1" ht="14" x14ac:dyDescent="0.2">
      <c r="F97" s="6"/>
      <c r="G97" s="6"/>
      <c r="H97" s="6"/>
      <c r="I97" s="6"/>
      <c r="J97" s="24"/>
      <c r="K97" s="24"/>
    </row>
    <row r="98" spans="6:11" s="4" customFormat="1" ht="14" x14ac:dyDescent="0.2">
      <c r="F98" s="6"/>
      <c r="G98" s="6"/>
      <c r="H98" s="6"/>
      <c r="I98" s="6"/>
      <c r="J98" s="24"/>
      <c r="K98" s="24"/>
    </row>
    <row r="99" spans="6:11" s="4" customFormat="1" ht="14" x14ac:dyDescent="0.2">
      <c r="F99" s="6"/>
      <c r="G99" s="6"/>
      <c r="H99" s="6"/>
      <c r="I99" s="6"/>
      <c r="J99" s="24"/>
      <c r="K99" s="24"/>
    </row>
    <row r="100" spans="6:11" s="4" customFormat="1" ht="14" x14ac:dyDescent="0.2">
      <c r="F100" s="6"/>
      <c r="G100" s="6"/>
      <c r="H100" s="6"/>
      <c r="I100" s="6"/>
      <c r="J100" s="24"/>
      <c r="K100" s="24"/>
    </row>
    <row r="101" spans="6:11" s="4" customFormat="1" ht="14" x14ac:dyDescent="0.2">
      <c r="F101" s="6"/>
      <c r="G101" s="6"/>
      <c r="H101" s="6"/>
      <c r="I101" s="6"/>
      <c r="J101" s="24"/>
      <c r="K101" s="24"/>
    </row>
    <row r="102" spans="6:11" s="4" customFormat="1" ht="14" x14ac:dyDescent="0.2">
      <c r="F102" s="6"/>
      <c r="G102" s="6"/>
      <c r="H102" s="6"/>
      <c r="I102" s="6"/>
      <c r="J102" s="24"/>
      <c r="K102" s="24"/>
    </row>
    <row r="103" spans="6:11" s="4" customFormat="1" ht="14" x14ac:dyDescent="0.2">
      <c r="F103" s="6"/>
      <c r="G103" s="6"/>
      <c r="H103" s="6"/>
      <c r="I103" s="6"/>
      <c r="J103" s="24"/>
      <c r="K103" s="24"/>
    </row>
    <row r="104" spans="6:11" s="4" customFormat="1" ht="14" x14ac:dyDescent="0.2">
      <c r="F104" s="6"/>
      <c r="G104" s="6"/>
      <c r="H104" s="6"/>
      <c r="I104" s="6"/>
      <c r="J104" s="24"/>
      <c r="K104" s="24"/>
    </row>
    <row r="105" spans="6:11" s="4" customFormat="1" ht="14" x14ac:dyDescent="0.2">
      <c r="F105" s="6"/>
      <c r="G105" s="6"/>
      <c r="H105" s="6"/>
      <c r="I105" s="6"/>
      <c r="J105" s="24"/>
      <c r="K105" s="24"/>
    </row>
    <row r="106" spans="6:11" s="4" customFormat="1" ht="14" x14ac:dyDescent="0.2">
      <c r="F106" s="6"/>
      <c r="G106" s="6"/>
      <c r="H106" s="6"/>
      <c r="I106" s="6"/>
      <c r="J106" s="24"/>
      <c r="K106" s="24"/>
    </row>
    <row r="107" spans="6:11" s="4" customFormat="1" ht="14" x14ac:dyDescent="0.2">
      <c r="F107" s="6"/>
      <c r="G107" s="6"/>
      <c r="H107" s="6"/>
      <c r="I107" s="6"/>
      <c r="J107" s="24"/>
      <c r="K107" s="24"/>
    </row>
    <row r="108" spans="6:11" s="4" customFormat="1" ht="14" x14ac:dyDescent="0.2">
      <c r="F108" s="6"/>
      <c r="G108" s="6"/>
      <c r="H108" s="6"/>
      <c r="I108" s="6"/>
      <c r="J108" s="24"/>
      <c r="K108" s="24"/>
    </row>
    <row r="109" spans="6:11" s="4" customFormat="1" ht="14" x14ac:dyDescent="0.2">
      <c r="F109" s="6"/>
      <c r="G109" s="6"/>
      <c r="H109" s="6"/>
      <c r="I109" s="6"/>
      <c r="J109" s="24"/>
      <c r="K109" s="24"/>
    </row>
    <row r="110" spans="6:11" s="4" customFormat="1" ht="14" x14ac:dyDescent="0.2">
      <c r="F110" s="6"/>
      <c r="G110" s="6"/>
      <c r="H110" s="6"/>
      <c r="I110" s="6"/>
      <c r="J110" s="24"/>
      <c r="K110" s="24"/>
    </row>
    <row r="111" spans="6:11" s="4" customFormat="1" ht="14" x14ac:dyDescent="0.2">
      <c r="F111" s="6"/>
      <c r="G111" s="6"/>
      <c r="H111" s="6"/>
      <c r="I111" s="6"/>
      <c r="J111" s="24"/>
      <c r="K111" s="24"/>
    </row>
    <row r="112" spans="6:11" s="4" customFormat="1" ht="14" x14ac:dyDescent="0.2">
      <c r="F112" s="6"/>
      <c r="G112" s="6"/>
      <c r="H112" s="6"/>
      <c r="I112" s="6"/>
      <c r="J112" s="24"/>
      <c r="K112" s="24"/>
    </row>
    <row r="113" spans="6:11" s="4" customFormat="1" ht="14" x14ac:dyDescent="0.2">
      <c r="F113" s="6"/>
      <c r="G113" s="6"/>
      <c r="H113" s="6"/>
      <c r="I113" s="6"/>
      <c r="J113" s="24"/>
      <c r="K113" s="24"/>
    </row>
    <row r="114" spans="6:11" s="4" customFormat="1" ht="14" x14ac:dyDescent="0.2">
      <c r="F114" s="6"/>
      <c r="G114" s="6"/>
      <c r="H114" s="6"/>
      <c r="I114" s="6"/>
      <c r="J114" s="24"/>
      <c r="K114" s="24"/>
    </row>
    <row r="115" spans="6:11" s="4" customFormat="1" ht="14" x14ac:dyDescent="0.2">
      <c r="F115" s="6"/>
      <c r="G115" s="6"/>
      <c r="H115" s="6"/>
      <c r="I115" s="6"/>
      <c r="J115" s="24"/>
      <c r="K115" s="24"/>
    </row>
    <row r="116" spans="6:11" s="4" customFormat="1" ht="14" x14ac:dyDescent="0.2">
      <c r="F116" s="6"/>
      <c r="G116" s="6"/>
      <c r="H116" s="6"/>
      <c r="I116" s="6"/>
      <c r="J116" s="24"/>
      <c r="K116" s="24"/>
    </row>
    <row r="117" spans="6:11" s="4" customFormat="1" ht="14" x14ac:dyDescent="0.2">
      <c r="F117" s="6"/>
      <c r="G117" s="6"/>
      <c r="H117" s="6"/>
      <c r="I117" s="6"/>
      <c r="J117" s="24"/>
      <c r="K117" s="24"/>
    </row>
    <row r="118" spans="6:11" s="4" customFormat="1" ht="14" x14ac:dyDescent="0.2">
      <c r="F118" s="6"/>
      <c r="G118" s="6"/>
      <c r="H118" s="6"/>
      <c r="I118" s="6"/>
      <c r="J118" s="24"/>
      <c r="K118" s="24"/>
    </row>
    <row r="119" spans="6:11" s="4" customFormat="1" ht="14" x14ac:dyDescent="0.2">
      <c r="F119" s="6"/>
      <c r="G119" s="6"/>
      <c r="H119" s="6"/>
      <c r="I119" s="6"/>
      <c r="J119" s="24"/>
      <c r="K119" s="24"/>
    </row>
    <row r="120" spans="6:11" s="4" customFormat="1" ht="14" x14ac:dyDescent="0.2">
      <c r="F120" s="6"/>
      <c r="G120" s="6"/>
      <c r="H120" s="6"/>
      <c r="I120" s="6"/>
      <c r="J120" s="24"/>
      <c r="K120" s="24"/>
    </row>
    <row r="121" spans="6:11" s="4" customFormat="1" ht="14" x14ac:dyDescent="0.2">
      <c r="F121" s="6"/>
      <c r="G121" s="6"/>
      <c r="H121" s="6"/>
      <c r="I121" s="6"/>
      <c r="J121" s="24"/>
      <c r="K121" s="24"/>
    </row>
    <row r="122" spans="6:11" s="4" customFormat="1" ht="14" x14ac:dyDescent="0.2">
      <c r="F122" s="6"/>
      <c r="G122" s="6"/>
      <c r="H122" s="6"/>
      <c r="I122" s="6"/>
      <c r="J122" s="24"/>
      <c r="K122" s="24"/>
    </row>
    <row r="123" spans="6:11" s="4" customFormat="1" ht="14" x14ac:dyDescent="0.2">
      <c r="F123" s="6"/>
      <c r="G123" s="6"/>
      <c r="H123" s="6"/>
      <c r="I123" s="6"/>
      <c r="J123" s="24"/>
      <c r="K123" s="24"/>
    </row>
    <row r="124" spans="6:11" s="4" customFormat="1" ht="14" x14ac:dyDescent="0.2">
      <c r="F124" s="6"/>
      <c r="G124" s="6"/>
      <c r="H124" s="6"/>
      <c r="I124" s="6"/>
      <c r="J124" s="24"/>
      <c r="K124" s="24"/>
    </row>
    <row r="125" spans="6:11" s="4" customFormat="1" ht="14" x14ac:dyDescent="0.2">
      <c r="F125" s="6"/>
      <c r="G125" s="6"/>
      <c r="H125" s="6"/>
      <c r="I125" s="6"/>
      <c r="J125" s="24"/>
      <c r="K125" s="24"/>
    </row>
    <row r="126" spans="6:11" s="4" customFormat="1" ht="14" x14ac:dyDescent="0.2">
      <c r="F126" s="6"/>
      <c r="G126" s="6"/>
      <c r="H126" s="6"/>
      <c r="I126" s="6"/>
      <c r="J126" s="24"/>
      <c r="K126" s="24"/>
    </row>
    <row r="127" spans="6:11" s="4" customFormat="1" ht="14" x14ac:dyDescent="0.2">
      <c r="F127" s="6"/>
      <c r="G127" s="6"/>
      <c r="H127" s="6"/>
      <c r="I127" s="6"/>
      <c r="J127" s="24"/>
      <c r="K127" s="24"/>
    </row>
    <row r="128" spans="6:11" s="4" customFormat="1" ht="14" x14ac:dyDescent="0.2">
      <c r="F128" s="6"/>
      <c r="G128" s="6"/>
      <c r="H128" s="6"/>
      <c r="I128" s="6"/>
      <c r="J128" s="24"/>
      <c r="K128" s="24"/>
    </row>
    <row r="129" spans="6:11" s="4" customFormat="1" ht="14" x14ac:dyDescent="0.2">
      <c r="F129" s="6"/>
      <c r="G129" s="6"/>
      <c r="H129" s="6"/>
      <c r="I129" s="6"/>
      <c r="J129" s="24"/>
      <c r="K129" s="24"/>
    </row>
    <row r="130" spans="6:11" s="4" customFormat="1" ht="14" x14ac:dyDescent="0.2">
      <c r="F130" s="6"/>
      <c r="G130" s="6"/>
      <c r="H130" s="6"/>
      <c r="I130" s="6"/>
      <c r="J130" s="24"/>
      <c r="K130" s="24"/>
    </row>
    <row r="131" spans="6:11" s="4" customFormat="1" ht="14" x14ac:dyDescent="0.2">
      <c r="F131" s="6"/>
      <c r="G131" s="6"/>
      <c r="H131" s="6"/>
      <c r="I131" s="6"/>
      <c r="J131" s="24"/>
      <c r="K131" s="24"/>
    </row>
    <row r="132" spans="6:11" s="4" customFormat="1" ht="14" x14ac:dyDescent="0.2">
      <c r="F132" s="6"/>
      <c r="G132" s="6"/>
      <c r="H132" s="6"/>
      <c r="I132" s="6"/>
      <c r="J132" s="24"/>
      <c r="K132" s="24"/>
    </row>
    <row r="133" spans="6:11" s="4" customFormat="1" ht="14" x14ac:dyDescent="0.2">
      <c r="F133" s="6"/>
      <c r="G133" s="6"/>
      <c r="H133" s="6"/>
      <c r="I133" s="6"/>
      <c r="J133" s="24"/>
      <c r="K133" s="24"/>
    </row>
    <row r="134" spans="6:11" s="4" customFormat="1" ht="14" x14ac:dyDescent="0.2">
      <c r="F134" s="6"/>
      <c r="G134" s="6"/>
      <c r="H134" s="6"/>
      <c r="I134" s="6"/>
      <c r="J134" s="24"/>
      <c r="K134" s="24"/>
    </row>
    <row r="135" spans="6:11" s="4" customFormat="1" ht="14" x14ac:dyDescent="0.2">
      <c r="F135" s="6"/>
      <c r="G135" s="6"/>
      <c r="H135" s="6"/>
      <c r="I135" s="6"/>
      <c r="J135" s="24"/>
      <c r="K135" s="24"/>
    </row>
    <row r="136" spans="6:11" s="4" customFormat="1" ht="14" x14ac:dyDescent="0.2">
      <c r="F136" s="6"/>
      <c r="G136" s="6"/>
      <c r="H136" s="6"/>
      <c r="I136" s="6"/>
      <c r="J136" s="24"/>
      <c r="K136" s="24"/>
    </row>
    <row r="137" spans="6:11" s="4" customFormat="1" ht="14" x14ac:dyDescent="0.2">
      <c r="F137" s="6"/>
      <c r="G137" s="6"/>
      <c r="H137" s="6"/>
      <c r="I137" s="6"/>
      <c r="J137" s="24"/>
      <c r="K137" s="24"/>
    </row>
    <row r="138" spans="6:11" s="4" customFormat="1" ht="14" x14ac:dyDescent="0.2">
      <c r="F138" s="6"/>
      <c r="G138" s="6"/>
      <c r="H138" s="6"/>
      <c r="I138" s="6"/>
      <c r="J138" s="24"/>
      <c r="K138" s="24"/>
    </row>
    <row r="139" spans="6:11" s="4" customFormat="1" ht="14" x14ac:dyDescent="0.2">
      <c r="F139" s="6"/>
      <c r="G139" s="6"/>
      <c r="H139" s="6"/>
      <c r="I139" s="6"/>
      <c r="J139" s="24"/>
      <c r="K139" s="24"/>
    </row>
    <row r="140" spans="6:11" s="4" customFormat="1" ht="14" x14ac:dyDescent="0.2">
      <c r="F140" s="6"/>
      <c r="G140" s="6"/>
      <c r="H140" s="6"/>
      <c r="I140" s="6"/>
      <c r="J140" s="24"/>
      <c r="K140" s="24"/>
    </row>
    <row r="141" spans="6:11" s="4" customFormat="1" ht="14" x14ac:dyDescent="0.2">
      <c r="F141" s="6"/>
      <c r="G141" s="6"/>
      <c r="H141" s="6"/>
      <c r="I141" s="6"/>
      <c r="J141" s="24"/>
      <c r="K141" s="24"/>
    </row>
    <row r="142" spans="6:11" s="4" customFormat="1" ht="14" x14ac:dyDescent="0.2">
      <c r="F142" s="6"/>
      <c r="G142" s="6"/>
      <c r="H142" s="6"/>
      <c r="I142" s="6"/>
      <c r="J142" s="24"/>
      <c r="K142" s="24"/>
    </row>
    <row r="143" spans="6:11" s="4" customFormat="1" ht="14" x14ac:dyDescent="0.2">
      <c r="F143" s="6"/>
      <c r="G143" s="6"/>
      <c r="H143" s="6"/>
      <c r="I143" s="6"/>
      <c r="J143" s="24"/>
      <c r="K143" s="24"/>
    </row>
    <row r="144" spans="6:11" s="4" customFormat="1" ht="14" x14ac:dyDescent="0.2">
      <c r="F144" s="6"/>
      <c r="G144" s="6"/>
      <c r="H144" s="6"/>
      <c r="I144" s="6"/>
      <c r="J144" s="24"/>
      <c r="K144" s="24"/>
    </row>
    <row r="145" spans="6:11" s="4" customFormat="1" ht="14" x14ac:dyDescent="0.2">
      <c r="F145" s="6"/>
      <c r="G145" s="6"/>
      <c r="H145" s="6"/>
      <c r="I145" s="6"/>
      <c r="J145" s="24"/>
      <c r="K145" s="24"/>
    </row>
    <row r="146" spans="6:11" s="4" customFormat="1" ht="14" x14ac:dyDescent="0.2">
      <c r="F146" s="6"/>
      <c r="G146" s="6"/>
      <c r="H146" s="6"/>
      <c r="I146" s="6"/>
      <c r="J146" s="24"/>
      <c r="K146" s="24"/>
    </row>
    <row r="147" spans="6:11" s="4" customFormat="1" ht="14" x14ac:dyDescent="0.2">
      <c r="F147" s="6"/>
      <c r="G147" s="6"/>
      <c r="H147" s="6"/>
      <c r="I147" s="6"/>
      <c r="J147" s="24"/>
      <c r="K147" s="24"/>
    </row>
    <row r="148" spans="6:11" s="4" customFormat="1" ht="14" x14ac:dyDescent="0.2">
      <c r="F148" s="6"/>
      <c r="G148" s="6"/>
      <c r="H148" s="6"/>
      <c r="I148" s="6"/>
      <c r="J148" s="24"/>
      <c r="K148" s="24"/>
    </row>
    <row r="149" spans="6:11" s="4" customFormat="1" ht="14" x14ac:dyDescent="0.2">
      <c r="F149" s="6"/>
      <c r="G149" s="6"/>
      <c r="H149" s="6"/>
      <c r="I149" s="6"/>
      <c r="J149" s="24"/>
      <c r="K149" s="24"/>
    </row>
    <row r="150" spans="6:11" s="4" customFormat="1" ht="14" x14ac:dyDescent="0.2">
      <c r="F150" s="6"/>
      <c r="G150" s="6"/>
      <c r="H150" s="6"/>
      <c r="I150" s="6"/>
      <c r="J150" s="24"/>
      <c r="K150" s="24"/>
    </row>
    <row r="151" spans="6:11" s="4" customFormat="1" ht="14" x14ac:dyDescent="0.2">
      <c r="F151" s="6"/>
      <c r="G151" s="6"/>
      <c r="H151" s="6"/>
      <c r="I151" s="6"/>
      <c r="J151" s="24"/>
      <c r="K151" s="24"/>
    </row>
    <row r="152" spans="6:11" s="4" customFormat="1" ht="14" x14ac:dyDescent="0.2">
      <c r="F152" s="6"/>
      <c r="G152" s="6"/>
      <c r="H152" s="6"/>
      <c r="I152" s="6"/>
      <c r="J152" s="24"/>
      <c r="K152" s="24"/>
    </row>
    <row r="153" spans="6:11" s="4" customFormat="1" ht="14" x14ac:dyDescent="0.2">
      <c r="F153" s="6"/>
      <c r="G153" s="6"/>
      <c r="H153" s="6"/>
      <c r="I153" s="6"/>
      <c r="J153" s="24"/>
      <c r="K153" s="24"/>
    </row>
    <row r="154" spans="6:11" s="4" customFormat="1" ht="14" x14ac:dyDescent="0.2">
      <c r="F154" s="6"/>
      <c r="G154" s="6"/>
      <c r="H154" s="6"/>
      <c r="I154" s="6"/>
      <c r="J154" s="24"/>
      <c r="K154" s="24"/>
    </row>
    <row r="155" spans="6:11" s="4" customFormat="1" ht="14" x14ac:dyDescent="0.2">
      <c r="F155" s="6"/>
      <c r="G155" s="6"/>
      <c r="H155" s="6"/>
      <c r="I155" s="6"/>
      <c r="J155" s="24"/>
      <c r="K155" s="24"/>
    </row>
    <row r="156" spans="6:11" s="4" customFormat="1" ht="14" x14ac:dyDescent="0.2">
      <c r="F156" s="6"/>
      <c r="G156" s="6"/>
      <c r="H156" s="6"/>
      <c r="I156" s="6"/>
      <c r="J156" s="24"/>
      <c r="K156" s="24"/>
    </row>
    <row r="157" spans="6:11" s="4" customFormat="1" ht="14" x14ac:dyDescent="0.2">
      <c r="F157" s="6"/>
      <c r="G157" s="6"/>
      <c r="H157" s="6"/>
      <c r="I157" s="6"/>
      <c r="J157" s="24"/>
      <c r="K157" s="24"/>
    </row>
    <row r="158" spans="6:11" s="4" customFormat="1" ht="14" x14ac:dyDescent="0.2">
      <c r="F158" s="6"/>
      <c r="G158" s="6"/>
      <c r="H158" s="6"/>
      <c r="I158" s="6"/>
      <c r="J158" s="24"/>
      <c r="K158" s="24"/>
    </row>
    <row r="159" spans="6:11" s="4" customFormat="1" ht="14" x14ac:dyDescent="0.2">
      <c r="F159" s="6"/>
      <c r="G159" s="6"/>
      <c r="H159" s="6"/>
      <c r="I159" s="6"/>
      <c r="J159" s="24"/>
      <c r="K159" s="24"/>
    </row>
    <row r="160" spans="6:11" s="4" customFormat="1" ht="14" x14ac:dyDescent="0.2">
      <c r="F160" s="6"/>
      <c r="G160" s="6"/>
      <c r="H160" s="6"/>
      <c r="I160" s="6"/>
      <c r="J160" s="24"/>
      <c r="K160" s="24"/>
    </row>
    <row r="161" spans="6:11" s="4" customFormat="1" ht="14" x14ac:dyDescent="0.2">
      <c r="F161" s="6"/>
      <c r="G161" s="6"/>
      <c r="H161" s="6"/>
      <c r="I161" s="6"/>
      <c r="J161" s="24"/>
      <c r="K161" s="24"/>
    </row>
    <row r="162" spans="6:11" s="4" customFormat="1" ht="14" x14ac:dyDescent="0.2">
      <c r="F162" s="6"/>
      <c r="G162" s="6"/>
      <c r="H162" s="6"/>
      <c r="I162" s="6"/>
      <c r="J162" s="24"/>
      <c r="K162" s="24"/>
    </row>
  </sheetData>
  <mergeCells count="3">
    <mergeCell ref="A10:A14"/>
    <mergeCell ref="B17:C17"/>
    <mergeCell ref="A3:A8"/>
  </mergeCells>
  <conditionalFormatting sqref="O19:O26">
    <cfRule type="cellIs" dxfId="15" priority="7" operator="lessThan">
      <formula>0</formula>
    </cfRule>
    <cfRule type="cellIs" dxfId="14" priority="8" operator="greaterThan">
      <formula>0</formula>
    </cfRule>
  </conditionalFormatting>
  <conditionalFormatting sqref="O27">
    <cfRule type="cellIs" dxfId="13" priority="3" operator="lessThan">
      <formula>0</formula>
    </cfRule>
    <cfRule type="cellIs" dxfId="12" priority="4" operator="greaterThan">
      <formula>0</formula>
    </cfRule>
  </conditionalFormatting>
  <conditionalFormatting sqref="O28">
    <cfRule type="cellIs" dxfId="11" priority="1" operator="lessThan">
      <formula>0</formula>
    </cfRule>
    <cfRule type="cellIs" dxfId="10" priority="2" operator="greaterThan">
      <formula>0</formula>
    </cfRule>
  </conditionalFormatting>
  <hyperlinks>
    <hyperlink ref="G15" r:id="rId1" xr:uid="{8B026092-67AF-EE4F-A20B-65AAA71E60F0}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Y162"/>
  <sheetViews>
    <sheetView zoomScale="120" zoomScaleNormal="120" workbookViewId="0">
      <selection activeCell="V18" sqref="V18"/>
    </sheetView>
  </sheetViews>
  <sheetFormatPr baseColWidth="10" defaultColWidth="8.83203125" defaultRowHeight="15" x14ac:dyDescent="0.2"/>
  <cols>
    <col min="1" max="1" width="6.83203125" style="5" customWidth="1"/>
    <col min="2" max="2" width="8.1640625" style="5" customWidth="1"/>
    <col min="3" max="3" width="11.5" style="5" customWidth="1"/>
    <col min="4" max="4" width="9.6640625" style="5" customWidth="1"/>
    <col min="5" max="5" width="8.5" style="10" customWidth="1"/>
    <col min="6" max="6" width="9.83203125" style="10" customWidth="1"/>
    <col min="7" max="7" width="9.5" style="10" customWidth="1"/>
    <col min="8" max="8" width="10.1640625" style="10" customWidth="1"/>
    <col min="9" max="9" width="7.5" style="10" customWidth="1"/>
    <col min="10" max="11" width="12.1640625" style="24" customWidth="1"/>
    <col min="12" max="12" width="10.83203125" style="4" customWidth="1"/>
    <col min="13" max="13" width="10.1640625" style="4" customWidth="1"/>
    <col min="15" max="15" width="13.5" style="4" customWidth="1"/>
    <col min="16" max="25" width="8.83203125" style="4"/>
    <col min="26" max="16384" width="8.83203125" style="5"/>
  </cols>
  <sheetData>
    <row r="1" spans="1:14" s="79" customFormat="1" ht="22" customHeight="1" x14ac:dyDescent="0.25">
      <c r="A1" s="256" t="s">
        <v>104</v>
      </c>
      <c r="B1" s="256"/>
      <c r="C1" s="256"/>
      <c r="D1" s="256"/>
      <c r="E1" s="256"/>
      <c r="F1" s="256"/>
      <c r="G1" s="256"/>
      <c r="H1" s="256"/>
      <c r="I1" s="113"/>
      <c r="J1" s="78"/>
      <c r="K1" s="78"/>
    </row>
    <row r="2" spans="1:14" s="2" customFormat="1" thickBot="1" x14ac:dyDescent="0.25">
      <c r="C2" s="11"/>
      <c r="D2" s="11"/>
      <c r="E2" s="11"/>
      <c r="F2" s="11"/>
      <c r="G2" s="11"/>
      <c r="H2" s="11"/>
      <c r="I2" s="11"/>
      <c r="J2" s="20"/>
      <c r="K2" s="20"/>
    </row>
    <row r="3" spans="1:14" s="2" customFormat="1" ht="13" customHeight="1" x14ac:dyDescent="0.2">
      <c r="A3" s="260" t="s">
        <v>45</v>
      </c>
      <c r="B3" s="35" t="s">
        <v>21</v>
      </c>
      <c r="C3" s="35"/>
      <c r="D3" s="35"/>
      <c r="E3" s="35"/>
      <c r="F3" s="36">
        <v>100</v>
      </c>
      <c r="H3" s="19"/>
      <c r="I3" s="12"/>
      <c r="J3" s="21"/>
      <c r="K3" s="21"/>
    </row>
    <row r="4" spans="1:14" s="2" customFormat="1" ht="14.5" customHeight="1" x14ac:dyDescent="0.2">
      <c r="A4" s="261"/>
      <c r="B4" s="37" t="s">
        <v>26</v>
      </c>
      <c r="C4" s="37"/>
      <c r="D4" s="37"/>
      <c r="E4" s="37"/>
      <c r="F4" s="157">
        <v>1.4999999999999999E-2</v>
      </c>
      <c r="H4" s="12"/>
      <c r="I4" s="12"/>
      <c r="J4" s="21"/>
      <c r="K4" s="21"/>
    </row>
    <row r="5" spans="1:14" s="2" customFormat="1" ht="14.5" customHeight="1" x14ac:dyDescent="0.2">
      <c r="A5" s="261"/>
      <c r="B5" s="37" t="s">
        <v>27</v>
      </c>
      <c r="C5" s="37"/>
      <c r="D5" s="37"/>
      <c r="E5" s="37"/>
      <c r="F5" s="157">
        <v>1.2500000000000001E-2</v>
      </c>
      <c r="H5" s="12"/>
      <c r="I5" s="12"/>
      <c r="J5" s="21"/>
      <c r="K5" s="21"/>
    </row>
    <row r="6" spans="1:14" s="2" customFormat="1" ht="14.5" customHeight="1" x14ac:dyDescent="0.2">
      <c r="A6" s="261"/>
      <c r="B6" s="37" t="s">
        <v>32</v>
      </c>
      <c r="C6" s="37"/>
      <c r="D6" s="37"/>
      <c r="E6" s="37"/>
      <c r="F6" s="46" t="s">
        <v>33</v>
      </c>
      <c r="H6" s="12"/>
      <c r="I6" s="12"/>
      <c r="J6" s="21"/>
      <c r="K6" s="21"/>
    </row>
    <row r="7" spans="1:14" s="2" customFormat="1" ht="14.5" customHeight="1" x14ac:dyDescent="0.2">
      <c r="A7" s="261"/>
      <c r="B7" s="37" t="s">
        <v>35</v>
      </c>
      <c r="C7" s="37"/>
      <c r="D7" s="37"/>
      <c r="E7" s="37"/>
      <c r="F7" s="122">
        <v>0.7</v>
      </c>
      <c r="H7" s="12"/>
      <c r="I7" s="12"/>
      <c r="J7" s="21"/>
      <c r="K7" s="21"/>
    </row>
    <row r="8" spans="1:14" s="2" customFormat="1" ht="14.75" customHeight="1" thickBot="1" x14ac:dyDescent="0.25">
      <c r="A8" s="262"/>
      <c r="B8" s="38" t="s">
        <v>89</v>
      </c>
      <c r="C8" s="38"/>
      <c r="D8" s="38"/>
      <c r="E8" s="38"/>
      <c r="F8" s="155">
        <v>0.19</v>
      </c>
      <c r="H8" s="12"/>
      <c r="I8" s="12"/>
      <c r="J8" s="21"/>
      <c r="K8" s="21"/>
    </row>
    <row r="9" spans="1:14" s="2" customFormat="1" thickBot="1" x14ac:dyDescent="0.25">
      <c r="B9" s="12"/>
      <c r="C9" s="12"/>
      <c r="D9" s="12"/>
      <c r="E9" s="13"/>
      <c r="F9" s="13"/>
      <c r="H9" s="12"/>
      <c r="I9" s="12"/>
      <c r="J9" s="21"/>
      <c r="K9" s="21"/>
    </row>
    <row r="10" spans="1:14" x14ac:dyDescent="0.2">
      <c r="A10" s="257" t="s">
        <v>25</v>
      </c>
      <c r="B10" s="35" t="s">
        <v>20</v>
      </c>
      <c r="C10" s="35"/>
      <c r="D10" s="35"/>
      <c r="E10" s="35"/>
      <c r="F10" s="158">
        <v>10</v>
      </c>
      <c r="G10" s="1" t="s">
        <v>23</v>
      </c>
      <c r="H10" s="1"/>
      <c r="I10" s="1"/>
      <c r="J10" s="6"/>
      <c r="K10" s="6"/>
      <c r="L10" s="12"/>
      <c r="M10" s="21"/>
      <c r="N10" s="63"/>
    </row>
    <row r="11" spans="1:14" x14ac:dyDescent="0.2">
      <c r="A11" s="258"/>
      <c r="B11" s="37" t="s">
        <v>22</v>
      </c>
      <c r="C11" s="37"/>
      <c r="D11" s="37"/>
      <c r="E11" s="37"/>
      <c r="F11" s="40">
        <f>F10*F3</f>
        <v>1000</v>
      </c>
      <c r="G11" s="4"/>
      <c r="H11" s="4"/>
      <c r="I11" s="4"/>
      <c r="J11" s="6"/>
      <c r="K11" s="6"/>
      <c r="L11" s="12"/>
      <c r="M11" s="21"/>
      <c r="N11" s="63"/>
    </row>
    <row r="12" spans="1:14" x14ac:dyDescent="0.2">
      <c r="A12" s="258"/>
      <c r="B12" s="37" t="s">
        <v>39</v>
      </c>
      <c r="C12" s="37"/>
      <c r="D12" s="37"/>
      <c r="E12" s="37"/>
      <c r="F12" s="41">
        <v>2.5000000000000001E-2</v>
      </c>
      <c r="G12" s="1" t="s">
        <v>24</v>
      </c>
      <c r="H12" s="1"/>
      <c r="I12" s="1"/>
      <c r="J12" s="6"/>
      <c r="K12" s="6"/>
      <c r="L12" s="12"/>
      <c r="M12" s="21"/>
      <c r="N12" s="63"/>
    </row>
    <row r="13" spans="1:14" x14ac:dyDescent="0.2">
      <c r="A13" s="258"/>
      <c r="B13" s="37" t="s">
        <v>51</v>
      </c>
      <c r="C13" s="37"/>
      <c r="D13" s="37"/>
      <c r="E13" s="37"/>
      <c r="F13" s="41">
        <v>2.5000000000000001E-2</v>
      </c>
      <c r="G13" s="1" t="s">
        <v>82</v>
      </c>
      <c r="H13" s="1"/>
      <c r="I13" s="1"/>
      <c r="J13" s="6"/>
      <c r="K13" s="6"/>
      <c r="L13" s="12"/>
      <c r="M13" s="21"/>
      <c r="N13" s="63"/>
    </row>
    <row r="14" spans="1:14" ht="15" customHeight="1" thickBot="1" x14ac:dyDescent="0.25">
      <c r="A14" s="259"/>
      <c r="B14" s="38" t="s">
        <v>44</v>
      </c>
      <c r="C14" s="38"/>
      <c r="D14" s="38"/>
      <c r="E14" s="38"/>
      <c r="F14" s="62">
        <f>F13</f>
        <v>2.5000000000000001E-2</v>
      </c>
      <c r="G14" s="1" t="s">
        <v>82</v>
      </c>
      <c r="H14" s="1"/>
      <c r="I14" s="1"/>
      <c r="J14" s="6"/>
      <c r="K14" s="6"/>
      <c r="L14" s="12"/>
      <c r="M14" s="21"/>
      <c r="N14" s="63"/>
    </row>
    <row r="15" spans="1:14" s="4" customFormat="1" x14ac:dyDescent="0.2">
      <c r="H15" s="163"/>
      <c r="I15" s="163"/>
      <c r="L15" s="3"/>
      <c r="M15" s="23"/>
      <c r="N15" s="63"/>
    </row>
    <row r="16" spans="1:14" ht="16" x14ac:dyDescent="0.2">
      <c r="A16" s="2" t="s">
        <v>3</v>
      </c>
      <c r="B16" s="2"/>
      <c r="C16" s="2"/>
      <c r="D16" s="2"/>
      <c r="E16" s="2"/>
      <c r="F16" s="2"/>
      <c r="G16" s="269" t="s">
        <v>124</v>
      </c>
      <c r="H16" s="6"/>
      <c r="I16" s="4"/>
      <c r="J16" s="3"/>
      <c r="K16" s="3"/>
      <c r="L16" s="3"/>
      <c r="M16" s="23"/>
      <c r="N16" s="63"/>
    </row>
    <row r="17" spans="1:25" s="30" customFormat="1" thickBot="1" x14ac:dyDescent="0.25">
      <c r="A17" s="4"/>
      <c r="B17" s="4"/>
      <c r="C17" s="4"/>
      <c r="D17" s="6"/>
      <c r="E17" s="6"/>
      <c r="F17" s="4"/>
      <c r="G17" s="4"/>
      <c r="H17" s="29"/>
      <c r="I17" s="4"/>
      <c r="J17" s="164"/>
      <c r="K17" s="164"/>
      <c r="L17" s="4"/>
      <c r="M17" s="22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</row>
    <row r="18" spans="1:25" s="4" customFormat="1" ht="150" x14ac:dyDescent="0.2">
      <c r="A18" s="27" t="s">
        <v>18</v>
      </c>
      <c r="B18" s="254" t="s">
        <v>42</v>
      </c>
      <c r="C18" s="255"/>
      <c r="D18" s="27" t="s">
        <v>41</v>
      </c>
      <c r="E18" s="27" t="s">
        <v>83</v>
      </c>
      <c r="F18" s="27" t="s">
        <v>84</v>
      </c>
      <c r="G18" s="25" t="s">
        <v>40</v>
      </c>
      <c r="H18" s="25" t="s">
        <v>2</v>
      </c>
      <c r="I18" s="25" t="s">
        <v>16</v>
      </c>
      <c r="J18" s="90" t="s">
        <v>85</v>
      </c>
      <c r="K18" s="97" t="s">
        <v>100</v>
      </c>
      <c r="L18" s="117" t="s">
        <v>86</v>
      </c>
      <c r="M18" s="108" t="s">
        <v>87</v>
      </c>
      <c r="N18" s="101" t="s">
        <v>72</v>
      </c>
      <c r="O18" s="111" t="s">
        <v>88</v>
      </c>
    </row>
    <row r="19" spans="1:25" s="4" customFormat="1" ht="14" x14ac:dyDescent="0.2">
      <c r="A19" s="5"/>
      <c r="B19" s="5" t="s">
        <v>17</v>
      </c>
      <c r="C19" s="8">
        <f>$F$11</f>
        <v>1000</v>
      </c>
      <c r="D19" s="8"/>
      <c r="F19" s="8"/>
      <c r="G19" s="8"/>
      <c r="H19" s="8"/>
      <c r="I19" s="8"/>
      <c r="J19" s="8"/>
      <c r="K19" s="98"/>
      <c r="L19" s="8"/>
      <c r="M19" s="8"/>
      <c r="N19" s="123"/>
      <c r="O19" s="98"/>
    </row>
    <row r="20" spans="1:25" s="4" customFormat="1" ht="14" x14ac:dyDescent="0.2">
      <c r="A20" s="5">
        <v>1</v>
      </c>
      <c r="B20" s="5" t="s">
        <v>4</v>
      </c>
      <c r="C20" s="8">
        <f>C19*(1+F4)</f>
        <v>1014.9999999999999</v>
      </c>
      <c r="D20" s="43">
        <f>F12</f>
        <v>2.5000000000000001E-2</v>
      </c>
      <c r="E20" s="181">
        <f>F4</f>
        <v>1.4999999999999999E-2</v>
      </c>
      <c r="F20" s="8">
        <f>C19*F4</f>
        <v>15</v>
      </c>
      <c r="G20" s="8">
        <f t="shared" ref="G20:G25" si="0">C20-$C$19</f>
        <v>14.999999999999886</v>
      </c>
      <c r="H20" s="8">
        <f>IF($F$10*$F$7&lt;=G20,$F$10*$F$7,G20)</f>
        <v>7</v>
      </c>
      <c r="I20" s="8">
        <f t="shared" ref="I20:I25" si="1">IF(G20&gt;H20,(G20-H20)*$F$8,0)</f>
        <v>1.5199999999999785</v>
      </c>
      <c r="J20" s="8">
        <f>G20-H20-I20</f>
        <v>6.4799999999999081</v>
      </c>
      <c r="K20" s="99">
        <f>$F$11+J20</f>
        <v>1006.4799999999999</v>
      </c>
      <c r="L20" s="8">
        <f>C19*D20</f>
        <v>25</v>
      </c>
      <c r="M20" s="8">
        <f>M19+L20</f>
        <v>25</v>
      </c>
      <c r="N20" s="124">
        <f>$F$11+M20</f>
        <v>1025</v>
      </c>
      <c r="O20" s="109">
        <f t="shared" ref="O20:O25" si="2">J20-M20</f>
        <v>-18.520000000000092</v>
      </c>
    </row>
    <row r="21" spans="1:25" s="4" customFormat="1" ht="14" x14ac:dyDescent="0.2">
      <c r="A21" s="5">
        <v>2</v>
      </c>
      <c r="B21" s="5" t="s">
        <v>5</v>
      </c>
      <c r="C21" s="8">
        <f>C20+F21</f>
        <v>1053.0625</v>
      </c>
      <c r="D21" s="43">
        <f>F13</f>
        <v>2.5000000000000001E-2</v>
      </c>
      <c r="E21" s="181">
        <f>MAX(D20,0)+$F$5</f>
        <v>3.7500000000000006E-2</v>
      </c>
      <c r="F21" s="8">
        <f>IF(D20&gt;0,C20*($F$5+D20),C20*$F$5)</f>
        <v>38.0625</v>
      </c>
      <c r="G21" s="8">
        <f t="shared" si="0"/>
        <v>53.0625</v>
      </c>
      <c r="H21" s="8">
        <f>IF($F$10*$F$7&lt;=G21,$F$10*$F$7,G21)</f>
        <v>7</v>
      </c>
      <c r="I21" s="8">
        <f t="shared" si="1"/>
        <v>8.7518750000000001</v>
      </c>
      <c r="J21" s="8">
        <f>G21-H21-I21</f>
        <v>37.310625000000002</v>
      </c>
      <c r="K21" s="99">
        <f t="shared" ref="K21:K25" si="3">$F$11+J21</f>
        <v>1037.3106250000001</v>
      </c>
      <c r="L21" s="8">
        <f>($C$19+M20)*D21</f>
        <v>25.625</v>
      </c>
      <c r="M21" s="8">
        <f>M20+L21</f>
        <v>50.625</v>
      </c>
      <c r="N21" s="124">
        <f t="shared" ref="N21:N25" si="4">$F$11+M21</f>
        <v>1050.625</v>
      </c>
      <c r="O21" s="109">
        <f t="shared" si="2"/>
        <v>-13.314374999999998</v>
      </c>
    </row>
    <row r="22" spans="1:25" s="4" customFormat="1" ht="14" x14ac:dyDescent="0.2">
      <c r="A22" s="5">
        <v>3</v>
      </c>
      <c r="B22" s="5" t="s">
        <v>6</v>
      </c>
      <c r="C22" s="8">
        <f>C21*(1+(D21+$F$5))</f>
        <v>1092.5523437500001</v>
      </c>
      <c r="D22" s="43">
        <f>D21</f>
        <v>2.5000000000000001E-2</v>
      </c>
      <c r="E22" s="181">
        <f t="shared" ref="E22:E25" si="5">MAX(D21,0)+$F$5</f>
        <v>3.7500000000000006E-2</v>
      </c>
      <c r="F22" s="8">
        <f>IF(D21&gt;0,C21*($F$5+D21),C21*$F$5)</f>
        <v>39.489843750000006</v>
      </c>
      <c r="G22" s="8">
        <f t="shared" si="0"/>
        <v>92.552343750000091</v>
      </c>
      <c r="H22" s="8">
        <f>IF($F$10*$F$7&lt;=G22,$F$10*$F$7,G22)</f>
        <v>7</v>
      </c>
      <c r="I22" s="8">
        <f t="shared" si="1"/>
        <v>16.254945312500016</v>
      </c>
      <c r="J22" s="8">
        <f t="shared" ref="J22:J25" si="6">G22-H22-I22</f>
        <v>69.297398437500078</v>
      </c>
      <c r="K22" s="99">
        <f t="shared" si="3"/>
        <v>1069.2973984375001</v>
      </c>
      <c r="L22" s="8">
        <f>($C$19+M21)*D22</f>
        <v>26.265625</v>
      </c>
      <c r="M22" s="8">
        <f t="shared" ref="M22:M25" si="7">M21+L22</f>
        <v>76.890625</v>
      </c>
      <c r="N22" s="124">
        <f t="shared" si="4"/>
        <v>1076.890625</v>
      </c>
      <c r="O22" s="109">
        <f t="shared" si="2"/>
        <v>-7.5932265624999218</v>
      </c>
    </row>
    <row r="23" spans="1:25" s="4" customFormat="1" ht="14" x14ac:dyDescent="0.2">
      <c r="A23" s="5">
        <v>4</v>
      </c>
      <c r="B23" s="5" t="s">
        <v>7</v>
      </c>
      <c r="C23" s="8">
        <f>C22*(1+(D22+$F$5))</f>
        <v>1133.5230566406251</v>
      </c>
      <c r="D23" s="43">
        <f>D22</f>
        <v>2.5000000000000001E-2</v>
      </c>
      <c r="E23" s="181">
        <f t="shared" si="5"/>
        <v>3.7500000000000006E-2</v>
      </c>
      <c r="F23" s="8">
        <f>IF(D22&gt;0,C22*($F$5+D22),C22*$F$5)</f>
        <v>40.970712890625009</v>
      </c>
      <c r="G23" s="8">
        <f t="shared" si="0"/>
        <v>133.5230566406251</v>
      </c>
      <c r="H23" s="8">
        <f>IF($F$10*$F$7&lt;=G23,$F$10*$F$7,G23)</f>
        <v>7</v>
      </c>
      <c r="I23" s="8">
        <f t="shared" si="1"/>
        <v>24.039380761718768</v>
      </c>
      <c r="J23" s="8">
        <f>G23-H23-I23</f>
        <v>102.48367587890633</v>
      </c>
      <c r="K23" s="99">
        <f t="shared" si="3"/>
        <v>1102.4836758789063</v>
      </c>
      <c r="L23" s="8">
        <f>($C$19+M22)*D23</f>
        <v>26.922265625000001</v>
      </c>
      <c r="M23" s="8">
        <f t="shared" si="7"/>
        <v>103.81289062499999</v>
      </c>
      <c r="N23" s="124">
        <f t="shared" si="4"/>
        <v>1103.8128906249999</v>
      </c>
      <c r="O23" s="109">
        <f t="shared" si="2"/>
        <v>-1.329214746093669</v>
      </c>
    </row>
    <row r="24" spans="1:25" s="2" customFormat="1" thickBot="1" x14ac:dyDescent="0.25">
      <c r="A24" s="33">
        <v>5</v>
      </c>
      <c r="B24" s="33" t="s">
        <v>8</v>
      </c>
      <c r="C24" s="48">
        <f>C23*(1+(D23+$F$5))</f>
        <v>1176.0301712646487</v>
      </c>
      <c r="D24" s="81">
        <f t="shared" ref="D24" si="8">D23</f>
        <v>2.5000000000000001E-2</v>
      </c>
      <c r="E24" s="182">
        <f t="shared" si="5"/>
        <v>3.7500000000000006E-2</v>
      </c>
      <c r="F24" s="48">
        <f>IF(D23&gt;0,C23*($F$5+D23),C23*$F$5)</f>
        <v>42.507114624023444</v>
      </c>
      <c r="G24" s="48">
        <f t="shared" si="0"/>
        <v>176.03017126464874</v>
      </c>
      <c r="H24" s="48">
        <f>IF($F$10*$F$7&lt;=G24,$F$10*$F$7,G24)</f>
        <v>7</v>
      </c>
      <c r="I24" s="48">
        <f t="shared" si="1"/>
        <v>32.115732540283261</v>
      </c>
      <c r="J24" s="48">
        <f t="shared" si="6"/>
        <v>136.91443872436548</v>
      </c>
      <c r="K24" s="118">
        <f t="shared" si="3"/>
        <v>1136.9144387243655</v>
      </c>
      <c r="L24" s="48">
        <f>($C$19+M23)*D24</f>
        <v>27.595322265625001</v>
      </c>
      <c r="M24" s="48">
        <f t="shared" si="7"/>
        <v>131.40821289062501</v>
      </c>
      <c r="N24" s="125">
        <f t="shared" si="4"/>
        <v>1131.408212890625</v>
      </c>
      <c r="O24" s="110">
        <f t="shared" si="2"/>
        <v>5.5062258337404728</v>
      </c>
    </row>
    <row r="25" spans="1:25" s="4" customFormat="1" ht="27" thickBot="1" x14ac:dyDescent="0.35">
      <c r="A25" s="32">
        <v>6</v>
      </c>
      <c r="B25" s="47" t="s">
        <v>9</v>
      </c>
      <c r="C25" s="51">
        <f>C24*(1+(D24+$F$5))</f>
        <v>1220.1313026870732</v>
      </c>
      <c r="D25" s="121">
        <f>F14</f>
        <v>2.5000000000000001E-2</v>
      </c>
      <c r="E25" s="183">
        <f t="shared" si="5"/>
        <v>3.7500000000000006E-2</v>
      </c>
      <c r="F25" s="51">
        <f>IF(D24&gt;0,C24*($F$5+D24),C24*$F$5)</f>
        <v>44.101131422424338</v>
      </c>
      <c r="G25" s="47">
        <f t="shared" si="0"/>
        <v>220.13130268707323</v>
      </c>
      <c r="H25" s="80">
        <v>0</v>
      </c>
      <c r="I25" s="47">
        <f t="shared" si="1"/>
        <v>41.824947510543915</v>
      </c>
      <c r="J25" s="47">
        <f t="shared" si="6"/>
        <v>178.30635517652931</v>
      </c>
      <c r="K25" s="100">
        <f t="shared" si="3"/>
        <v>1178.3063551765292</v>
      </c>
      <c r="L25" s="47">
        <f>($C$19+M24)*D25</f>
        <v>28.285205322265625</v>
      </c>
      <c r="M25" s="47">
        <f t="shared" si="7"/>
        <v>159.69341821289063</v>
      </c>
      <c r="N25" s="127">
        <f t="shared" si="4"/>
        <v>1159.6934182128907</v>
      </c>
      <c r="O25" s="112">
        <f t="shared" si="2"/>
        <v>18.612936963638674</v>
      </c>
    </row>
    <row r="26" spans="1:25" s="4" customFormat="1" ht="14" x14ac:dyDescent="0.2">
      <c r="E26" s="6"/>
      <c r="F26" s="6"/>
      <c r="G26" s="6"/>
      <c r="H26" s="6"/>
      <c r="I26" s="6"/>
      <c r="J26" s="24"/>
      <c r="K26" s="24"/>
    </row>
    <row r="27" spans="1:25" s="4" customFormat="1" ht="14" x14ac:dyDescent="0.2">
      <c r="E27" s="6"/>
      <c r="F27" s="6"/>
      <c r="G27" s="6"/>
      <c r="H27" s="6"/>
      <c r="I27" s="6"/>
      <c r="J27" s="24"/>
      <c r="K27" s="24"/>
    </row>
    <row r="28" spans="1:25" s="4" customFormat="1" ht="14" x14ac:dyDescent="0.2">
      <c r="E28" s="6"/>
      <c r="F28" s="6"/>
      <c r="G28" s="6"/>
      <c r="H28" s="6"/>
      <c r="I28" s="6"/>
      <c r="J28" s="24"/>
      <c r="K28" s="24"/>
    </row>
    <row r="29" spans="1:25" s="4" customFormat="1" ht="14" x14ac:dyDescent="0.2">
      <c r="E29" s="6"/>
      <c r="F29" s="6"/>
      <c r="G29" s="6"/>
      <c r="H29" s="6"/>
      <c r="I29" s="6"/>
      <c r="J29" s="24"/>
      <c r="K29" s="24"/>
    </row>
    <row r="30" spans="1:25" s="4" customFormat="1" ht="14" x14ac:dyDescent="0.2">
      <c r="E30" s="6"/>
      <c r="F30" s="6"/>
      <c r="G30" s="6"/>
      <c r="H30" s="6"/>
      <c r="I30" s="6"/>
      <c r="J30" s="24"/>
      <c r="K30" s="24"/>
    </row>
    <row r="31" spans="1:25" s="4" customFormat="1" ht="14" x14ac:dyDescent="0.2">
      <c r="E31" s="6"/>
      <c r="F31" s="6"/>
      <c r="G31" s="6"/>
      <c r="H31" s="6"/>
      <c r="I31" s="6"/>
      <c r="J31" s="24"/>
      <c r="K31" s="24"/>
    </row>
    <row r="32" spans="1:25" s="4" customFormat="1" ht="14" x14ac:dyDescent="0.2">
      <c r="E32" s="6"/>
      <c r="F32" s="6"/>
      <c r="G32" s="6"/>
      <c r="H32" s="6"/>
      <c r="I32" s="6"/>
      <c r="J32" s="24"/>
      <c r="K32" s="24"/>
    </row>
    <row r="33" spans="5:11" s="4" customFormat="1" ht="14" x14ac:dyDescent="0.2">
      <c r="E33" s="6"/>
      <c r="F33" s="6"/>
      <c r="G33" s="6"/>
      <c r="H33" s="6"/>
      <c r="I33" s="6"/>
      <c r="J33" s="24"/>
      <c r="K33" s="24"/>
    </row>
    <row r="34" spans="5:11" s="4" customFormat="1" ht="14" x14ac:dyDescent="0.2">
      <c r="E34" s="6"/>
      <c r="F34" s="6"/>
      <c r="G34" s="6"/>
      <c r="H34" s="6"/>
      <c r="I34" s="6"/>
      <c r="J34" s="24"/>
      <c r="K34" s="24"/>
    </row>
    <row r="35" spans="5:11" s="4" customFormat="1" ht="14" x14ac:dyDescent="0.2">
      <c r="E35" s="6"/>
      <c r="F35" s="6"/>
      <c r="G35" s="6"/>
      <c r="H35" s="6"/>
      <c r="I35" s="6"/>
      <c r="J35" s="24"/>
      <c r="K35" s="24"/>
    </row>
    <row r="36" spans="5:11" s="4" customFormat="1" ht="14" x14ac:dyDescent="0.2">
      <c r="E36" s="6"/>
      <c r="F36" s="6"/>
      <c r="G36" s="6"/>
      <c r="H36" s="6"/>
      <c r="I36" s="6"/>
      <c r="J36" s="24"/>
      <c r="K36" s="24"/>
    </row>
    <row r="37" spans="5:11" s="4" customFormat="1" ht="14" x14ac:dyDescent="0.2">
      <c r="E37" s="6"/>
      <c r="F37" s="6"/>
      <c r="G37" s="6"/>
      <c r="H37" s="6"/>
      <c r="I37" s="6"/>
      <c r="J37" s="24"/>
      <c r="K37" s="24"/>
    </row>
    <row r="38" spans="5:11" s="4" customFormat="1" ht="14" x14ac:dyDescent="0.2">
      <c r="E38" s="6"/>
      <c r="F38" s="6"/>
      <c r="G38" s="6"/>
      <c r="H38" s="6"/>
      <c r="I38" s="6"/>
      <c r="J38" s="24"/>
      <c r="K38" s="24"/>
    </row>
    <row r="39" spans="5:11" s="4" customFormat="1" ht="14" x14ac:dyDescent="0.2">
      <c r="E39" s="6"/>
      <c r="F39" s="6"/>
      <c r="G39" s="6"/>
      <c r="H39" s="6"/>
      <c r="I39" s="6"/>
      <c r="J39" s="24"/>
      <c r="K39" s="24"/>
    </row>
    <row r="40" spans="5:11" s="4" customFormat="1" ht="14" x14ac:dyDescent="0.2">
      <c r="E40" s="6"/>
      <c r="F40" s="6"/>
      <c r="G40" s="6"/>
      <c r="H40" s="6"/>
      <c r="I40" s="6"/>
      <c r="J40" s="24"/>
      <c r="K40" s="24"/>
    </row>
    <row r="41" spans="5:11" s="4" customFormat="1" ht="14" x14ac:dyDescent="0.2">
      <c r="E41" s="6"/>
      <c r="F41" s="6"/>
      <c r="G41" s="6"/>
      <c r="H41" s="6"/>
      <c r="I41" s="6"/>
      <c r="J41" s="24"/>
      <c r="K41" s="24"/>
    </row>
    <row r="42" spans="5:11" s="4" customFormat="1" ht="14" x14ac:dyDescent="0.2">
      <c r="E42" s="6"/>
      <c r="F42" s="6"/>
      <c r="G42" s="6"/>
      <c r="H42" s="6"/>
      <c r="I42" s="6"/>
      <c r="J42" s="24"/>
      <c r="K42" s="24"/>
    </row>
    <row r="43" spans="5:11" s="4" customFormat="1" ht="14" x14ac:dyDescent="0.2">
      <c r="E43" s="6"/>
      <c r="F43" s="6"/>
      <c r="G43" s="6"/>
      <c r="H43" s="6"/>
      <c r="I43" s="6"/>
      <c r="J43" s="24"/>
      <c r="K43" s="24"/>
    </row>
    <row r="44" spans="5:11" s="4" customFormat="1" ht="14" x14ac:dyDescent="0.2">
      <c r="E44" s="6"/>
      <c r="F44" s="6"/>
      <c r="G44" s="6"/>
      <c r="H44" s="6"/>
      <c r="I44" s="6"/>
      <c r="J44" s="24"/>
      <c r="K44" s="24"/>
    </row>
    <row r="45" spans="5:11" s="4" customFormat="1" ht="14" x14ac:dyDescent="0.2">
      <c r="E45" s="6"/>
      <c r="F45" s="6"/>
      <c r="G45" s="6"/>
      <c r="H45" s="6"/>
      <c r="I45" s="6"/>
      <c r="J45" s="24"/>
      <c r="K45" s="24"/>
    </row>
    <row r="46" spans="5:11" s="4" customFormat="1" ht="14" x14ac:dyDescent="0.2">
      <c r="E46" s="6"/>
      <c r="F46" s="6"/>
      <c r="G46" s="6"/>
      <c r="H46" s="6"/>
      <c r="I46" s="6"/>
      <c r="J46" s="24"/>
      <c r="K46" s="24"/>
    </row>
    <row r="47" spans="5:11" s="4" customFormat="1" ht="14" x14ac:dyDescent="0.2">
      <c r="E47" s="6"/>
      <c r="F47" s="6"/>
      <c r="G47" s="6"/>
      <c r="H47" s="6"/>
      <c r="I47" s="6"/>
      <c r="J47" s="24"/>
      <c r="K47" s="24"/>
    </row>
    <row r="48" spans="5:11" s="4" customFormat="1" ht="14" x14ac:dyDescent="0.2">
      <c r="E48" s="6"/>
      <c r="F48" s="6"/>
      <c r="G48" s="6"/>
      <c r="H48" s="6"/>
      <c r="I48" s="6"/>
      <c r="J48" s="24"/>
      <c r="K48" s="24"/>
    </row>
    <row r="49" spans="5:11" s="4" customFormat="1" ht="14" x14ac:dyDescent="0.2">
      <c r="E49" s="6"/>
      <c r="F49" s="6"/>
      <c r="G49" s="6"/>
      <c r="H49" s="6"/>
      <c r="I49" s="6"/>
      <c r="J49" s="24"/>
      <c r="K49" s="24"/>
    </row>
    <row r="50" spans="5:11" s="4" customFormat="1" ht="14" x14ac:dyDescent="0.2">
      <c r="E50" s="6"/>
      <c r="F50" s="6"/>
      <c r="G50" s="6"/>
      <c r="H50" s="6"/>
      <c r="I50" s="6"/>
      <c r="J50" s="24"/>
      <c r="K50" s="24"/>
    </row>
    <row r="51" spans="5:11" s="4" customFormat="1" ht="14" x14ac:dyDescent="0.2">
      <c r="E51" s="6"/>
      <c r="F51" s="6"/>
      <c r="G51" s="6"/>
      <c r="H51" s="6"/>
      <c r="I51" s="6"/>
      <c r="J51" s="24"/>
      <c r="K51" s="24"/>
    </row>
    <row r="52" spans="5:11" s="4" customFormat="1" ht="14" x14ac:dyDescent="0.2">
      <c r="E52" s="6"/>
      <c r="F52" s="6"/>
      <c r="G52" s="6"/>
      <c r="H52" s="6"/>
      <c r="I52" s="6"/>
      <c r="J52" s="24"/>
      <c r="K52" s="24"/>
    </row>
    <row r="53" spans="5:11" s="4" customFormat="1" ht="14" x14ac:dyDescent="0.2">
      <c r="E53" s="6"/>
      <c r="F53" s="6"/>
      <c r="G53" s="6"/>
      <c r="H53" s="6"/>
      <c r="I53" s="6"/>
      <c r="J53" s="24"/>
      <c r="K53" s="24"/>
    </row>
    <row r="54" spans="5:11" s="4" customFormat="1" ht="14" x14ac:dyDescent="0.2">
      <c r="E54" s="6"/>
      <c r="F54" s="6"/>
      <c r="G54" s="6"/>
      <c r="H54" s="6"/>
      <c r="I54" s="6"/>
      <c r="J54" s="24"/>
      <c r="K54" s="24"/>
    </row>
    <row r="55" spans="5:11" s="4" customFormat="1" ht="14" x14ac:dyDescent="0.2">
      <c r="E55" s="6"/>
      <c r="F55" s="6"/>
      <c r="G55" s="6"/>
      <c r="H55" s="6"/>
      <c r="I55" s="6"/>
      <c r="J55" s="24"/>
      <c r="K55" s="24"/>
    </row>
    <row r="56" spans="5:11" s="4" customFormat="1" ht="14" x14ac:dyDescent="0.2">
      <c r="E56" s="6"/>
      <c r="F56" s="6"/>
      <c r="G56" s="6"/>
      <c r="H56" s="6"/>
      <c r="I56" s="6"/>
      <c r="J56" s="24"/>
      <c r="K56" s="24"/>
    </row>
    <row r="57" spans="5:11" s="4" customFormat="1" ht="14" x14ac:dyDescent="0.2">
      <c r="E57" s="6"/>
      <c r="F57" s="6"/>
      <c r="G57" s="6"/>
      <c r="H57" s="6"/>
      <c r="I57" s="6"/>
      <c r="J57" s="24"/>
      <c r="K57" s="24"/>
    </row>
    <row r="58" spans="5:11" s="4" customFormat="1" ht="14" x14ac:dyDescent="0.2">
      <c r="E58" s="6"/>
      <c r="F58" s="6"/>
      <c r="G58" s="6"/>
      <c r="H58" s="6"/>
      <c r="I58" s="6"/>
      <c r="J58" s="24"/>
      <c r="K58" s="24"/>
    </row>
    <row r="59" spans="5:11" s="4" customFormat="1" ht="14" x14ac:dyDescent="0.2">
      <c r="E59" s="6"/>
      <c r="F59" s="6"/>
      <c r="G59" s="6"/>
      <c r="H59" s="6"/>
      <c r="I59" s="6"/>
      <c r="J59" s="24"/>
      <c r="K59" s="24"/>
    </row>
    <row r="60" spans="5:11" s="4" customFormat="1" ht="14" x14ac:dyDescent="0.2">
      <c r="E60" s="6"/>
      <c r="F60" s="6"/>
      <c r="G60" s="6"/>
      <c r="H60" s="6"/>
      <c r="I60" s="6"/>
      <c r="J60" s="24"/>
      <c r="K60" s="24"/>
    </row>
    <row r="61" spans="5:11" s="4" customFormat="1" ht="14" x14ac:dyDescent="0.2">
      <c r="E61" s="6"/>
      <c r="F61" s="6"/>
      <c r="G61" s="6"/>
      <c r="H61" s="6"/>
      <c r="I61" s="6"/>
      <c r="J61" s="24"/>
      <c r="K61" s="24"/>
    </row>
    <row r="62" spans="5:11" s="4" customFormat="1" ht="14" x14ac:dyDescent="0.2">
      <c r="E62" s="6"/>
      <c r="F62" s="6"/>
      <c r="G62" s="6"/>
      <c r="H62" s="6"/>
      <c r="I62" s="6"/>
      <c r="J62" s="24"/>
      <c r="K62" s="24"/>
    </row>
    <row r="63" spans="5:11" s="4" customFormat="1" ht="14" x14ac:dyDescent="0.2">
      <c r="E63" s="6"/>
      <c r="F63" s="6"/>
      <c r="G63" s="6"/>
      <c r="H63" s="6"/>
      <c r="I63" s="6"/>
      <c r="J63" s="24"/>
      <c r="K63" s="24"/>
    </row>
    <row r="64" spans="5:11" s="4" customFormat="1" ht="14" x14ac:dyDescent="0.2">
      <c r="E64" s="6"/>
      <c r="F64" s="6"/>
      <c r="G64" s="6"/>
      <c r="H64" s="6"/>
      <c r="I64" s="6"/>
      <c r="J64" s="24"/>
      <c r="K64" s="24"/>
    </row>
    <row r="65" spans="5:11" s="4" customFormat="1" ht="14" x14ac:dyDescent="0.2">
      <c r="E65" s="6"/>
      <c r="F65" s="6"/>
      <c r="G65" s="6"/>
      <c r="H65" s="6"/>
      <c r="I65" s="6"/>
      <c r="J65" s="24"/>
      <c r="K65" s="24"/>
    </row>
    <row r="66" spans="5:11" s="4" customFormat="1" ht="14" x14ac:dyDescent="0.2">
      <c r="E66" s="6"/>
      <c r="F66" s="6"/>
      <c r="G66" s="6"/>
      <c r="H66" s="6"/>
      <c r="I66" s="6"/>
      <c r="J66" s="24"/>
      <c r="K66" s="24"/>
    </row>
    <row r="67" spans="5:11" s="4" customFormat="1" ht="14" x14ac:dyDescent="0.2">
      <c r="E67" s="6"/>
      <c r="F67" s="6"/>
      <c r="G67" s="6"/>
      <c r="H67" s="6"/>
      <c r="I67" s="6"/>
      <c r="J67" s="24"/>
      <c r="K67" s="24"/>
    </row>
    <row r="68" spans="5:11" s="4" customFormat="1" ht="14" x14ac:dyDescent="0.2">
      <c r="E68" s="6"/>
      <c r="F68" s="6"/>
      <c r="G68" s="6"/>
      <c r="H68" s="6"/>
      <c r="I68" s="6"/>
      <c r="J68" s="24"/>
      <c r="K68" s="24"/>
    </row>
    <row r="69" spans="5:11" s="4" customFormat="1" ht="14" x14ac:dyDescent="0.2">
      <c r="E69" s="6"/>
      <c r="F69" s="6"/>
      <c r="G69" s="6"/>
      <c r="H69" s="6"/>
      <c r="I69" s="6"/>
      <c r="J69" s="24"/>
      <c r="K69" s="24"/>
    </row>
    <row r="70" spans="5:11" s="4" customFormat="1" ht="14" x14ac:dyDescent="0.2">
      <c r="E70" s="6"/>
      <c r="F70" s="6"/>
      <c r="G70" s="6"/>
      <c r="H70" s="6"/>
      <c r="I70" s="6"/>
      <c r="J70" s="24"/>
      <c r="K70" s="24"/>
    </row>
    <row r="71" spans="5:11" s="4" customFormat="1" ht="14" x14ac:dyDescent="0.2">
      <c r="E71" s="6"/>
      <c r="F71" s="6"/>
      <c r="G71" s="6"/>
      <c r="H71" s="6"/>
      <c r="I71" s="6"/>
      <c r="J71" s="24"/>
      <c r="K71" s="24"/>
    </row>
    <row r="72" spans="5:11" s="4" customFormat="1" ht="14" x14ac:dyDescent="0.2">
      <c r="E72" s="6"/>
      <c r="F72" s="6"/>
      <c r="G72" s="6"/>
      <c r="H72" s="6"/>
      <c r="I72" s="6"/>
      <c r="J72" s="24"/>
      <c r="K72" s="24"/>
    </row>
    <row r="73" spans="5:11" s="4" customFormat="1" ht="14" x14ac:dyDescent="0.2">
      <c r="E73" s="6"/>
      <c r="F73" s="6"/>
      <c r="G73" s="6"/>
      <c r="H73" s="6"/>
      <c r="I73" s="6"/>
      <c r="J73" s="24"/>
      <c r="K73" s="24"/>
    </row>
    <row r="74" spans="5:11" s="4" customFormat="1" ht="14" x14ac:dyDescent="0.2">
      <c r="E74" s="6"/>
      <c r="F74" s="6"/>
      <c r="G74" s="6"/>
      <c r="H74" s="6"/>
      <c r="I74" s="6"/>
      <c r="J74" s="24"/>
      <c r="K74" s="24"/>
    </row>
    <row r="75" spans="5:11" s="4" customFormat="1" ht="14" x14ac:dyDescent="0.2">
      <c r="E75" s="6"/>
      <c r="F75" s="6"/>
      <c r="G75" s="6"/>
      <c r="H75" s="6"/>
      <c r="I75" s="6"/>
      <c r="J75" s="24"/>
      <c r="K75" s="24"/>
    </row>
    <row r="76" spans="5:11" s="4" customFormat="1" ht="14" x14ac:dyDescent="0.2">
      <c r="E76" s="6"/>
      <c r="F76" s="6"/>
      <c r="G76" s="6"/>
      <c r="H76" s="6"/>
      <c r="I76" s="6"/>
      <c r="J76" s="24"/>
      <c r="K76" s="24"/>
    </row>
    <row r="77" spans="5:11" s="4" customFormat="1" ht="14" x14ac:dyDescent="0.2">
      <c r="E77" s="6"/>
      <c r="F77" s="6"/>
      <c r="G77" s="6"/>
      <c r="H77" s="6"/>
      <c r="I77" s="6"/>
      <c r="J77" s="24"/>
      <c r="K77" s="24"/>
    </row>
    <row r="78" spans="5:11" s="4" customFormat="1" ht="14" x14ac:dyDescent="0.2">
      <c r="E78" s="6"/>
      <c r="F78" s="6"/>
      <c r="G78" s="6"/>
      <c r="H78" s="6"/>
      <c r="I78" s="6"/>
      <c r="J78" s="24"/>
      <c r="K78" s="24"/>
    </row>
    <row r="79" spans="5:11" s="4" customFormat="1" ht="14" x14ac:dyDescent="0.2">
      <c r="E79" s="6"/>
      <c r="F79" s="6"/>
      <c r="G79" s="6"/>
      <c r="H79" s="6"/>
      <c r="I79" s="6"/>
      <c r="J79" s="24"/>
      <c r="K79" s="24"/>
    </row>
    <row r="80" spans="5:11" s="4" customFormat="1" ht="14" x14ac:dyDescent="0.2">
      <c r="E80" s="6"/>
      <c r="F80" s="6"/>
      <c r="G80" s="6"/>
      <c r="H80" s="6"/>
      <c r="I80" s="6"/>
      <c r="J80" s="24"/>
      <c r="K80" s="24"/>
    </row>
    <row r="81" spans="5:11" s="4" customFormat="1" ht="14" x14ac:dyDescent="0.2">
      <c r="E81" s="6"/>
      <c r="F81" s="6"/>
      <c r="G81" s="6"/>
      <c r="H81" s="6"/>
      <c r="I81" s="6"/>
      <c r="J81" s="24"/>
      <c r="K81" s="24"/>
    </row>
    <row r="82" spans="5:11" s="4" customFormat="1" ht="14" x14ac:dyDescent="0.2">
      <c r="E82" s="6"/>
      <c r="F82" s="6"/>
      <c r="G82" s="6"/>
      <c r="H82" s="6"/>
      <c r="I82" s="6"/>
      <c r="J82" s="24"/>
      <c r="K82" s="24"/>
    </row>
    <row r="83" spans="5:11" s="4" customFormat="1" ht="14" x14ac:dyDescent="0.2">
      <c r="E83" s="6"/>
      <c r="F83" s="6"/>
      <c r="G83" s="6"/>
      <c r="H83" s="6"/>
      <c r="I83" s="6"/>
      <c r="J83" s="24"/>
      <c r="K83" s="24"/>
    </row>
    <row r="84" spans="5:11" s="4" customFormat="1" ht="14" x14ac:dyDescent="0.2">
      <c r="E84" s="6"/>
      <c r="F84" s="6"/>
      <c r="G84" s="6"/>
      <c r="H84" s="6"/>
      <c r="I84" s="6"/>
      <c r="J84" s="24"/>
      <c r="K84" s="24"/>
    </row>
    <row r="85" spans="5:11" s="4" customFormat="1" ht="14" x14ac:dyDescent="0.2">
      <c r="E85" s="6"/>
      <c r="F85" s="6"/>
      <c r="G85" s="6"/>
      <c r="H85" s="6"/>
      <c r="I85" s="6"/>
      <c r="J85" s="24"/>
      <c r="K85" s="24"/>
    </row>
    <row r="86" spans="5:11" s="4" customFormat="1" ht="14" x14ac:dyDescent="0.2">
      <c r="E86" s="6"/>
      <c r="F86" s="6"/>
      <c r="G86" s="6"/>
      <c r="H86" s="6"/>
      <c r="I86" s="6"/>
      <c r="J86" s="24"/>
      <c r="K86" s="24"/>
    </row>
    <row r="87" spans="5:11" s="4" customFormat="1" ht="14" x14ac:dyDescent="0.2">
      <c r="E87" s="6"/>
      <c r="F87" s="6"/>
      <c r="G87" s="6"/>
      <c r="H87" s="6"/>
      <c r="I87" s="6"/>
      <c r="J87" s="24"/>
      <c r="K87" s="24"/>
    </row>
    <row r="88" spans="5:11" s="4" customFormat="1" ht="14" x14ac:dyDescent="0.2">
      <c r="E88" s="6"/>
      <c r="F88" s="6"/>
      <c r="G88" s="6"/>
      <c r="H88" s="6"/>
      <c r="I88" s="6"/>
      <c r="J88" s="24"/>
      <c r="K88" s="24"/>
    </row>
    <row r="89" spans="5:11" s="4" customFormat="1" ht="14" x14ac:dyDescent="0.2">
      <c r="E89" s="6"/>
      <c r="F89" s="6"/>
      <c r="G89" s="6"/>
      <c r="H89" s="6"/>
      <c r="I89" s="6"/>
      <c r="J89" s="24"/>
      <c r="K89" s="24"/>
    </row>
    <row r="90" spans="5:11" s="4" customFormat="1" ht="14" x14ac:dyDescent="0.2">
      <c r="E90" s="6"/>
      <c r="F90" s="6"/>
      <c r="G90" s="6"/>
      <c r="H90" s="6"/>
      <c r="I90" s="6"/>
      <c r="J90" s="24"/>
      <c r="K90" s="24"/>
    </row>
    <row r="91" spans="5:11" s="4" customFormat="1" ht="14" x14ac:dyDescent="0.2">
      <c r="E91" s="6"/>
      <c r="F91" s="6"/>
      <c r="G91" s="6"/>
      <c r="H91" s="6"/>
      <c r="I91" s="6"/>
      <c r="J91" s="24"/>
      <c r="K91" s="24"/>
    </row>
    <row r="92" spans="5:11" s="4" customFormat="1" ht="14" x14ac:dyDescent="0.2">
      <c r="E92" s="6"/>
      <c r="F92" s="6"/>
      <c r="G92" s="6"/>
      <c r="H92" s="6"/>
      <c r="I92" s="6"/>
      <c r="J92" s="24"/>
      <c r="K92" s="24"/>
    </row>
    <row r="93" spans="5:11" s="4" customFormat="1" ht="14" x14ac:dyDescent="0.2">
      <c r="E93" s="6"/>
      <c r="F93" s="6"/>
      <c r="G93" s="6"/>
      <c r="H93" s="6"/>
      <c r="I93" s="6"/>
      <c r="J93" s="24"/>
      <c r="K93" s="24"/>
    </row>
    <row r="94" spans="5:11" s="4" customFormat="1" ht="14" x14ac:dyDescent="0.2">
      <c r="E94" s="6"/>
      <c r="F94" s="6"/>
      <c r="G94" s="6"/>
      <c r="H94" s="6"/>
      <c r="I94" s="6"/>
      <c r="J94" s="24"/>
      <c r="K94" s="24"/>
    </row>
    <row r="95" spans="5:11" s="4" customFormat="1" ht="14" x14ac:dyDescent="0.2">
      <c r="E95" s="6"/>
      <c r="F95" s="6"/>
      <c r="G95" s="6"/>
      <c r="H95" s="6"/>
      <c r="I95" s="6"/>
      <c r="J95" s="24"/>
      <c r="K95" s="24"/>
    </row>
    <row r="96" spans="5:11" s="4" customFormat="1" ht="14" x14ac:dyDescent="0.2">
      <c r="E96" s="6"/>
      <c r="F96" s="6"/>
      <c r="G96" s="6"/>
      <c r="H96" s="6"/>
      <c r="I96" s="6"/>
      <c r="J96" s="24"/>
      <c r="K96" s="24"/>
    </row>
    <row r="97" spans="5:11" s="4" customFormat="1" ht="14" x14ac:dyDescent="0.2">
      <c r="E97" s="6"/>
      <c r="F97" s="6"/>
      <c r="G97" s="6"/>
      <c r="H97" s="6"/>
      <c r="I97" s="6"/>
      <c r="J97" s="24"/>
      <c r="K97" s="24"/>
    </row>
    <row r="98" spans="5:11" s="4" customFormat="1" ht="14" x14ac:dyDescent="0.2">
      <c r="E98" s="6"/>
      <c r="F98" s="6"/>
      <c r="G98" s="6"/>
      <c r="H98" s="6"/>
      <c r="I98" s="6"/>
      <c r="J98" s="24"/>
      <c r="K98" s="24"/>
    </row>
    <row r="99" spans="5:11" s="4" customFormat="1" ht="14" x14ac:dyDescent="0.2">
      <c r="E99" s="6"/>
      <c r="F99" s="6"/>
      <c r="G99" s="6"/>
      <c r="H99" s="6"/>
      <c r="I99" s="6"/>
      <c r="J99" s="24"/>
      <c r="K99" s="24"/>
    </row>
    <row r="100" spans="5:11" s="4" customFormat="1" ht="14" x14ac:dyDescent="0.2">
      <c r="E100" s="6"/>
      <c r="F100" s="6"/>
      <c r="G100" s="6"/>
      <c r="H100" s="6"/>
      <c r="I100" s="6"/>
      <c r="J100" s="24"/>
      <c r="K100" s="24"/>
    </row>
    <row r="101" spans="5:11" s="4" customFormat="1" ht="14" x14ac:dyDescent="0.2">
      <c r="E101" s="6"/>
      <c r="F101" s="6"/>
      <c r="G101" s="6"/>
      <c r="H101" s="6"/>
      <c r="I101" s="6"/>
      <c r="J101" s="24"/>
      <c r="K101" s="24"/>
    </row>
    <row r="102" spans="5:11" s="4" customFormat="1" ht="14" x14ac:dyDescent="0.2">
      <c r="E102" s="6"/>
      <c r="F102" s="6"/>
      <c r="G102" s="6"/>
      <c r="H102" s="6"/>
      <c r="I102" s="6"/>
      <c r="J102" s="24"/>
      <c r="K102" s="24"/>
    </row>
    <row r="103" spans="5:11" s="4" customFormat="1" ht="14" x14ac:dyDescent="0.2">
      <c r="E103" s="6"/>
      <c r="F103" s="6"/>
      <c r="G103" s="6"/>
      <c r="H103" s="6"/>
      <c r="I103" s="6"/>
      <c r="J103" s="24"/>
      <c r="K103" s="24"/>
    </row>
    <row r="104" spans="5:11" s="4" customFormat="1" ht="14" x14ac:dyDescent="0.2">
      <c r="E104" s="6"/>
      <c r="F104" s="6"/>
      <c r="G104" s="6"/>
      <c r="H104" s="6"/>
      <c r="I104" s="6"/>
      <c r="J104" s="24"/>
      <c r="K104" s="24"/>
    </row>
    <row r="105" spans="5:11" s="4" customFormat="1" ht="14" x14ac:dyDescent="0.2">
      <c r="E105" s="6"/>
      <c r="F105" s="6"/>
      <c r="G105" s="6"/>
      <c r="H105" s="6"/>
      <c r="I105" s="6"/>
      <c r="J105" s="24"/>
      <c r="K105" s="24"/>
    </row>
    <row r="106" spans="5:11" s="4" customFormat="1" ht="14" x14ac:dyDescent="0.2">
      <c r="E106" s="6"/>
      <c r="F106" s="6"/>
      <c r="G106" s="6"/>
      <c r="H106" s="6"/>
      <c r="I106" s="6"/>
      <c r="J106" s="24"/>
      <c r="K106" s="24"/>
    </row>
    <row r="107" spans="5:11" s="4" customFormat="1" ht="14" x14ac:dyDescent="0.2">
      <c r="E107" s="6"/>
      <c r="F107" s="6"/>
      <c r="G107" s="6"/>
      <c r="H107" s="6"/>
      <c r="I107" s="6"/>
      <c r="J107" s="24"/>
      <c r="K107" s="24"/>
    </row>
    <row r="108" spans="5:11" s="4" customFormat="1" ht="14" x14ac:dyDescent="0.2">
      <c r="E108" s="6"/>
      <c r="F108" s="6"/>
      <c r="G108" s="6"/>
      <c r="H108" s="6"/>
      <c r="I108" s="6"/>
      <c r="J108" s="24"/>
      <c r="K108" s="24"/>
    </row>
    <row r="109" spans="5:11" s="4" customFormat="1" ht="14" x14ac:dyDescent="0.2">
      <c r="E109" s="6"/>
      <c r="F109" s="6"/>
      <c r="G109" s="6"/>
      <c r="H109" s="6"/>
      <c r="I109" s="6"/>
      <c r="J109" s="24"/>
      <c r="K109" s="24"/>
    </row>
    <row r="110" spans="5:11" s="4" customFormat="1" ht="14" x14ac:dyDescent="0.2">
      <c r="E110" s="6"/>
      <c r="F110" s="6"/>
      <c r="G110" s="6"/>
      <c r="H110" s="6"/>
      <c r="I110" s="6"/>
      <c r="J110" s="24"/>
      <c r="K110" s="24"/>
    </row>
    <row r="111" spans="5:11" s="4" customFormat="1" ht="14" x14ac:dyDescent="0.2">
      <c r="E111" s="6"/>
      <c r="F111" s="6"/>
      <c r="G111" s="6"/>
      <c r="H111" s="6"/>
      <c r="I111" s="6"/>
      <c r="J111" s="24"/>
      <c r="K111" s="24"/>
    </row>
    <row r="112" spans="5:11" s="4" customFormat="1" ht="14" x14ac:dyDescent="0.2">
      <c r="E112" s="6"/>
      <c r="F112" s="6"/>
      <c r="G112" s="6"/>
      <c r="H112" s="6"/>
      <c r="I112" s="6"/>
      <c r="J112" s="24"/>
      <c r="K112" s="24"/>
    </row>
    <row r="113" spans="5:11" s="4" customFormat="1" ht="14" x14ac:dyDescent="0.2">
      <c r="E113" s="6"/>
      <c r="F113" s="6"/>
      <c r="G113" s="6"/>
      <c r="H113" s="6"/>
      <c r="I113" s="6"/>
      <c r="J113" s="24"/>
      <c r="K113" s="24"/>
    </row>
    <row r="114" spans="5:11" s="4" customFormat="1" ht="14" x14ac:dyDescent="0.2">
      <c r="E114" s="6"/>
      <c r="F114" s="6"/>
      <c r="G114" s="6"/>
      <c r="H114" s="6"/>
      <c r="I114" s="6"/>
      <c r="J114" s="24"/>
      <c r="K114" s="24"/>
    </row>
    <row r="115" spans="5:11" s="4" customFormat="1" ht="14" x14ac:dyDescent="0.2">
      <c r="E115" s="6"/>
      <c r="F115" s="6"/>
      <c r="G115" s="6"/>
      <c r="H115" s="6"/>
      <c r="I115" s="6"/>
      <c r="J115" s="24"/>
      <c r="K115" s="24"/>
    </row>
    <row r="116" spans="5:11" s="4" customFormat="1" ht="14" x14ac:dyDescent="0.2">
      <c r="E116" s="6"/>
      <c r="F116" s="6"/>
      <c r="G116" s="6"/>
      <c r="H116" s="6"/>
      <c r="I116" s="6"/>
      <c r="J116" s="24"/>
      <c r="K116" s="24"/>
    </row>
    <row r="117" spans="5:11" s="4" customFormat="1" ht="14" x14ac:dyDescent="0.2">
      <c r="E117" s="6"/>
      <c r="F117" s="6"/>
      <c r="G117" s="6"/>
      <c r="H117" s="6"/>
      <c r="I117" s="6"/>
      <c r="J117" s="24"/>
      <c r="K117" s="24"/>
    </row>
    <row r="118" spans="5:11" s="4" customFormat="1" ht="14" x14ac:dyDescent="0.2">
      <c r="E118" s="6"/>
      <c r="F118" s="6"/>
      <c r="G118" s="6"/>
      <c r="H118" s="6"/>
      <c r="I118" s="6"/>
      <c r="J118" s="24"/>
      <c r="K118" s="24"/>
    </row>
    <row r="119" spans="5:11" s="4" customFormat="1" ht="14" x14ac:dyDescent="0.2">
      <c r="E119" s="6"/>
      <c r="F119" s="6"/>
      <c r="G119" s="6"/>
      <c r="H119" s="6"/>
      <c r="I119" s="6"/>
      <c r="J119" s="24"/>
      <c r="K119" s="24"/>
    </row>
    <row r="120" spans="5:11" s="4" customFormat="1" ht="14" x14ac:dyDescent="0.2">
      <c r="E120" s="6"/>
      <c r="F120" s="6"/>
      <c r="G120" s="6"/>
      <c r="H120" s="6"/>
      <c r="I120" s="6"/>
      <c r="J120" s="24"/>
      <c r="K120" s="24"/>
    </row>
    <row r="121" spans="5:11" s="4" customFormat="1" ht="14" x14ac:dyDescent="0.2">
      <c r="E121" s="6"/>
      <c r="F121" s="6"/>
      <c r="G121" s="6"/>
      <c r="H121" s="6"/>
      <c r="I121" s="6"/>
      <c r="J121" s="24"/>
      <c r="K121" s="24"/>
    </row>
    <row r="122" spans="5:11" s="4" customFormat="1" ht="14" x14ac:dyDescent="0.2">
      <c r="E122" s="6"/>
      <c r="F122" s="6"/>
      <c r="G122" s="6"/>
      <c r="H122" s="6"/>
      <c r="I122" s="6"/>
      <c r="J122" s="24"/>
      <c r="K122" s="24"/>
    </row>
    <row r="123" spans="5:11" s="4" customFormat="1" ht="14" x14ac:dyDescent="0.2">
      <c r="E123" s="6"/>
      <c r="F123" s="6"/>
      <c r="G123" s="6"/>
      <c r="H123" s="6"/>
      <c r="I123" s="6"/>
      <c r="J123" s="24"/>
      <c r="K123" s="24"/>
    </row>
    <row r="124" spans="5:11" s="4" customFormat="1" ht="14" x14ac:dyDescent="0.2">
      <c r="E124" s="6"/>
      <c r="F124" s="6"/>
      <c r="G124" s="6"/>
      <c r="H124" s="6"/>
      <c r="I124" s="6"/>
      <c r="J124" s="24"/>
      <c r="K124" s="24"/>
    </row>
    <row r="125" spans="5:11" s="4" customFormat="1" ht="14" x14ac:dyDescent="0.2">
      <c r="E125" s="6"/>
      <c r="F125" s="6"/>
      <c r="G125" s="6"/>
      <c r="H125" s="6"/>
      <c r="I125" s="6"/>
      <c r="J125" s="24"/>
      <c r="K125" s="24"/>
    </row>
    <row r="126" spans="5:11" s="4" customFormat="1" ht="14" x14ac:dyDescent="0.2">
      <c r="E126" s="6"/>
      <c r="F126" s="6"/>
      <c r="G126" s="6"/>
      <c r="H126" s="6"/>
      <c r="I126" s="6"/>
      <c r="J126" s="24"/>
      <c r="K126" s="24"/>
    </row>
    <row r="127" spans="5:11" s="4" customFormat="1" ht="14" x14ac:dyDescent="0.2">
      <c r="E127" s="6"/>
      <c r="F127" s="6"/>
      <c r="G127" s="6"/>
      <c r="H127" s="6"/>
      <c r="I127" s="6"/>
      <c r="J127" s="24"/>
      <c r="K127" s="24"/>
    </row>
    <row r="128" spans="5:11" s="4" customFormat="1" ht="14" x14ac:dyDescent="0.2">
      <c r="E128" s="6"/>
      <c r="F128" s="6"/>
      <c r="G128" s="6"/>
      <c r="H128" s="6"/>
      <c r="I128" s="6"/>
      <c r="J128" s="24"/>
      <c r="K128" s="24"/>
    </row>
    <row r="129" spans="5:11" s="4" customFormat="1" ht="14" x14ac:dyDescent="0.2">
      <c r="E129" s="6"/>
      <c r="F129" s="6"/>
      <c r="G129" s="6"/>
      <c r="H129" s="6"/>
      <c r="I129" s="6"/>
      <c r="J129" s="24"/>
      <c r="K129" s="24"/>
    </row>
    <row r="130" spans="5:11" s="4" customFormat="1" ht="14" x14ac:dyDescent="0.2">
      <c r="E130" s="6"/>
      <c r="F130" s="6"/>
      <c r="G130" s="6"/>
      <c r="H130" s="6"/>
      <c r="I130" s="6"/>
      <c r="J130" s="24"/>
      <c r="K130" s="24"/>
    </row>
    <row r="131" spans="5:11" s="4" customFormat="1" ht="14" x14ac:dyDescent="0.2">
      <c r="E131" s="6"/>
      <c r="F131" s="6"/>
      <c r="G131" s="6"/>
      <c r="H131" s="6"/>
      <c r="I131" s="6"/>
      <c r="J131" s="24"/>
      <c r="K131" s="24"/>
    </row>
    <row r="132" spans="5:11" s="4" customFormat="1" ht="14" x14ac:dyDescent="0.2">
      <c r="E132" s="6"/>
      <c r="F132" s="6"/>
      <c r="G132" s="6"/>
      <c r="H132" s="6"/>
      <c r="I132" s="6"/>
      <c r="J132" s="24"/>
      <c r="K132" s="24"/>
    </row>
    <row r="133" spans="5:11" s="4" customFormat="1" ht="14" x14ac:dyDescent="0.2">
      <c r="E133" s="6"/>
      <c r="F133" s="6"/>
      <c r="G133" s="6"/>
      <c r="H133" s="6"/>
      <c r="I133" s="6"/>
      <c r="J133" s="24"/>
      <c r="K133" s="24"/>
    </row>
    <row r="134" spans="5:11" s="4" customFormat="1" ht="14" x14ac:dyDescent="0.2">
      <c r="E134" s="6"/>
      <c r="F134" s="6"/>
      <c r="G134" s="6"/>
      <c r="H134" s="6"/>
      <c r="I134" s="6"/>
      <c r="J134" s="24"/>
      <c r="K134" s="24"/>
    </row>
    <row r="135" spans="5:11" s="4" customFormat="1" ht="14" x14ac:dyDescent="0.2">
      <c r="E135" s="6"/>
      <c r="F135" s="6"/>
      <c r="G135" s="6"/>
      <c r="H135" s="6"/>
      <c r="I135" s="6"/>
      <c r="J135" s="24"/>
      <c r="K135" s="24"/>
    </row>
    <row r="136" spans="5:11" s="4" customFormat="1" ht="14" x14ac:dyDescent="0.2">
      <c r="E136" s="6"/>
      <c r="F136" s="6"/>
      <c r="G136" s="6"/>
      <c r="H136" s="6"/>
      <c r="I136" s="6"/>
      <c r="J136" s="24"/>
      <c r="K136" s="24"/>
    </row>
    <row r="137" spans="5:11" s="4" customFormat="1" ht="14" x14ac:dyDescent="0.2">
      <c r="E137" s="6"/>
      <c r="F137" s="6"/>
      <c r="G137" s="6"/>
      <c r="H137" s="6"/>
      <c r="I137" s="6"/>
      <c r="J137" s="24"/>
      <c r="K137" s="24"/>
    </row>
    <row r="138" spans="5:11" s="4" customFormat="1" ht="14" x14ac:dyDescent="0.2">
      <c r="E138" s="6"/>
      <c r="F138" s="6"/>
      <c r="G138" s="6"/>
      <c r="H138" s="6"/>
      <c r="I138" s="6"/>
      <c r="J138" s="24"/>
      <c r="K138" s="24"/>
    </row>
    <row r="139" spans="5:11" s="4" customFormat="1" ht="14" x14ac:dyDescent="0.2">
      <c r="E139" s="6"/>
      <c r="F139" s="6"/>
      <c r="G139" s="6"/>
      <c r="H139" s="6"/>
      <c r="I139" s="6"/>
      <c r="J139" s="24"/>
      <c r="K139" s="24"/>
    </row>
    <row r="140" spans="5:11" s="4" customFormat="1" ht="14" x14ac:dyDescent="0.2">
      <c r="E140" s="6"/>
      <c r="F140" s="6"/>
      <c r="G140" s="6"/>
      <c r="H140" s="6"/>
      <c r="I140" s="6"/>
      <c r="J140" s="24"/>
      <c r="K140" s="24"/>
    </row>
    <row r="141" spans="5:11" s="4" customFormat="1" ht="14" x14ac:dyDescent="0.2">
      <c r="E141" s="6"/>
      <c r="F141" s="6"/>
      <c r="G141" s="6"/>
      <c r="H141" s="6"/>
      <c r="I141" s="6"/>
      <c r="J141" s="24"/>
      <c r="K141" s="24"/>
    </row>
    <row r="142" spans="5:11" s="4" customFormat="1" ht="14" x14ac:dyDescent="0.2">
      <c r="E142" s="6"/>
      <c r="F142" s="6"/>
      <c r="G142" s="6"/>
      <c r="H142" s="6"/>
      <c r="I142" s="6"/>
      <c r="J142" s="24"/>
      <c r="K142" s="24"/>
    </row>
    <row r="143" spans="5:11" s="4" customFormat="1" ht="14" x14ac:dyDescent="0.2">
      <c r="E143" s="6"/>
      <c r="F143" s="6"/>
      <c r="G143" s="6"/>
      <c r="H143" s="6"/>
      <c r="I143" s="6"/>
      <c r="J143" s="24"/>
      <c r="K143" s="24"/>
    </row>
    <row r="144" spans="5:11" s="4" customFormat="1" ht="14" x14ac:dyDescent="0.2">
      <c r="E144" s="6"/>
      <c r="F144" s="6"/>
      <c r="G144" s="6"/>
      <c r="H144" s="6"/>
      <c r="I144" s="6"/>
      <c r="J144" s="24"/>
      <c r="K144" s="24"/>
    </row>
    <row r="145" spans="5:11" s="4" customFormat="1" ht="14" x14ac:dyDescent="0.2">
      <c r="E145" s="6"/>
      <c r="F145" s="6"/>
      <c r="G145" s="6"/>
      <c r="H145" s="6"/>
      <c r="I145" s="6"/>
      <c r="J145" s="24"/>
      <c r="K145" s="24"/>
    </row>
    <row r="146" spans="5:11" s="4" customFormat="1" ht="14" x14ac:dyDescent="0.2">
      <c r="E146" s="6"/>
      <c r="F146" s="6"/>
      <c r="G146" s="6"/>
      <c r="H146" s="6"/>
      <c r="I146" s="6"/>
      <c r="J146" s="24"/>
      <c r="K146" s="24"/>
    </row>
    <row r="147" spans="5:11" s="4" customFormat="1" ht="14" x14ac:dyDescent="0.2">
      <c r="E147" s="6"/>
      <c r="F147" s="6"/>
      <c r="G147" s="6"/>
      <c r="H147" s="6"/>
      <c r="I147" s="6"/>
      <c r="J147" s="24"/>
      <c r="K147" s="24"/>
    </row>
    <row r="148" spans="5:11" s="4" customFormat="1" ht="14" x14ac:dyDescent="0.2">
      <c r="E148" s="6"/>
      <c r="F148" s="6"/>
      <c r="G148" s="6"/>
      <c r="H148" s="6"/>
      <c r="I148" s="6"/>
      <c r="J148" s="24"/>
      <c r="K148" s="24"/>
    </row>
    <row r="149" spans="5:11" s="4" customFormat="1" ht="14" x14ac:dyDescent="0.2">
      <c r="E149" s="6"/>
      <c r="F149" s="6"/>
      <c r="G149" s="6"/>
      <c r="H149" s="6"/>
      <c r="I149" s="6"/>
      <c r="J149" s="24"/>
      <c r="K149" s="24"/>
    </row>
    <row r="150" spans="5:11" s="4" customFormat="1" ht="14" x14ac:dyDescent="0.2">
      <c r="E150" s="6"/>
      <c r="F150" s="6"/>
      <c r="G150" s="6"/>
      <c r="H150" s="6"/>
      <c r="I150" s="6"/>
      <c r="J150" s="24"/>
      <c r="K150" s="24"/>
    </row>
    <row r="151" spans="5:11" s="4" customFormat="1" ht="14" x14ac:dyDescent="0.2">
      <c r="E151" s="6"/>
      <c r="F151" s="6"/>
      <c r="G151" s="6"/>
      <c r="H151" s="6"/>
      <c r="I151" s="6"/>
      <c r="J151" s="24"/>
      <c r="K151" s="24"/>
    </row>
    <row r="152" spans="5:11" s="4" customFormat="1" ht="14" x14ac:dyDescent="0.2">
      <c r="E152" s="6"/>
      <c r="F152" s="6"/>
      <c r="G152" s="6"/>
      <c r="H152" s="6"/>
      <c r="I152" s="6"/>
      <c r="J152" s="24"/>
      <c r="K152" s="24"/>
    </row>
    <row r="153" spans="5:11" s="4" customFormat="1" ht="14" x14ac:dyDescent="0.2">
      <c r="E153" s="6"/>
      <c r="F153" s="6"/>
      <c r="G153" s="6"/>
      <c r="H153" s="6"/>
      <c r="I153" s="6"/>
      <c r="J153" s="24"/>
      <c r="K153" s="24"/>
    </row>
    <row r="154" spans="5:11" s="4" customFormat="1" ht="14" x14ac:dyDescent="0.2">
      <c r="E154" s="6"/>
      <c r="F154" s="6"/>
      <c r="G154" s="6"/>
      <c r="H154" s="6"/>
      <c r="I154" s="6"/>
      <c r="J154" s="24"/>
      <c r="K154" s="24"/>
    </row>
    <row r="155" spans="5:11" s="4" customFormat="1" ht="14" x14ac:dyDescent="0.2">
      <c r="E155" s="6"/>
      <c r="F155" s="6"/>
      <c r="G155" s="6"/>
      <c r="H155" s="6"/>
      <c r="I155" s="6"/>
      <c r="J155" s="24"/>
      <c r="K155" s="24"/>
    </row>
    <row r="156" spans="5:11" s="4" customFormat="1" ht="14" x14ac:dyDescent="0.2">
      <c r="E156" s="6"/>
      <c r="F156" s="6"/>
      <c r="G156" s="6"/>
      <c r="H156" s="6"/>
      <c r="I156" s="6"/>
      <c r="J156" s="24"/>
      <c r="K156" s="24"/>
    </row>
    <row r="157" spans="5:11" s="4" customFormat="1" ht="14" x14ac:dyDescent="0.2">
      <c r="E157" s="6"/>
      <c r="F157" s="6"/>
      <c r="G157" s="6"/>
      <c r="H157" s="6"/>
      <c r="I157" s="6"/>
      <c r="J157" s="24"/>
      <c r="K157" s="24"/>
    </row>
    <row r="158" spans="5:11" s="4" customFormat="1" ht="14" x14ac:dyDescent="0.2">
      <c r="E158" s="6"/>
      <c r="F158" s="6"/>
      <c r="G158" s="6"/>
      <c r="H158" s="6"/>
      <c r="I158" s="6"/>
      <c r="J158" s="24"/>
      <c r="K158" s="24"/>
    </row>
    <row r="159" spans="5:11" s="4" customFormat="1" ht="14" x14ac:dyDescent="0.2">
      <c r="E159" s="6"/>
      <c r="F159" s="6"/>
      <c r="G159" s="6"/>
      <c r="H159" s="6"/>
      <c r="I159" s="6"/>
      <c r="J159" s="24"/>
      <c r="K159" s="24"/>
    </row>
    <row r="160" spans="5:11" s="4" customFormat="1" ht="14" x14ac:dyDescent="0.2">
      <c r="E160" s="6"/>
      <c r="F160" s="6"/>
      <c r="G160" s="6"/>
      <c r="H160" s="6"/>
      <c r="I160" s="6"/>
      <c r="J160" s="24"/>
      <c r="K160" s="24"/>
    </row>
    <row r="161" spans="5:11" s="4" customFormat="1" ht="14" x14ac:dyDescent="0.2">
      <c r="E161" s="6"/>
      <c r="F161" s="6"/>
      <c r="G161" s="6"/>
      <c r="H161" s="6"/>
      <c r="I161" s="6"/>
      <c r="J161" s="24"/>
      <c r="K161" s="24"/>
    </row>
    <row r="162" spans="5:11" s="4" customFormat="1" ht="14" x14ac:dyDescent="0.2">
      <c r="E162" s="6"/>
      <c r="F162" s="6"/>
      <c r="G162" s="6"/>
      <c r="H162" s="6"/>
      <c r="I162" s="6"/>
      <c r="J162" s="24"/>
      <c r="K162" s="24"/>
    </row>
  </sheetData>
  <mergeCells count="4">
    <mergeCell ref="B18:C18"/>
    <mergeCell ref="A1:H1"/>
    <mergeCell ref="A10:A14"/>
    <mergeCell ref="A3:A8"/>
  </mergeCells>
  <conditionalFormatting sqref="O20:O24">
    <cfRule type="cellIs" dxfId="9" priority="3" operator="lessThan">
      <formula>0</formula>
    </cfRule>
    <cfRule type="cellIs" dxfId="8" priority="4" operator="greaterThan">
      <formula>0</formula>
    </cfRule>
  </conditionalFormatting>
  <conditionalFormatting sqref="O25">
    <cfRule type="cellIs" dxfId="7" priority="1" operator="lessThan">
      <formula>0</formula>
    </cfRule>
    <cfRule type="cellIs" dxfId="6" priority="2" operator="greaterThan">
      <formula>0</formula>
    </cfRule>
  </conditionalFormatting>
  <hyperlinks>
    <hyperlink ref="G16" r:id="rId1" xr:uid="{7F3F117E-AD05-024E-8280-7F19B1552139}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AE175"/>
  <sheetViews>
    <sheetView zoomScale="120" zoomScaleNormal="120" workbookViewId="0">
      <selection activeCell="R18" sqref="R18"/>
    </sheetView>
  </sheetViews>
  <sheetFormatPr baseColWidth="10" defaultColWidth="8.83203125" defaultRowHeight="14" x14ac:dyDescent="0.2"/>
  <cols>
    <col min="1" max="1" width="6.83203125" style="5" customWidth="1"/>
    <col min="2" max="4" width="10.6640625" style="5" customWidth="1"/>
    <col min="5" max="5" width="10.1640625" style="10" customWidth="1"/>
    <col min="6" max="6" width="9.33203125" style="10" customWidth="1"/>
    <col min="7" max="7" width="10.5" style="10" customWidth="1"/>
    <col min="8" max="8" width="8.1640625" style="10" customWidth="1"/>
    <col min="9" max="10" width="10.33203125" style="10" customWidth="1"/>
    <col min="11" max="11" width="13" style="10" customWidth="1"/>
    <col min="12" max="12" width="14.1640625" style="10" hidden="1" customWidth="1"/>
    <col min="13" max="13" width="14.1640625" style="24" customWidth="1"/>
    <col min="14" max="14" width="17.33203125" style="24" customWidth="1"/>
    <col min="15" max="15" width="14.83203125" style="6" customWidth="1"/>
    <col min="16" max="16" width="11.33203125" style="4" customWidth="1"/>
    <col min="17" max="17" width="11.5" style="4" customWidth="1"/>
    <col min="18" max="31" width="8.83203125" style="4"/>
    <col min="32" max="16384" width="8.83203125" style="5"/>
  </cols>
  <sheetData>
    <row r="1" spans="1:15" s="2" customFormat="1" ht="19.75" customHeight="1" x14ac:dyDescent="0.25">
      <c r="A1" s="120" t="s">
        <v>103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88"/>
      <c r="N1" s="31"/>
    </row>
    <row r="2" spans="1:15" s="2" customFormat="1" ht="15" thickBot="1" x14ac:dyDescent="0.25">
      <c r="C2" s="11"/>
      <c r="D2" s="11"/>
      <c r="E2" s="11"/>
      <c r="F2" s="11"/>
      <c r="G2" s="11"/>
      <c r="H2" s="11"/>
      <c r="I2" s="11"/>
      <c r="J2" s="11"/>
      <c r="K2" s="11"/>
      <c r="L2" s="11"/>
      <c r="M2" s="20"/>
      <c r="N2" s="44"/>
      <c r="O2" s="11"/>
    </row>
    <row r="3" spans="1:15" s="2" customFormat="1" ht="13" customHeight="1" x14ac:dyDescent="0.2">
      <c r="A3" s="260" t="s">
        <v>45</v>
      </c>
      <c r="B3" s="35" t="s">
        <v>21</v>
      </c>
      <c r="C3" s="35"/>
      <c r="D3" s="35"/>
      <c r="E3" s="35"/>
      <c r="F3" s="36">
        <v>100</v>
      </c>
      <c r="L3" s="12"/>
      <c r="M3" s="21"/>
      <c r="N3" s="21"/>
      <c r="O3" s="12"/>
    </row>
    <row r="4" spans="1:15" s="2" customFormat="1" ht="14.5" customHeight="1" x14ac:dyDescent="0.2">
      <c r="A4" s="261"/>
      <c r="B4" s="37" t="s">
        <v>26</v>
      </c>
      <c r="C4" s="37"/>
      <c r="D4" s="37"/>
      <c r="E4" s="37"/>
      <c r="F4" s="157">
        <v>1.2999999999999999E-2</v>
      </c>
      <c r="L4" s="12"/>
      <c r="M4" s="21"/>
      <c r="N4" s="21"/>
      <c r="O4" s="12"/>
    </row>
    <row r="5" spans="1:15" s="2" customFormat="1" ht="14.5" customHeight="1" x14ac:dyDescent="0.2">
      <c r="A5" s="261"/>
      <c r="B5" s="37" t="s">
        <v>27</v>
      </c>
      <c r="C5" s="37"/>
      <c r="D5" s="37"/>
      <c r="E5" s="37"/>
      <c r="F5" s="157">
        <v>7.4999999999999997E-3</v>
      </c>
      <c r="L5" s="12"/>
      <c r="M5" s="21"/>
      <c r="N5" s="21"/>
      <c r="O5" s="12"/>
    </row>
    <row r="6" spans="1:15" s="2" customFormat="1" ht="14.5" customHeight="1" x14ac:dyDescent="0.2">
      <c r="A6" s="261"/>
      <c r="B6" s="37" t="s">
        <v>32</v>
      </c>
      <c r="C6" s="37"/>
      <c r="D6" s="37"/>
      <c r="E6" s="37"/>
      <c r="F6" s="45" t="s">
        <v>34</v>
      </c>
      <c r="L6" s="12"/>
      <c r="M6" s="21"/>
      <c r="N6" s="21"/>
      <c r="O6" s="12"/>
    </row>
    <row r="7" spans="1:15" s="2" customFormat="1" ht="14.75" customHeight="1" x14ac:dyDescent="0.2">
      <c r="A7" s="261"/>
      <c r="B7" s="37" t="s">
        <v>35</v>
      </c>
      <c r="C7" s="37"/>
      <c r="D7" s="37"/>
      <c r="E7" s="37"/>
      <c r="F7" s="128">
        <v>0.7</v>
      </c>
      <c r="L7" s="12"/>
      <c r="M7" s="21"/>
      <c r="N7" s="21"/>
      <c r="O7" s="12"/>
    </row>
    <row r="8" spans="1:15" s="2" customFormat="1" ht="14.75" customHeight="1" thickBot="1" x14ac:dyDescent="0.25">
      <c r="A8" s="262"/>
      <c r="B8" s="38" t="s">
        <v>89</v>
      </c>
      <c r="C8" s="38"/>
      <c r="D8" s="38"/>
      <c r="E8" s="38"/>
      <c r="F8" s="129">
        <v>0.19</v>
      </c>
      <c r="L8" s="12"/>
      <c r="M8" s="21"/>
      <c r="N8" s="21"/>
      <c r="O8" s="12"/>
    </row>
    <row r="9" spans="1:15" s="2" customFormat="1" ht="15" thickBot="1" x14ac:dyDescent="0.25">
      <c r="B9" s="12"/>
      <c r="C9" s="12"/>
      <c r="D9" s="12"/>
      <c r="E9" s="13"/>
      <c r="F9" s="13"/>
      <c r="L9" s="12"/>
      <c r="M9" s="21"/>
      <c r="N9" s="21"/>
      <c r="O9" s="12"/>
    </row>
    <row r="10" spans="1:15" x14ac:dyDescent="0.2">
      <c r="A10" s="257" t="s">
        <v>25</v>
      </c>
      <c r="B10" s="35" t="s">
        <v>20</v>
      </c>
      <c r="C10" s="35"/>
      <c r="D10" s="35"/>
      <c r="E10" s="35"/>
      <c r="F10" s="158">
        <v>10</v>
      </c>
      <c r="G10" s="1" t="s">
        <v>23</v>
      </c>
      <c r="H10" s="1"/>
      <c r="I10" s="6"/>
      <c r="J10" s="6"/>
      <c r="K10" s="6"/>
      <c r="L10" s="12"/>
      <c r="M10" s="21"/>
      <c r="N10" s="21"/>
      <c r="O10" s="12"/>
    </row>
    <row r="11" spans="1:15" x14ac:dyDescent="0.2">
      <c r="A11" s="258"/>
      <c r="B11" s="37" t="s">
        <v>22</v>
      </c>
      <c r="C11" s="37"/>
      <c r="D11" s="37"/>
      <c r="E11" s="37"/>
      <c r="F11" s="40">
        <f>F10*F3</f>
        <v>1000</v>
      </c>
      <c r="G11" s="4"/>
      <c r="H11" s="4"/>
      <c r="I11" s="6"/>
      <c r="J11" s="6"/>
      <c r="K11" s="6"/>
      <c r="L11" s="12"/>
      <c r="M11" s="21"/>
      <c r="N11" s="21"/>
      <c r="O11" s="12"/>
    </row>
    <row r="12" spans="1:15" x14ac:dyDescent="0.2">
      <c r="A12" s="258"/>
      <c r="B12" s="37" t="s">
        <v>39</v>
      </c>
      <c r="C12" s="37"/>
      <c r="D12" s="37"/>
      <c r="E12" s="37"/>
      <c r="F12" s="41">
        <v>2.5000000000000001E-2</v>
      </c>
      <c r="G12" s="1" t="s">
        <v>24</v>
      </c>
      <c r="H12" s="1"/>
      <c r="I12" s="6"/>
      <c r="J12" s="6"/>
      <c r="K12" s="6"/>
      <c r="L12" s="12"/>
      <c r="M12" s="21"/>
      <c r="N12" s="21"/>
      <c r="O12" s="12"/>
    </row>
    <row r="13" spans="1:15" x14ac:dyDescent="0.2">
      <c r="A13" s="258"/>
      <c r="B13" s="37" t="s">
        <v>52</v>
      </c>
      <c r="C13" s="37"/>
      <c r="D13" s="37"/>
      <c r="E13" s="37"/>
      <c r="F13" s="41">
        <v>2.5000000000000001E-2</v>
      </c>
      <c r="G13" s="1" t="s">
        <v>82</v>
      </c>
      <c r="H13" s="1"/>
      <c r="I13" s="6"/>
      <c r="J13" s="6"/>
      <c r="K13" s="6"/>
      <c r="L13" s="12"/>
      <c r="M13" s="21"/>
      <c r="N13" s="21"/>
      <c r="O13" s="12"/>
    </row>
    <row r="14" spans="1:15" ht="15" thickBot="1" x14ac:dyDescent="0.25">
      <c r="A14" s="259"/>
      <c r="B14" s="38" t="s">
        <v>44</v>
      </c>
      <c r="C14" s="38"/>
      <c r="D14" s="38"/>
      <c r="E14" s="38"/>
      <c r="F14" s="62">
        <v>2.5000000000000001E-2</v>
      </c>
      <c r="G14" s="1" t="s">
        <v>82</v>
      </c>
      <c r="H14" s="1"/>
      <c r="I14" s="6"/>
      <c r="J14" s="6"/>
      <c r="K14" s="6"/>
      <c r="L14" s="12"/>
      <c r="M14" s="21"/>
      <c r="N14" s="21"/>
      <c r="O14" s="12"/>
    </row>
    <row r="15" spans="1:15" s="4" customFormat="1" x14ac:dyDescent="0.2">
      <c r="H15" s="163"/>
      <c r="M15" s="22"/>
      <c r="N15" s="22"/>
    </row>
    <row r="16" spans="1:15" ht="19" customHeight="1" x14ac:dyDescent="0.2">
      <c r="A16" s="2" t="s">
        <v>3</v>
      </c>
      <c r="B16" s="2"/>
      <c r="C16" s="2"/>
      <c r="D16" s="2"/>
      <c r="E16" s="2"/>
      <c r="F16" s="2"/>
      <c r="G16" s="269" t="s">
        <v>124</v>
      </c>
      <c r="H16" s="6"/>
      <c r="I16" s="4"/>
      <c r="J16" s="3"/>
      <c r="K16" s="3"/>
      <c r="L16" s="3"/>
      <c r="M16" s="23"/>
      <c r="N16" s="23"/>
      <c r="O16" s="3"/>
    </row>
    <row r="17" spans="1:31" ht="15" thickBot="1" x14ac:dyDescent="0.25">
      <c r="A17" s="4"/>
      <c r="B17" s="4"/>
      <c r="C17" s="4"/>
      <c r="D17" s="6"/>
      <c r="E17" s="4"/>
      <c r="F17" s="4"/>
      <c r="G17" s="4"/>
      <c r="H17" s="49"/>
      <c r="I17" s="49"/>
      <c r="J17" s="49"/>
      <c r="K17" s="54"/>
      <c r="L17" s="4"/>
      <c r="M17" s="22"/>
      <c r="N17" s="22"/>
      <c r="O17" s="4"/>
    </row>
    <row r="18" spans="1:31" s="30" customFormat="1" ht="124.5" customHeight="1" x14ac:dyDescent="0.2">
      <c r="A18" s="25" t="s">
        <v>28</v>
      </c>
      <c r="B18" s="25" t="s">
        <v>30</v>
      </c>
      <c r="C18" s="25" t="s">
        <v>1</v>
      </c>
      <c r="D18" s="27" t="s">
        <v>19</v>
      </c>
      <c r="E18" s="27" t="s">
        <v>83</v>
      </c>
      <c r="F18" s="25" t="s">
        <v>38</v>
      </c>
      <c r="G18" s="25" t="s">
        <v>113</v>
      </c>
      <c r="H18" s="25" t="s">
        <v>16</v>
      </c>
      <c r="I18" s="90" t="s">
        <v>90</v>
      </c>
      <c r="J18" s="90" t="s">
        <v>101</v>
      </c>
      <c r="K18" s="97" t="s">
        <v>91</v>
      </c>
      <c r="L18" s="167" t="s">
        <v>86</v>
      </c>
      <c r="M18" s="187" t="s">
        <v>87</v>
      </c>
      <c r="N18" s="111" t="s">
        <v>92</v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4" customFormat="1" ht="16" x14ac:dyDescent="0.2">
      <c r="A19" s="168"/>
      <c r="B19" s="168" t="s">
        <v>17</v>
      </c>
      <c r="C19" s="170">
        <f>$F$11</f>
        <v>1000</v>
      </c>
      <c r="D19" s="189"/>
      <c r="E19" s="189"/>
      <c r="F19" s="170"/>
      <c r="G19" s="170"/>
      <c r="H19" s="170"/>
      <c r="I19" s="170"/>
      <c r="J19" s="170"/>
      <c r="K19" s="179"/>
      <c r="L19" s="8"/>
      <c r="M19" s="8"/>
      <c r="N19" s="160"/>
    </row>
    <row r="20" spans="1:31" s="4" customFormat="1" ht="16" x14ac:dyDescent="0.2">
      <c r="A20" s="168">
        <v>1</v>
      </c>
      <c r="B20" s="168" t="s">
        <v>4</v>
      </c>
      <c r="C20" s="170">
        <f>C19</f>
        <v>1000</v>
      </c>
      <c r="D20" s="169">
        <f>F12</f>
        <v>2.5000000000000001E-2</v>
      </c>
      <c r="E20" s="175">
        <f>F4</f>
        <v>1.2999999999999999E-2</v>
      </c>
      <c r="F20" s="170">
        <f>C19*F4</f>
        <v>13</v>
      </c>
      <c r="G20" s="170">
        <f>MIN($F$10*$F$7,F20)</f>
        <v>7</v>
      </c>
      <c r="H20" s="170">
        <f>MAX(0,(F20-G20)*$F$8)</f>
        <v>1.1400000000000001</v>
      </c>
      <c r="I20" s="170">
        <f>F20-G20-H20</f>
        <v>4.8599999999999994</v>
      </c>
      <c r="J20" s="170">
        <f>$C$19+I20</f>
        <v>1004.86</v>
      </c>
      <c r="K20" s="180">
        <f>(SUM($F$20:F20)-G20)*0.81</f>
        <v>4.8600000000000003</v>
      </c>
      <c r="L20" s="8">
        <f>C19*D20</f>
        <v>25</v>
      </c>
      <c r="M20" s="161">
        <f>M19+L20</f>
        <v>25</v>
      </c>
      <c r="N20" s="109">
        <f>K20-M20</f>
        <v>-20.14</v>
      </c>
    </row>
    <row r="21" spans="1:31" s="4" customFormat="1" ht="16" x14ac:dyDescent="0.2">
      <c r="A21" s="168">
        <v>2</v>
      </c>
      <c r="B21" s="168" t="s">
        <v>5</v>
      </c>
      <c r="C21" s="170">
        <f t="shared" ref="C21:C23" si="0">C20</f>
        <v>1000</v>
      </c>
      <c r="D21" s="169">
        <f>F13</f>
        <v>2.5000000000000001E-2</v>
      </c>
      <c r="E21" s="175">
        <f>MAX(D20,0)+$F$5</f>
        <v>3.2500000000000001E-2</v>
      </c>
      <c r="F21" s="170">
        <f>IF(D20&gt;0,C21*(D20+$F$5),C21*F$5)</f>
        <v>32.5</v>
      </c>
      <c r="G21" s="170">
        <f>$F$10*$F$7</f>
        <v>7</v>
      </c>
      <c r="H21" s="170">
        <f>MAX(0,(F21-G21)*$F$8)</f>
        <v>4.8449999999999998</v>
      </c>
      <c r="I21" s="170">
        <f>F21-G21-H21</f>
        <v>20.655000000000001</v>
      </c>
      <c r="J21" s="170">
        <f t="shared" ref="J21:J23" si="1">$C$19+I21</f>
        <v>1020.655</v>
      </c>
      <c r="K21" s="180">
        <f>(SUM($F$20:F21)-G21)*0.81</f>
        <v>31.185000000000002</v>
      </c>
      <c r="L21" s="8">
        <f>C20*D21</f>
        <v>25</v>
      </c>
      <c r="M21" s="161">
        <f>M20+L21</f>
        <v>50</v>
      </c>
      <c r="N21" s="109">
        <f>K21-M21</f>
        <v>-18.814999999999998</v>
      </c>
    </row>
    <row r="22" spans="1:31" s="4" customFormat="1" ht="17" thickBot="1" x14ac:dyDescent="0.25">
      <c r="A22" s="171">
        <v>3</v>
      </c>
      <c r="B22" s="171" t="s">
        <v>6</v>
      </c>
      <c r="C22" s="190">
        <f t="shared" si="0"/>
        <v>1000</v>
      </c>
      <c r="D22" s="191">
        <f>D21</f>
        <v>2.5000000000000001E-2</v>
      </c>
      <c r="E22" s="192">
        <f t="shared" ref="E22:E23" si="2">MAX(D21,0)+$F$5</f>
        <v>3.2500000000000001E-2</v>
      </c>
      <c r="F22" s="170">
        <f>IF(D21&gt;0,C22*(D21+$F$5),C22*F$5)</f>
        <v>32.5</v>
      </c>
      <c r="G22" s="170">
        <f>$F$10*$F$7</f>
        <v>7</v>
      </c>
      <c r="H22" s="170">
        <f>MAX(0,(F22-G22)*$F$8)</f>
        <v>4.8449999999999998</v>
      </c>
      <c r="I22" s="170">
        <f>F22-G22-H22</f>
        <v>20.655000000000001</v>
      </c>
      <c r="J22" s="170">
        <f t="shared" si="1"/>
        <v>1020.655</v>
      </c>
      <c r="K22" s="180">
        <f>(SUM($F$20:F22)-G22)*0.81</f>
        <v>57.510000000000005</v>
      </c>
      <c r="L22" s="8">
        <f>C21*D22</f>
        <v>25</v>
      </c>
      <c r="M22" s="161">
        <f>M21+L22</f>
        <v>75</v>
      </c>
      <c r="N22" s="110">
        <f>K22-M22</f>
        <v>-17.489999999999995</v>
      </c>
    </row>
    <row r="23" spans="1:31" s="2" customFormat="1" ht="28" thickTop="1" thickBot="1" x14ac:dyDescent="0.35">
      <c r="A23" s="193">
        <v>4</v>
      </c>
      <c r="B23" s="194" t="s">
        <v>7</v>
      </c>
      <c r="C23" s="195">
        <f t="shared" si="0"/>
        <v>1000</v>
      </c>
      <c r="D23" s="196">
        <f>F14</f>
        <v>2.5000000000000001E-2</v>
      </c>
      <c r="E23" s="197">
        <f t="shared" si="2"/>
        <v>3.2500000000000001E-2</v>
      </c>
      <c r="F23" s="195">
        <f>IF(D22&gt;0,C23*(D22+$F$5),C23*F$5)</f>
        <v>32.5</v>
      </c>
      <c r="G23" s="198">
        <v>0</v>
      </c>
      <c r="H23" s="195">
        <f>MAX(0,(F23-G23)*$F$8)</f>
        <v>6.1749999999999998</v>
      </c>
      <c r="I23" s="195">
        <f>F23-G23-H23</f>
        <v>26.324999999999999</v>
      </c>
      <c r="J23" s="195">
        <f t="shared" si="1"/>
        <v>1026.325</v>
      </c>
      <c r="K23" s="199">
        <f>(SUM($F$20:F23)-G23)*0.81</f>
        <v>89.50500000000001</v>
      </c>
      <c r="L23" s="154">
        <f>C22*D23</f>
        <v>25</v>
      </c>
      <c r="M23" s="162">
        <f>M22+L23</f>
        <v>100</v>
      </c>
      <c r="N23" s="112">
        <f>K23-M23</f>
        <v>-10.49499999999999</v>
      </c>
      <c r="Q23" s="18"/>
    </row>
    <row r="24" spans="1:31" s="4" customFormat="1" ht="15" thickTop="1" x14ac:dyDescent="0.2">
      <c r="A24" s="7" t="s">
        <v>36</v>
      </c>
      <c r="E24" s="6"/>
      <c r="F24" s="6"/>
      <c r="G24" s="6"/>
      <c r="H24" s="6"/>
      <c r="K24" s="6"/>
      <c r="L24" s="6"/>
      <c r="M24" s="24"/>
      <c r="N24" s="24"/>
      <c r="O24" s="6"/>
    </row>
    <row r="25" spans="1:31" s="4" customFormat="1" x14ac:dyDescent="0.2">
      <c r="E25" s="6"/>
      <c r="F25" s="6"/>
      <c r="G25" s="6"/>
      <c r="H25" s="6"/>
      <c r="I25" s="6"/>
      <c r="J25" s="6"/>
      <c r="K25" s="6"/>
      <c r="L25" s="6"/>
      <c r="M25" s="24"/>
      <c r="N25" s="24"/>
      <c r="O25" s="6"/>
    </row>
    <row r="26" spans="1:31" s="4" customFormat="1" ht="101.5" customHeight="1" x14ac:dyDescent="0.2">
      <c r="A26" s="263" t="s">
        <v>114</v>
      </c>
      <c r="B26" s="263"/>
      <c r="C26" s="263"/>
      <c r="D26" s="263"/>
      <c r="E26" s="263"/>
      <c r="F26" s="263"/>
      <c r="G26" s="263"/>
      <c r="H26" s="263"/>
      <c r="I26" s="6"/>
      <c r="J26" s="6"/>
      <c r="K26" s="6"/>
      <c r="L26" s="6"/>
      <c r="M26" s="24"/>
      <c r="N26" s="24"/>
      <c r="O26" s="6"/>
    </row>
    <row r="27" spans="1:31" s="4" customFormat="1" x14ac:dyDescent="0.2">
      <c r="A27" s="4" t="s">
        <v>115</v>
      </c>
      <c r="E27" s="6"/>
      <c r="F27" s="6"/>
      <c r="G27" s="6"/>
      <c r="H27" s="6"/>
      <c r="I27" s="6"/>
      <c r="J27" s="6"/>
      <c r="K27" s="6"/>
      <c r="L27" s="6"/>
      <c r="M27" s="24"/>
      <c r="N27" s="24"/>
      <c r="O27" s="6"/>
    </row>
    <row r="28" spans="1:31" s="4" customFormat="1" x14ac:dyDescent="0.2">
      <c r="E28" s="6"/>
      <c r="F28" s="6"/>
      <c r="G28" s="6"/>
      <c r="H28" s="6"/>
      <c r="I28" s="6"/>
      <c r="J28" s="6"/>
      <c r="K28" s="6"/>
      <c r="L28" s="6"/>
      <c r="M28" s="24"/>
      <c r="N28" s="24"/>
      <c r="O28" s="6"/>
    </row>
    <row r="29" spans="1:31" s="4" customFormat="1" x14ac:dyDescent="0.2">
      <c r="E29" s="6"/>
      <c r="F29" s="6"/>
      <c r="G29" s="6"/>
      <c r="H29" s="6"/>
      <c r="I29" s="6"/>
      <c r="J29" s="6"/>
      <c r="K29" s="6"/>
      <c r="L29" s="6"/>
      <c r="M29" s="24"/>
      <c r="N29" s="24"/>
      <c r="O29" s="6"/>
    </row>
    <row r="30" spans="1:31" s="4" customFormat="1" x14ac:dyDescent="0.2">
      <c r="E30" s="6"/>
      <c r="F30" s="6"/>
      <c r="G30" s="6"/>
      <c r="H30" s="6"/>
      <c r="I30" s="6"/>
      <c r="J30" s="6"/>
      <c r="K30" s="6"/>
      <c r="L30" s="6"/>
      <c r="M30" s="24"/>
      <c r="N30" s="24"/>
      <c r="O30" s="6"/>
    </row>
    <row r="31" spans="1:31" s="4" customFormat="1" x14ac:dyDescent="0.2">
      <c r="E31" s="6"/>
      <c r="F31" s="6"/>
      <c r="G31" s="6"/>
      <c r="H31" s="6"/>
      <c r="I31" s="6"/>
      <c r="J31" s="6"/>
      <c r="K31" s="6"/>
      <c r="L31" s="6"/>
      <c r="M31" s="24"/>
      <c r="N31" s="24"/>
      <c r="O31" s="6"/>
    </row>
    <row r="32" spans="1:31" s="4" customFormat="1" x14ac:dyDescent="0.2">
      <c r="E32" s="6"/>
      <c r="F32" s="6"/>
      <c r="G32" s="6"/>
      <c r="H32" s="6"/>
      <c r="I32" s="6"/>
      <c r="J32" s="6"/>
      <c r="K32" s="6"/>
      <c r="L32" s="6"/>
      <c r="M32" s="24"/>
      <c r="N32" s="24"/>
      <c r="O32" s="6"/>
    </row>
    <row r="33" spans="5:15" s="4" customFormat="1" x14ac:dyDescent="0.2">
      <c r="E33" s="6"/>
      <c r="F33" s="6"/>
      <c r="G33" s="6"/>
      <c r="H33" s="6"/>
      <c r="I33" s="6"/>
      <c r="J33" s="6"/>
      <c r="K33" s="6"/>
      <c r="L33" s="6"/>
      <c r="M33" s="24"/>
      <c r="N33" s="24"/>
      <c r="O33" s="6"/>
    </row>
    <row r="34" spans="5:15" s="4" customFormat="1" x14ac:dyDescent="0.2">
      <c r="E34" s="6"/>
      <c r="F34" s="6"/>
      <c r="G34" s="6"/>
      <c r="H34" s="6"/>
      <c r="I34" s="6"/>
      <c r="J34" s="6"/>
      <c r="K34" s="6"/>
      <c r="L34" s="6"/>
      <c r="M34" s="24"/>
      <c r="N34" s="24"/>
      <c r="O34" s="6"/>
    </row>
    <row r="35" spans="5:15" s="4" customFormat="1" x14ac:dyDescent="0.2">
      <c r="E35" s="6"/>
      <c r="F35" s="6"/>
      <c r="G35" s="6"/>
      <c r="H35" s="6"/>
      <c r="I35" s="6"/>
      <c r="J35" s="6"/>
      <c r="K35" s="6"/>
      <c r="L35" s="6"/>
      <c r="M35" s="24"/>
      <c r="N35" s="24"/>
      <c r="O35" s="6"/>
    </row>
    <row r="36" spans="5:15" s="4" customFormat="1" x14ac:dyDescent="0.2">
      <c r="E36" s="6"/>
      <c r="F36" s="6"/>
      <c r="G36" s="6"/>
      <c r="H36" s="6"/>
      <c r="I36" s="6"/>
      <c r="J36" s="6"/>
      <c r="K36" s="6"/>
      <c r="L36" s="6"/>
      <c r="M36" s="24"/>
      <c r="N36" s="24"/>
      <c r="O36" s="6"/>
    </row>
    <row r="37" spans="5:15" s="4" customFormat="1" x14ac:dyDescent="0.2">
      <c r="E37" s="6"/>
      <c r="F37" s="6"/>
      <c r="G37" s="6"/>
      <c r="H37" s="6"/>
      <c r="I37" s="6"/>
      <c r="J37" s="6"/>
      <c r="K37" s="6"/>
      <c r="L37" s="6"/>
      <c r="M37" s="24"/>
      <c r="N37" s="24"/>
      <c r="O37" s="6"/>
    </row>
    <row r="38" spans="5:15" s="4" customFormat="1" x14ac:dyDescent="0.2">
      <c r="E38" s="6"/>
      <c r="F38" s="6"/>
      <c r="G38" s="6"/>
      <c r="H38" s="6"/>
      <c r="I38" s="6"/>
      <c r="J38" s="6"/>
      <c r="K38" s="6"/>
      <c r="L38" s="6"/>
      <c r="M38" s="24"/>
      <c r="N38" s="24"/>
      <c r="O38" s="6"/>
    </row>
    <row r="39" spans="5:15" s="4" customFormat="1" x14ac:dyDescent="0.2">
      <c r="E39" s="6"/>
      <c r="F39" s="6"/>
      <c r="G39" s="6"/>
      <c r="H39" s="6"/>
      <c r="I39" s="6"/>
      <c r="J39" s="6"/>
      <c r="K39" s="6"/>
      <c r="L39" s="6"/>
      <c r="M39" s="24"/>
      <c r="N39" s="24"/>
      <c r="O39" s="6"/>
    </row>
    <row r="40" spans="5:15" s="4" customFormat="1" x14ac:dyDescent="0.2">
      <c r="E40" s="6"/>
      <c r="F40" s="6"/>
      <c r="G40" s="6"/>
      <c r="H40" s="6"/>
      <c r="I40" s="6"/>
      <c r="J40" s="6"/>
      <c r="K40" s="6"/>
      <c r="L40" s="6"/>
      <c r="M40" s="24"/>
      <c r="N40" s="24"/>
      <c r="O40" s="6"/>
    </row>
    <row r="41" spans="5:15" s="4" customFormat="1" x14ac:dyDescent="0.2">
      <c r="E41" s="6"/>
      <c r="F41" s="6"/>
      <c r="G41" s="6"/>
      <c r="H41" s="6"/>
      <c r="I41" s="6"/>
      <c r="J41" s="6"/>
      <c r="K41" s="6"/>
      <c r="L41" s="6"/>
      <c r="M41" s="24"/>
      <c r="N41" s="24"/>
      <c r="O41" s="6"/>
    </row>
    <row r="42" spans="5:15" s="4" customFormat="1" x14ac:dyDescent="0.2">
      <c r="E42" s="6"/>
      <c r="F42" s="6"/>
      <c r="G42" s="6"/>
      <c r="H42" s="6"/>
      <c r="I42" s="6"/>
      <c r="J42" s="6"/>
      <c r="K42" s="6"/>
      <c r="L42" s="6"/>
      <c r="M42" s="24"/>
      <c r="N42" s="24"/>
      <c r="O42" s="6"/>
    </row>
    <row r="43" spans="5:15" s="4" customFormat="1" x14ac:dyDescent="0.2">
      <c r="E43" s="6"/>
      <c r="F43" s="6"/>
      <c r="G43" s="6"/>
      <c r="H43" s="6"/>
      <c r="I43" s="6"/>
      <c r="J43" s="6"/>
      <c r="K43" s="6"/>
      <c r="L43" s="6"/>
      <c r="M43" s="24"/>
      <c r="N43" s="24"/>
      <c r="O43" s="6"/>
    </row>
    <row r="44" spans="5:15" s="4" customFormat="1" x14ac:dyDescent="0.2">
      <c r="E44" s="6"/>
      <c r="F44" s="6"/>
      <c r="G44" s="6"/>
      <c r="H44" s="6"/>
      <c r="I44" s="6"/>
      <c r="J44" s="6"/>
      <c r="K44" s="6"/>
      <c r="L44" s="6"/>
      <c r="M44" s="24"/>
      <c r="N44" s="24"/>
      <c r="O44" s="6"/>
    </row>
    <row r="45" spans="5:15" s="4" customFormat="1" x14ac:dyDescent="0.2">
      <c r="E45" s="6"/>
      <c r="F45" s="6"/>
      <c r="G45" s="6"/>
      <c r="H45" s="6"/>
      <c r="I45" s="6"/>
      <c r="J45" s="6"/>
      <c r="K45" s="6"/>
      <c r="L45" s="6"/>
      <c r="M45" s="24"/>
      <c r="N45" s="24"/>
      <c r="O45" s="6"/>
    </row>
    <row r="46" spans="5:15" s="4" customFormat="1" x14ac:dyDescent="0.2">
      <c r="E46" s="6"/>
      <c r="F46" s="6"/>
      <c r="G46" s="6"/>
      <c r="H46" s="6"/>
      <c r="I46" s="6"/>
      <c r="J46" s="6"/>
      <c r="K46" s="6"/>
      <c r="L46" s="6"/>
      <c r="M46" s="24"/>
      <c r="N46" s="24"/>
      <c r="O46" s="6"/>
    </row>
    <row r="47" spans="5:15" s="4" customFormat="1" x14ac:dyDescent="0.2">
      <c r="E47" s="6"/>
      <c r="F47" s="6"/>
      <c r="G47" s="6"/>
      <c r="H47" s="6"/>
      <c r="I47" s="6"/>
      <c r="J47" s="6"/>
      <c r="K47" s="6"/>
      <c r="L47" s="6"/>
      <c r="M47" s="24"/>
      <c r="N47" s="24"/>
      <c r="O47" s="6"/>
    </row>
    <row r="48" spans="5:15" s="4" customFormat="1" x14ac:dyDescent="0.2">
      <c r="E48" s="6"/>
      <c r="F48" s="6"/>
      <c r="G48" s="6"/>
      <c r="H48" s="6"/>
      <c r="I48" s="6"/>
      <c r="J48" s="6"/>
      <c r="K48" s="6"/>
      <c r="L48" s="6"/>
      <c r="M48" s="24"/>
      <c r="N48" s="24"/>
      <c r="O48" s="6"/>
    </row>
    <row r="49" spans="5:15" s="4" customFormat="1" x14ac:dyDescent="0.2">
      <c r="E49" s="6"/>
      <c r="F49" s="6"/>
      <c r="G49" s="6"/>
      <c r="H49" s="6"/>
      <c r="I49" s="6"/>
      <c r="J49" s="6"/>
      <c r="K49" s="6"/>
      <c r="L49" s="6"/>
      <c r="M49" s="24"/>
      <c r="N49" s="24"/>
      <c r="O49" s="6"/>
    </row>
    <row r="50" spans="5:15" s="4" customFormat="1" x14ac:dyDescent="0.2">
      <c r="E50" s="6"/>
      <c r="F50" s="6"/>
      <c r="G50" s="6"/>
      <c r="H50" s="6"/>
      <c r="I50" s="6"/>
      <c r="J50" s="6"/>
      <c r="K50" s="6"/>
      <c r="L50" s="6"/>
      <c r="M50" s="24"/>
      <c r="N50" s="24"/>
      <c r="O50" s="6"/>
    </row>
    <row r="51" spans="5:15" s="4" customFormat="1" x14ac:dyDescent="0.2">
      <c r="E51" s="6"/>
      <c r="F51" s="6"/>
      <c r="G51" s="6"/>
      <c r="H51" s="6"/>
      <c r="I51" s="6"/>
      <c r="J51" s="6"/>
      <c r="K51" s="6"/>
      <c r="L51" s="6"/>
      <c r="M51" s="24"/>
      <c r="N51" s="24"/>
      <c r="O51" s="6"/>
    </row>
    <row r="52" spans="5:15" s="4" customFormat="1" x14ac:dyDescent="0.2">
      <c r="E52" s="6"/>
      <c r="F52" s="6"/>
      <c r="G52" s="6"/>
      <c r="H52" s="6"/>
      <c r="I52" s="6"/>
      <c r="J52" s="6"/>
      <c r="K52" s="6"/>
      <c r="L52" s="6"/>
      <c r="M52" s="24"/>
      <c r="N52" s="24"/>
      <c r="O52" s="6"/>
    </row>
    <row r="53" spans="5:15" s="4" customFormat="1" x14ac:dyDescent="0.2">
      <c r="E53" s="6"/>
      <c r="F53" s="6"/>
      <c r="G53" s="6"/>
      <c r="H53" s="6"/>
      <c r="I53" s="6"/>
      <c r="J53" s="6"/>
      <c r="K53" s="6"/>
      <c r="L53" s="6"/>
      <c r="M53" s="24"/>
      <c r="N53" s="24"/>
      <c r="O53" s="6"/>
    </row>
    <row r="54" spans="5:15" s="4" customFormat="1" x14ac:dyDescent="0.2">
      <c r="E54" s="6"/>
      <c r="F54" s="6"/>
      <c r="G54" s="6"/>
      <c r="H54" s="6"/>
      <c r="I54" s="6"/>
      <c r="J54" s="6"/>
      <c r="K54" s="6"/>
      <c r="L54" s="6"/>
      <c r="M54" s="24"/>
      <c r="N54" s="24"/>
      <c r="O54" s="6"/>
    </row>
    <row r="55" spans="5:15" s="4" customFormat="1" x14ac:dyDescent="0.2">
      <c r="E55" s="6"/>
      <c r="F55" s="6"/>
      <c r="G55" s="6"/>
      <c r="H55" s="6"/>
      <c r="I55" s="6"/>
      <c r="J55" s="6"/>
      <c r="K55" s="6"/>
      <c r="L55" s="6"/>
      <c r="M55" s="24"/>
      <c r="N55" s="24"/>
      <c r="O55" s="6"/>
    </row>
    <row r="56" spans="5:15" s="4" customFormat="1" x14ac:dyDescent="0.2">
      <c r="E56" s="6"/>
      <c r="F56" s="6"/>
      <c r="G56" s="6"/>
      <c r="H56" s="6"/>
      <c r="I56" s="6"/>
      <c r="J56" s="6"/>
      <c r="K56" s="6"/>
      <c r="L56" s="6"/>
      <c r="M56" s="24"/>
      <c r="N56" s="24"/>
      <c r="O56" s="6"/>
    </row>
    <row r="57" spans="5:15" s="4" customFormat="1" x14ac:dyDescent="0.2">
      <c r="E57" s="6"/>
      <c r="F57" s="6"/>
      <c r="G57" s="6"/>
      <c r="H57" s="6"/>
      <c r="I57" s="6"/>
      <c r="J57" s="6"/>
      <c r="K57" s="6"/>
      <c r="L57" s="6"/>
      <c r="M57" s="24"/>
      <c r="N57" s="24"/>
      <c r="O57" s="6"/>
    </row>
    <row r="58" spans="5:15" s="4" customFormat="1" x14ac:dyDescent="0.2">
      <c r="E58" s="6"/>
      <c r="F58" s="6"/>
      <c r="G58" s="6"/>
      <c r="H58" s="6"/>
      <c r="I58" s="6"/>
      <c r="J58" s="6"/>
      <c r="K58" s="6"/>
      <c r="L58" s="6"/>
      <c r="M58" s="24"/>
      <c r="N58" s="24"/>
      <c r="O58" s="6"/>
    </row>
    <row r="59" spans="5:15" s="4" customFormat="1" x14ac:dyDescent="0.2">
      <c r="E59" s="6"/>
      <c r="F59" s="6"/>
      <c r="G59" s="6"/>
      <c r="H59" s="6"/>
      <c r="I59" s="6"/>
      <c r="J59" s="6"/>
      <c r="K59" s="6"/>
      <c r="L59" s="6"/>
      <c r="M59" s="24"/>
      <c r="N59" s="24"/>
      <c r="O59" s="6"/>
    </row>
    <row r="60" spans="5:15" s="4" customFormat="1" x14ac:dyDescent="0.2">
      <c r="E60" s="6"/>
      <c r="F60" s="6"/>
      <c r="G60" s="6"/>
      <c r="H60" s="6"/>
      <c r="I60" s="6"/>
      <c r="J60" s="6"/>
      <c r="K60" s="6"/>
      <c r="L60" s="6"/>
      <c r="M60" s="24"/>
      <c r="N60" s="24"/>
      <c r="O60" s="6"/>
    </row>
    <row r="61" spans="5:15" s="4" customFormat="1" x14ac:dyDescent="0.2">
      <c r="E61" s="6"/>
      <c r="F61" s="6"/>
      <c r="G61" s="6"/>
      <c r="H61" s="6"/>
      <c r="I61" s="6"/>
      <c r="J61" s="6"/>
      <c r="K61" s="6"/>
      <c r="L61" s="6"/>
      <c r="M61" s="24"/>
      <c r="N61" s="24"/>
      <c r="O61" s="6"/>
    </row>
    <row r="62" spans="5:15" s="4" customFormat="1" x14ac:dyDescent="0.2">
      <c r="E62" s="6"/>
      <c r="F62" s="6"/>
      <c r="G62" s="6"/>
      <c r="H62" s="6"/>
      <c r="I62" s="6"/>
      <c r="J62" s="6"/>
      <c r="K62" s="6"/>
      <c r="L62" s="6"/>
      <c r="M62" s="24"/>
      <c r="N62" s="24"/>
      <c r="O62" s="6"/>
    </row>
    <row r="63" spans="5:15" s="4" customFormat="1" x14ac:dyDescent="0.2">
      <c r="E63" s="6"/>
      <c r="F63" s="6"/>
      <c r="G63" s="6"/>
      <c r="H63" s="6"/>
      <c r="I63" s="6"/>
      <c r="J63" s="6"/>
      <c r="K63" s="6"/>
      <c r="L63" s="6"/>
      <c r="M63" s="24"/>
      <c r="N63" s="24"/>
      <c r="O63" s="6"/>
    </row>
    <row r="64" spans="5:15" s="4" customFormat="1" x14ac:dyDescent="0.2">
      <c r="E64" s="6"/>
      <c r="F64" s="6"/>
      <c r="G64" s="6"/>
      <c r="H64" s="6"/>
      <c r="I64" s="6"/>
      <c r="J64" s="6"/>
      <c r="K64" s="6"/>
      <c r="L64" s="6"/>
      <c r="M64" s="24"/>
      <c r="N64" s="24"/>
      <c r="O64" s="6"/>
    </row>
    <row r="65" spans="5:15" s="4" customFormat="1" x14ac:dyDescent="0.2">
      <c r="E65" s="6"/>
      <c r="F65" s="6"/>
      <c r="G65" s="6"/>
      <c r="H65" s="6"/>
      <c r="I65" s="6"/>
      <c r="J65" s="6"/>
      <c r="K65" s="6"/>
      <c r="L65" s="6"/>
      <c r="M65" s="24"/>
      <c r="N65" s="24"/>
      <c r="O65" s="6"/>
    </row>
    <row r="66" spans="5:15" s="4" customFormat="1" x14ac:dyDescent="0.2">
      <c r="E66" s="6"/>
      <c r="F66" s="6"/>
      <c r="G66" s="6"/>
      <c r="H66" s="6"/>
      <c r="I66" s="6"/>
      <c r="J66" s="6"/>
      <c r="K66" s="6"/>
      <c r="L66" s="6"/>
      <c r="M66" s="24"/>
      <c r="N66" s="24"/>
      <c r="O66" s="6"/>
    </row>
    <row r="67" spans="5:15" s="4" customFormat="1" x14ac:dyDescent="0.2">
      <c r="E67" s="6"/>
      <c r="F67" s="6"/>
      <c r="G67" s="6"/>
      <c r="H67" s="6"/>
      <c r="I67" s="6"/>
      <c r="J67" s="6"/>
      <c r="K67" s="6"/>
      <c r="L67" s="6"/>
      <c r="M67" s="24"/>
      <c r="N67" s="24"/>
      <c r="O67" s="6"/>
    </row>
    <row r="68" spans="5:15" s="4" customFormat="1" x14ac:dyDescent="0.2">
      <c r="E68" s="6"/>
      <c r="F68" s="6"/>
      <c r="G68" s="6"/>
      <c r="H68" s="6"/>
      <c r="I68" s="6"/>
      <c r="J68" s="6"/>
      <c r="K68" s="6"/>
      <c r="L68" s="6"/>
      <c r="M68" s="24"/>
      <c r="N68" s="24"/>
      <c r="O68" s="6"/>
    </row>
    <row r="69" spans="5:15" s="4" customFormat="1" x14ac:dyDescent="0.2">
      <c r="E69" s="6"/>
      <c r="F69" s="6"/>
      <c r="G69" s="6"/>
      <c r="H69" s="6"/>
      <c r="I69" s="6"/>
      <c r="J69" s="6"/>
      <c r="K69" s="6"/>
      <c r="L69" s="6"/>
      <c r="M69" s="24"/>
      <c r="N69" s="24"/>
      <c r="O69" s="6"/>
    </row>
    <row r="70" spans="5:15" s="4" customFormat="1" x14ac:dyDescent="0.2">
      <c r="E70" s="6"/>
      <c r="F70" s="6"/>
      <c r="G70" s="6"/>
      <c r="H70" s="6"/>
      <c r="I70" s="6"/>
      <c r="J70" s="6"/>
      <c r="K70" s="6"/>
      <c r="L70" s="6"/>
      <c r="M70" s="24"/>
      <c r="N70" s="24"/>
      <c r="O70" s="6"/>
    </row>
    <row r="71" spans="5:15" s="4" customFormat="1" x14ac:dyDescent="0.2">
      <c r="E71" s="6"/>
      <c r="F71" s="6"/>
      <c r="G71" s="6"/>
      <c r="H71" s="6"/>
      <c r="I71" s="6"/>
      <c r="J71" s="6"/>
      <c r="K71" s="6"/>
      <c r="L71" s="6"/>
      <c r="M71" s="24"/>
      <c r="N71" s="24"/>
      <c r="O71" s="6"/>
    </row>
    <row r="72" spans="5:15" s="4" customFormat="1" x14ac:dyDescent="0.2">
      <c r="E72" s="6"/>
      <c r="F72" s="6"/>
      <c r="G72" s="6"/>
      <c r="H72" s="6"/>
      <c r="I72" s="6"/>
      <c r="J72" s="6"/>
      <c r="K72" s="6"/>
      <c r="L72" s="6"/>
      <c r="M72" s="24"/>
      <c r="N72" s="24"/>
      <c r="O72" s="6"/>
    </row>
    <row r="73" spans="5:15" s="4" customFormat="1" x14ac:dyDescent="0.2">
      <c r="E73" s="6"/>
      <c r="F73" s="6"/>
      <c r="G73" s="6"/>
      <c r="H73" s="6"/>
      <c r="I73" s="6"/>
      <c r="J73" s="6"/>
      <c r="K73" s="6"/>
      <c r="L73" s="6"/>
      <c r="M73" s="24"/>
      <c r="N73" s="24"/>
      <c r="O73" s="6"/>
    </row>
    <row r="74" spans="5:15" s="4" customFormat="1" x14ac:dyDescent="0.2">
      <c r="E74" s="6"/>
      <c r="F74" s="6"/>
      <c r="G74" s="6"/>
      <c r="H74" s="6"/>
      <c r="I74" s="6"/>
      <c r="J74" s="6"/>
      <c r="K74" s="6"/>
      <c r="L74" s="6"/>
      <c r="M74" s="24"/>
      <c r="N74" s="24"/>
      <c r="O74" s="6"/>
    </row>
    <row r="75" spans="5:15" s="4" customFormat="1" x14ac:dyDescent="0.2">
      <c r="E75" s="6"/>
      <c r="F75" s="6"/>
      <c r="G75" s="6"/>
      <c r="H75" s="6"/>
      <c r="I75" s="6"/>
      <c r="J75" s="6"/>
      <c r="K75" s="6"/>
      <c r="L75" s="6"/>
      <c r="M75" s="24"/>
      <c r="N75" s="24"/>
      <c r="O75" s="6"/>
    </row>
    <row r="76" spans="5:15" s="4" customFormat="1" x14ac:dyDescent="0.2">
      <c r="E76" s="6"/>
      <c r="F76" s="6"/>
      <c r="G76" s="6"/>
      <c r="H76" s="6"/>
      <c r="I76" s="6"/>
      <c r="J76" s="6"/>
      <c r="K76" s="6"/>
      <c r="L76" s="6"/>
      <c r="M76" s="24"/>
      <c r="N76" s="24"/>
      <c r="O76" s="6"/>
    </row>
    <row r="77" spans="5:15" s="4" customFormat="1" x14ac:dyDescent="0.2">
      <c r="E77" s="6"/>
      <c r="F77" s="6"/>
      <c r="G77" s="6"/>
      <c r="H77" s="6"/>
      <c r="I77" s="6"/>
      <c r="J77" s="6"/>
      <c r="K77" s="6"/>
      <c r="L77" s="6"/>
      <c r="M77" s="24"/>
      <c r="N77" s="24"/>
      <c r="O77" s="6"/>
    </row>
    <row r="78" spans="5:15" s="4" customFormat="1" x14ac:dyDescent="0.2">
      <c r="E78" s="6"/>
      <c r="F78" s="6"/>
      <c r="G78" s="6"/>
      <c r="H78" s="6"/>
      <c r="I78" s="6"/>
      <c r="J78" s="6"/>
      <c r="K78" s="6"/>
      <c r="L78" s="6"/>
      <c r="M78" s="24"/>
      <c r="N78" s="24"/>
      <c r="O78" s="6"/>
    </row>
    <row r="79" spans="5:15" s="4" customFormat="1" x14ac:dyDescent="0.2">
      <c r="E79" s="6"/>
      <c r="F79" s="6"/>
      <c r="G79" s="6"/>
      <c r="H79" s="6"/>
      <c r="I79" s="6"/>
      <c r="J79" s="6"/>
      <c r="K79" s="6"/>
      <c r="L79" s="6"/>
      <c r="M79" s="24"/>
      <c r="N79" s="24"/>
      <c r="O79" s="6"/>
    </row>
    <row r="80" spans="5:15" s="4" customFormat="1" x14ac:dyDescent="0.2">
      <c r="E80" s="6"/>
      <c r="F80" s="6"/>
      <c r="G80" s="6"/>
      <c r="H80" s="6"/>
      <c r="I80" s="6"/>
      <c r="J80" s="6"/>
      <c r="K80" s="6"/>
      <c r="L80" s="6"/>
      <c r="M80" s="24"/>
      <c r="N80" s="24"/>
      <c r="O80" s="6"/>
    </row>
    <row r="81" spans="5:15" s="4" customFormat="1" x14ac:dyDescent="0.2">
      <c r="E81" s="6"/>
      <c r="F81" s="6"/>
      <c r="G81" s="6"/>
      <c r="H81" s="6"/>
      <c r="I81" s="6"/>
      <c r="J81" s="6"/>
      <c r="K81" s="6"/>
      <c r="L81" s="6"/>
      <c r="M81" s="24"/>
      <c r="N81" s="24"/>
      <c r="O81" s="6"/>
    </row>
    <row r="82" spans="5:15" s="4" customFormat="1" x14ac:dyDescent="0.2">
      <c r="E82" s="6"/>
      <c r="F82" s="6"/>
      <c r="G82" s="6"/>
      <c r="H82" s="6"/>
      <c r="I82" s="6"/>
      <c r="J82" s="6"/>
      <c r="K82" s="6"/>
      <c r="L82" s="6"/>
      <c r="M82" s="24"/>
      <c r="N82" s="24"/>
      <c r="O82" s="6"/>
    </row>
    <row r="83" spans="5:15" s="4" customFormat="1" x14ac:dyDescent="0.2">
      <c r="E83" s="6"/>
      <c r="F83" s="6"/>
      <c r="G83" s="6"/>
      <c r="H83" s="6"/>
      <c r="I83" s="6"/>
      <c r="J83" s="6"/>
      <c r="K83" s="6"/>
      <c r="L83" s="6"/>
      <c r="M83" s="24"/>
      <c r="N83" s="24"/>
      <c r="O83" s="6"/>
    </row>
    <row r="84" spans="5:15" s="4" customFormat="1" x14ac:dyDescent="0.2">
      <c r="E84" s="6"/>
      <c r="F84" s="6"/>
      <c r="G84" s="6"/>
      <c r="H84" s="6"/>
      <c r="I84" s="6"/>
      <c r="J84" s="6"/>
      <c r="K84" s="6"/>
      <c r="L84" s="6"/>
      <c r="M84" s="24"/>
      <c r="N84" s="24"/>
      <c r="O84" s="6"/>
    </row>
    <row r="85" spans="5:15" s="4" customFormat="1" x14ac:dyDescent="0.2">
      <c r="E85" s="6"/>
      <c r="F85" s="6"/>
      <c r="G85" s="6"/>
      <c r="H85" s="6"/>
      <c r="I85" s="6"/>
      <c r="J85" s="6"/>
      <c r="K85" s="6"/>
      <c r="L85" s="6"/>
      <c r="M85" s="24"/>
      <c r="N85" s="24"/>
      <c r="O85" s="6"/>
    </row>
    <row r="86" spans="5:15" s="4" customFormat="1" x14ac:dyDescent="0.2">
      <c r="E86" s="6"/>
      <c r="F86" s="6"/>
      <c r="G86" s="6"/>
      <c r="H86" s="6"/>
      <c r="I86" s="6"/>
      <c r="J86" s="6"/>
      <c r="K86" s="6"/>
      <c r="L86" s="6"/>
      <c r="M86" s="24"/>
      <c r="N86" s="24"/>
      <c r="O86" s="6"/>
    </row>
    <row r="87" spans="5:15" s="4" customFormat="1" x14ac:dyDescent="0.2">
      <c r="E87" s="6"/>
      <c r="F87" s="6"/>
      <c r="G87" s="6"/>
      <c r="H87" s="6"/>
      <c r="I87" s="6"/>
      <c r="J87" s="6"/>
      <c r="K87" s="6"/>
      <c r="L87" s="6"/>
      <c r="M87" s="24"/>
      <c r="N87" s="24"/>
      <c r="O87" s="6"/>
    </row>
    <row r="88" spans="5:15" s="4" customFormat="1" x14ac:dyDescent="0.2">
      <c r="E88" s="6"/>
      <c r="F88" s="6"/>
      <c r="G88" s="6"/>
      <c r="H88" s="6"/>
      <c r="I88" s="6"/>
      <c r="J88" s="6"/>
      <c r="K88" s="6"/>
      <c r="L88" s="6"/>
      <c r="M88" s="24"/>
      <c r="N88" s="24"/>
      <c r="O88" s="6"/>
    </row>
    <row r="89" spans="5:15" s="4" customFormat="1" x14ac:dyDescent="0.2">
      <c r="E89" s="6"/>
      <c r="F89" s="6"/>
      <c r="G89" s="6"/>
      <c r="H89" s="6"/>
      <c r="I89" s="6"/>
      <c r="J89" s="6"/>
      <c r="K89" s="6"/>
      <c r="L89" s="6"/>
      <c r="M89" s="24"/>
      <c r="N89" s="24"/>
      <c r="O89" s="6"/>
    </row>
    <row r="90" spans="5:15" s="4" customFormat="1" x14ac:dyDescent="0.2">
      <c r="E90" s="6"/>
      <c r="F90" s="6"/>
      <c r="G90" s="6"/>
      <c r="H90" s="6"/>
      <c r="I90" s="6"/>
      <c r="J90" s="6"/>
      <c r="K90" s="6"/>
      <c r="L90" s="6"/>
      <c r="M90" s="24"/>
      <c r="N90" s="24"/>
      <c r="O90" s="6"/>
    </row>
    <row r="91" spans="5:15" s="4" customFormat="1" x14ac:dyDescent="0.2">
      <c r="E91" s="6"/>
      <c r="F91" s="6"/>
      <c r="G91" s="6"/>
      <c r="H91" s="6"/>
      <c r="I91" s="6"/>
      <c r="J91" s="6"/>
      <c r="K91" s="6"/>
      <c r="L91" s="6"/>
      <c r="M91" s="24"/>
      <c r="N91" s="24"/>
      <c r="O91" s="6"/>
    </row>
    <row r="92" spans="5:15" s="4" customFormat="1" x14ac:dyDescent="0.2">
      <c r="E92" s="6"/>
      <c r="F92" s="6"/>
      <c r="G92" s="6"/>
      <c r="H92" s="6"/>
      <c r="I92" s="6"/>
      <c r="J92" s="6"/>
      <c r="K92" s="6"/>
      <c r="L92" s="6"/>
      <c r="M92" s="24"/>
      <c r="N92" s="24"/>
      <c r="O92" s="6"/>
    </row>
    <row r="93" spans="5:15" s="4" customFormat="1" x14ac:dyDescent="0.2">
      <c r="E93" s="6"/>
      <c r="F93" s="6"/>
      <c r="G93" s="6"/>
      <c r="H93" s="6"/>
      <c r="I93" s="6"/>
      <c r="J93" s="6"/>
      <c r="K93" s="6"/>
      <c r="L93" s="6"/>
      <c r="M93" s="24"/>
      <c r="N93" s="24"/>
      <c r="O93" s="6"/>
    </row>
    <row r="94" spans="5:15" s="4" customFormat="1" x14ac:dyDescent="0.2">
      <c r="E94" s="6"/>
      <c r="F94" s="6"/>
      <c r="G94" s="6"/>
      <c r="H94" s="6"/>
      <c r="I94" s="6"/>
      <c r="J94" s="6"/>
      <c r="K94" s="6"/>
      <c r="L94" s="6"/>
      <c r="M94" s="24"/>
      <c r="N94" s="24"/>
      <c r="O94" s="6"/>
    </row>
    <row r="95" spans="5:15" s="4" customFormat="1" x14ac:dyDescent="0.2">
      <c r="E95" s="6"/>
      <c r="F95" s="6"/>
      <c r="G95" s="6"/>
      <c r="H95" s="6"/>
      <c r="I95" s="6"/>
      <c r="J95" s="6"/>
      <c r="K95" s="6"/>
      <c r="L95" s="6"/>
      <c r="M95" s="24"/>
      <c r="N95" s="24"/>
      <c r="O95" s="6"/>
    </row>
    <row r="96" spans="5:15" s="4" customFormat="1" x14ac:dyDescent="0.2">
      <c r="E96" s="6"/>
      <c r="F96" s="6"/>
      <c r="G96" s="6"/>
      <c r="H96" s="6"/>
      <c r="I96" s="6"/>
      <c r="J96" s="6"/>
      <c r="K96" s="6"/>
      <c r="L96" s="6"/>
      <c r="M96" s="24"/>
      <c r="N96" s="24"/>
      <c r="O96" s="6"/>
    </row>
    <row r="97" spans="5:15" s="4" customFormat="1" x14ac:dyDescent="0.2">
      <c r="E97" s="6"/>
      <c r="F97" s="6"/>
      <c r="G97" s="6"/>
      <c r="H97" s="6"/>
      <c r="I97" s="6"/>
      <c r="J97" s="6"/>
      <c r="K97" s="6"/>
      <c r="L97" s="6"/>
      <c r="M97" s="24"/>
      <c r="N97" s="24"/>
      <c r="O97" s="6"/>
    </row>
    <row r="98" spans="5:15" s="4" customFormat="1" x14ac:dyDescent="0.2">
      <c r="E98" s="6"/>
      <c r="F98" s="6"/>
      <c r="G98" s="6"/>
      <c r="H98" s="6"/>
      <c r="I98" s="6"/>
      <c r="J98" s="6"/>
      <c r="K98" s="6"/>
      <c r="L98" s="6"/>
      <c r="M98" s="24"/>
      <c r="N98" s="24"/>
      <c r="O98" s="6"/>
    </row>
    <row r="99" spans="5:15" s="4" customFormat="1" x14ac:dyDescent="0.2">
      <c r="E99" s="6"/>
      <c r="F99" s="6"/>
      <c r="G99" s="6"/>
      <c r="H99" s="6"/>
      <c r="I99" s="6"/>
      <c r="J99" s="6"/>
      <c r="K99" s="6"/>
      <c r="L99" s="6"/>
      <c r="M99" s="24"/>
      <c r="N99" s="24"/>
      <c r="O99" s="6"/>
    </row>
    <row r="100" spans="5:15" s="4" customFormat="1" x14ac:dyDescent="0.2">
      <c r="E100" s="6"/>
      <c r="F100" s="6"/>
      <c r="G100" s="6"/>
      <c r="H100" s="6"/>
      <c r="I100" s="6"/>
      <c r="J100" s="6"/>
      <c r="K100" s="6"/>
      <c r="L100" s="6"/>
      <c r="M100" s="24"/>
      <c r="N100" s="24"/>
      <c r="O100" s="6"/>
    </row>
    <row r="101" spans="5:15" s="4" customFormat="1" x14ac:dyDescent="0.2">
      <c r="E101" s="6"/>
      <c r="F101" s="6"/>
      <c r="G101" s="6"/>
      <c r="H101" s="6"/>
      <c r="I101" s="6"/>
      <c r="J101" s="6"/>
      <c r="K101" s="6"/>
      <c r="L101" s="6"/>
      <c r="M101" s="24"/>
      <c r="N101" s="24"/>
      <c r="O101" s="6"/>
    </row>
    <row r="102" spans="5:15" s="4" customFormat="1" x14ac:dyDescent="0.2">
      <c r="E102" s="6"/>
      <c r="F102" s="6"/>
      <c r="G102" s="6"/>
      <c r="H102" s="6"/>
      <c r="I102" s="6"/>
      <c r="J102" s="6"/>
      <c r="K102" s="6"/>
      <c r="L102" s="6"/>
      <c r="M102" s="24"/>
      <c r="N102" s="24"/>
      <c r="O102" s="6"/>
    </row>
    <row r="103" spans="5:15" s="4" customFormat="1" x14ac:dyDescent="0.2">
      <c r="E103" s="6"/>
      <c r="F103" s="6"/>
      <c r="G103" s="6"/>
      <c r="H103" s="6"/>
      <c r="I103" s="6"/>
      <c r="J103" s="6"/>
      <c r="K103" s="6"/>
      <c r="L103" s="6"/>
      <c r="M103" s="24"/>
      <c r="N103" s="24"/>
      <c r="O103" s="6"/>
    </row>
    <row r="104" spans="5:15" s="4" customFormat="1" x14ac:dyDescent="0.2">
      <c r="E104" s="6"/>
      <c r="F104" s="6"/>
      <c r="G104" s="6"/>
      <c r="H104" s="6"/>
      <c r="I104" s="6"/>
      <c r="J104" s="6"/>
      <c r="K104" s="6"/>
      <c r="L104" s="6"/>
      <c r="M104" s="24"/>
      <c r="N104" s="24"/>
      <c r="O104" s="6"/>
    </row>
    <row r="105" spans="5:15" s="4" customFormat="1" x14ac:dyDescent="0.2">
      <c r="E105" s="6"/>
      <c r="F105" s="6"/>
      <c r="G105" s="6"/>
      <c r="H105" s="6"/>
      <c r="I105" s="6"/>
      <c r="J105" s="6"/>
      <c r="K105" s="6"/>
      <c r="L105" s="6"/>
      <c r="M105" s="24"/>
      <c r="N105" s="24"/>
      <c r="O105" s="6"/>
    </row>
    <row r="106" spans="5:15" s="4" customFormat="1" x14ac:dyDescent="0.2">
      <c r="E106" s="6"/>
      <c r="F106" s="6"/>
      <c r="G106" s="6"/>
      <c r="H106" s="6"/>
      <c r="I106" s="6"/>
      <c r="J106" s="6"/>
      <c r="K106" s="6"/>
      <c r="L106" s="6"/>
      <c r="M106" s="24"/>
      <c r="N106" s="24"/>
      <c r="O106" s="6"/>
    </row>
    <row r="107" spans="5:15" s="4" customFormat="1" x14ac:dyDescent="0.2">
      <c r="E107" s="6"/>
      <c r="F107" s="6"/>
      <c r="G107" s="6"/>
      <c r="H107" s="6"/>
      <c r="I107" s="6"/>
      <c r="J107" s="6"/>
      <c r="K107" s="6"/>
      <c r="L107" s="6"/>
      <c r="M107" s="24"/>
      <c r="N107" s="24"/>
      <c r="O107" s="6"/>
    </row>
    <row r="108" spans="5:15" s="4" customFormat="1" x14ac:dyDescent="0.2">
      <c r="E108" s="6"/>
      <c r="F108" s="6"/>
      <c r="G108" s="6"/>
      <c r="H108" s="6"/>
      <c r="I108" s="6"/>
      <c r="J108" s="6"/>
      <c r="K108" s="6"/>
      <c r="L108" s="6"/>
      <c r="M108" s="24"/>
      <c r="N108" s="24"/>
      <c r="O108" s="6"/>
    </row>
    <row r="109" spans="5:15" s="4" customFormat="1" x14ac:dyDescent="0.2">
      <c r="E109" s="6"/>
      <c r="F109" s="6"/>
      <c r="G109" s="6"/>
      <c r="H109" s="6"/>
      <c r="I109" s="6"/>
      <c r="J109" s="6"/>
      <c r="K109" s="6"/>
      <c r="L109" s="6"/>
      <c r="M109" s="24"/>
      <c r="N109" s="24"/>
      <c r="O109" s="6"/>
    </row>
    <row r="110" spans="5:15" s="4" customFormat="1" x14ac:dyDescent="0.2">
      <c r="E110" s="6"/>
      <c r="F110" s="6"/>
      <c r="G110" s="6"/>
      <c r="H110" s="6"/>
      <c r="I110" s="6"/>
      <c r="J110" s="6"/>
      <c r="K110" s="6"/>
      <c r="L110" s="6"/>
      <c r="M110" s="24"/>
      <c r="N110" s="24"/>
      <c r="O110" s="6"/>
    </row>
    <row r="111" spans="5:15" s="4" customFormat="1" x14ac:dyDescent="0.2">
      <c r="E111" s="6"/>
      <c r="F111" s="6"/>
      <c r="G111" s="6"/>
      <c r="H111" s="6"/>
      <c r="I111" s="6"/>
      <c r="J111" s="6"/>
      <c r="K111" s="6"/>
      <c r="L111" s="6"/>
      <c r="M111" s="24"/>
      <c r="N111" s="24"/>
      <c r="O111" s="6"/>
    </row>
    <row r="112" spans="5:15" s="4" customFormat="1" x14ac:dyDescent="0.2">
      <c r="E112" s="6"/>
      <c r="F112" s="6"/>
      <c r="G112" s="6"/>
      <c r="H112" s="6"/>
      <c r="I112" s="6"/>
      <c r="J112" s="6"/>
      <c r="K112" s="6"/>
      <c r="L112" s="6"/>
      <c r="M112" s="24"/>
      <c r="N112" s="24"/>
      <c r="O112" s="6"/>
    </row>
    <row r="113" spans="5:15" s="4" customFormat="1" x14ac:dyDescent="0.2">
      <c r="E113" s="6"/>
      <c r="F113" s="6"/>
      <c r="G113" s="6"/>
      <c r="H113" s="6"/>
      <c r="I113" s="6"/>
      <c r="J113" s="6"/>
      <c r="K113" s="6"/>
      <c r="L113" s="6"/>
      <c r="M113" s="24"/>
      <c r="N113" s="24"/>
      <c r="O113" s="6"/>
    </row>
    <row r="114" spans="5:15" s="4" customFormat="1" x14ac:dyDescent="0.2">
      <c r="E114" s="6"/>
      <c r="F114" s="6"/>
      <c r="G114" s="6"/>
      <c r="H114" s="6"/>
      <c r="I114" s="6"/>
      <c r="J114" s="6"/>
      <c r="K114" s="6"/>
      <c r="L114" s="6"/>
      <c r="M114" s="24"/>
      <c r="N114" s="24"/>
      <c r="O114" s="6"/>
    </row>
    <row r="115" spans="5:15" s="4" customFormat="1" x14ac:dyDescent="0.2">
      <c r="E115" s="6"/>
      <c r="F115" s="6"/>
      <c r="G115" s="6"/>
      <c r="H115" s="6"/>
      <c r="I115" s="6"/>
      <c r="J115" s="6"/>
      <c r="K115" s="6"/>
      <c r="L115" s="6"/>
      <c r="M115" s="24"/>
      <c r="N115" s="24"/>
      <c r="O115" s="6"/>
    </row>
    <row r="116" spans="5:15" s="4" customFormat="1" x14ac:dyDescent="0.2">
      <c r="E116" s="6"/>
      <c r="F116" s="6"/>
      <c r="G116" s="6"/>
      <c r="H116" s="6"/>
      <c r="I116" s="6"/>
      <c r="J116" s="6"/>
      <c r="K116" s="6"/>
      <c r="L116" s="6"/>
      <c r="M116" s="24"/>
      <c r="N116" s="24"/>
      <c r="O116" s="6"/>
    </row>
    <row r="117" spans="5:15" s="4" customFormat="1" x14ac:dyDescent="0.2">
      <c r="E117" s="6"/>
      <c r="F117" s="6"/>
      <c r="G117" s="6"/>
      <c r="H117" s="6"/>
      <c r="I117" s="6"/>
      <c r="J117" s="6"/>
      <c r="K117" s="6"/>
      <c r="L117" s="6"/>
      <c r="M117" s="24"/>
      <c r="N117" s="24"/>
      <c r="O117" s="6"/>
    </row>
    <row r="118" spans="5:15" s="4" customFormat="1" x14ac:dyDescent="0.2">
      <c r="E118" s="6"/>
      <c r="F118" s="6"/>
      <c r="G118" s="6"/>
      <c r="H118" s="6"/>
      <c r="I118" s="6"/>
      <c r="J118" s="6"/>
      <c r="K118" s="6"/>
      <c r="L118" s="6"/>
      <c r="M118" s="24"/>
      <c r="N118" s="24"/>
      <c r="O118" s="6"/>
    </row>
    <row r="119" spans="5:15" s="4" customFormat="1" x14ac:dyDescent="0.2">
      <c r="E119" s="6"/>
      <c r="F119" s="6"/>
      <c r="G119" s="6"/>
      <c r="H119" s="6"/>
      <c r="I119" s="6"/>
      <c r="J119" s="6"/>
      <c r="K119" s="6"/>
      <c r="L119" s="6"/>
      <c r="M119" s="24"/>
      <c r="N119" s="24"/>
      <c r="O119" s="6"/>
    </row>
    <row r="120" spans="5:15" s="4" customFormat="1" x14ac:dyDescent="0.2">
      <c r="E120" s="6"/>
      <c r="F120" s="6"/>
      <c r="G120" s="6"/>
      <c r="H120" s="6"/>
      <c r="I120" s="6"/>
      <c r="J120" s="6"/>
      <c r="K120" s="6"/>
      <c r="L120" s="6"/>
      <c r="M120" s="24"/>
      <c r="N120" s="24"/>
      <c r="O120" s="6"/>
    </row>
    <row r="121" spans="5:15" s="4" customFormat="1" x14ac:dyDescent="0.2">
      <c r="E121" s="6"/>
      <c r="F121" s="6"/>
      <c r="G121" s="6"/>
      <c r="H121" s="6"/>
      <c r="I121" s="6"/>
      <c r="J121" s="6"/>
      <c r="K121" s="6"/>
      <c r="L121" s="6"/>
      <c r="M121" s="24"/>
      <c r="N121" s="24"/>
      <c r="O121" s="6"/>
    </row>
    <row r="122" spans="5:15" s="4" customFormat="1" x14ac:dyDescent="0.2">
      <c r="E122" s="6"/>
      <c r="F122" s="6"/>
      <c r="G122" s="6"/>
      <c r="H122" s="6"/>
      <c r="I122" s="6"/>
      <c r="J122" s="6"/>
      <c r="K122" s="6"/>
      <c r="L122" s="6"/>
      <c r="M122" s="24"/>
      <c r="N122" s="24"/>
      <c r="O122" s="6"/>
    </row>
    <row r="123" spans="5:15" s="4" customFormat="1" x14ac:dyDescent="0.2">
      <c r="E123" s="6"/>
      <c r="F123" s="6"/>
      <c r="G123" s="6"/>
      <c r="H123" s="6"/>
      <c r="I123" s="6"/>
      <c r="J123" s="6"/>
      <c r="K123" s="6"/>
      <c r="L123" s="6"/>
      <c r="M123" s="24"/>
      <c r="N123" s="24"/>
      <c r="O123" s="6"/>
    </row>
    <row r="124" spans="5:15" s="4" customFormat="1" x14ac:dyDescent="0.2">
      <c r="E124" s="6"/>
      <c r="F124" s="6"/>
      <c r="G124" s="6"/>
      <c r="H124" s="6"/>
      <c r="I124" s="6"/>
      <c r="J124" s="6"/>
      <c r="K124" s="6"/>
      <c r="L124" s="6"/>
      <c r="M124" s="24"/>
      <c r="N124" s="24"/>
      <c r="O124" s="6"/>
    </row>
    <row r="125" spans="5:15" s="4" customFormat="1" x14ac:dyDescent="0.2">
      <c r="E125" s="6"/>
      <c r="F125" s="6"/>
      <c r="G125" s="6"/>
      <c r="H125" s="6"/>
      <c r="I125" s="6"/>
      <c r="J125" s="6"/>
      <c r="K125" s="6"/>
      <c r="L125" s="6"/>
      <c r="M125" s="24"/>
      <c r="N125" s="24"/>
      <c r="O125" s="6"/>
    </row>
    <row r="126" spans="5:15" s="4" customFormat="1" x14ac:dyDescent="0.2">
      <c r="E126" s="6"/>
      <c r="F126" s="6"/>
      <c r="G126" s="6"/>
      <c r="H126" s="6"/>
      <c r="I126" s="6"/>
      <c r="J126" s="6"/>
      <c r="K126" s="6"/>
      <c r="L126" s="6"/>
      <c r="M126" s="24"/>
      <c r="N126" s="24"/>
      <c r="O126" s="6"/>
    </row>
    <row r="127" spans="5:15" s="4" customFormat="1" x14ac:dyDescent="0.2">
      <c r="E127" s="6"/>
      <c r="F127" s="6"/>
      <c r="G127" s="6"/>
      <c r="H127" s="6"/>
      <c r="I127" s="6"/>
      <c r="J127" s="6"/>
      <c r="K127" s="6"/>
      <c r="L127" s="6"/>
      <c r="M127" s="24"/>
      <c r="N127" s="24"/>
      <c r="O127" s="6"/>
    </row>
    <row r="128" spans="5:15" s="4" customFormat="1" x14ac:dyDescent="0.2">
      <c r="E128" s="6"/>
      <c r="F128" s="6"/>
      <c r="G128" s="6"/>
      <c r="H128" s="6"/>
      <c r="I128" s="6"/>
      <c r="J128" s="6"/>
      <c r="K128" s="6"/>
      <c r="L128" s="6"/>
      <c r="M128" s="24"/>
      <c r="N128" s="24"/>
      <c r="O128" s="6"/>
    </row>
    <row r="129" spans="5:15" s="4" customFormat="1" x14ac:dyDescent="0.2">
      <c r="E129" s="6"/>
      <c r="F129" s="6"/>
      <c r="G129" s="6"/>
      <c r="H129" s="6"/>
      <c r="I129" s="6"/>
      <c r="J129" s="6"/>
      <c r="K129" s="6"/>
      <c r="L129" s="6"/>
      <c r="M129" s="24"/>
      <c r="N129" s="24"/>
      <c r="O129" s="6"/>
    </row>
    <row r="130" spans="5:15" s="4" customFormat="1" x14ac:dyDescent="0.2">
      <c r="E130" s="6"/>
      <c r="F130" s="6"/>
      <c r="G130" s="6"/>
      <c r="H130" s="6"/>
      <c r="I130" s="6"/>
      <c r="J130" s="6"/>
      <c r="K130" s="6"/>
      <c r="L130" s="6"/>
      <c r="M130" s="24"/>
      <c r="N130" s="24"/>
      <c r="O130" s="6"/>
    </row>
    <row r="131" spans="5:15" s="4" customFormat="1" x14ac:dyDescent="0.2">
      <c r="E131" s="6"/>
      <c r="F131" s="6"/>
      <c r="G131" s="6"/>
      <c r="H131" s="6"/>
      <c r="I131" s="6"/>
      <c r="J131" s="6"/>
      <c r="K131" s="6"/>
      <c r="L131" s="6"/>
      <c r="M131" s="24"/>
      <c r="N131" s="24"/>
      <c r="O131" s="6"/>
    </row>
    <row r="132" spans="5:15" s="4" customFormat="1" x14ac:dyDescent="0.2">
      <c r="E132" s="6"/>
      <c r="F132" s="6"/>
      <c r="G132" s="6"/>
      <c r="H132" s="6"/>
      <c r="I132" s="6"/>
      <c r="J132" s="6"/>
      <c r="K132" s="6"/>
      <c r="L132" s="6"/>
      <c r="M132" s="24"/>
      <c r="N132" s="24"/>
      <c r="O132" s="6"/>
    </row>
    <row r="133" spans="5:15" s="4" customFormat="1" x14ac:dyDescent="0.2">
      <c r="E133" s="6"/>
      <c r="F133" s="6"/>
      <c r="G133" s="6"/>
      <c r="H133" s="6"/>
      <c r="I133" s="6"/>
      <c r="J133" s="6"/>
      <c r="K133" s="6"/>
      <c r="L133" s="6"/>
      <c r="M133" s="24"/>
      <c r="N133" s="24"/>
      <c r="O133" s="6"/>
    </row>
    <row r="134" spans="5:15" s="4" customFormat="1" x14ac:dyDescent="0.2">
      <c r="E134" s="6"/>
      <c r="F134" s="6"/>
      <c r="G134" s="6"/>
      <c r="H134" s="6"/>
      <c r="I134" s="6"/>
      <c r="J134" s="6"/>
      <c r="K134" s="6"/>
      <c r="L134" s="6"/>
      <c r="M134" s="24"/>
      <c r="N134" s="24"/>
      <c r="O134" s="6"/>
    </row>
    <row r="135" spans="5:15" s="4" customFormat="1" x14ac:dyDescent="0.2">
      <c r="E135" s="6"/>
      <c r="F135" s="6"/>
      <c r="G135" s="6"/>
      <c r="H135" s="6"/>
      <c r="I135" s="6"/>
      <c r="J135" s="6"/>
      <c r="K135" s="6"/>
      <c r="L135" s="6"/>
      <c r="M135" s="24"/>
      <c r="N135" s="24"/>
      <c r="O135" s="6"/>
    </row>
    <row r="136" spans="5:15" s="4" customFormat="1" x14ac:dyDescent="0.2">
      <c r="E136" s="6"/>
      <c r="F136" s="6"/>
      <c r="G136" s="6"/>
      <c r="H136" s="6"/>
      <c r="I136" s="6"/>
      <c r="J136" s="6"/>
      <c r="K136" s="6"/>
      <c r="L136" s="6"/>
      <c r="M136" s="24"/>
      <c r="N136" s="24"/>
      <c r="O136" s="6"/>
    </row>
    <row r="137" spans="5:15" s="4" customFormat="1" x14ac:dyDescent="0.2">
      <c r="E137" s="6"/>
      <c r="F137" s="6"/>
      <c r="G137" s="6"/>
      <c r="H137" s="6"/>
      <c r="I137" s="6"/>
      <c r="J137" s="6"/>
      <c r="K137" s="6"/>
      <c r="L137" s="6"/>
      <c r="M137" s="24"/>
      <c r="N137" s="24"/>
      <c r="O137" s="6"/>
    </row>
    <row r="138" spans="5:15" s="4" customFormat="1" x14ac:dyDescent="0.2">
      <c r="E138" s="6"/>
      <c r="F138" s="6"/>
      <c r="G138" s="6"/>
      <c r="H138" s="6"/>
      <c r="I138" s="6"/>
      <c r="J138" s="6"/>
      <c r="K138" s="6"/>
      <c r="L138" s="6"/>
      <c r="M138" s="24"/>
      <c r="N138" s="24"/>
      <c r="O138" s="6"/>
    </row>
    <row r="139" spans="5:15" s="4" customFormat="1" x14ac:dyDescent="0.2">
      <c r="E139" s="6"/>
      <c r="F139" s="6"/>
      <c r="G139" s="6"/>
      <c r="H139" s="6"/>
      <c r="I139" s="6"/>
      <c r="J139" s="6"/>
      <c r="K139" s="6"/>
      <c r="L139" s="6"/>
      <c r="M139" s="24"/>
      <c r="N139" s="24"/>
      <c r="O139" s="6"/>
    </row>
    <row r="140" spans="5:15" s="4" customFormat="1" x14ac:dyDescent="0.2">
      <c r="E140" s="6"/>
      <c r="F140" s="6"/>
      <c r="G140" s="6"/>
      <c r="H140" s="6"/>
      <c r="I140" s="6"/>
      <c r="J140" s="6"/>
      <c r="K140" s="6"/>
      <c r="L140" s="6"/>
      <c r="M140" s="24"/>
      <c r="N140" s="24"/>
      <c r="O140" s="6"/>
    </row>
    <row r="141" spans="5:15" s="4" customFormat="1" x14ac:dyDescent="0.2">
      <c r="E141" s="6"/>
      <c r="F141" s="6"/>
      <c r="G141" s="6"/>
      <c r="H141" s="6"/>
      <c r="I141" s="6"/>
      <c r="J141" s="6"/>
      <c r="K141" s="6"/>
      <c r="L141" s="6"/>
      <c r="M141" s="24"/>
      <c r="N141" s="24"/>
      <c r="O141" s="6"/>
    </row>
    <row r="142" spans="5:15" s="4" customFormat="1" x14ac:dyDescent="0.2">
      <c r="E142" s="6"/>
      <c r="F142" s="6"/>
      <c r="G142" s="6"/>
      <c r="H142" s="6"/>
      <c r="I142" s="6"/>
      <c r="J142" s="6"/>
      <c r="K142" s="6"/>
      <c r="L142" s="6"/>
      <c r="M142" s="24"/>
      <c r="N142" s="24"/>
      <c r="O142" s="6"/>
    </row>
    <row r="143" spans="5:15" s="4" customFormat="1" x14ac:dyDescent="0.2">
      <c r="E143" s="6"/>
      <c r="F143" s="6"/>
      <c r="G143" s="6"/>
      <c r="H143" s="6"/>
      <c r="I143" s="6"/>
      <c r="J143" s="6"/>
      <c r="K143" s="6"/>
      <c r="L143" s="6"/>
      <c r="M143" s="24"/>
      <c r="N143" s="24"/>
      <c r="O143" s="6"/>
    </row>
    <row r="144" spans="5:15" s="4" customFormat="1" x14ac:dyDescent="0.2">
      <c r="E144" s="6"/>
      <c r="F144" s="6"/>
      <c r="G144" s="6"/>
      <c r="H144" s="6"/>
      <c r="I144" s="6"/>
      <c r="J144" s="6"/>
      <c r="K144" s="6"/>
      <c r="L144" s="6"/>
      <c r="M144" s="24"/>
      <c r="N144" s="24"/>
      <c r="O144" s="6"/>
    </row>
    <row r="145" spans="5:15" s="4" customFormat="1" x14ac:dyDescent="0.2">
      <c r="E145" s="6"/>
      <c r="F145" s="6"/>
      <c r="G145" s="6"/>
      <c r="H145" s="6"/>
      <c r="I145" s="6"/>
      <c r="J145" s="6"/>
      <c r="K145" s="6"/>
      <c r="L145" s="6"/>
      <c r="M145" s="24"/>
      <c r="N145" s="24"/>
      <c r="O145" s="6"/>
    </row>
    <row r="146" spans="5:15" s="4" customFormat="1" x14ac:dyDescent="0.2">
      <c r="E146" s="6"/>
      <c r="F146" s="6"/>
      <c r="G146" s="6"/>
      <c r="H146" s="6"/>
      <c r="I146" s="6"/>
      <c r="J146" s="6"/>
      <c r="K146" s="6"/>
      <c r="L146" s="6"/>
      <c r="M146" s="24"/>
      <c r="N146" s="24"/>
      <c r="O146" s="6"/>
    </row>
    <row r="147" spans="5:15" s="4" customFormat="1" x14ac:dyDescent="0.2">
      <c r="E147" s="6"/>
      <c r="F147" s="6"/>
      <c r="G147" s="6"/>
      <c r="H147" s="6"/>
      <c r="I147" s="6"/>
      <c r="J147" s="6"/>
      <c r="K147" s="6"/>
      <c r="L147" s="6"/>
      <c r="M147" s="24"/>
      <c r="N147" s="24"/>
      <c r="O147" s="6"/>
    </row>
    <row r="148" spans="5:15" s="4" customFormat="1" x14ac:dyDescent="0.2">
      <c r="E148" s="6"/>
      <c r="F148" s="6"/>
      <c r="G148" s="6"/>
      <c r="H148" s="6"/>
      <c r="I148" s="6"/>
      <c r="J148" s="6"/>
      <c r="K148" s="6"/>
      <c r="L148" s="6"/>
      <c r="M148" s="24"/>
      <c r="N148" s="24"/>
      <c r="O148" s="6"/>
    </row>
    <row r="149" spans="5:15" s="4" customFormat="1" x14ac:dyDescent="0.2">
      <c r="E149" s="6"/>
      <c r="F149" s="6"/>
      <c r="G149" s="6"/>
      <c r="H149" s="6"/>
      <c r="I149" s="6"/>
      <c r="J149" s="6"/>
      <c r="K149" s="6"/>
      <c r="L149" s="6"/>
      <c r="M149" s="24"/>
      <c r="N149" s="24"/>
      <c r="O149" s="6"/>
    </row>
    <row r="150" spans="5:15" s="4" customFormat="1" x14ac:dyDescent="0.2">
      <c r="E150" s="6"/>
      <c r="F150" s="6"/>
      <c r="G150" s="6"/>
      <c r="H150" s="6"/>
      <c r="I150" s="6"/>
      <c r="J150" s="6"/>
      <c r="K150" s="6"/>
      <c r="L150" s="6"/>
      <c r="M150" s="24"/>
      <c r="N150" s="24"/>
      <c r="O150" s="6"/>
    </row>
    <row r="151" spans="5:15" s="4" customFormat="1" x14ac:dyDescent="0.2">
      <c r="E151" s="6"/>
      <c r="F151" s="6"/>
      <c r="G151" s="6"/>
      <c r="H151" s="6"/>
      <c r="I151" s="6"/>
      <c r="J151" s="6"/>
      <c r="K151" s="6"/>
      <c r="L151" s="6"/>
      <c r="M151" s="24"/>
      <c r="N151" s="24"/>
      <c r="O151" s="6"/>
    </row>
    <row r="152" spans="5:15" s="4" customFormat="1" x14ac:dyDescent="0.2">
      <c r="E152" s="6"/>
      <c r="F152" s="6"/>
      <c r="G152" s="6"/>
      <c r="H152" s="6"/>
      <c r="I152" s="6"/>
      <c r="J152" s="6"/>
      <c r="K152" s="6"/>
      <c r="L152" s="6"/>
      <c r="M152" s="24"/>
      <c r="N152" s="24"/>
      <c r="O152" s="6"/>
    </row>
    <row r="153" spans="5:15" s="4" customFormat="1" x14ac:dyDescent="0.2">
      <c r="E153" s="6"/>
      <c r="F153" s="6"/>
      <c r="G153" s="6"/>
      <c r="H153" s="6"/>
      <c r="I153" s="6"/>
      <c r="J153" s="6"/>
      <c r="K153" s="6"/>
      <c r="L153" s="6"/>
      <c r="M153" s="24"/>
      <c r="N153" s="24"/>
      <c r="O153" s="6"/>
    </row>
    <row r="154" spans="5:15" s="4" customFormat="1" x14ac:dyDescent="0.2">
      <c r="E154" s="6"/>
      <c r="F154" s="6"/>
      <c r="G154" s="6"/>
      <c r="H154" s="6"/>
      <c r="I154" s="6"/>
      <c r="J154" s="6"/>
      <c r="K154" s="6"/>
      <c r="L154" s="6"/>
      <c r="M154" s="24"/>
      <c r="N154" s="24"/>
      <c r="O154" s="6"/>
    </row>
    <row r="155" spans="5:15" s="4" customFormat="1" x14ac:dyDescent="0.2">
      <c r="E155" s="6"/>
      <c r="F155" s="6"/>
      <c r="G155" s="6"/>
      <c r="H155" s="6"/>
      <c r="I155" s="6"/>
      <c r="J155" s="6"/>
      <c r="K155" s="6"/>
      <c r="L155" s="6"/>
      <c r="M155" s="24"/>
      <c r="N155" s="24"/>
      <c r="O155" s="6"/>
    </row>
    <row r="156" spans="5:15" s="4" customFormat="1" x14ac:dyDescent="0.2">
      <c r="E156" s="6"/>
      <c r="F156" s="6"/>
      <c r="G156" s="6"/>
      <c r="H156" s="6"/>
      <c r="I156" s="6"/>
      <c r="J156" s="6"/>
      <c r="K156" s="6"/>
      <c r="L156" s="6"/>
      <c r="M156" s="24"/>
      <c r="N156" s="24"/>
      <c r="O156" s="6"/>
    </row>
    <row r="157" spans="5:15" s="4" customFormat="1" x14ac:dyDescent="0.2">
      <c r="E157" s="6"/>
      <c r="F157" s="6"/>
      <c r="G157" s="6"/>
      <c r="H157" s="6"/>
      <c r="I157" s="6"/>
      <c r="J157" s="6"/>
      <c r="K157" s="6"/>
      <c r="L157" s="6"/>
      <c r="M157" s="24"/>
      <c r="N157" s="24"/>
      <c r="O157" s="6"/>
    </row>
    <row r="158" spans="5:15" s="4" customFormat="1" x14ac:dyDescent="0.2">
      <c r="E158" s="6"/>
      <c r="F158" s="6"/>
      <c r="G158" s="6"/>
      <c r="H158" s="6"/>
      <c r="I158" s="6"/>
      <c r="J158" s="6"/>
      <c r="K158" s="6"/>
      <c r="L158" s="6"/>
      <c r="M158" s="24"/>
      <c r="N158" s="24"/>
      <c r="O158" s="6"/>
    </row>
    <row r="159" spans="5:15" s="4" customFormat="1" x14ac:dyDescent="0.2">
      <c r="E159" s="6"/>
      <c r="F159" s="6"/>
      <c r="G159" s="6"/>
      <c r="H159" s="6"/>
      <c r="I159" s="6"/>
      <c r="J159" s="6"/>
      <c r="K159" s="6"/>
      <c r="L159" s="6"/>
      <c r="M159" s="24"/>
      <c r="N159" s="24"/>
      <c r="O159" s="6"/>
    </row>
    <row r="160" spans="5:15" s="4" customFormat="1" x14ac:dyDescent="0.2">
      <c r="E160" s="6"/>
      <c r="F160" s="6"/>
      <c r="G160" s="6"/>
      <c r="H160" s="6"/>
      <c r="I160" s="6"/>
      <c r="J160" s="6"/>
      <c r="K160" s="6"/>
      <c r="L160" s="6"/>
      <c r="M160" s="24"/>
      <c r="N160" s="24"/>
      <c r="O160" s="6"/>
    </row>
    <row r="161" spans="5:15" s="4" customFormat="1" x14ac:dyDescent="0.2">
      <c r="E161" s="6"/>
      <c r="F161" s="6"/>
      <c r="G161" s="6"/>
      <c r="H161" s="6"/>
      <c r="I161" s="6"/>
      <c r="J161" s="6"/>
      <c r="K161" s="6"/>
      <c r="L161" s="6"/>
      <c r="M161" s="24"/>
      <c r="N161" s="24"/>
      <c r="O161" s="6"/>
    </row>
    <row r="162" spans="5:15" s="4" customFormat="1" x14ac:dyDescent="0.2">
      <c r="E162" s="6"/>
      <c r="F162" s="6"/>
      <c r="G162" s="6"/>
      <c r="H162" s="6"/>
      <c r="I162" s="6"/>
      <c r="J162" s="6"/>
      <c r="K162" s="6"/>
      <c r="L162" s="6"/>
      <c r="M162" s="24"/>
      <c r="N162" s="24"/>
      <c r="O162" s="6"/>
    </row>
    <row r="163" spans="5:15" s="4" customFormat="1" x14ac:dyDescent="0.2">
      <c r="E163" s="6"/>
      <c r="F163" s="6"/>
      <c r="G163" s="6"/>
      <c r="H163" s="6"/>
      <c r="I163" s="6"/>
      <c r="J163" s="6"/>
      <c r="K163" s="6"/>
      <c r="L163" s="6"/>
      <c r="M163" s="24"/>
      <c r="N163" s="24"/>
      <c r="O163" s="6"/>
    </row>
    <row r="164" spans="5:15" s="4" customFormat="1" x14ac:dyDescent="0.2">
      <c r="E164" s="6"/>
      <c r="F164" s="6"/>
      <c r="G164" s="6"/>
      <c r="H164" s="6"/>
      <c r="I164" s="6"/>
      <c r="J164" s="6"/>
      <c r="K164" s="6"/>
      <c r="L164" s="6"/>
      <c r="M164" s="24"/>
      <c r="N164" s="24"/>
      <c r="O164" s="6"/>
    </row>
    <row r="165" spans="5:15" s="4" customFormat="1" x14ac:dyDescent="0.2">
      <c r="E165" s="6"/>
      <c r="F165" s="6"/>
      <c r="G165" s="6"/>
      <c r="H165" s="6"/>
      <c r="I165" s="6"/>
      <c r="J165" s="6"/>
      <c r="K165" s="6"/>
      <c r="L165" s="6"/>
      <c r="M165" s="24"/>
      <c r="N165" s="24"/>
      <c r="O165" s="6"/>
    </row>
    <row r="166" spans="5:15" s="4" customFormat="1" x14ac:dyDescent="0.2">
      <c r="E166" s="6"/>
      <c r="F166" s="6"/>
      <c r="G166" s="6"/>
      <c r="H166" s="6"/>
      <c r="I166" s="6"/>
      <c r="J166" s="6"/>
      <c r="K166" s="6"/>
      <c r="L166" s="6"/>
      <c r="M166" s="24"/>
      <c r="N166" s="24"/>
      <c r="O166" s="6"/>
    </row>
    <row r="167" spans="5:15" s="4" customFormat="1" x14ac:dyDescent="0.2">
      <c r="E167" s="6"/>
      <c r="F167" s="6"/>
      <c r="G167" s="6"/>
      <c r="H167" s="6"/>
      <c r="I167" s="6"/>
      <c r="J167" s="6"/>
      <c r="K167" s="6"/>
      <c r="L167" s="6"/>
      <c r="M167" s="24"/>
      <c r="N167" s="24"/>
      <c r="O167" s="6"/>
    </row>
    <row r="168" spans="5:15" s="4" customFormat="1" x14ac:dyDescent="0.2">
      <c r="E168" s="6"/>
      <c r="F168" s="6"/>
      <c r="G168" s="6"/>
      <c r="H168" s="6"/>
      <c r="I168" s="6"/>
      <c r="J168" s="6"/>
      <c r="K168" s="6"/>
      <c r="L168" s="6"/>
      <c r="M168" s="24"/>
      <c r="N168" s="24"/>
      <c r="O168" s="6"/>
    </row>
    <row r="169" spans="5:15" s="4" customFormat="1" x14ac:dyDescent="0.2">
      <c r="E169" s="6"/>
      <c r="F169" s="6"/>
      <c r="G169" s="6"/>
      <c r="H169" s="6"/>
      <c r="I169" s="6"/>
      <c r="J169" s="6"/>
      <c r="K169" s="6"/>
      <c r="L169" s="6"/>
      <c r="M169" s="24"/>
      <c r="N169" s="24"/>
      <c r="O169" s="6"/>
    </row>
    <row r="170" spans="5:15" s="4" customFormat="1" x14ac:dyDescent="0.2">
      <c r="E170" s="6"/>
      <c r="F170" s="6"/>
      <c r="G170" s="6"/>
      <c r="H170" s="6"/>
      <c r="I170" s="6"/>
      <c r="J170" s="6"/>
      <c r="K170" s="6"/>
      <c r="L170" s="6"/>
      <c r="M170" s="24"/>
      <c r="N170" s="24"/>
      <c r="O170" s="6"/>
    </row>
    <row r="171" spans="5:15" s="4" customFormat="1" x14ac:dyDescent="0.2">
      <c r="E171" s="6"/>
      <c r="F171" s="6"/>
      <c r="G171" s="6"/>
      <c r="H171" s="6"/>
      <c r="I171" s="6"/>
      <c r="J171" s="6"/>
      <c r="K171" s="6"/>
      <c r="L171" s="6"/>
      <c r="M171" s="24"/>
      <c r="N171" s="24"/>
      <c r="O171" s="6"/>
    </row>
    <row r="172" spans="5:15" s="4" customFormat="1" x14ac:dyDescent="0.2">
      <c r="E172" s="6"/>
      <c r="F172" s="6"/>
      <c r="G172" s="6"/>
      <c r="H172" s="6"/>
      <c r="I172" s="6"/>
      <c r="J172" s="6"/>
      <c r="K172" s="6"/>
      <c r="L172" s="6"/>
      <c r="M172" s="24"/>
      <c r="N172" s="24"/>
      <c r="O172" s="6"/>
    </row>
    <row r="173" spans="5:15" s="4" customFormat="1" x14ac:dyDescent="0.2">
      <c r="E173" s="6"/>
      <c r="F173" s="6"/>
      <c r="G173" s="6"/>
      <c r="H173" s="6"/>
      <c r="I173" s="6"/>
      <c r="J173" s="6"/>
      <c r="K173" s="6"/>
      <c r="L173" s="6"/>
      <c r="M173" s="24"/>
      <c r="N173" s="24"/>
      <c r="O173" s="6"/>
    </row>
    <row r="174" spans="5:15" s="4" customFormat="1" x14ac:dyDescent="0.2">
      <c r="E174" s="6"/>
      <c r="F174" s="6"/>
      <c r="G174" s="6"/>
      <c r="H174" s="6"/>
      <c r="I174" s="6"/>
      <c r="J174" s="6"/>
      <c r="K174" s="6"/>
      <c r="L174" s="6"/>
      <c r="M174" s="24"/>
      <c r="N174" s="24"/>
      <c r="O174" s="6"/>
    </row>
    <row r="175" spans="5:15" s="4" customFormat="1" x14ac:dyDescent="0.2">
      <c r="E175" s="6"/>
      <c r="F175" s="6"/>
      <c r="G175" s="6"/>
      <c r="H175" s="6"/>
      <c r="I175" s="6"/>
      <c r="J175" s="6"/>
      <c r="K175" s="6"/>
      <c r="L175" s="6"/>
      <c r="M175" s="24"/>
      <c r="N175" s="24"/>
      <c r="O175" s="6"/>
    </row>
  </sheetData>
  <mergeCells count="3">
    <mergeCell ref="A10:A14"/>
    <mergeCell ref="A3:A8"/>
    <mergeCell ref="A26:H26"/>
  </mergeCells>
  <conditionalFormatting sqref="N20:N22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N23">
    <cfRule type="cellIs" dxfId="3" priority="1" operator="lessThan">
      <formula>0</formula>
    </cfRule>
    <cfRule type="cellIs" dxfId="2" priority="2" operator="greaterThan">
      <formula>0</formula>
    </cfRule>
  </conditionalFormatting>
  <hyperlinks>
    <hyperlink ref="G16" r:id="rId1" xr:uid="{63ECEAE9-E384-4743-A942-5A96F0BACC85}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C1D3F-BBC1-42CE-96F8-6F6BBAD81A31}">
  <sheetPr>
    <tabColor rgb="FFC00000"/>
  </sheetPr>
  <dimension ref="A1:AL169"/>
  <sheetViews>
    <sheetView zoomScale="110" zoomScaleNormal="110" workbookViewId="0">
      <selection activeCell="S12" sqref="S12"/>
    </sheetView>
  </sheetViews>
  <sheetFormatPr baseColWidth="10" defaultColWidth="8.83203125" defaultRowHeight="15" x14ac:dyDescent="0.2"/>
  <cols>
    <col min="1" max="1" width="6.83203125" style="5" customWidth="1"/>
    <col min="2" max="2" width="10.5" style="5" customWidth="1"/>
    <col min="3" max="3" width="9.6640625" style="5" customWidth="1"/>
    <col min="4" max="4" width="10.33203125" style="5" customWidth="1"/>
    <col min="5" max="5" width="10" style="5" customWidth="1"/>
    <col min="6" max="6" width="10.83203125" style="5" customWidth="1"/>
    <col min="7" max="7" width="11.1640625" style="10" customWidth="1"/>
    <col min="8" max="8" width="9.1640625" style="10" customWidth="1"/>
    <col min="9" max="9" width="8.6640625" style="10" customWidth="1"/>
    <col min="10" max="10" width="11.5" style="10" customWidth="1"/>
    <col min="11" max="11" width="10.83203125" style="10" customWidth="1"/>
    <col min="12" max="12" width="9.83203125" style="10" customWidth="1"/>
    <col min="13" max="13" width="11.6640625" style="10" customWidth="1"/>
    <col min="14" max="14" width="10" style="10" customWidth="1"/>
    <col min="15" max="15" width="13.83203125" style="24" hidden="1" customWidth="1"/>
    <col min="16" max="16" width="14" style="24" hidden="1" customWidth="1"/>
    <col min="17" max="17" width="10.6640625" customWidth="1"/>
    <col min="18" max="18" width="12.5" customWidth="1"/>
    <col min="19" max="24" width="8.83203125" style="63"/>
    <col min="25" max="25" width="17.6640625" style="10" customWidth="1"/>
    <col min="26" max="26" width="16.1640625" style="5" customWidth="1"/>
    <col min="27" max="27" width="15.5" style="5" customWidth="1"/>
    <col min="28" max="28" width="13.5" style="5" customWidth="1"/>
    <col min="29" max="29" width="12.33203125" style="4" customWidth="1"/>
    <col min="30" max="38" width="8.83203125" style="4"/>
    <col min="39" max="16384" width="8.83203125" style="5"/>
  </cols>
  <sheetData>
    <row r="1" spans="1:30" s="2" customFormat="1" ht="20" customHeight="1" x14ac:dyDescent="0.25">
      <c r="A1" s="116" t="s">
        <v>108</v>
      </c>
      <c r="B1" s="116"/>
      <c r="C1" s="116"/>
      <c r="D1" s="116"/>
      <c r="E1" s="116"/>
      <c r="F1" s="116"/>
      <c r="G1" s="78"/>
      <c r="H1" s="78"/>
      <c r="I1" s="78"/>
      <c r="J1" s="78"/>
      <c r="K1" s="78"/>
      <c r="L1" s="78"/>
      <c r="M1" s="78"/>
      <c r="N1" s="78"/>
      <c r="O1" s="31"/>
      <c r="P1" s="31"/>
      <c r="Y1" s="31"/>
      <c r="Z1" s="31"/>
      <c r="AA1" s="31"/>
      <c r="AB1" s="31"/>
    </row>
    <row r="2" spans="1:30" s="2" customFormat="1" thickBot="1" x14ac:dyDescent="0.25">
      <c r="C2" s="11"/>
      <c r="D2" s="11"/>
      <c r="E2" s="11"/>
      <c r="F2" s="11"/>
      <c r="H2" s="11"/>
      <c r="I2" s="11"/>
      <c r="J2" s="11"/>
      <c r="K2" s="11"/>
      <c r="L2" s="11"/>
      <c r="M2" s="11"/>
      <c r="N2" s="11"/>
      <c r="O2" s="20"/>
      <c r="P2" s="20"/>
      <c r="Y2" s="11"/>
      <c r="Z2" s="11"/>
      <c r="AA2" s="11"/>
      <c r="AB2" s="11"/>
    </row>
    <row r="3" spans="1:30" s="2" customFormat="1" ht="13" customHeight="1" x14ac:dyDescent="0.2">
      <c r="A3" s="264" t="s">
        <v>45</v>
      </c>
      <c r="B3" s="55" t="s">
        <v>21</v>
      </c>
      <c r="C3" s="55"/>
      <c r="D3" s="55"/>
      <c r="E3" s="55"/>
      <c r="F3" s="56">
        <v>100</v>
      </c>
      <c r="H3" s="19"/>
      <c r="I3" s="19"/>
      <c r="J3" s="19"/>
      <c r="K3" s="19"/>
      <c r="M3" s="12"/>
      <c r="N3" s="12"/>
      <c r="O3" s="67"/>
      <c r="P3" s="21"/>
      <c r="Y3" s="12"/>
      <c r="Z3" s="12"/>
      <c r="AA3" s="12"/>
      <c r="AC3" s="14"/>
    </row>
    <row r="4" spans="1:30" s="2" customFormat="1" ht="14.5" customHeight="1" x14ac:dyDescent="0.2">
      <c r="A4" s="265"/>
      <c r="B4" s="64" t="s">
        <v>26</v>
      </c>
      <c r="C4" s="64"/>
      <c r="D4" s="64"/>
      <c r="E4" s="64"/>
      <c r="F4" s="156">
        <v>1.7000000000000001E-2</v>
      </c>
      <c r="H4" s="6"/>
      <c r="I4" s="6"/>
      <c r="J4" s="6"/>
      <c r="K4" s="6"/>
      <c r="M4" s="12"/>
      <c r="N4" s="12"/>
      <c r="O4" s="67"/>
      <c r="P4" s="21"/>
      <c r="Y4" s="12"/>
      <c r="Z4" s="12"/>
      <c r="AA4" s="12"/>
      <c r="AC4" s="14"/>
    </row>
    <row r="5" spans="1:30" s="2" customFormat="1" ht="14.5" customHeight="1" x14ac:dyDescent="0.2">
      <c r="A5" s="265"/>
      <c r="B5" s="64" t="s">
        <v>27</v>
      </c>
      <c r="C5" s="64"/>
      <c r="D5" s="64"/>
      <c r="E5" s="64"/>
      <c r="F5" s="156">
        <v>0.01</v>
      </c>
      <c r="H5" s="6"/>
      <c r="I5" s="6"/>
      <c r="J5" s="6"/>
      <c r="K5" s="6"/>
      <c r="M5" s="12"/>
      <c r="N5" s="12"/>
      <c r="O5" s="67"/>
      <c r="P5" s="21"/>
      <c r="Y5" s="12"/>
      <c r="Z5" s="12"/>
      <c r="AA5" s="12"/>
      <c r="AC5" s="14"/>
    </row>
    <row r="6" spans="1:30" s="2" customFormat="1" ht="14.5" customHeight="1" x14ac:dyDescent="0.2">
      <c r="A6" s="265"/>
      <c r="B6" s="57" t="s">
        <v>32</v>
      </c>
      <c r="C6" s="57"/>
      <c r="D6" s="57"/>
      <c r="E6" s="57"/>
      <c r="F6" s="58" t="s">
        <v>31</v>
      </c>
      <c r="H6" s="6"/>
      <c r="I6" s="6"/>
      <c r="J6" s="6"/>
      <c r="K6" s="6"/>
      <c r="M6" s="12"/>
      <c r="N6" s="12"/>
      <c r="O6" s="21"/>
      <c r="P6" s="21"/>
      <c r="Y6" s="12"/>
      <c r="Z6" s="12"/>
      <c r="AA6" s="12"/>
      <c r="AC6" s="14"/>
    </row>
    <row r="7" spans="1:30" s="2" customFormat="1" ht="14.5" customHeight="1" x14ac:dyDescent="0.2">
      <c r="A7" s="265"/>
      <c r="B7" s="57" t="s">
        <v>35</v>
      </c>
      <c r="C7" s="57"/>
      <c r="D7" s="57"/>
      <c r="E7" s="57"/>
      <c r="F7" s="106">
        <v>2</v>
      </c>
      <c r="H7" s="13"/>
      <c r="I7" s="13"/>
      <c r="J7" s="13"/>
      <c r="K7" s="13"/>
      <c r="M7" s="12"/>
      <c r="N7" s="12"/>
      <c r="O7" s="21"/>
      <c r="P7" s="21"/>
      <c r="Y7" s="12"/>
      <c r="Z7" s="12"/>
      <c r="AA7" s="12"/>
      <c r="AC7" s="14"/>
    </row>
    <row r="8" spans="1:30" s="2" customFormat="1" ht="14.75" customHeight="1" thickBot="1" x14ac:dyDescent="0.25">
      <c r="A8" s="266"/>
      <c r="B8" s="59" t="s">
        <v>89</v>
      </c>
      <c r="C8" s="59"/>
      <c r="D8" s="59"/>
      <c r="E8" s="59"/>
      <c r="F8" s="115">
        <v>0.19</v>
      </c>
      <c r="H8" s="13"/>
      <c r="I8" s="13"/>
      <c r="J8" s="13"/>
      <c r="K8" s="13"/>
      <c r="M8" s="12"/>
      <c r="N8" s="12"/>
      <c r="O8" s="21"/>
      <c r="P8" s="21"/>
      <c r="Y8" s="12"/>
      <c r="Z8" s="12"/>
      <c r="AA8" s="12"/>
      <c r="AC8" s="14"/>
    </row>
    <row r="9" spans="1:30" s="2" customFormat="1" thickBot="1" x14ac:dyDescent="0.25">
      <c r="B9" s="12"/>
      <c r="C9" s="12"/>
      <c r="D9" s="12"/>
      <c r="E9" s="12"/>
      <c r="F9" s="12"/>
      <c r="G9" s="13"/>
      <c r="H9" s="13"/>
      <c r="I9" s="13"/>
      <c r="J9" s="13"/>
      <c r="K9" s="13"/>
      <c r="M9" s="12"/>
      <c r="N9" s="12"/>
      <c r="O9" s="21"/>
      <c r="P9" s="21"/>
      <c r="Y9" s="12"/>
      <c r="Z9" s="12"/>
      <c r="AA9" s="12"/>
      <c r="AC9" s="14"/>
    </row>
    <row r="10" spans="1:30" x14ac:dyDescent="0.2">
      <c r="A10" s="257" t="s">
        <v>25</v>
      </c>
      <c r="B10" s="35" t="s">
        <v>20</v>
      </c>
      <c r="C10" s="35"/>
      <c r="D10" s="35"/>
      <c r="E10" s="35"/>
      <c r="F10" s="158">
        <v>10</v>
      </c>
      <c r="G10" s="1" t="s">
        <v>23</v>
      </c>
      <c r="H10" s="6"/>
      <c r="I10" s="6"/>
      <c r="J10" s="1"/>
      <c r="K10" s="6"/>
      <c r="L10" s="6"/>
      <c r="M10" s="6"/>
      <c r="N10" s="6"/>
      <c r="O10" s="12"/>
      <c r="P10" s="21"/>
      <c r="Q10" s="63"/>
      <c r="R10" s="63"/>
      <c r="Y10" s="12"/>
      <c r="Z10" s="12"/>
      <c r="AA10" s="12"/>
      <c r="AB10" s="4"/>
    </row>
    <row r="11" spans="1:30" x14ac:dyDescent="0.2">
      <c r="A11" s="258"/>
      <c r="B11" s="37" t="s">
        <v>22</v>
      </c>
      <c r="C11" s="37"/>
      <c r="D11" s="37"/>
      <c r="E11" s="37"/>
      <c r="F11" s="40">
        <f>F10*F3</f>
        <v>1000</v>
      </c>
      <c r="G11" s="4"/>
      <c r="H11" s="6"/>
      <c r="I11" s="6"/>
      <c r="J11" s="4"/>
      <c r="K11" s="6"/>
      <c r="L11" s="6"/>
      <c r="M11" s="6"/>
      <c r="N11" s="6"/>
      <c r="O11" s="12"/>
      <c r="P11" s="21"/>
      <c r="Q11" s="63"/>
      <c r="R11" s="63"/>
      <c r="Y11" s="12"/>
      <c r="Z11" s="12"/>
      <c r="AA11" s="12"/>
      <c r="AB11" s="4"/>
    </row>
    <row r="12" spans="1:30" x14ac:dyDescent="0.2">
      <c r="A12" s="258"/>
      <c r="B12" s="37" t="s">
        <v>39</v>
      </c>
      <c r="C12" s="37"/>
      <c r="D12" s="37"/>
      <c r="E12" s="37"/>
      <c r="F12" s="41">
        <v>3.3000000000000002E-2</v>
      </c>
      <c r="G12" s="1" t="s">
        <v>24</v>
      </c>
      <c r="H12" s="6"/>
      <c r="I12" s="6"/>
      <c r="J12" s="1"/>
      <c r="K12" s="6"/>
      <c r="L12" s="6"/>
      <c r="M12" s="6"/>
      <c r="N12" s="6"/>
      <c r="O12" s="12"/>
      <c r="P12" s="21"/>
      <c r="Q12" s="63"/>
      <c r="R12" s="63"/>
      <c r="Y12" s="12"/>
      <c r="Z12" s="12"/>
      <c r="AA12" s="12"/>
      <c r="AB12" s="4"/>
    </row>
    <row r="13" spans="1:30" x14ac:dyDescent="0.2">
      <c r="A13" s="258"/>
      <c r="B13" s="37" t="s">
        <v>50</v>
      </c>
      <c r="C13" s="37"/>
      <c r="D13" s="37"/>
      <c r="E13" s="37"/>
      <c r="F13" s="41">
        <v>2.5000000000000001E-2</v>
      </c>
      <c r="G13" s="1" t="s">
        <v>82</v>
      </c>
      <c r="H13" s="6"/>
      <c r="I13" s="6"/>
      <c r="J13" s="1"/>
      <c r="K13" s="6"/>
      <c r="L13" s="6"/>
      <c r="M13" s="6"/>
      <c r="N13" s="6"/>
      <c r="O13" s="12"/>
      <c r="P13" s="21"/>
      <c r="Q13" s="63"/>
      <c r="R13" s="63"/>
      <c r="Y13" s="12"/>
      <c r="Z13" s="12"/>
      <c r="AA13" s="12"/>
      <c r="AB13" s="4"/>
    </row>
    <row r="14" spans="1:30" ht="16" thickBot="1" x14ac:dyDescent="0.25">
      <c r="A14" s="259"/>
      <c r="B14" s="38" t="s">
        <v>44</v>
      </c>
      <c r="C14" s="38"/>
      <c r="D14" s="38"/>
      <c r="E14" s="38"/>
      <c r="F14" s="62">
        <v>2.5000000000000001E-2</v>
      </c>
      <c r="G14" s="1" t="s">
        <v>82</v>
      </c>
      <c r="H14" s="6"/>
      <c r="I14" s="6"/>
      <c r="J14" s="1"/>
      <c r="K14" s="6"/>
      <c r="L14" s="6"/>
      <c r="M14" s="6"/>
      <c r="N14" s="6"/>
      <c r="O14" s="12"/>
      <c r="P14" s="21"/>
      <c r="Q14" s="63"/>
      <c r="R14" s="63"/>
      <c r="Y14" s="12"/>
      <c r="Z14" s="12"/>
      <c r="AA14" s="12"/>
      <c r="AB14" s="4"/>
    </row>
    <row r="15" spans="1:30" ht="21" customHeight="1" x14ac:dyDescent="0.2">
      <c r="A15" s="2" t="s">
        <v>3</v>
      </c>
      <c r="B15" s="2"/>
      <c r="C15" s="2"/>
      <c r="D15" s="2"/>
      <c r="E15" s="2"/>
      <c r="F15" s="2"/>
      <c r="G15" s="269" t="s">
        <v>124</v>
      </c>
      <c r="H15" s="6"/>
      <c r="I15" s="4"/>
      <c r="J15" s="3"/>
      <c r="K15" s="3"/>
      <c r="L15" s="4"/>
      <c r="M15" s="3"/>
      <c r="N15" s="3"/>
      <c r="O15" s="66"/>
      <c r="P15" s="23"/>
      <c r="Q15" s="63"/>
      <c r="R15" s="63"/>
      <c r="Y15" s="72"/>
      <c r="Z15" s="72"/>
      <c r="AA15" s="72"/>
      <c r="AB15" s="72"/>
      <c r="AC15" s="22"/>
      <c r="AD15" s="22"/>
    </row>
    <row r="16" spans="1:30" ht="16" thickBot="1" x14ac:dyDescent="0.25">
      <c r="A16" s="4"/>
      <c r="B16" s="4"/>
      <c r="C16" s="4"/>
      <c r="D16" s="6"/>
      <c r="E16" s="6"/>
      <c r="F16" s="6"/>
      <c r="G16" s="4"/>
      <c r="H16" s="4"/>
      <c r="I16" s="4"/>
      <c r="J16" s="4"/>
      <c r="K16" s="4"/>
      <c r="L16" s="5"/>
      <c r="M16" s="4"/>
      <c r="N16" s="4"/>
      <c r="O16" s="22"/>
      <c r="P16" s="22"/>
      <c r="Q16" s="63"/>
      <c r="Y16" s="22"/>
      <c r="Z16" s="22"/>
      <c r="AA16" s="22"/>
      <c r="AB16" s="73"/>
      <c r="AC16" s="22"/>
      <c r="AD16" s="22"/>
    </row>
    <row r="17" spans="1:38" s="30" customFormat="1" ht="120" x14ac:dyDescent="0.2">
      <c r="A17" s="26" t="s">
        <v>29</v>
      </c>
      <c r="B17" s="254" t="s">
        <v>42</v>
      </c>
      <c r="C17" s="255"/>
      <c r="D17" s="27" t="s">
        <v>41</v>
      </c>
      <c r="E17" s="27" t="s">
        <v>83</v>
      </c>
      <c r="F17" s="27" t="s">
        <v>84</v>
      </c>
      <c r="G17" s="25" t="s">
        <v>75</v>
      </c>
      <c r="H17" s="25" t="s">
        <v>2</v>
      </c>
      <c r="I17" s="25" t="s">
        <v>16</v>
      </c>
      <c r="J17" s="25" t="s">
        <v>47</v>
      </c>
      <c r="K17" s="130" t="s">
        <v>93</v>
      </c>
      <c r="L17" s="130" t="s">
        <v>94</v>
      </c>
      <c r="M17" s="90" t="s">
        <v>96</v>
      </c>
      <c r="N17" s="97" t="s">
        <v>107</v>
      </c>
      <c r="O17" s="117" t="s">
        <v>95</v>
      </c>
      <c r="P17" s="108" t="s">
        <v>87</v>
      </c>
      <c r="Q17" s="101" t="s">
        <v>72</v>
      </c>
      <c r="R17" s="150" t="s">
        <v>88</v>
      </c>
      <c r="S17" s="29"/>
      <c r="T17" s="29"/>
      <c r="U17" s="29"/>
      <c r="V17" s="29"/>
      <c r="W17" s="29"/>
      <c r="X17" s="29"/>
      <c r="Y17" s="28"/>
      <c r="Z17" s="28"/>
      <c r="AA17" s="28"/>
      <c r="AB17" s="28"/>
      <c r="AC17" s="28"/>
      <c r="AD17" s="74"/>
      <c r="AE17" s="29"/>
      <c r="AF17" s="29"/>
      <c r="AG17" s="29"/>
      <c r="AH17" s="29"/>
      <c r="AI17" s="29"/>
      <c r="AJ17" s="29"/>
      <c r="AK17" s="29"/>
      <c r="AL17" s="29"/>
    </row>
    <row r="18" spans="1:38" s="4" customFormat="1" ht="14" x14ac:dyDescent="0.2">
      <c r="A18" s="5"/>
      <c r="B18" s="5" t="s">
        <v>17</v>
      </c>
      <c r="C18" s="8">
        <f>$F$11</f>
        <v>1000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98"/>
      <c r="O18" s="8"/>
      <c r="P18" s="8"/>
      <c r="Q18" s="98"/>
      <c r="R18" s="151"/>
      <c r="Y18" s="22"/>
      <c r="Z18" s="22"/>
      <c r="AA18" s="22"/>
      <c r="AB18" s="22"/>
      <c r="AC18" s="22"/>
      <c r="AD18" s="22"/>
    </row>
    <row r="19" spans="1:38" s="4" customFormat="1" ht="14" x14ac:dyDescent="0.2">
      <c r="A19" s="5">
        <v>1</v>
      </c>
      <c r="B19" s="5" t="s">
        <v>4</v>
      </c>
      <c r="C19" s="8">
        <f>C18*(1+F4)</f>
        <v>1016.9999999999999</v>
      </c>
      <c r="D19" s="43">
        <f>F12</f>
        <v>3.3000000000000002E-2</v>
      </c>
      <c r="E19" s="148">
        <f>F4</f>
        <v>1.7000000000000001E-2</v>
      </c>
      <c r="F19" s="8">
        <f>C18*F4</f>
        <v>17</v>
      </c>
      <c r="G19" s="8">
        <f t="shared" ref="G19:G28" si="0">C19-$C$18</f>
        <v>16.999999999999886</v>
      </c>
      <c r="H19" s="8">
        <v>0</v>
      </c>
      <c r="I19" s="8">
        <v>0</v>
      </c>
      <c r="J19" s="17">
        <v>0</v>
      </c>
      <c r="K19" s="8">
        <f t="shared" ref="K19:K28" si="1">MIN(C19*J19,200)</f>
        <v>0</v>
      </c>
      <c r="L19" s="8">
        <f>L18+K19</f>
        <v>0</v>
      </c>
      <c r="M19" s="8">
        <f>G19-H19-I19-L19</f>
        <v>16.999999999999886</v>
      </c>
      <c r="N19" s="99">
        <f>$F$11+M19</f>
        <v>1016.9999999999999</v>
      </c>
      <c r="O19" s="8">
        <f>$C$18*D19</f>
        <v>33</v>
      </c>
      <c r="P19" s="8">
        <f>P18+O19</f>
        <v>33</v>
      </c>
      <c r="Q19" s="124">
        <f>$F$11+P19</f>
        <v>1033</v>
      </c>
      <c r="R19" s="152">
        <f t="shared" ref="R19:R28" si="2">M19-P19</f>
        <v>-16.000000000000114</v>
      </c>
      <c r="Y19" s="77"/>
      <c r="Z19" s="77"/>
      <c r="AA19" s="77"/>
      <c r="AB19" s="77"/>
      <c r="AC19" s="22"/>
      <c r="AD19" s="22"/>
    </row>
    <row r="20" spans="1:38" s="4" customFormat="1" ht="14" x14ac:dyDescent="0.2">
      <c r="A20" s="5">
        <v>2</v>
      </c>
      <c r="B20" s="5" t="s">
        <v>5</v>
      </c>
      <c r="C20" s="8">
        <f>C19+F20</f>
        <v>1060.731</v>
      </c>
      <c r="D20" s="43">
        <f>F13</f>
        <v>2.5000000000000001E-2</v>
      </c>
      <c r="E20" s="148">
        <f>MAX(D19,0)+$F$5</f>
        <v>4.3000000000000003E-2</v>
      </c>
      <c r="F20" s="8">
        <f>IF(D19&gt;0,C19*($F$5+D19),C19*$F$5)</f>
        <v>43.731000000000002</v>
      </c>
      <c r="G20" s="8">
        <f t="shared" si="0"/>
        <v>60.730999999999995</v>
      </c>
      <c r="H20" s="8">
        <v>0</v>
      </c>
      <c r="I20" s="8">
        <v>0</v>
      </c>
      <c r="J20" s="17">
        <v>1.6000000000000001E-3</v>
      </c>
      <c r="K20" s="8">
        <f t="shared" si="1"/>
        <v>1.6971696000000001</v>
      </c>
      <c r="L20" s="8">
        <f t="shared" ref="L20:L28" si="3">L19+K20</f>
        <v>1.6971696000000001</v>
      </c>
      <c r="M20" s="8">
        <f t="shared" ref="M20:M28" si="4">G20-H20-I20-L20</f>
        <v>59.033830399999992</v>
      </c>
      <c r="N20" s="99">
        <f>$F$11+M20</f>
        <v>1059.0338303999999</v>
      </c>
      <c r="O20" s="8">
        <f t="shared" ref="O20:O28" si="5">($C$18+P19)*D20</f>
        <v>25.825000000000003</v>
      </c>
      <c r="P20" s="8">
        <f t="shared" ref="P20:P28" si="6">P19+O20</f>
        <v>58.825000000000003</v>
      </c>
      <c r="Q20" s="124">
        <f t="shared" ref="Q20:Q28" si="7">$F$11+P20</f>
        <v>1058.825</v>
      </c>
      <c r="R20" s="152">
        <f t="shared" si="2"/>
        <v>0.20883039999998942</v>
      </c>
      <c r="Y20" s="77"/>
      <c r="Z20" s="77"/>
      <c r="AA20" s="77"/>
      <c r="AB20" s="77"/>
      <c r="AC20" s="22"/>
      <c r="AD20" s="22"/>
    </row>
    <row r="21" spans="1:38" s="4" customFormat="1" ht="14" x14ac:dyDescent="0.2">
      <c r="A21" s="5">
        <v>3</v>
      </c>
      <c r="B21" s="5" t="s">
        <v>6</v>
      </c>
      <c r="C21" s="8">
        <f t="shared" ref="C21:C27" si="8">C20+F21</f>
        <v>1097.856585</v>
      </c>
      <c r="D21" s="43">
        <f>D20</f>
        <v>2.5000000000000001E-2</v>
      </c>
      <c r="E21" s="148">
        <f t="shared" ref="E21:E28" si="9">MAX(D20,0)+$F$5</f>
        <v>3.5000000000000003E-2</v>
      </c>
      <c r="F21" s="8">
        <f t="shared" ref="F21:F28" si="10">IF(D20&gt;0,C20*($F$5+D20),C20*$F$5)</f>
        <v>37.125585000000001</v>
      </c>
      <c r="G21" s="8">
        <f t="shared" si="0"/>
        <v>97.856584999999995</v>
      </c>
      <c r="H21" s="8">
        <v>0</v>
      </c>
      <c r="I21" s="8">
        <v>0</v>
      </c>
      <c r="J21" s="17">
        <v>1.5E-3</v>
      </c>
      <c r="K21" s="8">
        <f t="shared" si="1"/>
        <v>1.6467848775</v>
      </c>
      <c r="L21" s="8">
        <f t="shared" si="3"/>
        <v>3.3439544775000001</v>
      </c>
      <c r="M21" s="8">
        <f t="shared" si="4"/>
        <v>94.51263052249999</v>
      </c>
      <c r="N21" s="99">
        <f t="shared" ref="N21:N28" si="11">$F$11+M21</f>
        <v>1094.5126305224999</v>
      </c>
      <c r="O21" s="8">
        <f t="shared" si="5"/>
        <v>26.470625000000002</v>
      </c>
      <c r="P21" s="8">
        <f t="shared" si="6"/>
        <v>85.295625000000001</v>
      </c>
      <c r="Q21" s="124">
        <f t="shared" si="7"/>
        <v>1085.295625</v>
      </c>
      <c r="R21" s="152">
        <f t="shared" si="2"/>
        <v>9.2170055224999885</v>
      </c>
      <c r="Y21" s="77"/>
      <c r="Z21" s="77"/>
      <c r="AA21" s="77"/>
      <c r="AB21" s="77"/>
      <c r="AC21" s="22"/>
      <c r="AD21" s="22"/>
    </row>
    <row r="22" spans="1:38" s="4" customFormat="1" ht="14" x14ac:dyDescent="0.2">
      <c r="A22" s="5">
        <v>4</v>
      </c>
      <c r="B22" s="5" t="s">
        <v>7</v>
      </c>
      <c r="C22" s="8">
        <f t="shared" si="8"/>
        <v>1136.281565475</v>
      </c>
      <c r="D22" s="43">
        <f t="shared" ref="D22:D27" si="12">D21</f>
        <v>2.5000000000000001E-2</v>
      </c>
      <c r="E22" s="148">
        <f>MAX(D21,0)+$F$5</f>
        <v>3.5000000000000003E-2</v>
      </c>
      <c r="F22" s="8">
        <f t="shared" si="10"/>
        <v>38.424980475000005</v>
      </c>
      <c r="G22" s="8">
        <f t="shared" si="0"/>
        <v>136.28156547499998</v>
      </c>
      <c r="H22" s="8">
        <v>0</v>
      </c>
      <c r="I22" s="8">
        <v>0</v>
      </c>
      <c r="J22" s="17">
        <v>1.4E-3</v>
      </c>
      <c r="K22" s="8">
        <f t="shared" si="1"/>
        <v>1.5907941916649999</v>
      </c>
      <c r="L22" s="8">
        <f t="shared" si="3"/>
        <v>4.9347486691649998</v>
      </c>
      <c r="M22" s="8">
        <f t="shared" si="4"/>
        <v>131.34681680583498</v>
      </c>
      <c r="N22" s="99">
        <f t="shared" si="11"/>
        <v>1131.346816805835</v>
      </c>
      <c r="O22" s="8">
        <f t="shared" si="5"/>
        <v>27.132390624999999</v>
      </c>
      <c r="P22" s="8">
        <f t="shared" si="6"/>
        <v>112.428015625</v>
      </c>
      <c r="Q22" s="124">
        <f t="shared" si="7"/>
        <v>1112.4280156249999</v>
      </c>
      <c r="R22" s="152">
        <f t="shared" si="2"/>
        <v>18.918801180834976</v>
      </c>
      <c r="Y22" s="77"/>
      <c r="Z22" s="77"/>
      <c r="AA22" s="77"/>
      <c r="AB22" s="77"/>
      <c r="AC22" s="22"/>
      <c r="AD22" s="22"/>
    </row>
    <row r="23" spans="1:38" s="4" customFormat="1" ht="14" x14ac:dyDescent="0.2">
      <c r="A23" s="5">
        <v>5</v>
      </c>
      <c r="B23" s="5" t="s">
        <v>8</v>
      </c>
      <c r="C23" s="8">
        <f t="shared" si="8"/>
        <v>1176.051420266625</v>
      </c>
      <c r="D23" s="43">
        <f t="shared" si="12"/>
        <v>2.5000000000000001E-2</v>
      </c>
      <c r="E23" s="148">
        <f t="shared" si="9"/>
        <v>3.5000000000000003E-2</v>
      </c>
      <c r="F23" s="8">
        <f t="shared" si="10"/>
        <v>39.769854791625001</v>
      </c>
      <c r="G23" s="8">
        <f t="shared" si="0"/>
        <v>176.05142026662497</v>
      </c>
      <c r="H23" s="8">
        <v>0</v>
      </c>
      <c r="I23" s="8">
        <v>0</v>
      </c>
      <c r="J23" s="17">
        <v>1.2999999999999999E-3</v>
      </c>
      <c r="K23" s="8">
        <f t="shared" si="1"/>
        <v>1.5288668463466124</v>
      </c>
      <c r="L23" s="8">
        <f t="shared" si="3"/>
        <v>6.463615515511612</v>
      </c>
      <c r="M23" s="8">
        <f t="shared" si="4"/>
        <v>169.58780475111337</v>
      </c>
      <c r="N23" s="99">
        <f t="shared" si="11"/>
        <v>1169.5878047511133</v>
      </c>
      <c r="O23" s="8">
        <f t="shared" si="5"/>
        <v>27.810700390625001</v>
      </c>
      <c r="P23" s="8">
        <f t="shared" si="6"/>
        <v>140.23871601562502</v>
      </c>
      <c r="Q23" s="124">
        <f t="shared" si="7"/>
        <v>1140.238716015625</v>
      </c>
      <c r="R23" s="152">
        <f t="shared" si="2"/>
        <v>29.349088735488351</v>
      </c>
      <c r="Y23" s="77"/>
      <c r="Z23" s="77"/>
      <c r="AA23" s="77"/>
      <c r="AB23" s="77"/>
      <c r="AC23" s="22"/>
      <c r="AD23" s="22"/>
    </row>
    <row r="24" spans="1:38" s="4" customFormat="1" ht="14" x14ac:dyDescent="0.2">
      <c r="A24" s="5">
        <v>6</v>
      </c>
      <c r="B24" s="5" t="s">
        <v>9</v>
      </c>
      <c r="C24" s="8">
        <f t="shared" si="8"/>
        <v>1217.2132199759569</v>
      </c>
      <c r="D24" s="43">
        <f t="shared" si="12"/>
        <v>2.5000000000000001E-2</v>
      </c>
      <c r="E24" s="148">
        <f t="shared" si="9"/>
        <v>3.5000000000000003E-2</v>
      </c>
      <c r="F24" s="8">
        <f t="shared" si="10"/>
        <v>41.161799709331881</v>
      </c>
      <c r="G24" s="8">
        <f t="shared" si="0"/>
        <v>217.21321997595692</v>
      </c>
      <c r="H24" s="8">
        <v>0</v>
      </c>
      <c r="I24" s="8">
        <v>0</v>
      </c>
      <c r="J24" s="17">
        <v>1.1999999999999999E-3</v>
      </c>
      <c r="K24" s="8">
        <f t="shared" si="1"/>
        <v>1.4606558639711482</v>
      </c>
      <c r="L24" s="8">
        <f t="shared" si="3"/>
        <v>7.9242713794827599</v>
      </c>
      <c r="M24" s="8">
        <f t="shared" si="4"/>
        <v>209.28894859647417</v>
      </c>
      <c r="N24" s="99">
        <f t="shared" si="11"/>
        <v>1209.2889485964743</v>
      </c>
      <c r="O24" s="8">
        <f t="shared" si="5"/>
        <v>28.505967900390626</v>
      </c>
      <c r="P24" s="8">
        <f t="shared" si="6"/>
        <v>168.74468391601565</v>
      </c>
      <c r="Q24" s="124">
        <f t="shared" si="7"/>
        <v>1168.7446839160157</v>
      </c>
      <c r="R24" s="152">
        <f t="shared" si="2"/>
        <v>40.544264680458525</v>
      </c>
      <c r="Y24" s="77"/>
      <c r="Z24" s="77"/>
      <c r="AA24" s="77"/>
      <c r="AB24" s="77"/>
      <c r="AC24" s="22"/>
      <c r="AD24" s="22"/>
    </row>
    <row r="25" spans="1:38" s="4" customFormat="1" ht="14" x14ac:dyDescent="0.2">
      <c r="A25" s="5">
        <v>7</v>
      </c>
      <c r="B25" s="5" t="s">
        <v>10</v>
      </c>
      <c r="C25" s="8">
        <f t="shared" si="8"/>
        <v>1259.8156826751153</v>
      </c>
      <c r="D25" s="43">
        <f t="shared" si="12"/>
        <v>2.5000000000000001E-2</v>
      </c>
      <c r="E25" s="148">
        <f t="shared" si="9"/>
        <v>3.5000000000000003E-2</v>
      </c>
      <c r="F25" s="8">
        <f t="shared" si="10"/>
        <v>42.602462699158494</v>
      </c>
      <c r="G25" s="8">
        <f t="shared" si="0"/>
        <v>259.81568267511534</v>
      </c>
      <c r="H25" s="8">
        <v>0</v>
      </c>
      <c r="I25" s="8">
        <v>0</v>
      </c>
      <c r="J25" s="17">
        <v>1.1000000000000001E-3</v>
      </c>
      <c r="K25" s="8">
        <f t="shared" si="1"/>
        <v>1.3857972509426271</v>
      </c>
      <c r="L25" s="8">
        <f t="shared" si="3"/>
        <v>9.3100686304253877</v>
      </c>
      <c r="M25" s="8">
        <f t="shared" si="4"/>
        <v>250.50561404468996</v>
      </c>
      <c r="N25" s="99">
        <f t="shared" si="11"/>
        <v>1250.50561404469</v>
      </c>
      <c r="O25" s="8">
        <f t="shared" si="5"/>
        <v>29.218617097900392</v>
      </c>
      <c r="P25" s="8">
        <f t="shared" si="6"/>
        <v>197.96330101391604</v>
      </c>
      <c r="Q25" s="124">
        <f t="shared" si="7"/>
        <v>1197.963301013916</v>
      </c>
      <c r="R25" s="152">
        <f t="shared" si="2"/>
        <v>52.542313030773926</v>
      </c>
      <c r="Y25" s="77"/>
      <c r="Z25" s="77"/>
      <c r="AA25" s="77"/>
      <c r="AB25" s="77"/>
      <c r="AC25" s="22"/>
      <c r="AD25" s="22"/>
    </row>
    <row r="26" spans="1:38" s="4" customFormat="1" ht="14" x14ac:dyDescent="0.2">
      <c r="A26" s="5">
        <v>8</v>
      </c>
      <c r="B26" s="5" t="s">
        <v>11</v>
      </c>
      <c r="C26" s="8">
        <f t="shared" si="8"/>
        <v>1303.9092315687444</v>
      </c>
      <c r="D26" s="43">
        <f t="shared" si="12"/>
        <v>2.5000000000000001E-2</v>
      </c>
      <c r="E26" s="148">
        <f t="shared" si="9"/>
        <v>3.5000000000000003E-2</v>
      </c>
      <c r="F26" s="8">
        <f t="shared" si="10"/>
        <v>44.093548893629041</v>
      </c>
      <c r="G26" s="8">
        <f t="shared" si="0"/>
        <v>303.90923156874442</v>
      </c>
      <c r="H26" s="8">
        <v>0</v>
      </c>
      <c r="I26" s="8">
        <v>0</v>
      </c>
      <c r="J26" s="17">
        <v>1E-3</v>
      </c>
      <c r="K26" s="8">
        <f t="shared" si="1"/>
        <v>1.3039092315687444</v>
      </c>
      <c r="L26" s="8">
        <f t="shared" si="3"/>
        <v>10.613977861994131</v>
      </c>
      <c r="M26" s="8">
        <f t="shared" si="4"/>
        <v>293.29525370675026</v>
      </c>
      <c r="N26" s="99">
        <f t="shared" si="11"/>
        <v>1293.2952537067504</v>
      </c>
      <c r="O26" s="8">
        <f t="shared" si="5"/>
        <v>29.949082525347901</v>
      </c>
      <c r="P26" s="8">
        <f t="shared" si="6"/>
        <v>227.91238353926394</v>
      </c>
      <c r="Q26" s="124">
        <f t="shared" si="7"/>
        <v>1227.9123835392638</v>
      </c>
      <c r="R26" s="152">
        <f t="shared" si="2"/>
        <v>65.382870167486317</v>
      </c>
      <c r="Y26" s="77"/>
      <c r="Z26" s="77"/>
      <c r="AA26" s="77"/>
      <c r="AB26" s="77"/>
      <c r="AC26" s="22"/>
      <c r="AD26" s="22"/>
    </row>
    <row r="27" spans="1:38" s="4" customFormat="1" thickBot="1" x14ac:dyDescent="0.25">
      <c r="A27" s="33">
        <v>9</v>
      </c>
      <c r="B27" s="5" t="s">
        <v>12</v>
      </c>
      <c r="C27" s="8">
        <f t="shared" si="8"/>
        <v>1349.5460546736504</v>
      </c>
      <c r="D27" s="43">
        <f t="shared" si="12"/>
        <v>2.5000000000000001E-2</v>
      </c>
      <c r="E27" s="148">
        <f t="shared" si="9"/>
        <v>3.5000000000000003E-2</v>
      </c>
      <c r="F27" s="8">
        <f t="shared" si="10"/>
        <v>45.636823104906057</v>
      </c>
      <c r="G27" s="8">
        <f t="shared" si="0"/>
        <v>349.54605467365036</v>
      </c>
      <c r="H27" s="8">
        <v>0</v>
      </c>
      <c r="I27" s="8">
        <v>0</v>
      </c>
      <c r="J27" s="17">
        <v>1E-3</v>
      </c>
      <c r="K27" s="8">
        <f t="shared" si="1"/>
        <v>1.3495460546736504</v>
      </c>
      <c r="L27" s="8">
        <f t="shared" si="3"/>
        <v>11.963523916667782</v>
      </c>
      <c r="M27" s="8">
        <f t="shared" si="4"/>
        <v>337.58253075698258</v>
      </c>
      <c r="N27" s="118">
        <f t="shared" si="11"/>
        <v>1337.5825307569826</v>
      </c>
      <c r="O27" s="8">
        <f t="shared" si="5"/>
        <v>30.697809588481597</v>
      </c>
      <c r="P27" s="8">
        <f t="shared" si="6"/>
        <v>258.61019312774556</v>
      </c>
      <c r="Q27" s="125">
        <f t="shared" si="7"/>
        <v>1258.6101931277456</v>
      </c>
      <c r="R27" s="159">
        <f t="shared" si="2"/>
        <v>78.972337629237018</v>
      </c>
      <c r="Y27" s="77"/>
      <c r="Z27" s="77"/>
      <c r="AA27" s="77"/>
      <c r="AB27" s="77"/>
      <c r="AC27" s="22"/>
      <c r="AD27" s="22"/>
    </row>
    <row r="28" spans="1:38" s="2" customFormat="1" thickBot="1" x14ac:dyDescent="0.25">
      <c r="A28" s="32">
        <v>10</v>
      </c>
      <c r="B28" s="15" t="s">
        <v>13</v>
      </c>
      <c r="C28" s="15">
        <f>C27+F28</f>
        <v>1396.7801665872282</v>
      </c>
      <c r="D28" s="61">
        <f>F14</f>
        <v>2.5000000000000001E-2</v>
      </c>
      <c r="E28" s="149">
        <f t="shared" si="9"/>
        <v>3.5000000000000003E-2</v>
      </c>
      <c r="F28" s="15">
        <f t="shared" si="10"/>
        <v>47.23411191357777</v>
      </c>
      <c r="G28" s="15">
        <f t="shared" si="0"/>
        <v>396.78016658722822</v>
      </c>
      <c r="H28" s="16">
        <v>0</v>
      </c>
      <c r="I28" s="15">
        <v>0</v>
      </c>
      <c r="J28" s="71">
        <v>1E-3</v>
      </c>
      <c r="K28" s="15">
        <f t="shared" si="1"/>
        <v>1.3967801665872281</v>
      </c>
      <c r="L28" s="15">
        <f t="shared" si="3"/>
        <v>13.360304083255009</v>
      </c>
      <c r="M28" s="15">
        <f t="shared" si="4"/>
        <v>383.41986250397321</v>
      </c>
      <c r="N28" s="119">
        <f t="shared" si="11"/>
        <v>1383.4198625039733</v>
      </c>
      <c r="O28" s="15">
        <f t="shared" si="5"/>
        <v>31.46525482819364</v>
      </c>
      <c r="P28" s="15">
        <f t="shared" si="6"/>
        <v>290.07544795593918</v>
      </c>
      <c r="Q28" s="126">
        <f t="shared" si="7"/>
        <v>1290.0754479559391</v>
      </c>
      <c r="R28" s="159">
        <f t="shared" si="2"/>
        <v>93.344414548034024</v>
      </c>
      <c r="Y28" s="75"/>
      <c r="Z28" s="75"/>
      <c r="AA28" s="75"/>
      <c r="AB28" s="75"/>
      <c r="AC28" s="75"/>
      <c r="AD28" s="76"/>
    </row>
    <row r="29" spans="1:38" s="4" customFormat="1" ht="14" x14ac:dyDescent="0.2">
      <c r="G29" s="6"/>
      <c r="H29" s="6"/>
      <c r="I29" s="6"/>
      <c r="J29" s="6"/>
      <c r="K29" s="6"/>
      <c r="L29" s="6"/>
      <c r="M29" s="6"/>
      <c r="N29" s="6"/>
      <c r="O29" s="24"/>
      <c r="P29" s="24"/>
      <c r="Y29" s="24"/>
      <c r="Z29" s="22"/>
      <c r="AA29" s="22"/>
      <c r="AB29" s="22"/>
      <c r="AC29" s="22"/>
      <c r="AD29" s="22"/>
    </row>
    <row r="30" spans="1:38" s="4" customFormat="1" ht="14" x14ac:dyDescent="0.2">
      <c r="A30" s="5"/>
      <c r="G30" s="6"/>
      <c r="H30" s="6"/>
      <c r="I30" s="6"/>
      <c r="J30" s="6"/>
      <c r="K30" s="6"/>
      <c r="L30" s="6"/>
      <c r="M30" s="6"/>
      <c r="N30" s="6"/>
      <c r="O30" s="24"/>
      <c r="P30" s="24"/>
      <c r="Y30" s="24"/>
      <c r="Z30" s="22"/>
      <c r="AA30" s="22"/>
      <c r="AB30" s="22"/>
      <c r="AC30" s="22"/>
      <c r="AD30" s="22"/>
    </row>
    <row r="31" spans="1:38" s="4" customFormat="1" ht="14" x14ac:dyDescent="0.2">
      <c r="G31" s="6"/>
      <c r="H31" s="6"/>
      <c r="I31" s="6"/>
      <c r="J31" s="6"/>
      <c r="K31" s="6"/>
      <c r="L31" s="6"/>
      <c r="M31" s="6"/>
      <c r="N31" s="6"/>
      <c r="O31" s="24"/>
      <c r="P31" s="24"/>
      <c r="Y31" s="6"/>
    </row>
    <row r="32" spans="1:38" s="4" customFormat="1" ht="14" x14ac:dyDescent="0.2">
      <c r="G32" s="6"/>
      <c r="H32" s="6"/>
      <c r="I32" s="6"/>
      <c r="J32" s="6"/>
      <c r="K32" s="6"/>
      <c r="L32" s="6"/>
      <c r="M32" s="6"/>
      <c r="N32" s="6"/>
      <c r="O32" s="24"/>
      <c r="P32" s="24"/>
      <c r="Y32" s="6"/>
    </row>
    <row r="33" spans="4:25" s="4" customFormat="1" ht="14" x14ac:dyDescent="0.2">
      <c r="G33" s="6"/>
      <c r="H33" s="6"/>
      <c r="I33" s="6"/>
      <c r="J33" s="6"/>
      <c r="K33" s="6"/>
      <c r="L33" s="6"/>
      <c r="M33" s="6"/>
      <c r="N33" s="6"/>
      <c r="O33" s="24"/>
      <c r="P33" s="24"/>
      <c r="Y33" s="6"/>
    </row>
    <row r="34" spans="4:25" s="4" customFormat="1" ht="14" x14ac:dyDescent="0.2">
      <c r="G34" s="6"/>
      <c r="H34" s="6"/>
      <c r="I34" s="6"/>
      <c r="J34" s="6"/>
      <c r="K34" s="6"/>
      <c r="L34" s="52"/>
      <c r="M34" s="6"/>
      <c r="N34" s="6"/>
      <c r="O34" s="24"/>
      <c r="P34" s="24"/>
      <c r="Y34" s="6"/>
    </row>
    <row r="35" spans="4:25" s="4" customFormat="1" ht="14" x14ac:dyDescent="0.2">
      <c r="G35" s="6"/>
      <c r="H35" s="6"/>
      <c r="I35" s="6"/>
      <c r="J35" s="6"/>
      <c r="K35" s="6"/>
      <c r="L35" s="6"/>
      <c r="M35" s="6"/>
      <c r="N35" s="6"/>
      <c r="O35" s="24"/>
      <c r="P35" s="24"/>
      <c r="Y35" s="6"/>
    </row>
    <row r="36" spans="4:25" s="4" customFormat="1" ht="14" x14ac:dyDescent="0.2">
      <c r="G36" s="6"/>
      <c r="H36" s="6"/>
      <c r="I36" s="6"/>
      <c r="J36" s="6"/>
      <c r="K36" s="6"/>
      <c r="L36" s="6"/>
      <c r="M36" s="6"/>
      <c r="N36" s="6"/>
      <c r="O36" s="24"/>
      <c r="P36" s="24"/>
      <c r="Y36" s="6"/>
    </row>
    <row r="37" spans="4:25" s="4" customFormat="1" ht="14" x14ac:dyDescent="0.2">
      <c r="D37" s="52"/>
      <c r="E37" s="52"/>
      <c r="F37" s="52"/>
      <c r="G37" s="6"/>
      <c r="H37" s="6"/>
      <c r="I37" s="6"/>
      <c r="J37" s="6"/>
      <c r="K37" s="6"/>
      <c r="L37" s="6"/>
      <c r="M37" s="6"/>
      <c r="N37" s="6"/>
      <c r="O37" s="24"/>
      <c r="P37" s="24"/>
      <c r="Y37" s="6"/>
    </row>
    <row r="38" spans="4:25" s="4" customFormat="1" ht="14" x14ac:dyDescent="0.2">
      <c r="G38" s="6"/>
      <c r="H38" s="6"/>
      <c r="I38" s="6"/>
      <c r="J38" s="6"/>
      <c r="K38" s="6"/>
      <c r="L38" s="6"/>
      <c r="M38" s="6"/>
      <c r="N38" s="6"/>
      <c r="O38" s="24"/>
      <c r="P38" s="24"/>
      <c r="Y38" s="6"/>
    </row>
    <row r="39" spans="4:25" s="4" customFormat="1" ht="14" x14ac:dyDescent="0.2">
      <c r="G39" s="6"/>
      <c r="H39" s="6"/>
      <c r="I39" s="6"/>
      <c r="J39" s="6"/>
      <c r="K39" s="6"/>
      <c r="L39" s="6"/>
      <c r="M39" s="6"/>
      <c r="N39" s="6"/>
      <c r="O39" s="24"/>
      <c r="P39" s="24"/>
      <c r="Y39" s="6"/>
    </row>
    <row r="40" spans="4:25" s="4" customFormat="1" ht="14" x14ac:dyDescent="0.2">
      <c r="G40" s="6"/>
      <c r="H40" s="6"/>
      <c r="I40" s="6"/>
      <c r="J40" s="6"/>
      <c r="K40" s="6"/>
      <c r="L40" s="6"/>
      <c r="M40" s="6"/>
      <c r="N40" s="6"/>
      <c r="O40" s="24"/>
      <c r="P40" s="24"/>
      <c r="Y40" s="6"/>
    </row>
    <row r="41" spans="4:25" s="4" customFormat="1" ht="14" x14ac:dyDescent="0.2">
      <c r="G41" s="6"/>
      <c r="H41" s="6"/>
      <c r="I41" s="6"/>
      <c r="J41" s="6"/>
      <c r="K41" s="6"/>
      <c r="L41" s="6"/>
      <c r="M41" s="6"/>
      <c r="N41" s="6"/>
      <c r="O41" s="24"/>
      <c r="P41" s="24"/>
      <c r="Y41" s="6"/>
    </row>
    <row r="42" spans="4:25" s="4" customFormat="1" ht="14" x14ac:dyDescent="0.2">
      <c r="G42" s="6"/>
      <c r="H42" s="6"/>
      <c r="I42" s="6"/>
      <c r="J42" s="6"/>
      <c r="K42" s="6"/>
      <c r="L42" s="6"/>
      <c r="M42" s="6"/>
      <c r="N42" s="6"/>
      <c r="O42" s="24"/>
      <c r="P42" s="24"/>
      <c r="Y42" s="6"/>
    </row>
    <row r="43" spans="4:25" s="4" customFormat="1" ht="14" x14ac:dyDescent="0.2">
      <c r="G43" s="6"/>
      <c r="H43" s="6"/>
      <c r="I43" s="6"/>
      <c r="J43" s="6"/>
      <c r="K43" s="6"/>
      <c r="L43" s="6"/>
      <c r="M43" s="6"/>
      <c r="N43" s="6"/>
      <c r="O43" s="24"/>
      <c r="P43" s="24"/>
      <c r="Y43" s="6"/>
    </row>
    <row r="44" spans="4:25" s="4" customFormat="1" ht="14" x14ac:dyDescent="0.2">
      <c r="G44" s="6"/>
      <c r="H44" s="6"/>
      <c r="I44" s="6"/>
      <c r="J44" s="6"/>
      <c r="K44" s="6"/>
      <c r="L44" s="6"/>
      <c r="M44" s="6"/>
      <c r="N44" s="6"/>
      <c r="O44" s="24"/>
      <c r="P44" s="24"/>
      <c r="Y44" s="6"/>
    </row>
    <row r="45" spans="4:25" s="4" customFormat="1" ht="14" x14ac:dyDescent="0.2">
      <c r="G45" s="6"/>
      <c r="H45" s="6"/>
      <c r="I45" s="6"/>
      <c r="J45" s="6"/>
      <c r="K45" s="6"/>
      <c r="L45" s="6"/>
      <c r="M45" s="6"/>
      <c r="N45" s="6"/>
      <c r="O45" s="24"/>
      <c r="P45" s="24"/>
      <c r="Y45" s="6"/>
    </row>
    <row r="46" spans="4:25" s="4" customFormat="1" ht="14" x14ac:dyDescent="0.2">
      <c r="G46" s="6"/>
      <c r="H46" s="6"/>
      <c r="I46" s="6"/>
      <c r="J46" s="6"/>
      <c r="K46" s="6"/>
      <c r="L46" s="6"/>
      <c r="M46" s="6"/>
      <c r="N46" s="6"/>
      <c r="O46" s="24"/>
      <c r="P46" s="24"/>
      <c r="Y46" s="6"/>
    </row>
    <row r="47" spans="4:25" s="4" customFormat="1" ht="14" x14ac:dyDescent="0.2">
      <c r="G47" s="6"/>
      <c r="H47" s="6"/>
      <c r="I47" s="6"/>
      <c r="J47" s="6"/>
      <c r="K47" s="6"/>
      <c r="L47" s="6"/>
      <c r="M47" s="6"/>
      <c r="N47" s="6"/>
      <c r="O47" s="24"/>
      <c r="P47" s="24"/>
      <c r="Y47" s="6"/>
    </row>
    <row r="48" spans="4:25" s="4" customFormat="1" ht="14" x14ac:dyDescent="0.2">
      <c r="G48" s="6"/>
      <c r="H48" s="6"/>
      <c r="I48" s="6"/>
      <c r="J48" s="6"/>
      <c r="K48" s="6"/>
      <c r="L48" s="6"/>
      <c r="M48" s="6"/>
      <c r="N48" s="6"/>
      <c r="O48" s="24"/>
      <c r="P48" s="24"/>
      <c r="Y48" s="6"/>
    </row>
    <row r="49" spans="7:25" s="4" customFormat="1" ht="14" x14ac:dyDescent="0.2">
      <c r="G49" s="6"/>
      <c r="H49" s="6"/>
      <c r="I49" s="6"/>
      <c r="J49" s="6"/>
      <c r="K49" s="6"/>
      <c r="L49" s="6"/>
      <c r="M49" s="6"/>
      <c r="N49" s="6"/>
      <c r="O49" s="24"/>
      <c r="P49" s="24"/>
      <c r="Y49" s="6"/>
    </row>
    <row r="50" spans="7:25" s="4" customFormat="1" ht="14" x14ac:dyDescent="0.2">
      <c r="G50" s="6"/>
      <c r="H50" s="6"/>
      <c r="I50" s="6"/>
      <c r="J50" s="6"/>
      <c r="K50" s="6"/>
      <c r="L50" s="6"/>
      <c r="M50" s="6"/>
      <c r="N50" s="6"/>
      <c r="O50" s="24"/>
      <c r="P50" s="24"/>
      <c r="Y50" s="6"/>
    </row>
    <row r="51" spans="7:25" s="4" customFormat="1" ht="14" x14ac:dyDescent="0.2">
      <c r="G51" s="6"/>
      <c r="H51" s="6"/>
      <c r="I51" s="6"/>
      <c r="J51" s="6"/>
      <c r="K51" s="6"/>
      <c r="L51" s="6"/>
      <c r="M51" s="6"/>
      <c r="N51" s="6"/>
      <c r="O51" s="24"/>
      <c r="P51" s="24"/>
      <c r="Y51" s="6"/>
    </row>
    <row r="52" spans="7:25" s="4" customFormat="1" ht="14" x14ac:dyDescent="0.2">
      <c r="G52" s="6"/>
      <c r="H52" s="6"/>
      <c r="I52" s="6"/>
      <c r="J52" s="6"/>
      <c r="K52" s="6"/>
      <c r="L52" s="6"/>
      <c r="M52" s="6"/>
      <c r="N52" s="6"/>
      <c r="O52" s="24"/>
      <c r="P52" s="24"/>
      <c r="Y52" s="6"/>
    </row>
    <row r="53" spans="7:25" s="4" customFormat="1" ht="14" x14ac:dyDescent="0.2">
      <c r="G53" s="6"/>
      <c r="H53" s="6"/>
      <c r="I53" s="6"/>
      <c r="J53" s="6"/>
      <c r="K53" s="6"/>
      <c r="L53" s="6"/>
      <c r="M53" s="6"/>
      <c r="N53" s="6"/>
      <c r="O53" s="24"/>
      <c r="P53" s="24"/>
      <c r="Y53" s="6"/>
    </row>
    <row r="54" spans="7:25" s="4" customFormat="1" ht="14" x14ac:dyDescent="0.2">
      <c r="G54" s="6"/>
      <c r="H54" s="6"/>
      <c r="I54" s="6"/>
      <c r="J54" s="6"/>
      <c r="K54" s="6"/>
      <c r="L54" s="6"/>
      <c r="M54" s="6"/>
      <c r="N54" s="6"/>
      <c r="O54" s="24"/>
      <c r="P54" s="24"/>
      <c r="Y54" s="6"/>
    </row>
    <row r="55" spans="7:25" s="4" customFormat="1" ht="14" x14ac:dyDescent="0.2">
      <c r="G55" s="6"/>
      <c r="H55" s="6"/>
      <c r="I55" s="6"/>
      <c r="J55" s="6"/>
      <c r="K55" s="6"/>
      <c r="L55" s="6"/>
      <c r="M55" s="6"/>
      <c r="N55" s="6"/>
      <c r="O55" s="24"/>
      <c r="P55" s="24"/>
      <c r="Y55" s="6"/>
    </row>
    <row r="56" spans="7:25" s="4" customFormat="1" ht="14" x14ac:dyDescent="0.2">
      <c r="G56" s="6"/>
      <c r="H56" s="6"/>
      <c r="I56" s="6"/>
      <c r="J56" s="6"/>
      <c r="K56" s="6"/>
      <c r="L56" s="6"/>
      <c r="M56" s="6"/>
      <c r="N56" s="6"/>
      <c r="O56" s="24"/>
      <c r="P56" s="24"/>
      <c r="Y56" s="6"/>
    </row>
    <row r="57" spans="7:25" s="4" customFormat="1" ht="14" x14ac:dyDescent="0.2">
      <c r="G57" s="6"/>
      <c r="H57" s="6"/>
      <c r="I57" s="6"/>
      <c r="J57" s="6"/>
      <c r="K57" s="6"/>
      <c r="L57" s="6"/>
      <c r="M57" s="6"/>
      <c r="N57" s="6"/>
      <c r="O57" s="24"/>
      <c r="P57" s="24"/>
      <c r="Y57" s="6"/>
    </row>
    <row r="58" spans="7:25" s="4" customFormat="1" ht="14" x14ac:dyDescent="0.2">
      <c r="G58" s="6"/>
      <c r="H58" s="6"/>
      <c r="I58" s="6"/>
      <c r="J58" s="6"/>
      <c r="K58" s="6"/>
      <c r="L58" s="6"/>
      <c r="M58" s="6"/>
      <c r="N58" s="6"/>
      <c r="O58" s="24"/>
      <c r="P58" s="24"/>
      <c r="Y58" s="6"/>
    </row>
    <row r="59" spans="7:25" s="4" customFormat="1" ht="14" x14ac:dyDescent="0.2">
      <c r="G59" s="6"/>
      <c r="H59" s="6"/>
      <c r="I59" s="6"/>
      <c r="J59" s="6"/>
      <c r="K59" s="6"/>
      <c r="L59" s="6"/>
      <c r="M59" s="6"/>
      <c r="N59" s="6"/>
      <c r="O59" s="24"/>
      <c r="P59" s="24"/>
      <c r="Y59" s="6"/>
    </row>
    <row r="60" spans="7:25" s="4" customFormat="1" ht="14" x14ac:dyDescent="0.2">
      <c r="G60" s="6"/>
      <c r="H60" s="6"/>
      <c r="I60" s="6"/>
      <c r="J60" s="6"/>
      <c r="K60" s="6"/>
      <c r="L60" s="6"/>
      <c r="M60" s="6"/>
      <c r="N60" s="6"/>
      <c r="O60" s="24"/>
      <c r="P60" s="24"/>
      <c r="Y60" s="6"/>
    </row>
    <row r="61" spans="7:25" s="4" customFormat="1" ht="14" x14ac:dyDescent="0.2">
      <c r="G61" s="6"/>
      <c r="H61" s="6"/>
      <c r="I61" s="6"/>
      <c r="J61" s="6"/>
      <c r="K61" s="6"/>
      <c r="L61" s="6"/>
      <c r="M61" s="6"/>
      <c r="N61" s="6"/>
      <c r="O61" s="24"/>
      <c r="P61" s="24"/>
      <c r="Y61" s="6"/>
    </row>
    <row r="62" spans="7:25" s="4" customFormat="1" ht="14" x14ac:dyDescent="0.2">
      <c r="G62" s="6"/>
      <c r="H62" s="6"/>
      <c r="I62" s="6"/>
      <c r="J62" s="6"/>
      <c r="K62" s="6"/>
      <c r="L62" s="6"/>
      <c r="M62" s="6"/>
      <c r="N62" s="6"/>
      <c r="O62" s="24"/>
      <c r="P62" s="24"/>
      <c r="Y62" s="6"/>
    </row>
    <row r="63" spans="7:25" s="4" customFormat="1" ht="14" x14ac:dyDescent="0.2">
      <c r="G63" s="6"/>
      <c r="H63" s="6"/>
      <c r="I63" s="6"/>
      <c r="J63" s="6"/>
      <c r="K63" s="6"/>
      <c r="L63" s="6"/>
      <c r="M63" s="6"/>
      <c r="N63" s="6"/>
      <c r="O63" s="24"/>
      <c r="P63" s="24"/>
      <c r="Y63" s="6"/>
    </row>
    <row r="64" spans="7:25" s="4" customFormat="1" ht="14" x14ac:dyDescent="0.2">
      <c r="G64" s="6"/>
      <c r="H64" s="6"/>
      <c r="I64" s="6"/>
      <c r="J64" s="6"/>
      <c r="K64" s="6"/>
      <c r="L64" s="6"/>
      <c r="M64" s="6"/>
      <c r="N64" s="6"/>
      <c r="O64" s="24"/>
      <c r="P64" s="24"/>
      <c r="Y64" s="6"/>
    </row>
    <row r="65" spans="7:25" s="4" customFormat="1" ht="14" x14ac:dyDescent="0.2">
      <c r="G65" s="6"/>
      <c r="H65" s="6"/>
      <c r="I65" s="6"/>
      <c r="J65" s="6"/>
      <c r="K65" s="6"/>
      <c r="L65" s="6"/>
      <c r="M65" s="6"/>
      <c r="N65" s="6"/>
      <c r="O65" s="24"/>
      <c r="P65" s="24"/>
      <c r="Y65" s="6"/>
    </row>
    <row r="66" spans="7:25" s="4" customFormat="1" ht="14" x14ac:dyDescent="0.2">
      <c r="G66" s="6"/>
      <c r="H66" s="6"/>
      <c r="I66" s="6"/>
      <c r="J66" s="6"/>
      <c r="K66" s="6"/>
      <c r="L66" s="6"/>
      <c r="M66" s="6"/>
      <c r="N66" s="6"/>
      <c r="O66" s="24"/>
      <c r="P66" s="24"/>
      <c r="Y66" s="6"/>
    </row>
    <row r="67" spans="7:25" s="4" customFormat="1" ht="14" x14ac:dyDescent="0.2">
      <c r="G67" s="6"/>
      <c r="H67" s="6"/>
      <c r="I67" s="6"/>
      <c r="J67" s="6"/>
      <c r="K67" s="6"/>
      <c r="L67" s="6"/>
      <c r="M67" s="6"/>
      <c r="N67" s="6"/>
      <c r="O67" s="24"/>
      <c r="P67" s="24"/>
      <c r="Y67" s="6"/>
    </row>
    <row r="68" spans="7:25" s="4" customFormat="1" ht="14" x14ac:dyDescent="0.2">
      <c r="G68" s="6"/>
      <c r="H68" s="6"/>
      <c r="I68" s="6"/>
      <c r="J68" s="6"/>
      <c r="K68" s="6"/>
      <c r="L68" s="6"/>
      <c r="M68" s="6"/>
      <c r="N68" s="6"/>
      <c r="O68" s="24"/>
      <c r="P68" s="24"/>
      <c r="Y68" s="6"/>
    </row>
    <row r="69" spans="7:25" s="4" customFormat="1" ht="14" x14ac:dyDescent="0.2">
      <c r="G69" s="6"/>
      <c r="H69" s="6"/>
      <c r="I69" s="6"/>
      <c r="J69" s="6"/>
      <c r="K69" s="6"/>
      <c r="L69" s="6"/>
      <c r="M69" s="6"/>
      <c r="N69" s="6"/>
      <c r="O69" s="24"/>
      <c r="P69" s="24"/>
      <c r="Y69" s="6"/>
    </row>
    <row r="70" spans="7:25" s="4" customFormat="1" ht="14" x14ac:dyDescent="0.2">
      <c r="G70" s="6"/>
      <c r="H70" s="6"/>
      <c r="I70" s="6"/>
      <c r="J70" s="6"/>
      <c r="K70" s="6"/>
      <c r="L70" s="6"/>
      <c r="M70" s="6"/>
      <c r="N70" s="6"/>
      <c r="O70" s="24"/>
      <c r="P70" s="24"/>
      <c r="Y70" s="6"/>
    </row>
    <row r="71" spans="7:25" s="4" customFormat="1" ht="14" x14ac:dyDescent="0.2">
      <c r="G71" s="6"/>
      <c r="H71" s="6"/>
      <c r="I71" s="6"/>
      <c r="J71" s="6"/>
      <c r="K71" s="6"/>
      <c r="L71" s="6"/>
      <c r="M71" s="6"/>
      <c r="N71" s="6"/>
      <c r="O71" s="24"/>
      <c r="P71" s="24"/>
      <c r="Y71" s="6"/>
    </row>
    <row r="72" spans="7:25" s="4" customFormat="1" ht="14" x14ac:dyDescent="0.2">
      <c r="G72" s="6"/>
      <c r="H72" s="6"/>
      <c r="I72" s="6"/>
      <c r="J72" s="6"/>
      <c r="K72" s="6"/>
      <c r="L72" s="6"/>
      <c r="M72" s="6"/>
      <c r="N72" s="6"/>
      <c r="O72" s="24"/>
      <c r="P72" s="24"/>
      <c r="Y72" s="6"/>
    </row>
    <row r="73" spans="7:25" s="4" customFormat="1" ht="14" x14ac:dyDescent="0.2">
      <c r="G73" s="6"/>
      <c r="H73" s="6"/>
      <c r="I73" s="6"/>
      <c r="J73" s="6"/>
      <c r="K73" s="6"/>
      <c r="L73" s="6"/>
      <c r="M73" s="6"/>
      <c r="N73" s="6"/>
      <c r="O73" s="24"/>
      <c r="P73" s="24"/>
      <c r="Y73" s="6"/>
    </row>
    <row r="74" spans="7:25" s="4" customFormat="1" ht="14" x14ac:dyDescent="0.2">
      <c r="G74" s="6"/>
      <c r="H74" s="6"/>
      <c r="I74" s="6"/>
      <c r="J74" s="6"/>
      <c r="K74" s="6"/>
      <c r="L74" s="6"/>
      <c r="M74" s="6"/>
      <c r="N74" s="6"/>
      <c r="O74" s="24"/>
      <c r="P74" s="24"/>
      <c r="Y74" s="6"/>
    </row>
    <row r="75" spans="7:25" s="4" customFormat="1" ht="14" x14ac:dyDescent="0.2">
      <c r="G75" s="6"/>
      <c r="H75" s="6"/>
      <c r="I75" s="6"/>
      <c r="J75" s="6"/>
      <c r="K75" s="6"/>
      <c r="L75" s="6"/>
      <c r="M75" s="6"/>
      <c r="N75" s="6"/>
      <c r="O75" s="24"/>
      <c r="P75" s="24"/>
      <c r="Y75" s="6"/>
    </row>
    <row r="76" spans="7:25" s="4" customFormat="1" ht="14" x14ac:dyDescent="0.2">
      <c r="G76" s="6"/>
      <c r="H76" s="6"/>
      <c r="I76" s="6"/>
      <c r="J76" s="6"/>
      <c r="K76" s="6"/>
      <c r="L76" s="6"/>
      <c r="M76" s="6"/>
      <c r="N76" s="6"/>
      <c r="O76" s="24"/>
      <c r="P76" s="24"/>
      <c r="Y76" s="6"/>
    </row>
    <row r="77" spans="7:25" s="4" customFormat="1" ht="14" x14ac:dyDescent="0.2">
      <c r="G77" s="6"/>
      <c r="H77" s="6"/>
      <c r="I77" s="6"/>
      <c r="J77" s="6"/>
      <c r="K77" s="6"/>
      <c r="L77" s="6"/>
      <c r="M77" s="6"/>
      <c r="N77" s="6"/>
      <c r="O77" s="24"/>
      <c r="P77" s="24"/>
      <c r="Y77" s="6"/>
    </row>
    <row r="78" spans="7:25" s="4" customFormat="1" ht="14" x14ac:dyDescent="0.2">
      <c r="G78" s="6"/>
      <c r="H78" s="6"/>
      <c r="I78" s="6"/>
      <c r="J78" s="6"/>
      <c r="K78" s="6"/>
      <c r="L78" s="6"/>
      <c r="M78" s="6"/>
      <c r="N78" s="6"/>
      <c r="O78" s="24"/>
      <c r="P78" s="24"/>
      <c r="Y78" s="6"/>
    </row>
    <row r="79" spans="7:25" s="4" customFormat="1" ht="14" x14ac:dyDescent="0.2">
      <c r="G79" s="6"/>
      <c r="H79" s="6"/>
      <c r="I79" s="6"/>
      <c r="J79" s="6"/>
      <c r="K79" s="6"/>
      <c r="L79" s="6"/>
      <c r="M79" s="6"/>
      <c r="N79" s="6"/>
      <c r="O79" s="24"/>
      <c r="P79" s="24"/>
      <c r="Y79" s="6"/>
    </row>
    <row r="80" spans="7:25" s="4" customFormat="1" ht="14" x14ac:dyDescent="0.2">
      <c r="G80" s="6"/>
      <c r="H80" s="6"/>
      <c r="I80" s="6"/>
      <c r="J80" s="6"/>
      <c r="K80" s="6"/>
      <c r="L80" s="6"/>
      <c r="M80" s="6"/>
      <c r="N80" s="6"/>
      <c r="O80" s="24"/>
      <c r="P80" s="24"/>
      <c r="Y80" s="6"/>
    </row>
    <row r="81" spans="7:25" s="4" customFormat="1" ht="14" x14ac:dyDescent="0.2">
      <c r="G81" s="6"/>
      <c r="H81" s="6"/>
      <c r="I81" s="6"/>
      <c r="J81" s="6"/>
      <c r="K81" s="6"/>
      <c r="L81" s="6"/>
      <c r="M81" s="6"/>
      <c r="N81" s="6"/>
      <c r="O81" s="24"/>
      <c r="P81" s="24"/>
      <c r="Y81" s="6"/>
    </row>
    <row r="82" spans="7:25" s="4" customFormat="1" ht="14" x14ac:dyDescent="0.2">
      <c r="G82" s="6"/>
      <c r="H82" s="6"/>
      <c r="I82" s="6"/>
      <c r="J82" s="6"/>
      <c r="K82" s="6"/>
      <c r="L82" s="6"/>
      <c r="M82" s="6"/>
      <c r="N82" s="6"/>
      <c r="O82" s="24"/>
      <c r="P82" s="24"/>
      <c r="Y82" s="6"/>
    </row>
    <row r="83" spans="7:25" s="4" customFormat="1" ht="14" x14ac:dyDescent="0.2">
      <c r="G83" s="6"/>
      <c r="H83" s="6"/>
      <c r="I83" s="6"/>
      <c r="J83" s="6"/>
      <c r="K83" s="6"/>
      <c r="L83" s="6"/>
      <c r="M83" s="6"/>
      <c r="N83" s="6"/>
      <c r="O83" s="24"/>
      <c r="P83" s="24"/>
      <c r="Y83" s="6"/>
    </row>
    <row r="84" spans="7:25" s="4" customFormat="1" ht="14" x14ac:dyDescent="0.2">
      <c r="G84" s="6"/>
      <c r="H84" s="6"/>
      <c r="I84" s="6"/>
      <c r="J84" s="6"/>
      <c r="K84" s="6"/>
      <c r="L84" s="6"/>
      <c r="M84" s="6"/>
      <c r="N84" s="6"/>
      <c r="O84" s="24"/>
      <c r="P84" s="24"/>
      <c r="Y84" s="6"/>
    </row>
    <row r="85" spans="7:25" s="4" customFormat="1" ht="14" x14ac:dyDescent="0.2">
      <c r="G85" s="6"/>
      <c r="H85" s="6"/>
      <c r="I85" s="6"/>
      <c r="J85" s="6"/>
      <c r="K85" s="6"/>
      <c r="L85" s="6"/>
      <c r="M85" s="6"/>
      <c r="N85" s="6"/>
      <c r="O85" s="24"/>
      <c r="P85" s="24"/>
      <c r="Y85" s="6"/>
    </row>
    <row r="86" spans="7:25" s="4" customFormat="1" ht="14" x14ac:dyDescent="0.2">
      <c r="G86" s="6"/>
      <c r="H86" s="6"/>
      <c r="I86" s="6"/>
      <c r="J86" s="6"/>
      <c r="K86" s="6"/>
      <c r="L86" s="6"/>
      <c r="M86" s="6"/>
      <c r="N86" s="6"/>
      <c r="O86" s="24"/>
      <c r="P86" s="24"/>
      <c r="Y86" s="6"/>
    </row>
    <row r="87" spans="7:25" s="4" customFormat="1" ht="14" x14ac:dyDescent="0.2">
      <c r="G87" s="6"/>
      <c r="H87" s="6"/>
      <c r="I87" s="6"/>
      <c r="J87" s="6"/>
      <c r="K87" s="6"/>
      <c r="L87" s="6"/>
      <c r="M87" s="6"/>
      <c r="N87" s="6"/>
      <c r="O87" s="24"/>
      <c r="P87" s="24"/>
      <c r="Y87" s="6"/>
    </row>
    <row r="88" spans="7:25" s="4" customFormat="1" ht="14" x14ac:dyDescent="0.2">
      <c r="G88" s="6"/>
      <c r="H88" s="6"/>
      <c r="I88" s="6"/>
      <c r="J88" s="6"/>
      <c r="K88" s="6"/>
      <c r="L88" s="6"/>
      <c r="M88" s="6"/>
      <c r="N88" s="6"/>
      <c r="O88" s="24"/>
      <c r="P88" s="24"/>
      <c r="Y88" s="6"/>
    </row>
    <row r="89" spans="7:25" s="4" customFormat="1" ht="14" x14ac:dyDescent="0.2">
      <c r="G89" s="6"/>
      <c r="H89" s="6"/>
      <c r="I89" s="6"/>
      <c r="J89" s="6"/>
      <c r="K89" s="6"/>
      <c r="L89" s="6"/>
      <c r="M89" s="6"/>
      <c r="N89" s="6"/>
      <c r="O89" s="24"/>
      <c r="P89" s="24"/>
      <c r="Y89" s="6"/>
    </row>
    <row r="90" spans="7:25" s="4" customFormat="1" ht="14" x14ac:dyDescent="0.2">
      <c r="G90" s="6"/>
      <c r="H90" s="6"/>
      <c r="I90" s="6"/>
      <c r="J90" s="6"/>
      <c r="K90" s="6"/>
      <c r="L90" s="6"/>
      <c r="M90" s="6"/>
      <c r="N90" s="6"/>
      <c r="O90" s="24"/>
      <c r="P90" s="24"/>
      <c r="Y90" s="6"/>
    </row>
    <row r="91" spans="7:25" s="4" customFormat="1" ht="14" x14ac:dyDescent="0.2">
      <c r="G91" s="6"/>
      <c r="H91" s="6"/>
      <c r="I91" s="6"/>
      <c r="J91" s="6"/>
      <c r="K91" s="6"/>
      <c r="L91" s="6"/>
      <c r="M91" s="6"/>
      <c r="N91" s="6"/>
      <c r="O91" s="24"/>
      <c r="P91" s="24"/>
      <c r="Y91" s="6"/>
    </row>
    <row r="92" spans="7:25" s="4" customFormat="1" ht="14" x14ac:dyDescent="0.2">
      <c r="G92" s="6"/>
      <c r="H92" s="6"/>
      <c r="I92" s="6"/>
      <c r="J92" s="6"/>
      <c r="K92" s="6"/>
      <c r="L92" s="6"/>
      <c r="M92" s="6"/>
      <c r="N92" s="6"/>
      <c r="O92" s="24"/>
      <c r="P92" s="24"/>
      <c r="Y92" s="6"/>
    </row>
    <row r="93" spans="7:25" s="4" customFormat="1" ht="14" x14ac:dyDescent="0.2">
      <c r="G93" s="6"/>
      <c r="H93" s="6"/>
      <c r="I93" s="6"/>
      <c r="J93" s="6"/>
      <c r="K93" s="6"/>
      <c r="L93" s="6"/>
      <c r="M93" s="6"/>
      <c r="N93" s="6"/>
      <c r="O93" s="24"/>
      <c r="P93" s="24"/>
      <c r="Y93" s="6"/>
    </row>
    <row r="94" spans="7:25" s="4" customFormat="1" ht="14" x14ac:dyDescent="0.2">
      <c r="G94" s="6"/>
      <c r="H94" s="6"/>
      <c r="I94" s="6"/>
      <c r="J94" s="6"/>
      <c r="K94" s="6"/>
      <c r="L94" s="6"/>
      <c r="M94" s="6"/>
      <c r="N94" s="6"/>
      <c r="O94" s="24"/>
      <c r="P94" s="24"/>
      <c r="Y94" s="6"/>
    </row>
    <row r="95" spans="7:25" s="4" customFormat="1" ht="14" x14ac:dyDescent="0.2">
      <c r="G95" s="6"/>
      <c r="H95" s="6"/>
      <c r="I95" s="6"/>
      <c r="J95" s="6"/>
      <c r="K95" s="6"/>
      <c r="L95" s="6"/>
      <c r="M95" s="6"/>
      <c r="N95" s="6"/>
      <c r="O95" s="24"/>
      <c r="P95" s="24"/>
      <c r="Y95" s="6"/>
    </row>
    <row r="96" spans="7:25" s="4" customFormat="1" ht="14" x14ac:dyDescent="0.2">
      <c r="G96" s="6"/>
      <c r="H96" s="6"/>
      <c r="I96" s="6"/>
      <c r="J96" s="6"/>
      <c r="K96" s="6"/>
      <c r="L96" s="6"/>
      <c r="M96" s="6"/>
      <c r="N96" s="6"/>
      <c r="O96" s="24"/>
      <c r="P96" s="24"/>
      <c r="Y96" s="6"/>
    </row>
    <row r="97" spans="7:25" s="4" customFormat="1" ht="14" x14ac:dyDescent="0.2">
      <c r="G97" s="6"/>
      <c r="H97" s="6"/>
      <c r="I97" s="6"/>
      <c r="J97" s="6"/>
      <c r="K97" s="6"/>
      <c r="L97" s="6"/>
      <c r="M97" s="6"/>
      <c r="N97" s="6"/>
      <c r="O97" s="24"/>
      <c r="P97" s="24"/>
      <c r="Y97" s="6"/>
    </row>
    <row r="98" spans="7:25" s="4" customFormat="1" ht="14" x14ac:dyDescent="0.2">
      <c r="G98" s="6"/>
      <c r="H98" s="6"/>
      <c r="I98" s="6"/>
      <c r="J98" s="6"/>
      <c r="K98" s="6"/>
      <c r="L98" s="6"/>
      <c r="M98" s="6"/>
      <c r="N98" s="6"/>
      <c r="O98" s="24"/>
      <c r="P98" s="24"/>
      <c r="Y98" s="6"/>
    </row>
    <row r="99" spans="7:25" s="4" customFormat="1" ht="14" x14ac:dyDescent="0.2">
      <c r="G99" s="6"/>
      <c r="H99" s="6"/>
      <c r="I99" s="6"/>
      <c r="J99" s="6"/>
      <c r="K99" s="6"/>
      <c r="L99" s="6"/>
      <c r="M99" s="6"/>
      <c r="N99" s="6"/>
      <c r="O99" s="24"/>
      <c r="P99" s="24"/>
      <c r="Y99" s="6"/>
    </row>
    <row r="100" spans="7:25" s="4" customFormat="1" ht="14" x14ac:dyDescent="0.2">
      <c r="G100" s="6"/>
      <c r="H100" s="6"/>
      <c r="I100" s="6"/>
      <c r="J100" s="6"/>
      <c r="K100" s="6"/>
      <c r="L100" s="6"/>
      <c r="M100" s="6"/>
      <c r="N100" s="6"/>
      <c r="O100" s="24"/>
      <c r="P100" s="24"/>
      <c r="Y100" s="6"/>
    </row>
    <row r="101" spans="7:25" s="4" customFormat="1" ht="14" x14ac:dyDescent="0.2">
      <c r="G101" s="6"/>
      <c r="H101" s="6"/>
      <c r="I101" s="6"/>
      <c r="J101" s="6"/>
      <c r="K101" s="6"/>
      <c r="L101" s="6"/>
      <c r="M101" s="6"/>
      <c r="N101" s="6"/>
      <c r="O101" s="24"/>
      <c r="P101" s="24"/>
      <c r="Y101" s="6"/>
    </row>
    <row r="102" spans="7:25" s="4" customFormat="1" ht="14" x14ac:dyDescent="0.2">
      <c r="G102" s="6"/>
      <c r="H102" s="6"/>
      <c r="I102" s="6"/>
      <c r="J102" s="6"/>
      <c r="K102" s="6"/>
      <c r="L102" s="6"/>
      <c r="M102" s="6"/>
      <c r="N102" s="6"/>
      <c r="O102" s="24"/>
      <c r="P102" s="24"/>
      <c r="Y102" s="6"/>
    </row>
    <row r="103" spans="7:25" s="4" customFormat="1" ht="14" x14ac:dyDescent="0.2">
      <c r="G103" s="6"/>
      <c r="H103" s="6"/>
      <c r="I103" s="6"/>
      <c r="J103" s="6"/>
      <c r="K103" s="6"/>
      <c r="L103" s="6"/>
      <c r="M103" s="6"/>
      <c r="N103" s="6"/>
      <c r="O103" s="24"/>
      <c r="P103" s="24"/>
      <c r="Y103" s="6"/>
    </row>
    <row r="104" spans="7:25" s="4" customFormat="1" ht="14" x14ac:dyDescent="0.2">
      <c r="G104" s="6"/>
      <c r="H104" s="6"/>
      <c r="I104" s="6"/>
      <c r="J104" s="6"/>
      <c r="K104" s="6"/>
      <c r="L104" s="6"/>
      <c r="M104" s="6"/>
      <c r="N104" s="6"/>
      <c r="O104" s="24"/>
      <c r="P104" s="24"/>
      <c r="Y104" s="6"/>
    </row>
    <row r="105" spans="7:25" s="4" customFormat="1" ht="14" x14ac:dyDescent="0.2">
      <c r="G105" s="6"/>
      <c r="H105" s="6"/>
      <c r="I105" s="6"/>
      <c r="J105" s="6"/>
      <c r="K105" s="6"/>
      <c r="L105" s="6"/>
      <c r="M105" s="6"/>
      <c r="N105" s="6"/>
      <c r="O105" s="24"/>
      <c r="P105" s="24"/>
      <c r="Y105" s="6"/>
    </row>
    <row r="106" spans="7:25" s="4" customFormat="1" ht="14" x14ac:dyDescent="0.2">
      <c r="G106" s="6"/>
      <c r="H106" s="6"/>
      <c r="I106" s="6"/>
      <c r="J106" s="6"/>
      <c r="K106" s="6"/>
      <c r="L106" s="6"/>
      <c r="M106" s="6"/>
      <c r="N106" s="6"/>
      <c r="O106" s="24"/>
      <c r="P106" s="24"/>
      <c r="Y106" s="6"/>
    </row>
    <row r="107" spans="7:25" s="4" customFormat="1" ht="14" x14ac:dyDescent="0.2">
      <c r="G107" s="6"/>
      <c r="H107" s="6"/>
      <c r="I107" s="6"/>
      <c r="J107" s="6"/>
      <c r="K107" s="6"/>
      <c r="L107" s="6"/>
      <c r="M107" s="6"/>
      <c r="N107" s="6"/>
      <c r="O107" s="24"/>
      <c r="P107" s="24"/>
      <c r="Y107" s="6"/>
    </row>
    <row r="108" spans="7:25" s="4" customFormat="1" ht="14" x14ac:dyDescent="0.2">
      <c r="G108" s="6"/>
      <c r="H108" s="6"/>
      <c r="I108" s="6"/>
      <c r="J108" s="6"/>
      <c r="K108" s="6"/>
      <c r="L108" s="6"/>
      <c r="M108" s="6"/>
      <c r="N108" s="6"/>
      <c r="O108" s="24"/>
      <c r="P108" s="24"/>
      <c r="Y108" s="6"/>
    </row>
    <row r="109" spans="7:25" s="4" customFormat="1" ht="14" x14ac:dyDescent="0.2">
      <c r="G109" s="6"/>
      <c r="H109" s="6"/>
      <c r="I109" s="6"/>
      <c r="J109" s="6"/>
      <c r="K109" s="6"/>
      <c r="L109" s="6"/>
      <c r="M109" s="6"/>
      <c r="N109" s="6"/>
      <c r="O109" s="24"/>
      <c r="P109" s="24"/>
      <c r="Y109" s="6"/>
    </row>
    <row r="110" spans="7:25" s="4" customFormat="1" ht="14" x14ac:dyDescent="0.2">
      <c r="G110" s="6"/>
      <c r="H110" s="6"/>
      <c r="I110" s="6"/>
      <c r="J110" s="6"/>
      <c r="K110" s="6"/>
      <c r="L110" s="6"/>
      <c r="M110" s="6"/>
      <c r="N110" s="6"/>
      <c r="O110" s="24"/>
      <c r="P110" s="24"/>
      <c r="Y110" s="6"/>
    </row>
    <row r="111" spans="7:25" s="4" customFormat="1" ht="14" x14ac:dyDescent="0.2">
      <c r="G111" s="6"/>
      <c r="H111" s="6"/>
      <c r="I111" s="6"/>
      <c r="J111" s="6"/>
      <c r="K111" s="6"/>
      <c r="L111" s="6"/>
      <c r="M111" s="6"/>
      <c r="N111" s="6"/>
      <c r="O111" s="24"/>
      <c r="P111" s="24"/>
      <c r="Y111" s="6"/>
    </row>
    <row r="112" spans="7:25" s="4" customFormat="1" ht="14" x14ac:dyDescent="0.2">
      <c r="G112" s="6"/>
      <c r="H112" s="6"/>
      <c r="I112" s="6"/>
      <c r="J112" s="6"/>
      <c r="K112" s="6"/>
      <c r="L112" s="6"/>
      <c r="M112" s="6"/>
      <c r="N112" s="6"/>
      <c r="O112" s="24"/>
      <c r="P112" s="24"/>
      <c r="Y112" s="6"/>
    </row>
    <row r="113" spans="7:25" s="4" customFormat="1" ht="14" x14ac:dyDescent="0.2">
      <c r="G113" s="6"/>
      <c r="H113" s="6"/>
      <c r="I113" s="6"/>
      <c r="J113" s="6"/>
      <c r="K113" s="6"/>
      <c r="L113" s="6"/>
      <c r="M113" s="6"/>
      <c r="N113" s="6"/>
      <c r="O113" s="24"/>
      <c r="P113" s="24"/>
      <c r="Y113" s="6"/>
    </row>
    <row r="114" spans="7:25" s="4" customFormat="1" ht="14" x14ac:dyDescent="0.2">
      <c r="G114" s="6"/>
      <c r="H114" s="6"/>
      <c r="I114" s="6"/>
      <c r="J114" s="6"/>
      <c r="K114" s="6"/>
      <c r="L114" s="6"/>
      <c r="M114" s="6"/>
      <c r="N114" s="6"/>
      <c r="O114" s="24"/>
      <c r="P114" s="24"/>
      <c r="Y114" s="6"/>
    </row>
    <row r="115" spans="7:25" s="4" customFormat="1" ht="14" x14ac:dyDescent="0.2">
      <c r="G115" s="6"/>
      <c r="H115" s="6"/>
      <c r="I115" s="6"/>
      <c r="J115" s="6"/>
      <c r="K115" s="6"/>
      <c r="L115" s="6"/>
      <c r="M115" s="6"/>
      <c r="N115" s="6"/>
      <c r="O115" s="24"/>
      <c r="P115" s="24"/>
      <c r="Y115" s="6"/>
    </row>
    <row r="116" spans="7:25" s="4" customFormat="1" ht="14" x14ac:dyDescent="0.2">
      <c r="G116" s="6"/>
      <c r="H116" s="6"/>
      <c r="I116" s="6"/>
      <c r="J116" s="6"/>
      <c r="K116" s="6"/>
      <c r="L116" s="6"/>
      <c r="M116" s="6"/>
      <c r="N116" s="6"/>
      <c r="O116" s="24"/>
      <c r="P116" s="24"/>
      <c r="Y116" s="6"/>
    </row>
    <row r="117" spans="7:25" s="4" customFormat="1" ht="14" x14ac:dyDescent="0.2">
      <c r="G117" s="6"/>
      <c r="H117" s="6"/>
      <c r="I117" s="6"/>
      <c r="J117" s="6"/>
      <c r="K117" s="6"/>
      <c r="L117" s="6"/>
      <c r="M117" s="6"/>
      <c r="N117" s="6"/>
      <c r="O117" s="24"/>
      <c r="P117" s="24"/>
      <c r="Y117" s="6"/>
    </row>
    <row r="118" spans="7:25" s="4" customFormat="1" ht="14" x14ac:dyDescent="0.2">
      <c r="G118" s="6"/>
      <c r="H118" s="6"/>
      <c r="I118" s="6"/>
      <c r="J118" s="6"/>
      <c r="K118" s="6"/>
      <c r="L118" s="6"/>
      <c r="M118" s="6"/>
      <c r="N118" s="6"/>
      <c r="O118" s="24"/>
      <c r="P118" s="24"/>
      <c r="Y118" s="6"/>
    </row>
    <row r="119" spans="7:25" s="4" customFormat="1" ht="14" x14ac:dyDescent="0.2">
      <c r="G119" s="6"/>
      <c r="H119" s="6"/>
      <c r="I119" s="6"/>
      <c r="J119" s="6"/>
      <c r="K119" s="6"/>
      <c r="L119" s="6"/>
      <c r="M119" s="6"/>
      <c r="N119" s="6"/>
      <c r="O119" s="24"/>
      <c r="P119" s="24"/>
      <c r="Y119" s="6"/>
    </row>
    <row r="120" spans="7:25" s="4" customFormat="1" ht="14" x14ac:dyDescent="0.2">
      <c r="G120" s="6"/>
      <c r="H120" s="6"/>
      <c r="I120" s="6"/>
      <c r="J120" s="6"/>
      <c r="K120" s="6"/>
      <c r="L120" s="6"/>
      <c r="M120" s="6"/>
      <c r="N120" s="6"/>
      <c r="O120" s="24"/>
      <c r="P120" s="24"/>
      <c r="Y120" s="6"/>
    </row>
    <row r="121" spans="7:25" s="4" customFormat="1" ht="14" x14ac:dyDescent="0.2">
      <c r="G121" s="6"/>
      <c r="H121" s="6"/>
      <c r="I121" s="6"/>
      <c r="J121" s="6"/>
      <c r="K121" s="6"/>
      <c r="L121" s="6"/>
      <c r="M121" s="6"/>
      <c r="N121" s="6"/>
      <c r="O121" s="24"/>
      <c r="P121" s="24"/>
      <c r="Y121" s="6"/>
    </row>
    <row r="122" spans="7:25" s="4" customFormat="1" ht="14" x14ac:dyDescent="0.2">
      <c r="G122" s="6"/>
      <c r="H122" s="6"/>
      <c r="I122" s="6"/>
      <c r="J122" s="6"/>
      <c r="K122" s="6"/>
      <c r="L122" s="6"/>
      <c r="M122" s="6"/>
      <c r="N122" s="6"/>
      <c r="O122" s="24"/>
      <c r="P122" s="24"/>
      <c r="Y122" s="6"/>
    </row>
    <row r="123" spans="7:25" s="4" customFormat="1" ht="14" x14ac:dyDescent="0.2">
      <c r="G123" s="6"/>
      <c r="H123" s="6"/>
      <c r="I123" s="6"/>
      <c r="J123" s="6"/>
      <c r="K123" s="6"/>
      <c r="L123" s="6"/>
      <c r="M123" s="6"/>
      <c r="N123" s="6"/>
      <c r="O123" s="24"/>
      <c r="P123" s="24"/>
      <c r="Y123" s="6"/>
    </row>
    <row r="124" spans="7:25" s="4" customFormat="1" ht="14" x14ac:dyDescent="0.2">
      <c r="G124" s="6"/>
      <c r="H124" s="6"/>
      <c r="I124" s="6"/>
      <c r="J124" s="6"/>
      <c r="K124" s="6"/>
      <c r="L124" s="6"/>
      <c r="M124" s="6"/>
      <c r="N124" s="6"/>
      <c r="O124" s="24"/>
      <c r="P124" s="24"/>
      <c r="Y124" s="6"/>
    </row>
    <row r="125" spans="7:25" s="4" customFormat="1" ht="14" x14ac:dyDescent="0.2">
      <c r="G125" s="6"/>
      <c r="H125" s="6"/>
      <c r="I125" s="6"/>
      <c r="J125" s="6"/>
      <c r="K125" s="6"/>
      <c r="L125" s="6"/>
      <c r="M125" s="6"/>
      <c r="N125" s="6"/>
      <c r="O125" s="24"/>
      <c r="P125" s="24"/>
      <c r="Y125" s="6"/>
    </row>
    <row r="126" spans="7:25" s="4" customFormat="1" ht="14" x14ac:dyDescent="0.2">
      <c r="G126" s="6"/>
      <c r="H126" s="6"/>
      <c r="I126" s="6"/>
      <c r="J126" s="6"/>
      <c r="K126" s="6"/>
      <c r="L126" s="6"/>
      <c r="M126" s="6"/>
      <c r="N126" s="6"/>
      <c r="O126" s="24"/>
      <c r="P126" s="24"/>
      <c r="Y126" s="6"/>
    </row>
    <row r="127" spans="7:25" s="4" customFormat="1" ht="14" x14ac:dyDescent="0.2">
      <c r="G127" s="6"/>
      <c r="H127" s="6"/>
      <c r="I127" s="6"/>
      <c r="J127" s="6"/>
      <c r="K127" s="6"/>
      <c r="L127" s="6"/>
      <c r="M127" s="6"/>
      <c r="N127" s="6"/>
      <c r="O127" s="24"/>
      <c r="P127" s="24"/>
      <c r="Y127" s="6"/>
    </row>
    <row r="128" spans="7:25" s="4" customFormat="1" ht="14" x14ac:dyDescent="0.2">
      <c r="G128" s="6"/>
      <c r="H128" s="6"/>
      <c r="I128" s="6"/>
      <c r="J128" s="6"/>
      <c r="K128" s="6"/>
      <c r="L128" s="6"/>
      <c r="M128" s="6"/>
      <c r="N128" s="6"/>
      <c r="O128" s="24"/>
      <c r="P128" s="24"/>
      <c r="Y128" s="6"/>
    </row>
    <row r="129" spans="7:25" s="4" customFormat="1" ht="14" x14ac:dyDescent="0.2">
      <c r="G129" s="6"/>
      <c r="H129" s="6"/>
      <c r="I129" s="6"/>
      <c r="J129" s="6"/>
      <c r="K129" s="6"/>
      <c r="L129" s="6"/>
      <c r="M129" s="6"/>
      <c r="N129" s="6"/>
      <c r="O129" s="24"/>
      <c r="P129" s="24"/>
      <c r="Y129" s="6"/>
    </row>
    <row r="130" spans="7:25" s="4" customFormat="1" ht="14" x14ac:dyDescent="0.2">
      <c r="G130" s="6"/>
      <c r="H130" s="6"/>
      <c r="I130" s="6"/>
      <c r="J130" s="6"/>
      <c r="K130" s="6"/>
      <c r="L130" s="6"/>
      <c r="M130" s="6"/>
      <c r="N130" s="6"/>
      <c r="O130" s="24"/>
      <c r="P130" s="24"/>
      <c r="Y130" s="6"/>
    </row>
    <row r="131" spans="7:25" s="4" customFormat="1" ht="14" x14ac:dyDescent="0.2">
      <c r="G131" s="6"/>
      <c r="H131" s="6"/>
      <c r="I131" s="6"/>
      <c r="J131" s="6"/>
      <c r="K131" s="6"/>
      <c r="L131" s="6"/>
      <c r="M131" s="6"/>
      <c r="N131" s="6"/>
      <c r="O131" s="24"/>
      <c r="P131" s="24"/>
      <c r="Y131" s="6"/>
    </row>
    <row r="132" spans="7:25" s="4" customFormat="1" ht="14" x14ac:dyDescent="0.2">
      <c r="G132" s="6"/>
      <c r="H132" s="6"/>
      <c r="I132" s="6"/>
      <c r="J132" s="6"/>
      <c r="K132" s="6"/>
      <c r="L132" s="6"/>
      <c r="M132" s="6"/>
      <c r="N132" s="6"/>
      <c r="O132" s="24"/>
      <c r="P132" s="24"/>
      <c r="Y132" s="6"/>
    </row>
    <row r="133" spans="7:25" s="4" customFormat="1" ht="14" x14ac:dyDescent="0.2">
      <c r="G133" s="6"/>
      <c r="H133" s="6"/>
      <c r="I133" s="6"/>
      <c r="J133" s="6"/>
      <c r="K133" s="6"/>
      <c r="L133" s="6"/>
      <c r="M133" s="6"/>
      <c r="N133" s="6"/>
      <c r="O133" s="24"/>
      <c r="P133" s="24"/>
      <c r="Y133" s="6"/>
    </row>
    <row r="134" spans="7:25" s="4" customFormat="1" ht="14" x14ac:dyDescent="0.2">
      <c r="G134" s="6"/>
      <c r="H134" s="6"/>
      <c r="I134" s="6"/>
      <c r="J134" s="6"/>
      <c r="K134" s="6"/>
      <c r="L134" s="6"/>
      <c r="M134" s="6"/>
      <c r="N134" s="6"/>
      <c r="O134" s="24"/>
      <c r="P134" s="24"/>
      <c r="Y134" s="6"/>
    </row>
    <row r="135" spans="7:25" s="4" customFormat="1" ht="14" x14ac:dyDescent="0.2">
      <c r="G135" s="6"/>
      <c r="H135" s="6"/>
      <c r="I135" s="6"/>
      <c r="J135" s="6"/>
      <c r="K135" s="6"/>
      <c r="L135" s="6"/>
      <c r="M135" s="6"/>
      <c r="N135" s="6"/>
      <c r="O135" s="24"/>
      <c r="P135" s="24"/>
      <c r="Y135" s="6"/>
    </row>
    <row r="136" spans="7:25" s="4" customFormat="1" ht="14" x14ac:dyDescent="0.2">
      <c r="G136" s="6"/>
      <c r="H136" s="6"/>
      <c r="I136" s="6"/>
      <c r="J136" s="6"/>
      <c r="K136" s="6"/>
      <c r="L136" s="6"/>
      <c r="M136" s="6"/>
      <c r="N136" s="6"/>
      <c r="O136" s="24"/>
      <c r="P136" s="24"/>
      <c r="Y136" s="6"/>
    </row>
    <row r="137" spans="7:25" s="4" customFormat="1" ht="14" x14ac:dyDescent="0.2">
      <c r="G137" s="6"/>
      <c r="H137" s="6"/>
      <c r="I137" s="6"/>
      <c r="J137" s="6"/>
      <c r="K137" s="6"/>
      <c r="L137" s="6"/>
      <c r="M137" s="6"/>
      <c r="N137" s="6"/>
      <c r="O137" s="24"/>
      <c r="P137" s="24"/>
      <c r="Y137" s="6"/>
    </row>
    <row r="138" spans="7:25" s="4" customFormat="1" ht="14" x14ac:dyDescent="0.2">
      <c r="G138" s="6"/>
      <c r="H138" s="6"/>
      <c r="I138" s="6"/>
      <c r="J138" s="6"/>
      <c r="K138" s="6"/>
      <c r="L138" s="6"/>
      <c r="M138" s="6"/>
      <c r="N138" s="6"/>
      <c r="O138" s="24"/>
      <c r="P138" s="24"/>
      <c r="Y138" s="6"/>
    </row>
    <row r="139" spans="7:25" s="4" customFormat="1" ht="14" x14ac:dyDescent="0.2">
      <c r="G139" s="6"/>
      <c r="H139" s="6"/>
      <c r="I139" s="6"/>
      <c r="J139" s="6"/>
      <c r="K139" s="6"/>
      <c r="L139" s="6"/>
      <c r="M139" s="6"/>
      <c r="N139" s="6"/>
      <c r="O139" s="24"/>
      <c r="P139" s="24"/>
      <c r="Y139" s="6"/>
    </row>
    <row r="140" spans="7:25" s="4" customFormat="1" ht="14" x14ac:dyDescent="0.2">
      <c r="G140" s="6"/>
      <c r="H140" s="6"/>
      <c r="I140" s="6"/>
      <c r="J140" s="6"/>
      <c r="K140" s="6"/>
      <c r="L140" s="6"/>
      <c r="M140" s="6"/>
      <c r="N140" s="6"/>
      <c r="O140" s="24"/>
      <c r="P140" s="24"/>
      <c r="Y140" s="6"/>
    </row>
    <row r="141" spans="7:25" s="4" customFormat="1" ht="14" x14ac:dyDescent="0.2">
      <c r="G141" s="6"/>
      <c r="H141" s="6"/>
      <c r="I141" s="6"/>
      <c r="J141" s="6"/>
      <c r="K141" s="6"/>
      <c r="L141" s="6"/>
      <c r="M141" s="6"/>
      <c r="N141" s="6"/>
      <c r="O141" s="24"/>
      <c r="P141" s="24"/>
      <c r="Y141" s="6"/>
    </row>
    <row r="142" spans="7:25" s="4" customFormat="1" ht="14" x14ac:dyDescent="0.2">
      <c r="G142" s="6"/>
      <c r="H142" s="6"/>
      <c r="I142" s="6"/>
      <c r="J142" s="6"/>
      <c r="K142" s="6"/>
      <c r="L142" s="6"/>
      <c r="M142" s="6"/>
      <c r="N142" s="6"/>
      <c r="O142" s="24"/>
      <c r="P142" s="24"/>
      <c r="Y142" s="6"/>
    </row>
    <row r="143" spans="7:25" s="4" customFormat="1" ht="14" x14ac:dyDescent="0.2">
      <c r="G143" s="6"/>
      <c r="H143" s="6"/>
      <c r="I143" s="6"/>
      <c r="J143" s="6"/>
      <c r="K143" s="6"/>
      <c r="L143" s="6"/>
      <c r="M143" s="6"/>
      <c r="N143" s="6"/>
      <c r="O143" s="24"/>
      <c r="P143" s="24"/>
      <c r="Y143" s="6"/>
    </row>
    <row r="144" spans="7:25" s="4" customFormat="1" ht="14" x14ac:dyDescent="0.2">
      <c r="G144" s="6"/>
      <c r="H144" s="6"/>
      <c r="I144" s="6"/>
      <c r="J144" s="6"/>
      <c r="K144" s="6"/>
      <c r="L144" s="6"/>
      <c r="M144" s="6"/>
      <c r="N144" s="6"/>
      <c r="O144" s="24"/>
      <c r="P144" s="24"/>
      <c r="Y144" s="6"/>
    </row>
    <row r="145" spans="7:25" s="4" customFormat="1" ht="14" x14ac:dyDescent="0.2">
      <c r="G145" s="6"/>
      <c r="H145" s="6"/>
      <c r="I145" s="6"/>
      <c r="J145" s="6"/>
      <c r="K145" s="6"/>
      <c r="L145" s="6"/>
      <c r="M145" s="6"/>
      <c r="N145" s="6"/>
      <c r="O145" s="24"/>
      <c r="P145" s="24"/>
      <c r="Y145" s="6"/>
    </row>
    <row r="146" spans="7:25" s="4" customFormat="1" ht="14" x14ac:dyDescent="0.2">
      <c r="G146" s="6"/>
      <c r="H146" s="6"/>
      <c r="I146" s="6"/>
      <c r="J146" s="6"/>
      <c r="K146" s="6"/>
      <c r="L146" s="6"/>
      <c r="M146" s="6"/>
      <c r="N146" s="6"/>
      <c r="O146" s="24"/>
      <c r="P146" s="24"/>
      <c r="Y146" s="6"/>
    </row>
    <row r="147" spans="7:25" s="4" customFormat="1" ht="14" x14ac:dyDescent="0.2">
      <c r="G147" s="6"/>
      <c r="H147" s="6"/>
      <c r="I147" s="6"/>
      <c r="J147" s="6"/>
      <c r="K147" s="6"/>
      <c r="L147" s="6"/>
      <c r="M147" s="6"/>
      <c r="N147" s="6"/>
      <c r="O147" s="24"/>
      <c r="P147" s="24"/>
      <c r="Y147" s="6"/>
    </row>
    <row r="148" spans="7:25" s="4" customFormat="1" ht="14" x14ac:dyDescent="0.2">
      <c r="G148" s="6"/>
      <c r="H148" s="6"/>
      <c r="I148" s="6"/>
      <c r="J148" s="6"/>
      <c r="K148" s="6"/>
      <c r="L148" s="6"/>
      <c r="M148" s="6"/>
      <c r="N148" s="6"/>
      <c r="O148" s="24"/>
      <c r="P148" s="24"/>
      <c r="Y148" s="6"/>
    </row>
    <row r="149" spans="7:25" s="4" customFormat="1" ht="14" x14ac:dyDescent="0.2">
      <c r="G149" s="6"/>
      <c r="H149" s="6"/>
      <c r="I149" s="6"/>
      <c r="J149" s="6"/>
      <c r="K149" s="6"/>
      <c r="L149" s="6"/>
      <c r="M149" s="6"/>
      <c r="N149" s="6"/>
      <c r="O149" s="24"/>
      <c r="P149" s="24"/>
      <c r="Y149" s="6"/>
    </row>
    <row r="150" spans="7:25" s="4" customFormat="1" ht="14" x14ac:dyDescent="0.2">
      <c r="G150" s="6"/>
      <c r="H150" s="6"/>
      <c r="I150" s="6"/>
      <c r="J150" s="6"/>
      <c r="K150" s="6"/>
      <c r="L150" s="6"/>
      <c r="M150" s="6"/>
      <c r="N150" s="6"/>
      <c r="O150" s="24"/>
      <c r="P150" s="24"/>
      <c r="Y150" s="6"/>
    </row>
    <row r="151" spans="7:25" s="4" customFormat="1" ht="14" x14ac:dyDescent="0.2">
      <c r="G151" s="6"/>
      <c r="H151" s="6"/>
      <c r="I151" s="6"/>
      <c r="J151" s="6"/>
      <c r="K151" s="6"/>
      <c r="L151" s="6"/>
      <c r="M151" s="6"/>
      <c r="N151" s="6"/>
      <c r="O151" s="24"/>
      <c r="P151" s="24"/>
      <c r="Y151" s="6"/>
    </row>
    <row r="152" spans="7:25" s="4" customFormat="1" ht="14" x14ac:dyDescent="0.2">
      <c r="G152" s="6"/>
      <c r="H152" s="6"/>
      <c r="I152" s="6"/>
      <c r="J152" s="6"/>
      <c r="K152" s="6"/>
      <c r="L152" s="6"/>
      <c r="M152" s="6"/>
      <c r="N152" s="6"/>
      <c r="O152" s="24"/>
      <c r="P152" s="24"/>
      <c r="Y152" s="6"/>
    </row>
    <row r="153" spans="7:25" s="4" customFormat="1" ht="14" x14ac:dyDescent="0.2">
      <c r="G153" s="6"/>
      <c r="H153" s="6"/>
      <c r="I153" s="6"/>
      <c r="J153" s="6"/>
      <c r="K153" s="6"/>
      <c r="L153" s="6"/>
      <c r="M153" s="6"/>
      <c r="N153" s="6"/>
      <c r="O153" s="24"/>
      <c r="P153" s="24"/>
      <c r="Y153" s="6"/>
    </row>
    <row r="154" spans="7:25" s="4" customFormat="1" ht="14" x14ac:dyDescent="0.2">
      <c r="G154" s="6"/>
      <c r="H154" s="6"/>
      <c r="I154" s="6"/>
      <c r="J154" s="6"/>
      <c r="K154" s="6"/>
      <c r="L154" s="6"/>
      <c r="M154" s="6"/>
      <c r="N154" s="6"/>
      <c r="O154" s="24"/>
      <c r="P154" s="24"/>
      <c r="Y154" s="6"/>
    </row>
    <row r="155" spans="7:25" s="4" customFormat="1" ht="14" x14ac:dyDescent="0.2">
      <c r="G155" s="6"/>
      <c r="H155" s="6"/>
      <c r="I155" s="6"/>
      <c r="J155" s="6"/>
      <c r="K155" s="6"/>
      <c r="L155" s="6"/>
      <c r="M155" s="6"/>
      <c r="N155" s="6"/>
      <c r="O155" s="24"/>
      <c r="P155" s="24"/>
      <c r="Y155" s="6"/>
    </row>
    <row r="156" spans="7:25" s="4" customFormat="1" ht="14" x14ac:dyDescent="0.2">
      <c r="G156" s="6"/>
      <c r="H156" s="6"/>
      <c r="I156" s="6"/>
      <c r="J156" s="6"/>
      <c r="K156" s="6"/>
      <c r="L156" s="6"/>
      <c r="M156" s="6"/>
      <c r="N156" s="6"/>
      <c r="O156" s="24"/>
      <c r="P156" s="24"/>
      <c r="Y156" s="6"/>
    </row>
    <row r="157" spans="7:25" s="4" customFormat="1" ht="14" x14ac:dyDescent="0.2">
      <c r="G157" s="6"/>
      <c r="H157" s="6"/>
      <c r="I157" s="6"/>
      <c r="J157" s="6"/>
      <c r="K157" s="6"/>
      <c r="L157" s="6"/>
      <c r="M157" s="6"/>
      <c r="N157" s="6"/>
      <c r="O157" s="24"/>
      <c r="P157" s="24"/>
      <c r="Y157" s="6"/>
    </row>
    <row r="158" spans="7:25" s="4" customFormat="1" ht="14" x14ac:dyDescent="0.2">
      <c r="G158" s="6"/>
      <c r="H158" s="6"/>
      <c r="I158" s="6"/>
      <c r="J158" s="6"/>
      <c r="K158" s="6"/>
      <c r="L158" s="6"/>
      <c r="M158" s="6"/>
      <c r="N158" s="6"/>
      <c r="O158" s="24"/>
      <c r="P158" s="24"/>
      <c r="Y158" s="6"/>
    </row>
    <row r="159" spans="7:25" s="4" customFormat="1" ht="14" x14ac:dyDescent="0.2">
      <c r="G159" s="6"/>
      <c r="H159" s="6"/>
      <c r="I159" s="6"/>
      <c r="J159" s="6"/>
      <c r="K159" s="6"/>
      <c r="L159" s="6"/>
      <c r="M159" s="6"/>
      <c r="N159" s="6"/>
      <c r="O159" s="24"/>
      <c r="P159" s="24"/>
      <c r="Y159" s="6"/>
    </row>
    <row r="160" spans="7:25" s="4" customFormat="1" ht="14" x14ac:dyDescent="0.2">
      <c r="G160" s="6"/>
      <c r="H160" s="6"/>
      <c r="I160" s="6"/>
      <c r="J160" s="6"/>
      <c r="K160" s="6"/>
      <c r="L160" s="6"/>
      <c r="M160" s="6"/>
      <c r="N160" s="6"/>
      <c r="O160" s="24"/>
      <c r="P160" s="24"/>
      <c r="Y160" s="6"/>
    </row>
    <row r="161" spans="7:25" s="4" customFormat="1" ht="14" x14ac:dyDescent="0.2">
      <c r="G161" s="6"/>
      <c r="H161" s="6"/>
      <c r="I161" s="6"/>
      <c r="J161" s="6"/>
      <c r="K161" s="6"/>
      <c r="L161" s="6"/>
      <c r="M161" s="6"/>
      <c r="N161" s="6"/>
      <c r="O161" s="24"/>
      <c r="P161" s="24"/>
      <c r="Y161" s="6"/>
    </row>
    <row r="162" spans="7:25" s="4" customFormat="1" ht="14" x14ac:dyDescent="0.2">
      <c r="G162" s="6"/>
      <c r="H162" s="6"/>
      <c r="I162" s="6"/>
      <c r="J162" s="6"/>
      <c r="K162" s="6"/>
      <c r="L162" s="6"/>
      <c r="M162" s="6"/>
      <c r="N162" s="6"/>
      <c r="O162" s="24"/>
      <c r="P162" s="24"/>
      <c r="Y162" s="6"/>
    </row>
    <row r="163" spans="7:25" s="4" customFormat="1" ht="14" x14ac:dyDescent="0.2">
      <c r="G163" s="6"/>
      <c r="H163" s="6"/>
      <c r="I163" s="6"/>
      <c r="J163" s="6"/>
      <c r="K163" s="6"/>
      <c r="L163" s="6"/>
      <c r="M163" s="6"/>
      <c r="N163" s="6"/>
      <c r="O163" s="24"/>
      <c r="P163" s="24"/>
      <c r="Y163" s="6"/>
    </row>
    <row r="164" spans="7:25" s="4" customFormat="1" ht="14" x14ac:dyDescent="0.2">
      <c r="G164" s="6"/>
      <c r="H164" s="6"/>
      <c r="I164" s="6"/>
      <c r="J164" s="6"/>
      <c r="K164" s="6"/>
      <c r="L164" s="6"/>
      <c r="M164" s="6"/>
      <c r="N164" s="6"/>
      <c r="O164" s="24"/>
      <c r="P164" s="24"/>
      <c r="Y164" s="6"/>
    </row>
    <row r="165" spans="7:25" s="4" customFormat="1" ht="14" x14ac:dyDescent="0.2">
      <c r="G165" s="6"/>
      <c r="H165" s="6"/>
      <c r="I165" s="6"/>
      <c r="J165" s="6"/>
      <c r="K165" s="6"/>
      <c r="L165" s="6"/>
      <c r="M165" s="6"/>
      <c r="N165" s="6"/>
      <c r="O165" s="24"/>
      <c r="P165" s="24"/>
      <c r="Y165" s="6"/>
    </row>
    <row r="166" spans="7:25" s="4" customFormat="1" ht="14" x14ac:dyDescent="0.2">
      <c r="G166" s="6"/>
      <c r="H166" s="6"/>
      <c r="I166" s="6"/>
      <c r="J166" s="6"/>
      <c r="K166" s="6"/>
      <c r="L166" s="6"/>
      <c r="M166" s="6"/>
      <c r="N166" s="6"/>
      <c r="O166" s="24"/>
      <c r="P166" s="24"/>
      <c r="Y166" s="6"/>
    </row>
    <row r="167" spans="7:25" s="4" customFormat="1" ht="14" x14ac:dyDescent="0.2">
      <c r="G167" s="6"/>
      <c r="H167" s="6"/>
      <c r="I167" s="6"/>
      <c r="J167" s="6"/>
      <c r="K167" s="6"/>
      <c r="L167" s="6"/>
      <c r="M167" s="6"/>
      <c r="N167" s="6"/>
      <c r="O167" s="24"/>
      <c r="P167" s="24"/>
      <c r="Y167" s="6"/>
    </row>
    <row r="168" spans="7:25" s="4" customFormat="1" ht="14" x14ac:dyDescent="0.2">
      <c r="G168" s="6"/>
      <c r="H168" s="6"/>
      <c r="I168" s="6"/>
      <c r="J168" s="6"/>
      <c r="K168" s="6"/>
      <c r="L168" s="6"/>
      <c r="M168" s="6"/>
      <c r="N168" s="6"/>
      <c r="O168" s="24"/>
      <c r="P168" s="24"/>
      <c r="Y168" s="6"/>
    </row>
    <row r="169" spans="7:25" s="4" customFormat="1" ht="14" x14ac:dyDescent="0.2">
      <c r="G169" s="6"/>
      <c r="H169" s="6"/>
      <c r="I169" s="6"/>
      <c r="J169" s="6"/>
      <c r="K169" s="6"/>
      <c r="L169" s="6"/>
      <c r="M169" s="6"/>
      <c r="N169" s="6"/>
      <c r="O169" s="24"/>
      <c r="P169" s="24"/>
      <c r="Y169" s="6"/>
    </row>
  </sheetData>
  <mergeCells count="3">
    <mergeCell ref="A10:A14"/>
    <mergeCell ref="B17:C17"/>
    <mergeCell ref="A3:A8"/>
  </mergeCells>
  <conditionalFormatting sqref="R19:R28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G15" r:id="rId1" xr:uid="{40230585-7979-0340-B286-3ABD760FE891}"/>
  </hyperlinks>
  <pageMargins left="0.7" right="0.7" top="0.75" bottom="0.75" header="0.3" footer="0.3"/>
  <pageSetup paperSize="9" orientation="portrait" horizontalDpi="4294967293" verticalDpi="4294967293" r:id="rId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DD45-91EB-4B03-A8BE-DE76F09D8FF1}">
  <dimension ref="A1:AB149"/>
  <sheetViews>
    <sheetView zoomScale="110" zoomScaleNormal="110" workbookViewId="0">
      <selection activeCell="T25" sqref="T25"/>
    </sheetView>
  </sheetViews>
  <sheetFormatPr baseColWidth="10" defaultColWidth="8.83203125" defaultRowHeight="15" x14ac:dyDescent="0.2"/>
  <cols>
    <col min="1" max="1" width="3.33203125" style="4" customWidth="1"/>
    <col min="2" max="2" width="8.1640625" style="5" customWidth="1"/>
    <col min="3" max="3" width="14.6640625" style="5" customWidth="1"/>
    <col min="4" max="4" width="12.83203125" style="5" customWidth="1"/>
    <col min="5" max="5" width="14" style="5" customWidth="1"/>
    <col min="6" max="6" width="11.33203125" style="5" customWidth="1"/>
    <col min="7" max="7" width="14" style="5" customWidth="1"/>
    <col min="8" max="8" width="11.5" style="5" customWidth="1"/>
    <col min="9" max="9" width="4.1640625" style="4" customWidth="1"/>
    <col min="10" max="10" width="1.1640625" style="5" customWidth="1"/>
    <col min="11" max="11" width="1.5" style="5" customWidth="1"/>
    <col min="12" max="13" width="12.1640625" style="10" customWidth="1"/>
    <col min="14" max="14" width="9.83203125" style="10" customWidth="1"/>
    <col min="15" max="15" width="10" style="10" customWidth="1"/>
    <col min="16" max="17" width="13.83203125" style="24" customWidth="1"/>
    <col min="18" max="18" width="15.5" style="24" customWidth="1"/>
    <col min="19" max="19" width="15.1640625" customWidth="1"/>
    <col min="20" max="20" width="8.83203125" style="63"/>
    <col min="21" max="28" width="8.83203125" style="4"/>
    <col min="29" max="16384" width="8.83203125" style="5"/>
  </cols>
  <sheetData>
    <row r="1" spans="1:28" s="2" customFormat="1" ht="31" customHeight="1" x14ac:dyDescent="0.25">
      <c r="B1" s="267" t="s">
        <v>37</v>
      </c>
      <c r="C1" s="267"/>
      <c r="D1" s="267"/>
      <c r="E1" s="267"/>
      <c r="F1" s="267"/>
      <c r="G1" s="267"/>
      <c r="H1" s="267"/>
      <c r="I1" s="95"/>
      <c r="J1" s="93"/>
      <c r="K1" s="93"/>
      <c r="L1" s="93"/>
      <c r="M1" s="93"/>
      <c r="N1" s="93"/>
      <c r="O1" s="93"/>
      <c r="P1" s="31"/>
      <c r="Q1" s="31"/>
      <c r="R1" s="31"/>
    </row>
    <row r="2" spans="1:28" s="2" customFormat="1" thickBot="1" x14ac:dyDescent="0.25">
      <c r="H2" s="11"/>
      <c r="I2" s="11"/>
      <c r="J2" s="11"/>
      <c r="K2" s="11"/>
      <c r="M2" s="11"/>
      <c r="N2" s="11"/>
      <c r="O2" s="11"/>
      <c r="P2" s="20"/>
      <c r="Q2" s="20"/>
      <c r="R2" s="20"/>
    </row>
    <row r="3" spans="1:28" s="2" customFormat="1" ht="13" customHeight="1" x14ac:dyDescent="0.2">
      <c r="B3" s="260" t="s">
        <v>45</v>
      </c>
      <c r="C3" s="55" t="s">
        <v>21</v>
      </c>
      <c r="D3" s="55"/>
      <c r="E3" s="55"/>
      <c r="F3" s="55"/>
      <c r="G3" s="56">
        <v>100</v>
      </c>
      <c r="M3" s="19"/>
      <c r="O3" s="12"/>
      <c r="P3" s="21"/>
      <c r="Q3" s="21"/>
      <c r="R3" s="21"/>
    </row>
    <row r="4" spans="1:28" s="2" customFormat="1" ht="14" x14ac:dyDescent="0.2">
      <c r="B4" s="261"/>
      <c r="C4" s="64" t="s">
        <v>26</v>
      </c>
      <c r="D4" s="64"/>
      <c r="E4" s="64"/>
      <c r="F4" s="64"/>
      <c r="G4" s="65">
        <v>1.7000000000000001E-2</v>
      </c>
      <c r="M4" s="6"/>
      <c r="O4" s="12"/>
      <c r="P4" s="21"/>
      <c r="Q4" s="21"/>
      <c r="R4" s="21"/>
    </row>
    <row r="5" spans="1:28" s="2" customFormat="1" ht="14" x14ac:dyDescent="0.2">
      <c r="B5" s="261"/>
      <c r="C5" s="64" t="s">
        <v>27</v>
      </c>
      <c r="D5" s="64"/>
      <c r="E5" s="64"/>
      <c r="F5" s="64"/>
      <c r="G5" s="65">
        <v>0.01</v>
      </c>
      <c r="M5" s="6"/>
      <c r="O5" s="12"/>
      <c r="P5" s="21"/>
      <c r="Q5" s="21"/>
      <c r="R5" s="21"/>
    </row>
    <row r="6" spans="1:28" s="2" customFormat="1" ht="14" x14ac:dyDescent="0.2">
      <c r="B6" s="261"/>
      <c r="C6" s="57" t="s">
        <v>32</v>
      </c>
      <c r="D6" s="57"/>
      <c r="E6" s="57"/>
      <c r="F6" s="57"/>
      <c r="G6" s="58" t="s">
        <v>31</v>
      </c>
      <c r="M6" s="6"/>
      <c r="O6" s="12"/>
      <c r="P6" s="21"/>
      <c r="Q6" s="21"/>
      <c r="R6" s="21"/>
    </row>
    <row r="7" spans="1:28" s="2" customFormat="1" ht="18.5" customHeight="1" thickBot="1" x14ac:dyDescent="0.25">
      <c r="B7" s="262"/>
      <c r="C7" s="59" t="s">
        <v>35</v>
      </c>
      <c r="D7" s="59"/>
      <c r="E7" s="59"/>
      <c r="F7" s="59"/>
      <c r="G7" s="60">
        <v>2</v>
      </c>
      <c r="M7" s="13"/>
      <c r="O7" s="12"/>
      <c r="P7" s="21"/>
      <c r="Q7" s="21"/>
      <c r="R7" s="21"/>
    </row>
    <row r="8" spans="1:28" s="2" customFormat="1" thickBot="1" x14ac:dyDescent="0.25">
      <c r="D8" s="12"/>
      <c r="E8" s="12"/>
      <c r="F8" s="12"/>
      <c r="G8" s="12"/>
      <c r="H8" s="12"/>
      <c r="I8" s="12"/>
      <c r="L8" s="13"/>
      <c r="M8" s="13"/>
      <c r="O8" s="12"/>
      <c r="P8" s="21"/>
      <c r="Q8" s="21"/>
      <c r="R8" s="21"/>
    </row>
    <row r="9" spans="1:28" x14ac:dyDescent="0.2">
      <c r="B9" s="260" t="s">
        <v>25</v>
      </c>
      <c r="C9" s="35" t="s">
        <v>20</v>
      </c>
      <c r="D9" s="35"/>
      <c r="E9" s="35"/>
      <c r="F9" s="35"/>
      <c r="G9" s="39">
        <v>10</v>
      </c>
      <c r="H9" s="4"/>
      <c r="J9" s="4"/>
      <c r="K9" s="4"/>
      <c r="L9" s="6"/>
      <c r="M9" s="1"/>
      <c r="N9" s="6"/>
      <c r="O9" s="12"/>
      <c r="P9" s="21"/>
      <c r="Q9" s="21"/>
      <c r="R9" s="21"/>
      <c r="S9" s="63"/>
    </row>
    <row r="10" spans="1:28" ht="16" thickBot="1" x14ac:dyDescent="0.25">
      <c r="B10" s="262"/>
      <c r="C10" s="38" t="s">
        <v>22</v>
      </c>
      <c r="D10" s="38"/>
      <c r="E10" s="38"/>
      <c r="F10" s="38"/>
      <c r="G10" s="89">
        <f>G9*G3</f>
        <v>1000</v>
      </c>
      <c r="H10" s="4"/>
      <c r="J10" s="4"/>
      <c r="K10" s="4"/>
      <c r="L10" s="6"/>
      <c r="M10" s="4"/>
      <c r="N10" s="6"/>
      <c r="O10" s="12"/>
      <c r="P10" s="21"/>
      <c r="Q10" s="21"/>
      <c r="R10" s="21"/>
      <c r="S10" s="63"/>
    </row>
    <row r="11" spans="1:28" ht="21" customHeight="1" x14ac:dyDescent="0.2">
      <c r="B11" s="2" t="s">
        <v>3</v>
      </c>
      <c r="C11" s="2"/>
      <c r="D11" s="2"/>
      <c r="E11" s="2"/>
      <c r="F11" s="2"/>
      <c r="G11" s="2"/>
      <c r="H11" s="269" t="s">
        <v>124</v>
      </c>
      <c r="I11" s="6"/>
      <c r="J11" s="4"/>
      <c r="K11" s="3"/>
      <c r="L11" s="3"/>
      <c r="M11" s="163"/>
      <c r="N11" s="4"/>
      <c r="O11" s="3"/>
      <c r="P11" s="23"/>
      <c r="Q11" s="23"/>
      <c r="R11" s="23"/>
      <c r="S11" s="63"/>
    </row>
    <row r="12" spans="1:28" x14ac:dyDescent="0.2">
      <c r="B12" s="4"/>
      <c r="C12" s="4"/>
      <c r="D12" s="4"/>
      <c r="E12" s="4"/>
      <c r="F12" s="4"/>
      <c r="G12" s="4"/>
      <c r="H12" s="4"/>
      <c r="J12" s="4"/>
      <c r="K12" s="6"/>
      <c r="L12" s="4"/>
      <c r="M12" s="4"/>
      <c r="N12" s="42">
        <v>0.19</v>
      </c>
      <c r="O12" s="4"/>
      <c r="P12" s="22"/>
      <c r="Q12" s="22"/>
      <c r="R12" s="22"/>
    </row>
    <row r="13" spans="1:28" s="30" customFormat="1" ht="119" x14ac:dyDescent="0.2">
      <c r="A13" s="29"/>
      <c r="B13" s="177" t="s">
        <v>69</v>
      </c>
      <c r="C13" s="177" t="s">
        <v>68</v>
      </c>
      <c r="D13" s="185" t="s">
        <v>118</v>
      </c>
      <c r="E13" s="185" t="s">
        <v>112</v>
      </c>
      <c r="F13" s="177" t="s">
        <v>41</v>
      </c>
      <c r="G13" s="184" t="s">
        <v>111</v>
      </c>
      <c r="H13" s="184" t="s">
        <v>71</v>
      </c>
      <c r="I13" s="50"/>
      <c r="J13" s="50"/>
      <c r="K13" s="74"/>
      <c r="L13" s="94" t="s">
        <v>76</v>
      </c>
      <c r="M13" s="91" t="s">
        <v>73</v>
      </c>
      <c r="N13" s="27" t="s">
        <v>74</v>
      </c>
      <c r="O13" s="25" t="s">
        <v>75</v>
      </c>
      <c r="P13" s="25" t="s">
        <v>2</v>
      </c>
      <c r="Q13" s="25" t="s">
        <v>16</v>
      </c>
      <c r="R13" s="25" t="s">
        <v>79</v>
      </c>
      <c r="S13" s="25" t="s">
        <v>80</v>
      </c>
      <c r="T13" s="29"/>
      <c r="U13" s="29"/>
      <c r="V13" s="29"/>
      <c r="W13" s="29"/>
      <c r="X13" s="29"/>
      <c r="Y13" s="29"/>
      <c r="Z13" s="29"/>
      <c r="AA13" s="29"/>
      <c r="AB13" s="29"/>
    </row>
    <row r="14" spans="1:28" s="4" customFormat="1" ht="16" x14ac:dyDescent="0.2">
      <c r="B14" s="168"/>
      <c r="C14" s="168"/>
      <c r="D14" s="170"/>
      <c r="E14" s="170"/>
      <c r="F14" s="170"/>
      <c r="G14" s="170"/>
      <c r="H14" s="170"/>
      <c r="I14" s="19"/>
      <c r="J14" s="19"/>
      <c r="K14" s="22"/>
      <c r="L14" s="5" t="s">
        <v>77</v>
      </c>
      <c r="M14" s="8">
        <f>$G$10</f>
        <v>1000</v>
      </c>
      <c r="N14" s="8"/>
      <c r="O14" s="8"/>
      <c r="P14" s="8"/>
      <c r="Q14" s="8"/>
      <c r="R14" s="8"/>
      <c r="S14" s="8"/>
    </row>
    <row r="15" spans="1:28" s="4" customFormat="1" ht="16" x14ac:dyDescent="0.2">
      <c r="B15" s="168">
        <v>1</v>
      </c>
      <c r="C15" s="200">
        <v>44075</v>
      </c>
      <c r="D15" s="175">
        <f>$G$4</f>
        <v>1.7000000000000001E-2</v>
      </c>
      <c r="E15" s="170">
        <f t="shared" ref="E15:E24" si="0">$G$10+R15</f>
        <v>1000</v>
      </c>
      <c r="F15" s="169">
        <v>2.5000000000000001E-2</v>
      </c>
      <c r="G15" s="170">
        <f>$G$10+S15</f>
        <v>1025</v>
      </c>
      <c r="H15" s="170">
        <f>E15-G15</f>
        <v>-25</v>
      </c>
      <c r="I15" s="19"/>
      <c r="K15" s="22"/>
      <c r="L15" s="5" t="s">
        <v>4</v>
      </c>
      <c r="M15" s="8">
        <f>M14*(1+G4)</f>
        <v>1016.9999999999999</v>
      </c>
      <c r="N15" s="8">
        <f>M14*$G$4</f>
        <v>17</v>
      </c>
      <c r="O15" s="8">
        <f t="shared" ref="O15:O24" si="1">M15-$M$14</f>
        <v>16.999999999999886</v>
      </c>
      <c r="P15" s="8">
        <f t="shared" ref="P15:P23" si="2">IF($G$9*$G$7&lt;=O15,$G$9*$G$7,O15)</f>
        <v>16.999999999999886</v>
      </c>
      <c r="Q15" s="8">
        <f>IF(O15&gt;P15,(O15-P15)*$N$12,0)</f>
        <v>0</v>
      </c>
      <c r="R15" s="9">
        <f>O15-P15-Q15</f>
        <v>0</v>
      </c>
      <c r="S15" s="8">
        <f>G10*F15</f>
        <v>25</v>
      </c>
    </row>
    <row r="16" spans="1:28" s="4" customFormat="1" ht="16" x14ac:dyDescent="0.2">
      <c r="B16" s="168">
        <v>2</v>
      </c>
      <c r="C16" s="200">
        <v>44440</v>
      </c>
      <c r="D16" s="175">
        <f t="shared" ref="D16:D24" si="3">IF(F15&gt;0,($G$5+F15),$G$5)</f>
        <v>3.5000000000000003E-2</v>
      </c>
      <c r="E16" s="170">
        <f t="shared" si="0"/>
        <v>1026.4019499999999</v>
      </c>
      <c r="F16" s="169">
        <v>2.5000000000000001E-2</v>
      </c>
      <c r="G16" s="170">
        <f t="shared" ref="G16:G24" si="4">G15+S16</f>
        <v>1050.625</v>
      </c>
      <c r="H16" s="170">
        <f t="shared" ref="H16:H23" si="5">E16-G16</f>
        <v>-24.223050000000057</v>
      </c>
      <c r="I16" s="19"/>
      <c r="K16" s="22"/>
      <c r="L16" s="5" t="s">
        <v>5</v>
      </c>
      <c r="M16" s="8">
        <f t="shared" ref="M16:M24" si="6">M15*(1+(F15+$G$5))</f>
        <v>1052.5949999999998</v>
      </c>
      <c r="N16" s="8">
        <f t="shared" ref="N16:N24" si="7">IF(F15&gt;0,M15*($G$5+F15),M15*$G$5)</f>
        <v>35.594999999999999</v>
      </c>
      <c r="O16" s="8">
        <f t="shared" si="1"/>
        <v>52.5949999999998</v>
      </c>
      <c r="P16" s="8">
        <f t="shared" si="2"/>
        <v>20</v>
      </c>
      <c r="Q16" s="8">
        <f>IF(O16&gt;P16,(O16-P16)*$N$12,0)</f>
        <v>6.1930499999999622</v>
      </c>
      <c r="R16" s="9">
        <f>O16-P16-Q16</f>
        <v>26.401949999999836</v>
      </c>
      <c r="S16" s="8">
        <f t="shared" ref="S16:S24" si="8">G15*F16</f>
        <v>25.625</v>
      </c>
    </row>
    <row r="17" spans="2:19" s="4" customFormat="1" ht="16" x14ac:dyDescent="0.2">
      <c r="B17" s="168">
        <v>3</v>
      </c>
      <c r="C17" s="200">
        <v>44805</v>
      </c>
      <c r="D17" s="175">
        <f t="shared" si="3"/>
        <v>3.5000000000000003E-2</v>
      </c>
      <c r="E17" s="170">
        <f t="shared" si="0"/>
        <v>1056.2430182499997</v>
      </c>
      <c r="F17" s="169">
        <v>2.5000000000000001E-2</v>
      </c>
      <c r="G17" s="170">
        <f t="shared" si="4"/>
        <v>1076.890625</v>
      </c>
      <c r="H17" s="170">
        <f t="shared" si="5"/>
        <v>-20.64760675000025</v>
      </c>
      <c r="I17" s="19"/>
      <c r="K17" s="22"/>
      <c r="L17" s="5" t="s">
        <v>6</v>
      </c>
      <c r="M17" s="8">
        <f t="shared" si="6"/>
        <v>1089.4358249999998</v>
      </c>
      <c r="N17" s="8">
        <f t="shared" si="7"/>
        <v>36.840824999999995</v>
      </c>
      <c r="O17" s="8">
        <f t="shared" si="1"/>
        <v>89.435824999999795</v>
      </c>
      <c r="P17" s="8">
        <f t="shared" si="2"/>
        <v>20</v>
      </c>
      <c r="Q17" s="8">
        <f t="shared" ref="Q17:Q24" si="9">IF(O17&gt;P17,(O17-P17)*$N$12,0)</f>
        <v>13.192806749999962</v>
      </c>
      <c r="R17" s="9">
        <f t="shared" ref="R17:R24" si="10">O17-P17-Q17</f>
        <v>56.243018249999835</v>
      </c>
      <c r="S17" s="8">
        <f t="shared" si="8"/>
        <v>26.265625</v>
      </c>
    </row>
    <row r="18" spans="2:19" s="4" customFormat="1" ht="16" x14ac:dyDescent="0.2">
      <c r="B18" s="168">
        <v>4</v>
      </c>
      <c r="C18" s="200">
        <v>45170</v>
      </c>
      <c r="D18" s="175">
        <f t="shared" si="3"/>
        <v>3.5000000000000003E-2</v>
      </c>
      <c r="E18" s="170">
        <f t="shared" si="0"/>
        <v>1087.1285238887497</v>
      </c>
      <c r="F18" s="169">
        <v>2.5000000000000001E-2</v>
      </c>
      <c r="G18" s="170">
        <f t="shared" si="4"/>
        <v>1103.8128906249999</v>
      </c>
      <c r="H18" s="170">
        <f t="shared" si="5"/>
        <v>-16.68436673625024</v>
      </c>
      <c r="I18" s="19"/>
      <c r="K18" s="22"/>
      <c r="L18" s="5" t="s">
        <v>7</v>
      </c>
      <c r="M18" s="8">
        <f t="shared" si="6"/>
        <v>1127.5660788749997</v>
      </c>
      <c r="N18" s="8">
        <f t="shared" si="7"/>
        <v>38.130253874999994</v>
      </c>
      <c r="O18" s="8">
        <f t="shared" si="1"/>
        <v>127.56607887499968</v>
      </c>
      <c r="P18" s="8">
        <f t="shared" si="2"/>
        <v>20</v>
      </c>
      <c r="Q18" s="8">
        <f t="shared" si="9"/>
        <v>20.437554986249939</v>
      </c>
      <c r="R18" s="9">
        <f>O18-P18-Q18</f>
        <v>87.12852388874974</v>
      </c>
      <c r="S18" s="8">
        <f t="shared" si="8"/>
        <v>26.922265625000001</v>
      </c>
    </row>
    <row r="19" spans="2:19" s="4" customFormat="1" ht="16" x14ac:dyDescent="0.2">
      <c r="B19" s="168">
        <v>5</v>
      </c>
      <c r="C19" s="200">
        <v>45536</v>
      </c>
      <c r="D19" s="175">
        <f t="shared" si="3"/>
        <v>3.5000000000000003E-2</v>
      </c>
      <c r="E19" s="170">
        <f t="shared" si="0"/>
        <v>1119.0950222248559</v>
      </c>
      <c r="F19" s="169">
        <v>2.5000000000000001E-2</v>
      </c>
      <c r="G19" s="170">
        <f t="shared" si="4"/>
        <v>1131.408212890625</v>
      </c>
      <c r="H19" s="170">
        <f t="shared" si="5"/>
        <v>-12.313190665769071</v>
      </c>
      <c r="I19" s="19"/>
      <c r="K19" s="22"/>
      <c r="L19" s="5" t="s">
        <v>8</v>
      </c>
      <c r="M19" s="8">
        <f t="shared" si="6"/>
        <v>1167.0308916356246</v>
      </c>
      <c r="N19" s="8">
        <f t="shared" si="7"/>
        <v>39.464812760624994</v>
      </c>
      <c r="O19" s="8">
        <f t="shared" si="1"/>
        <v>167.03089163562458</v>
      </c>
      <c r="P19" s="8">
        <f t="shared" si="2"/>
        <v>20</v>
      </c>
      <c r="Q19" s="8">
        <f t="shared" si="9"/>
        <v>27.935869410768671</v>
      </c>
      <c r="R19" s="9">
        <f t="shared" si="10"/>
        <v>119.09502222485591</v>
      </c>
      <c r="S19" s="8">
        <f t="shared" si="8"/>
        <v>27.595322265625001</v>
      </c>
    </row>
    <row r="20" spans="2:19" s="4" customFormat="1" ht="16" x14ac:dyDescent="0.2">
      <c r="B20" s="168">
        <v>6</v>
      </c>
      <c r="C20" s="200">
        <v>45901</v>
      </c>
      <c r="D20" s="175">
        <f t="shared" si="3"/>
        <v>3.5000000000000003E-2</v>
      </c>
      <c r="E20" s="170">
        <f t="shared" si="0"/>
        <v>1152.1803480027256</v>
      </c>
      <c r="F20" s="169">
        <v>2.5000000000000001E-2</v>
      </c>
      <c r="G20" s="170">
        <f t="shared" si="4"/>
        <v>1159.6934182128907</v>
      </c>
      <c r="H20" s="170">
        <f t="shared" si="5"/>
        <v>-7.5130702101650968</v>
      </c>
      <c r="I20" s="19"/>
      <c r="K20" s="22"/>
      <c r="L20" s="5" t="s">
        <v>9</v>
      </c>
      <c r="M20" s="8">
        <f t="shared" si="6"/>
        <v>1207.8769728428713</v>
      </c>
      <c r="N20" s="8">
        <f t="shared" si="7"/>
        <v>40.846081207246861</v>
      </c>
      <c r="O20" s="8">
        <f t="shared" si="1"/>
        <v>207.87697284287128</v>
      </c>
      <c r="P20" s="8">
        <f t="shared" si="2"/>
        <v>20</v>
      </c>
      <c r="Q20" s="8">
        <f t="shared" si="9"/>
        <v>35.696624840145546</v>
      </c>
      <c r="R20" s="9">
        <f t="shared" si="10"/>
        <v>152.18034800272574</v>
      </c>
      <c r="S20" s="8">
        <f t="shared" si="8"/>
        <v>28.285205322265625</v>
      </c>
    </row>
    <row r="21" spans="2:19" s="4" customFormat="1" ht="16" x14ac:dyDescent="0.2">
      <c r="B21" s="168">
        <v>7</v>
      </c>
      <c r="C21" s="200">
        <v>46266</v>
      </c>
      <c r="D21" s="175">
        <f t="shared" si="3"/>
        <v>3.5000000000000003E-2</v>
      </c>
      <c r="E21" s="170">
        <f t="shared" si="0"/>
        <v>1186.4236601828211</v>
      </c>
      <c r="F21" s="169">
        <v>2.5000000000000001E-2</v>
      </c>
      <c r="G21" s="170">
        <f t="shared" si="4"/>
        <v>1188.685753668213</v>
      </c>
      <c r="H21" s="170">
        <f t="shared" si="5"/>
        <v>-2.2620934853919152</v>
      </c>
      <c r="I21" s="19"/>
      <c r="J21" s="19"/>
      <c r="K21" s="22"/>
      <c r="L21" s="5" t="s">
        <v>10</v>
      </c>
      <c r="M21" s="8">
        <f t="shared" si="6"/>
        <v>1250.1526668923716</v>
      </c>
      <c r="N21" s="8">
        <f t="shared" si="7"/>
        <v>42.275694049500501</v>
      </c>
      <c r="O21" s="8">
        <f t="shared" si="1"/>
        <v>250.1526668923716</v>
      </c>
      <c r="P21" s="8">
        <f t="shared" si="2"/>
        <v>20</v>
      </c>
      <c r="Q21" s="8">
        <f t="shared" si="9"/>
        <v>43.729006709550603</v>
      </c>
      <c r="R21" s="9">
        <f t="shared" si="10"/>
        <v>186.42366018282098</v>
      </c>
      <c r="S21" s="8">
        <f t="shared" si="8"/>
        <v>28.992335455322269</v>
      </c>
    </row>
    <row r="22" spans="2:19" s="4" customFormat="1" ht="16" x14ac:dyDescent="0.2">
      <c r="B22" s="168">
        <v>8</v>
      </c>
      <c r="C22" s="200">
        <v>46631</v>
      </c>
      <c r="D22" s="175">
        <f t="shared" si="3"/>
        <v>3.5000000000000003E-2</v>
      </c>
      <c r="E22" s="170">
        <f t="shared" si="0"/>
        <v>1221.8654882892197</v>
      </c>
      <c r="F22" s="169">
        <v>2.5000000000000001E-2</v>
      </c>
      <c r="G22" s="170">
        <f t="shared" si="4"/>
        <v>1218.4028975099184</v>
      </c>
      <c r="H22" s="170">
        <f t="shared" si="5"/>
        <v>3.4625907793013084</v>
      </c>
      <c r="I22" s="19"/>
      <c r="J22" s="19"/>
      <c r="K22" s="22"/>
      <c r="L22" s="5" t="s">
        <v>11</v>
      </c>
      <c r="M22" s="8">
        <f t="shared" si="6"/>
        <v>1293.9080102336045</v>
      </c>
      <c r="N22" s="8">
        <f t="shared" si="7"/>
        <v>43.755343341233008</v>
      </c>
      <c r="O22" s="8">
        <f t="shared" si="1"/>
        <v>293.9080102336045</v>
      </c>
      <c r="P22" s="8">
        <f t="shared" si="2"/>
        <v>20</v>
      </c>
      <c r="Q22" s="8">
        <f t="shared" si="9"/>
        <v>52.042521944384859</v>
      </c>
      <c r="R22" s="9">
        <f t="shared" si="10"/>
        <v>221.86548828921963</v>
      </c>
      <c r="S22" s="8">
        <f t="shared" si="8"/>
        <v>29.717143841705326</v>
      </c>
    </row>
    <row r="23" spans="2:19" s="4" customFormat="1" ht="17" thickBot="1" x14ac:dyDescent="0.25">
      <c r="B23" s="171">
        <v>9</v>
      </c>
      <c r="C23" s="201">
        <v>46997</v>
      </c>
      <c r="D23" s="175">
        <f t="shared" si="3"/>
        <v>3.5000000000000003E-2</v>
      </c>
      <c r="E23" s="170">
        <f t="shared" si="0"/>
        <v>1258.5477803793422</v>
      </c>
      <c r="F23" s="169">
        <v>2.5000000000000001E-2</v>
      </c>
      <c r="G23" s="170">
        <f t="shared" si="4"/>
        <v>1248.8629699476664</v>
      </c>
      <c r="H23" s="170">
        <f t="shared" si="5"/>
        <v>9.6848104316757144</v>
      </c>
      <c r="I23" s="19"/>
      <c r="J23" s="19"/>
      <c r="K23" s="22"/>
      <c r="L23" s="5" t="s">
        <v>12</v>
      </c>
      <c r="M23" s="8">
        <f t="shared" si="6"/>
        <v>1339.1947905917805</v>
      </c>
      <c r="N23" s="8">
        <f t="shared" si="7"/>
        <v>45.286780358176159</v>
      </c>
      <c r="O23" s="8">
        <f t="shared" si="1"/>
        <v>339.19479059178047</v>
      </c>
      <c r="P23" s="8">
        <f t="shared" si="2"/>
        <v>20</v>
      </c>
      <c r="Q23" s="8">
        <f t="shared" si="9"/>
        <v>60.647010212438289</v>
      </c>
      <c r="R23" s="9">
        <f t="shared" si="10"/>
        <v>258.54778037934216</v>
      </c>
      <c r="S23" s="8">
        <f t="shared" si="8"/>
        <v>30.460072437747961</v>
      </c>
    </row>
    <row r="24" spans="2:19" s="2" customFormat="1" ht="19" customHeight="1" thickBot="1" x14ac:dyDescent="0.3">
      <c r="B24" s="172">
        <v>10</v>
      </c>
      <c r="C24" s="202">
        <v>47362</v>
      </c>
      <c r="D24" s="176">
        <f t="shared" si="3"/>
        <v>3.5000000000000003E-2</v>
      </c>
      <c r="E24" s="174">
        <f t="shared" si="0"/>
        <v>1312.7139526926192</v>
      </c>
      <c r="F24" s="173">
        <v>2.5000000000000001E-2</v>
      </c>
      <c r="G24" s="174">
        <f t="shared" si="4"/>
        <v>1280.0845441963581</v>
      </c>
      <c r="H24" s="203">
        <f>E24-G24</f>
        <v>32.629408496261021</v>
      </c>
      <c r="I24" s="92"/>
      <c r="J24" s="92"/>
      <c r="K24" s="76"/>
      <c r="L24" s="15" t="s">
        <v>13</v>
      </c>
      <c r="M24" s="15">
        <f t="shared" si="6"/>
        <v>1386.0666082624928</v>
      </c>
      <c r="N24" s="15">
        <f t="shared" si="7"/>
        <v>46.871817670712318</v>
      </c>
      <c r="O24" s="15">
        <f t="shared" si="1"/>
        <v>386.06660826249276</v>
      </c>
      <c r="P24" s="16"/>
      <c r="Q24" s="15">
        <f t="shared" si="9"/>
        <v>73.352655569873633</v>
      </c>
      <c r="R24" s="34">
        <f t="shared" si="10"/>
        <v>312.71395269261916</v>
      </c>
      <c r="S24" s="83">
        <f t="shared" si="8"/>
        <v>31.221574248691663</v>
      </c>
    </row>
    <row r="25" spans="2:19" s="4" customFormat="1" ht="14" x14ac:dyDescent="0.2">
      <c r="B25" s="85"/>
      <c r="C25" s="85"/>
      <c r="D25" s="85"/>
      <c r="E25" s="85"/>
      <c r="F25" s="85"/>
      <c r="G25" s="85"/>
      <c r="H25" s="85"/>
      <c r="I25" s="85"/>
      <c r="M25" s="6"/>
      <c r="N25" s="6"/>
      <c r="O25" s="6"/>
      <c r="P25" s="6"/>
      <c r="Q25" s="24"/>
      <c r="R25" s="24"/>
      <c r="S25" s="24"/>
    </row>
    <row r="26" spans="2:19" s="4" customFormat="1" ht="14" x14ac:dyDescent="0.2">
      <c r="B26" s="85"/>
      <c r="C26" s="85"/>
      <c r="D26" s="85"/>
      <c r="E26" s="85"/>
      <c r="F26" s="85"/>
      <c r="G26" s="85"/>
      <c r="H26" s="85"/>
      <c r="I26" s="85"/>
      <c r="J26" s="19"/>
      <c r="L26" s="6"/>
      <c r="M26" s="6"/>
      <c r="N26" s="6"/>
      <c r="O26" s="6"/>
      <c r="P26" s="24"/>
      <c r="Q26" s="24"/>
      <c r="R26" s="24"/>
    </row>
    <row r="27" spans="2:19" s="4" customFormat="1" ht="119" x14ac:dyDescent="0.2">
      <c r="B27" s="177" t="s">
        <v>69</v>
      </c>
      <c r="C27" s="177" t="s">
        <v>68</v>
      </c>
      <c r="D27" s="185" t="s">
        <v>70</v>
      </c>
      <c r="E27" s="185" t="s">
        <v>112</v>
      </c>
      <c r="F27" s="177" t="s">
        <v>78</v>
      </c>
      <c r="G27" s="184" t="s">
        <v>111</v>
      </c>
      <c r="H27" s="184" t="s">
        <v>71</v>
      </c>
      <c r="I27" s="50"/>
      <c r="J27" s="50"/>
      <c r="K27" s="74"/>
      <c r="L27" s="94" t="s">
        <v>76</v>
      </c>
      <c r="M27" s="91" t="s">
        <v>73</v>
      </c>
      <c r="N27" s="27" t="s">
        <v>74</v>
      </c>
      <c r="O27" s="25" t="s">
        <v>75</v>
      </c>
      <c r="P27" s="25" t="s">
        <v>2</v>
      </c>
      <c r="Q27" s="25" t="s">
        <v>16</v>
      </c>
      <c r="R27" s="25" t="s">
        <v>79</v>
      </c>
      <c r="S27" s="25" t="s">
        <v>80</v>
      </c>
    </row>
    <row r="28" spans="2:19" s="4" customFormat="1" ht="16" x14ac:dyDescent="0.2">
      <c r="B28" s="168"/>
      <c r="C28" s="168"/>
      <c r="D28" s="170"/>
      <c r="E28" s="170"/>
      <c r="F28" s="170"/>
      <c r="G28" s="170"/>
      <c r="H28" s="170"/>
      <c r="I28" s="19"/>
      <c r="J28" s="19"/>
      <c r="K28" s="22"/>
      <c r="L28" s="5" t="s">
        <v>77</v>
      </c>
      <c r="M28" s="8">
        <f>$G$10</f>
        <v>1000</v>
      </c>
      <c r="N28" s="8"/>
      <c r="O28" s="8"/>
      <c r="P28" s="8"/>
      <c r="Q28" s="8"/>
      <c r="R28" s="8"/>
      <c r="S28" s="8"/>
    </row>
    <row r="29" spans="2:19" s="4" customFormat="1" ht="16" x14ac:dyDescent="0.2">
      <c r="B29" s="168">
        <v>1</v>
      </c>
      <c r="C29" s="200">
        <v>44075</v>
      </c>
      <c r="D29" s="175">
        <f>$G$4</f>
        <v>1.7000000000000001E-2</v>
      </c>
      <c r="E29" s="170">
        <f t="shared" ref="E29:E38" si="11">$G$10+R29</f>
        <v>1000</v>
      </c>
      <c r="F29" s="169">
        <f t="shared" ref="F29:F38" si="12">$S$40</f>
        <v>3.6159037286920166E-2</v>
      </c>
      <c r="G29" s="170">
        <f>$G$10+S29</f>
        <v>1036.1590372869202</v>
      </c>
      <c r="H29" s="170">
        <f>E29-G29</f>
        <v>-36.159037286920238</v>
      </c>
      <c r="I29" s="19"/>
      <c r="K29" s="22"/>
      <c r="L29" s="5" t="s">
        <v>4</v>
      </c>
      <c r="M29" s="8">
        <f>M28*(1+G4)</f>
        <v>1016.9999999999999</v>
      </c>
      <c r="N29" s="8">
        <f>M28*G4</f>
        <v>17</v>
      </c>
      <c r="O29" s="8">
        <f t="shared" ref="O29:O38" si="13">M29-$M$14</f>
        <v>16.999999999999886</v>
      </c>
      <c r="P29" s="8">
        <f t="shared" ref="P29:P37" si="14">IF($G$9*$G$7&lt;=O29,$G$9*$G$7,O29)</f>
        <v>16.999999999999886</v>
      </c>
      <c r="Q29" s="8">
        <f>IF(O29&gt;P29,(O29-P29)*$N$12,0)</f>
        <v>0</v>
      </c>
      <c r="R29" s="9">
        <f>O29-P29-Q29</f>
        <v>0</v>
      </c>
      <c r="S29" s="8">
        <f>$G$10*F29</f>
        <v>36.159037286920167</v>
      </c>
    </row>
    <row r="30" spans="2:19" s="4" customFormat="1" ht="16" x14ac:dyDescent="0.2">
      <c r="B30" s="168">
        <v>2</v>
      </c>
      <c r="C30" s="200">
        <v>44440</v>
      </c>
      <c r="D30" s="175">
        <f t="shared" ref="D30:D38" si="15">IF(F29&gt;0,($G$5+F29),$G$5)</f>
        <v>4.6159037286920168E-2</v>
      </c>
      <c r="E30" s="170">
        <f t="shared" si="11"/>
        <v>1035.594430145846</v>
      </c>
      <c r="F30" s="169">
        <f t="shared" si="12"/>
        <v>3.6159037286920166E-2</v>
      </c>
      <c r="G30" s="170">
        <f t="shared" ref="G30:G38" si="16">G29+S30</f>
        <v>1073.6255505513573</v>
      </c>
      <c r="H30" s="170">
        <f t="shared" ref="H30:H38" si="17">E30-G30</f>
        <v>-38.031120405511274</v>
      </c>
      <c r="I30" s="19"/>
      <c r="K30" s="22"/>
      <c r="L30" s="5" t="s">
        <v>5</v>
      </c>
      <c r="M30" s="8">
        <f>M29+N30</f>
        <v>1063.9437409207976</v>
      </c>
      <c r="N30" s="8">
        <f t="shared" ref="N30:N38" si="18">IF(F29&gt;0,M29*($G$5+F29),M29*$G$5)</f>
        <v>46.943740920797808</v>
      </c>
      <c r="O30" s="8">
        <f t="shared" si="13"/>
        <v>63.943740920797609</v>
      </c>
      <c r="P30" s="8">
        <f t="shared" si="14"/>
        <v>20</v>
      </c>
      <c r="Q30" s="8">
        <f>IF(O30&gt;P30,(O30-P30)*$N$12,0)</f>
        <v>8.3493107749515456</v>
      </c>
      <c r="R30" s="9">
        <f>O30-P30-Q30</f>
        <v>35.594430145846061</v>
      </c>
      <c r="S30" s="8">
        <f t="shared" ref="S30:S38" si="19">G29*F30</f>
        <v>37.466513264437054</v>
      </c>
    </row>
    <row r="31" spans="2:19" s="4" customFormat="1" ht="16" x14ac:dyDescent="0.2">
      <c r="B31" s="168">
        <v>3</v>
      </c>
      <c r="C31" s="200">
        <v>44805</v>
      </c>
      <c r="D31" s="175">
        <f t="shared" si="15"/>
        <v>4.6159037286920168E-2</v>
      </c>
      <c r="E31" s="170">
        <f t="shared" si="11"/>
        <v>1075.3740313806084</v>
      </c>
      <c r="F31" s="169">
        <f t="shared" si="12"/>
        <v>3.6159037286920166E-2</v>
      </c>
      <c r="G31" s="170">
        <f t="shared" si="16"/>
        <v>1112.4468168659339</v>
      </c>
      <c r="H31" s="170">
        <f t="shared" si="17"/>
        <v>-37.072785485325539</v>
      </c>
      <c r="I31" s="19"/>
      <c r="K31" s="22"/>
      <c r="L31" s="5" t="s">
        <v>6</v>
      </c>
      <c r="M31" s="8">
        <f t="shared" ref="M31:M38" si="20">M30*(1+(F30+$G$5))</f>
        <v>1113.054359729146</v>
      </c>
      <c r="N31" s="8">
        <f t="shared" si="18"/>
        <v>49.110618808348427</v>
      </c>
      <c r="O31" s="8">
        <f t="shared" si="13"/>
        <v>113.05435972914597</v>
      </c>
      <c r="P31" s="8">
        <f t="shared" si="14"/>
        <v>20</v>
      </c>
      <c r="Q31" s="8">
        <f t="shared" ref="Q31:Q38" si="21">IF(O31&gt;P31,(O31-P31)*$N$12,0)</f>
        <v>17.680328348537735</v>
      </c>
      <c r="R31" s="9">
        <f t="shared" ref="R31" si="22">O31-P31-Q31</f>
        <v>75.374031380608244</v>
      </c>
      <c r="S31" s="8">
        <f t="shared" si="19"/>
        <v>38.821266314576718</v>
      </c>
    </row>
    <row r="32" spans="2:19" s="4" customFormat="1" ht="16" x14ac:dyDescent="0.2">
      <c r="B32" s="168">
        <v>4</v>
      </c>
      <c r="C32" s="200">
        <v>45170</v>
      </c>
      <c r="D32" s="175">
        <f t="shared" si="15"/>
        <v>4.6159037286920168E-2</v>
      </c>
      <c r="E32" s="170">
        <f t="shared" si="11"/>
        <v>1116.9898207120245</v>
      </c>
      <c r="F32" s="169">
        <f t="shared" si="12"/>
        <v>3.6159037286920166E-2</v>
      </c>
      <c r="G32" s="170">
        <f t="shared" si="16"/>
        <v>1152.6718227967049</v>
      </c>
      <c r="H32" s="170">
        <f t="shared" si="17"/>
        <v>-35.682002084680335</v>
      </c>
      <c r="I32" s="19"/>
      <c r="K32" s="22"/>
      <c r="L32" s="5" t="s">
        <v>7</v>
      </c>
      <c r="M32" s="8">
        <f t="shared" si="20"/>
        <v>1164.4318774222525</v>
      </c>
      <c r="N32" s="8">
        <f t="shared" si="18"/>
        <v>51.377517693106704</v>
      </c>
      <c r="O32" s="8">
        <f t="shared" si="13"/>
        <v>164.43187742225246</v>
      </c>
      <c r="P32" s="8">
        <f t="shared" si="14"/>
        <v>20</v>
      </c>
      <c r="Q32" s="8">
        <f t="shared" si="21"/>
        <v>27.442056710227966</v>
      </c>
      <c r="R32" s="9">
        <f>O32-P32-Q32</f>
        <v>116.98982071202448</v>
      </c>
      <c r="S32" s="8">
        <f t="shared" si="19"/>
        <v>40.225005930770955</v>
      </c>
    </row>
    <row r="33" spans="2:20" s="4" customFormat="1" ht="16" x14ac:dyDescent="0.2">
      <c r="B33" s="168">
        <v>5</v>
      </c>
      <c r="C33" s="200">
        <v>45536</v>
      </c>
      <c r="D33" s="175">
        <f t="shared" si="15"/>
        <v>4.6159037286920168E-2</v>
      </c>
      <c r="E33" s="170">
        <f t="shared" si="11"/>
        <v>1160.5265548149141</v>
      </c>
      <c r="F33" s="169">
        <f t="shared" si="12"/>
        <v>3.6159037286920166E-2</v>
      </c>
      <c r="G33" s="170">
        <f t="shared" si="16"/>
        <v>1194.3513262167933</v>
      </c>
      <c r="H33" s="170">
        <f t="shared" si="17"/>
        <v>-33.824771401879161</v>
      </c>
      <c r="I33" s="19"/>
      <c r="K33" s="22"/>
      <c r="L33" s="5" t="s">
        <v>8</v>
      </c>
      <c r="M33" s="8">
        <f t="shared" si="20"/>
        <v>1218.1809318702644</v>
      </c>
      <c r="N33" s="8">
        <f t="shared" si="18"/>
        <v>53.749054448012203</v>
      </c>
      <c r="O33" s="8">
        <f t="shared" si="13"/>
        <v>218.18093187026443</v>
      </c>
      <c r="P33" s="8">
        <f t="shared" si="14"/>
        <v>20</v>
      </c>
      <c r="Q33" s="8">
        <f t="shared" si="21"/>
        <v>37.654377055350245</v>
      </c>
      <c r="R33" s="9">
        <f t="shared" ref="R33:R38" si="23">O33-P33-Q33</f>
        <v>160.52655481491419</v>
      </c>
      <c r="S33" s="8">
        <f t="shared" si="19"/>
        <v>41.679503420088288</v>
      </c>
    </row>
    <row r="34" spans="2:20" s="4" customFormat="1" ht="16" x14ac:dyDescent="0.2">
      <c r="B34" s="168">
        <v>6</v>
      </c>
      <c r="C34" s="200">
        <v>45901</v>
      </c>
      <c r="D34" s="175">
        <f t="shared" si="15"/>
        <v>4.6159037286920168E-2</v>
      </c>
      <c r="E34" s="170">
        <f t="shared" si="11"/>
        <v>1206.0729026506101</v>
      </c>
      <c r="F34" s="169">
        <f t="shared" si="12"/>
        <v>3.6159037286920166E-2</v>
      </c>
      <c r="G34" s="170">
        <f t="shared" si="16"/>
        <v>1237.5379203551488</v>
      </c>
      <c r="H34" s="170">
        <f t="shared" si="17"/>
        <v>-31.465017704538695</v>
      </c>
      <c r="I34" s="19"/>
      <c r="K34" s="22"/>
      <c r="L34" s="5" t="s">
        <v>9</v>
      </c>
      <c r="M34" s="8">
        <f t="shared" si="20"/>
        <v>1274.410990926679</v>
      </c>
      <c r="N34" s="8">
        <f t="shared" si="18"/>
        <v>56.230059056414696</v>
      </c>
      <c r="O34" s="8">
        <f t="shared" si="13"/>
        <v>274.41099092667901</v>
      </c>
      <c r="P34" s="8">
        <f t="shared" si="14"/>
        <v>20</v>
      </c>
      <c r="Q34" s="8">
        <f t="shared" si="21"/>
        <v>48.338088276069008</v>
      </c>
      <c r="R34" s="9">
        <f t="shared" si="23"/>
        <v>206.07290265060999</v>
      </c>
      <c r="S34" s="8">
        <f t="shared" si="19"/>
        <v>43.186594138355581</v>
      </c>
    </row>
    <row r="35" spans="2:20" s="4" customFormat="1" ht="16" x14ac:dyDescent="0.2">
      <c r="B35" s="168">
        <v>7</v>
      </c>
      <c r="C35" s="200">
        <v>46266</v>
      </c>
      <c r="D35" s="175">
        <f t="shared" si="15"/>
        <v>4.6159037286920168E-2</v>
      </c>
      <c r="E35" s="170">
        <f t="shared" si="11"/>
        <v>1253.7216260543366</v>
      </c>
      <c r="F35" s="169">
        <f t="shared" si="12"/>
        <v>3.6159037286920166E-2</v>
      </c>
      <c r="G35" s="170">
        <f t="shared" si="16"/>
        <v>1282.2861001612482</v>
      </c>
      <c r="H35" s="170">
        <f t="shared" si="17"/>
        <v>-28.564474106911575</v>
      </c>
      <c r="I35" s="19"/>
      <c r="J35" s="19"/>
      <c r="K35" s="22"/>
      <c r="L35" s="5" t="s">
        <v>10</v>
      </c>
      <c r="M35" s="8">
        <f t="shared" si="20"/>
        <v>1333.2365753757242</v>
      </c>
      <c r="N35" s="8">
        <f t="shared" si="18"/>
        <v>58.825584449045458</v>
      </c>
      <c r="O35" s="8">
        <f t="shared" si="13"/>
        <v>333.23657537572421</v>
      </c>
      <c r="P35" s="8">
        <f t="shared" si="14"/>
        <v>20</v>
      </c>
      <c r="Q35" s="8">
        <f t="shared" si="21"/>
        <v>59.514949321387604</v>
      </c>
      <c r="R35" s="9">
        <f t="shared" si="23"/>
        <v>253.72162605433661</v>
      </c>
      <c r="S35" s="8">
        <f t="shared" si="19"/>
        <v>44.748179806099465</v>
      </c>
    </row>
    <row r="36" spans="2:20" s="4" customFormat="1" ht="16" x14ac:dyDescent="0.2">
      <c r="B36" s="168">
        <v>8</v>
      </c>
      <c r="C36" s="200">
        <v>46631</v>
      </c>
      <c r="D36" s="175">
        <f t="shared" si="15"/>
        <v>4.6159037286920168E-2</v>
      </c>
      <c r="E36" s="170">
        <f t="shared" si="11"/>
        <v>1303.5697686583301</v>
      </c>
      <c r="F36" s="169">
        <f t="shared" si="12"/>
        <v>3.6159037286920166E-2</v>
      </c>
      <c r="G36" s="170">
        <f t="shared" si="16"/>
        <v>1328.6523310694784</v>
      </c>
      <c r="H36" s="170">
        <f t="shared" si="17"/>
        <v>-25.082562411148274</v>
      </c>
      <c r="I36" s="19"/>
      <c r="J36" s="19"/>
      <c r="K36" s="22"/>
      <c r="L36" s="5" t="s">
        <v>11</v>
      </c>
      <c r="M36" s="8">
        <f t="shared" si="20"/>
        <v>1394.7774921707778</v>
      </c>
      <c r="N36" s="8">
        <f t="shared" si="18"/>
        <v>61.540916795053803</v>
      </c>
      <c r="O36" s="8">
        <f t="shared" si="13"/>
        <v>394.7774921707778</v>
      </c>
      <c r="P36" s="8">
        <f t="shared" si="14"/>
        <v>20</v>
      </c>
      <c r="Q36" s="8">
        <f t="shared" si="21"/>
        <v>71.207723512447785</v>
      </c>
      <c r="R36" s="9">
        <f t="shared" si="23"/>
        <v>303.56976865833002</v>
      </c>
      <c r="S36" s="8">
        <f t="shared" si="19"/>
        <v>46.366230908230023</v>
      </c>
    </row>
    <row r="37" spans="2:20" s="4" customFormat="1" ht="17" thickBot="1" x14ac:dyDescent="0.25">
      <c r="B37" s="171">
        <v>9</v>
      </c>
      <c r="C37" s="201">
        <v>46997</v>
      </c>
      <c r="D37" s="175">
        <f t="shared" si="15"/>
        <v>4.6159037286920168E-2</v>
      </c>
      <c r="E37" s="170">
        <f t="shared" si="11"/>
        <v>1355.7188535354649</v>
      </c>
      <c r="F37" s="169">
        <f t="shared" si="12"/>
        <v>3.6159037286920166E-2</v>
      </c>
      <c r="G37" s="170">
        <f t="shared" si="16"/>
        <v>1376.6951202499731</v>
      </c>
      <c r="H37" s="170">
        <f t="shared" si="17"/>
        <v>-20.976266714508256</v>
      </c>
      <c r="I37" s="19"/>
      <c r="J37" s="19"/>
      <c r="K37" s="22"/>
      <c r="L37" s="5" t="s">
        <v>12</v>
      </c>
      <c r="M37" s="8">
        <f t="shared" si="20"/>
        <v>1459.1590784388457</v>
      </c>
      <c r="N37" s="8">
        <f t="shared" si="18"/>
        <v>64.381586268067934</v>
      </c>
      <c r="O37" s="8">
        <f t="shared" si="13"/>
        <v>459.15907843884565</v>
      </c>
      <c r="P37" s="8">
        <f t="shared" si="14"/>
        <v>20</v>
      </c>
      <c r="Q37" s="8">
        <f t="shared" si="21"/>
        <v>83.440224903380681</v>
      </c>
      <c r="R37" s="9">
        <f t="shared" si="23"/>
        <v>355.71885353546497</v>
      </c>
      <c r="S37" s="8">
        <f t="shared" si="19"/>
        <v>48.042789180494665</v>
      </c>
    </row>
    <row r="38" spans="2:20" s="4" customFormat="1" ht="17" thickBot="1" x14ac:dyDescent="0.25">
      <c r="B38" s="172">
        <v>10</v>
      </c>
      <c r="C38" s="202">
        <v>47362</v>
      </c>
      <c r="D38" s="176">
        <f t="shared" si="15"/>
        <v>4.6159037286920168E-2</v>
      </c>
      <c r="E38" s="174">
        <f t="shared" si="11"/>
        <v>1426.4750899659223</v>
      </c>
      <c r="F38" s="173">
        <f t="shared" si="12"/>
        <v>3.6159037286920166E-2</v>
      </c>
      <c r="G38" s="174">
        <f t="shared" si="16"/>
        <v>1426.4750904358129</v>
      </c>
      <c r="H38" s="205">
        <f t="shared" si="17"/>
        <v>-4.6989066504465882E-7</v>
      </c>
      <c r="I38" s="92"/>
      <c r="J38" s="92"/>
      <c r="K38" s="76"/>
      <c r="L38" s="15" t="s">
        <v>13</v>
      </c>
      <c r="M38" s="15">
        <f t="shared" si="20"/>
        <v>1526.5124567480523</v>
      </c>
      <c r="N38" s="15">
        <f t="shared" si="18"/>
        <v>67.353378309206747</v>
      </c>
      <c r="O38" s="15">
        <f t="shared" si="13"/>
        <v>526.51245674805227</v>
      </c>
      <c r="P38" s="16"/>
      <c r="Q38" s="15">
        <f t="shared" si="21"/>
        <v>100.03736678212994</v>
      </c>
      <c r="R38" s="34">
        <f t="shared" si="23"/>
        <v>426.47508996592234</v>
      </c>
      <c r="S38" s="83">
        <f t="shared" si="19"/>
        <v>49.779970185839822</v>
      </c>
    </row>
    <row r="39" spans="2:20" s="4" customFormat="1" ht="14" x14ac:dyDescent="0.2">
      <c r="L39" s="6"/>
      <c r="M39" s="6"/>
      <c r="N39" s="6"/>
      <c r="O39" s="6"/>
      <c r="P39" s="24"/>
      <c r="Q39" s="24"/>
      <c r="R39" s="24"/>
    </row>
    <row r="40" spans="2:20" s="4" customFormat="1" ht="22.75" customHeight="1" x14ac:dyDescent="0.25">
      <c r="L40" s="6"/>
      <c r="M40" s="6"/>
      <c r="N40" s="6"/>
      <c r="O40" s="6"/>
      <c r="P40" s="24"/>
      <c r="Q40" s="24"/>
      <c r="R40" s="24"/>
      <c r="S40" s="84">
        <v>3.6159037286920166E-2</v>
      </c>
    </row>
    <row r="41" spans="2:20" s="85" customFormat="1" x14ac:dyDescent="0.2">
      <c r="L41" s="86"/>
      <c r="M41" s="86"/>
      <c r="N41" s="86"/>
      <c r="O41" s="86"/>
      <c r="P41" s="87"/>
      <c r="Q41" s="87"/>
      <c r="R41" s="87"/>
      <c r="S41" s="88"/>
      <c r="T41" s="88"/>
    </row>
    <row r="42" spans="2:20" s="85" customFormat="1" ht="119" x14ac:dyDescent="0.2">
      <c r="B42" s="177" t="s">
        <v>69</v>
      </c>
      <c r="C42" s="177" t="s">
        <v>68</v>
      </c>
      <c r="D42" s="185" t="s">
        <v>70</v>
      </c>
      <c r="E42" s="185" t="s">
        <v>112</v>
      </c>
      <c r="F42" s="177" t="s">
        <v>41</v>
      </c>
      <c r="G42" s="184" t="s">
        <v>111</v>
      </c>
      <c r="H42" s="184" t="s">
        <v>71</v>
      </c>
      <c r="I42" s="50"/>
      <c r="J42" s="50"/>
      <c r="K42" s="74"/>
      <c r="L42" s="94" t="s">
        <v>76</v>
      </c>
      <c r="M42" s="91" t="s">
        <v>73</v>
      </c>
      <c r="N42" s="27" t="s">
        <v>74</v>
      </c>
      <c r="O42" s="25" t="s">
        <v>75</v>
      </c>
      <c r="P42" s="25" t="s">
        <v>2</v>
      </c>
      <c r="Q42" s="25" t="s">
        <v>16</v>
      </c>
      <c r="R42" s="25" t="s">
        <v>79</v>
      </c>
      <c r="S42" s="25" t="s">
        <v>80</v>
      </c>
      <c r="T42" s="88"/>
    </row>
    <row r="43" spans="2:20" s="85" customFormat="1" ht="16" x14ac:dyDescent="0.2">
      <c r="B43" s="168"/>
      <c r="C43" s="168"/>
      <c r="D43" s="170"/>
      <c r="E43" s="170"/>
      <c r="F43" s="170"/>
      <c r="G43" s="170"/>
      <c r="H43" s="170"/>
      <c r="I43" s="19"/>
      <c r="J43" s="19"/>
      <c r="K43" s="22"/>
      <c r="L43" s="5" t="s">
        <v>77</v>
      </c>
      <c r="M43" s="8">
        <f>$G$10</f>
        <v>1000</v>
      </c>
      <c r="N43" s="8"/>
      <c r="O43" s="8"/>
      <c r="P43" s="8"/>
      <c r="Q43" s="8"/>
      <c r="R43" s="8"/>
      <c r="S43" s="8"/>
      <c r="T43" s="88"/>
    </row>
    <row r="44" spans="2:20" s="85" customFormat="1" ht="16" x14ac:dyDescent="0.2">
      <c r="B44" s="168">
        <v>1</v>
      </c>
      <c r="C44" s="200">
        <v>44075</v>
      </c>
      <c r="D44" s="175">
        <f>$G$4</f>
        <v>1.7000000000000001E-2</v>
      </c>
      <c r="E44" s="170">
        <f t="shared" ref="E44:E53" si="24">$G$10+R44</f>
        <v>1000</v>
      </c>
      <c r="F44" s="169">
        <v>0.05</v>
      </c>
      <c r="G44" s="170">
        <f>$G$10+S44</f>
        <v>1050</v>
      </c>
      <c r="H44" s="170">
        <f>E44-G44</f>
        <v>-50</v>
      </c>
      <c r="I44" s="19"/>
      <c r="J44" s="19"/>
      <c r="K44" s="22"/>
      <c r="L44" s="5" t="s">
        <v>4</v>
      </c>
      <c r="M44" s="8">
        <f>M43*(1+$G$4)</f>
        <v>1016.9999999999999</v>
      </c>
      <c r="N44" s="8">
        <f>G10*$G$4</f>
        <v>17</v>
      </c>
      <c r="O44" s="8">
        <f t="shared" ref="O44:O53" si="25">M44-$M$14</f>
        <v>16.999999999999886</v>
      </c>
      <c r="P44" s="8">
        <f t="shared" ref="P44:P52" si="26">IF($G$9*$G$7&lt;=O44,$G$9*$G$7,O44)</f>
        <v>16.999999999999886</v>
      </c>
      <c r="Q44" s="8">
        <f>IF(O44&gt;P44,(O44-P44)*$N$12,0)</f>
        <v>0</v>
      </c>
      <c r="R44" s="9">
        <f>O44-P44-Q44</f>
        <v>0</v>
      </c>
      <c r="S44" s="8">
        <f>$G$10*F44</f>
        <v>50</v>
      </c>
      <c r="T44" s="88"/>
    </row>
    <row r="45" spans="2:20" s="85" customFormat="1" ht="16" x14ac:dyDescent="0.2">
      <c r="B45" s="168">
        <v>2</v>
      </c>
      <c r="C45" s="200">
        <v>44440</v>
      </c>
      <c r="D45" s="175">
        <f t="shared" ref="D45:D53" si="27">IF(F44&gt;0,($G$5+F44),$G$5)</f>
        <v>6.0000000000000005E-2</v>
      </c>
      <c r="E45" s="170">
        <f t="shared" si="24"/>
        <v>1046.9962</v>
      </c>
      <c r="F45" s="169">
        <f>F44</f>
        <v>0.05</v>
      </c>
      <c r="G45" s="170">
        <f t="shared" ref="G45:G53" si="28">G44+S45</f>
        <v>1102.5</v>
      </c>
      <c r="H45" s="170">
        <f t="shared" ref="H45:H53" si="29">E45-G45</f>
        <v>-55.503799999999956</v>
      </c>
      <c r="I45" s="19"/>
      <c r="J45" s="19"/>
      <c r="K45" s="22"/>
      <c r="L45" s="5" t="s">
        <v>5</v>
      </c>
      <c r="M45" s="8">
        <f>M44+N45</f>
        <v>1078.02</v>
      </c>
      <c r="N45" s="8">
        <f t="shared" ref="N45:N53" si="30">IF(F44&gt;0,M44*($G$5+F44),M44*$G$5)</f>
        <v>61.019999999999996</v>
      </c>
      <c r="O45" s="8">
        <f t="shared" si="25"/>
        <v>78.019999999999982</v>
      </c>
      <c r="P45" s="8">
        <f t="shared" si="26"/>
        <v>20</v>
      </c>
      <c r="Q45" s="8">
        <f>IF(O45&gt;P45,(O45-P45)*$N$12,0)</f>
        <v>11.023799999999996</v>
      </c>
      <c r="R45" s="9">
        <f>O45-P45-Q45</f>
        <v>46.996199999999988</v>
      </c>
      <c r="S45" s="8">
        <f t="shared" ref="S45:S53" si="31">G44*F45</f>
        <v>52.5</v>
      </c>
      <c r="T45" s="88"/>
    </row>
    <row r="46" spans="2:20" s="85" customFormat="1" ht="16" x14ac:dyDescent="0.2">
      <c r="B46" s="168">
        <v>3</v>
      </c>
      <c r="C46" s="200">
        <v>44805</v>
      </c>
      <c r="D46" s="175">
        <f t="shared" si="27"/>
        <v>6.0000000000000005E-2</v>
      </c>
      <c r="E46" s="170">
        <f t="shared" si="24"/>
        <v>1099.387972</v>
      </c>
      <c r="F46" s="169">
        <f t="shared" ref="F46:F52" si="32">F45</f>
        <v>0.05</v>
      </c>
      <c r="G46" s="170">
        <f t="shared" si="28"/>
        <v>1157.625</v>
      </c>
      <c r="H46" s="170">
        <f t="shared" si="29"/>
        <v>-58.237028000000009</v>
      </c>
      <c r="I46" s="19"/>
      <c r="J46" s="19"/>
      <c r="K46" s="22"/>
      <c r="L46" s="5" t="s">
        <v>6</v>
      </c>
      <c r="M46" s="8">
        <f t="shared" ref="M46:M53" si="33">M45*(1+(F45+$G$5))</f>
        <v>1142.7012</v>
      </c>
      <c r="N46" s="8">
        <f t="shared" si="30"/>
        <v>64.681200000000004</v>
      </c>
      <c r="O46" s="8">
        <f t="shared" si="25"/>
        <v>142.70119999999997</v>
      </c>
      <c r="P46" s="8">
        <f t="shared" si="26"/>
        <v>20</v>
      </c>
      <c r="Q46" s="8">
        <f t="shared" ref="Q46:Q53" si="34">IF(O46&gt;P46,(O46-P46)*$N$12,0)</f>
        <v>23.313227999999995</v>
      </c>
      <c r="R46" s="9">
        <f t="shared" ref="R46" si="35">O46-P46-Q46</f>
        <v>99.387971999999976</v>
      </c>
      <c r="S46" s="8">
        <f t="shared" si="31"/>
        <v>55.125</v>
      </c>
      <c r="T46" s="88"/>
    </row>
    <row r="47" spans="2:20" s="85" customFormat="1" ht="16" x14ac:dyDescent="0.2">
      <c r="B47" s="168">
        <v>4</v>
      </c>
      <c r="C47" s="200">
        <v>45170</v>
      </c>
      <c r="D47" s="175">
        <f t="shared" si="27"/>
        <v>6.0000000000000005E-2</v>
      </c>
      <c r="E47" s="170">
        <f t="shared" si="24"/>
        <v>1154.9232503200001</v>
      </c>
      <c r="F47" s="169">
        <f t="shared" si="32"/>
        <v>0.05</v>
      </c>
      <c r="G47" s="170">
        <f t="shared" si="28"/>
        <v>1215.5062499999999</v>
      </c>
      <c r="H47" s="170">
        <f t="shared" si="29"/>
        <v>-60.58299967999983</v>
      </c>
      <c r="I47" s="19"/>
      <c r="J47" s="19"/>
      <c r="K47" s="22"/>
      <c r="L47" s="5" t="s">
        <v>7</v>
      </c>
      <c r="M47" s="8">
        <f t="shared" si="33"/>
        <v>1211.2632720000001</v>
      </c>
      <c r="N47" s="8">
        <f t="shared" si="30"/>
        <v>68.562072000000001</v>
      </c>
      <c r="O47" s="8">
        <f t="shared" si="25"/>
        <v>211.26327200000014</v>
      </c>
      <c r="P47" s="8">
        <f t="shared" si="26"/>
        <v>20</v>
      </c>
      <c r="Q47" s="8">
        <f t="shared" si="34"/>
        <v>36.340021680000028</v>
      </c>
      <c r="R47" s="9">
        <f>O47-P47-Q47</f>
        <v>154.92325032000011</v>
      </c>
      <c r="S47" s="8">
        <f t="shared" si="31"/>
        <v>57.881250000000001</v>
      </c>
    </row>
    <row r="48" spans="2:20" s="85" customFormat="1" ht="16" x14ac:dyDescent="0.2">
      <c r="B48" s="168">
        <v>5</v>
      </c>
      <c r="C48" s="200">
        <v>45536</v>
      </c>
      <c r="D48" s="175">
        <f t="shared" si="27"/>
        <v>6.0000000000000005E-2</v>
      </c>
      <c r="E48" s="170">
        <f t="shared" si="24"/>
        <v>1213.7906453392002</v>
      </c>
      <c r="F48" s="169">
        <f t="shared" si="32"/>
        <v>0.05</v>
      </c>
      <c r="G48" s="170">
        <f t="shared" si="28"/>
        <v>1276.2815624999998</v>
      </c>
      <c r="H48" s="170">
        <f t="shared" si="29"/>
        <v>-62.490917160799654</v>
      </c>
      <c r="I48" s="19"/>
      <c r="J48" s="19"/>
      <c r="K48" s="22"/>
      <c r="L48" s="5" t="s">
        <v>8</v>
      </c>
      <c r="M48" s="8">
        <f t="shared" si="33"/>
        <v>1283.9390683200002</v>
      </c>
      <c r="N48" s="8">
        <f t="shared" si="30"/>
        <v>72.675796320000018</v>
      </c>
      <c r="O48" s="8">
        <f t="shared" si="25"/>
        <v>283.93906832000016</v>
      </c>
      <c r="P48" s="8">
        <f t="shared" si="26"/>
        <v>20</v>
      </c>
      <c r="Q48" s="8">
        <f t="shared" si="34"/>
        <v>50.148422980800028</v>
      </c>
      <c r="R48" s="9">
        <f t="shared" ref="R48:R53" si="36">O48-P48-Q48</f>
        <v>213.79064533920013</v>
      </c>
      <c r="S48" s="8">
        <f t="shared" si="31"/>
        <v>60.775312499999998</v>
      </c>
    </row>
    <row r="49" spans="2:19" s="85" customFormat="1" ht="16" x14ac:dyDescent="0.2">
      <c r="B49" s="168">
        <v>6</v>
      </c>
      <c r="C49" s="200">
        <v>45901</v>
      </c>
      <c r="D49" s="175">
        <f t="shared" si="27"/>
        <v>6.0000000000000005E-2</v>
      </c>
      <c r="E49" s="170">
        <f t="shared" si="24"/>
        <v>1276.1900840595522</v>
      </c>
      <c r="F49" s="169">
        <f t="shared" si="32"/>
        <v>0.05</v>
      </c>
      <c r="G49" s="170">
        <f t="shared" si="28"/>
        <v>1340.0956406249998</v>
      </c>
      <c r="H49" s="170">
        <f t="shared" si="29"/>
        <v>-63.905556565447569</v>
      </c>
      <c r="I49" s="19"/>
      <c r="J49" s="19"/>
      <c r="K49" s="22"/>
      <c r="L49" s="5" t="s">
        <v>9</v>
      </c>
      <c r="M49" s="8">
        <f t="shared" si="33"/>
        <v>1360.9754124192002</v>
      </c>
      <c r="N49" s="8">
        <f t="shared" si="30"/>
        <v>77.036344099200022</v>
      </c>
      <c r="O49" s="8">
        <f t="shared" si="25"/>
        <v>360.97541241920021</v>
      </c>
      <c r="P49" s="8">
        <f t="shared" si="26"/>
        <v>20</v>
      </c>
      <c r="Q49" s="8">
        <f t="shared" si="34"/>
        <v>64.785328359648034</v>
      </c>
      <c r="R49" s="9">
        <f t="shared" si="36"/>
        <v>276.19008405955219</v>
      </c>
      <c r="S49" s="8">
        <f t="shared" si="31"/>
        <v>63.814078124999995</v>
      </c>
    </row>
    <row r="50" spans="2:19" s="85" customFormat="1" ht="16" x14ac:dyDescent="0.2">
      <c r="B50" s="168">
        <v>7</v>
      </c>
      <c r="C50" s="200">
        <v>46266</v>
      </c>
      <c r="D50" s="175">
        <f t="shared" si="27"/>
        <v>6.0000000000000005E-2</v>
      </c>
      <c r="E50" s="170">
        <f t="shared" si="24"/>
        <v>1342.3334891031254</v>
      </c>
      <c r="F50" s="169">
        <f t="shared" si="32"/>
        <v>0.05</v>
      </c>
      <c r="G50" s="170">
        <f t="shared" si="28"/>
        <v>1407.1004226562497</v>
      </c>
      <c r="H50" s="170">
        <f t="shared" si="29"/>
        <v>-64.766933553124318</v>
      </c>
      <c r="I50" s="19"/>
      <c r="J50" s="19"/>
      <c r="K50" s="22"/>
      <c r="L50" s="5" t="s">
        <v>10</v>
      </c>
      <c r="M50" s="8">
        <f t="shared" si="33"/>
        <v>1442.6339371643523</v>
      </c>
      <c r="N50" s="8">
        <f t="shared" si="30"/>
        <v>81.658524745152022</v>
      </c>
      <c r="O50" s="8">
        <f t="shared" si="25"/>
        <v>442.63393716435235</v>
      </c>
      <c r="P50" s="8">
        <f t="shared" si="26"/>
        <v>20</v>
      </c>
      <c r="Q50" s="8">
        <f t="shared" si="34"/>
        <v>80.300448061226945</v>
      </c>
      <c r="R50" s="9">
        <f t="shared" si="36"/>
        <v>342.33348910312543</v>
      </c>
      <c r="S50" s="8">
        <f t="shared" si="31"/>
        <v>67.004782031249988</v>
      </c>
    </row>
    <row r="51" spans="2:19" s="4" customFormat="1" ht="16" x14ac:dyDescent="0.2">
      <c r="B51" s="168">
        <v>8</v>
      </c>
      <c r="C51" s="200">
        <v>46631</v>
      </c>
      <c r="D51" s="175">
        <f t="shared" si="27"/>
        <v>6.0000000000000005E-2</v>
      </c>
      <c r="E51" s="170">
        <f t="shared" si="24"/>
        <v>1412.4454984493132</v>
      </c>
      <c r="F51" s="169">
        <f t="shared" si="32"/>
        <v>0.05</v>
      </c>
      <c r="G51" s="170">
        <f t="shared" si="28"/>
        <v>1477.4554437890622</v>
      </c>
      <c r="H51" s="170">
        <f t="shared" si="29"/>
        <v>-65.009945339749038</v>
      </c>
      <c r="I51" s="19"/>
      <c r="J51" s="19"/>
      <c r="K51" s="22"/>
      <c r="L51" s="5" t="s">
        <v>11</v>
      </c>
      <c r="M51" s="8">
        <f t="shared" si="33"/>
        <v>1529.1919733942136</v>
      </c>
      <c r="N51" s="8">
        <f t="shared" si="30"/>
        <v>86.558036229861145</v>
      </c>
      <c r="O51" s="8">
        <f t="shared" si="25"/>
        <v>529.19197339421362</v>
      </c>
      <c r="P51" s="8">
        <f t="shared" si="26"/>
        <v>20</v>
      </c>
      <c r="Q51" s="8">
        <f t="shared" si="34"/>
        <v>96.746474944900584</v>
      </c>
      <c r="R51" s="9">
        <f t="shared" si="36"/>
        <v>412.44549844931305</v>
      </c>
      <c r="S51" s="8">
        <f t="shared" si="31"/>
        <v>70.355021132812496</v>
      </c>
    </row>
    <row r="52" spans="2:19" s="4" customFormat="1" ht="17" thickBot="1" x14ac:dyDescent="0.25">
      <c r="B52" s="171">
        <v>9</v>
      </c>
      <c r="C52" s="201">
        <v>46997</v>
      </c>
      <c r="D52" s="175">
        <f t="shared" si="27"/>
        <v>6.0000000000000005E-2</v>
      </c>
      <c r="E52" s="170">
        <f t="shared" si="24"/>
        <v>1486.7642283562718</v>
      </c>
      <c r="F52" s="169">
        <f t="shared" si="32"/>
        <v>0.05</v>
      </c>
      <c r="G52" s="170">
        <f t="shared" si="28"/>
        <v>1551.3282159785153</v>
      </c>
      <c r="H52" s="170">
        <f t="shared" si="29"/>
        <v>-64.56398762224353</v>
      </c>
      <c r="I52" s="19"/>
      <c r="J52" s="19"/>
      <c r="K52" s="22"/>
      <c r="L52" s="5" t="s">
        <v>12</v>
      </c>
      <c r="M52" s="8">
        <f t="shared" si="33"/>
        <v>1620.9434917978665</v>
      </c>
      <c r="N52" s="8">
        <f t="shared" si="30"/>
        <v>91.751518403652824</v>
      </c>
      <c r="O52" s="8">
        <f t="shared" si="25"/>
        <v>620.9434917978665</v>
      </c>
      <c r="P52" s="8">
        <f t="shared" si="26"/>
        <v>20</v>
      </c>
      <c r="Q52" s="8">
        <f t="shared" si="34"/>
        <v>114.17926344159464</v>
      </c>
      <c r="R52" s="9">
        <f t="shared" si="36"/>
        <v>486.76422835627187</v>
      </c>
      <c r="S52" s="8">
        <f t="shared" si="31"/>
        <v>73.872772189453116</v>
      </c>
    </row>
    <row r="53" spans="2:19" s="4" customFormat="1" ht="20" thickBot="1" x14ac:dyDescent="0.3">
      <c r="B53" s="172">
        <v>10</v>
      </c>
      <c r="C53" s="202">
        <v>47362</v>
      </c>
      <c r="D53" s="176">
        <f t="shared" si="27"/>
        <v>6.0000000000000005E-2</v>
      </c>
      <c r="E53" s="174">
        <f t="shared" si="24"/>
        <v>1581.7420820576483</v>
      </c>
      <c r="F53" s="173">
        <f>F52</f>
        <v>0.05</v>
      </c>
      <c r="G53" s="174">
        <f t="shared" si="28"/>
        <v>1628.8946267774411</v>
      </c>
      <c r="H53" s="204">
        <f t="shared" si="29"/>
        <v>-47.152544719792786</v>
      </c>
      <c r="I53" s="92"/>
      <c r="J53" s="92"/>
      <c r="K53" s="76"/>
      <c r="L53" s="15" t="s">
        <v>13</v>
      </c>
      <c r="M53" s="15">
        <f t="shared" si="33"/>
        <v>1718.2001013057386</v>
      </c>
      <c r="N53" s="15">
        <f t="shared" si="30"/>
        <v>97.256609507872</v>
      </c>
      <c r="O53" s="15">
        <f t="shared" si="25"/>
        <v>718.2001013057386</v>
      </c>
      <c r="P53" s="16"/>
      <c r="Q53" s="15">
        <f t="shared" si="34"/>
        <v>136.45801924809032</v>
      </c>
      <c r="R53" s="34">
        <f t="shared" si="36"/>
        <v>581.7420820576483</v>
      </c>
      <c r="S53" s="83">
        <f t="shared" si="31"/>
        <v>77.566410798925773</v>
      </c>
    </row>
    <row r="54" spans="2:19" s="4" customFormat="1" ht="14" x14ac:dyDescent="0.2">
      <c r="L54" s="6"/>
      <c r="M54" s="6"/>
      <c r="N54" s="6"/>
      <c r="O54" s="6"/>
      <c r="P54" s="24"/>
      <c r="Q54" s="24"/>
      <c r="R54" s="24"/>
    </row>
    <row r="55" spans="2:19" s="4" customFormat="1" ht="14" x14ac:dyDescent="0.2">
      <c r="L55" s="6"/>
      <c r="M55" s="6"/>
      <c r="N55" s="6"/>
      <c r="O55" s="6"/>
      <c r="P55" s="24"/>
      <c r="Q55" s="24"/>
      <c r="R55" s="24"/>
    </row>
    <row r="56" spans="2:19" s="4" customFormat="1" ht="14" x14ac:dyDescent="0.2">
      <c r="L56" s="6"/>
      <c r="M56" s="6"/>
      <c r="N56" s="6"/>
      <c r="O56" s="6"/>
      <c r="P56" s="24"/>
      <c r="Q56" s="24"/>
      <c r="R56" s="24"/>
    </row>
    <row r="57" spans="2:19" s="4" customFormat="1" ht="14" x14ac:dyDescent="0.2">
      <c r="L57" s="6"/>
      <c r="M57" s="6"/>
      <c r="N57" s="6"/>
      <c r="O57" s="6"/>
      <c r="P57" s="24"/>
      <c r="Q57" s="24"/>
      <c r="R57" s="24"/>
    </row>
    <row r="58" spans="2:19" s="4" customFormat="1" ht="14" x14ac:dyDescent="0.2">
      <c r="L58" s="6"/>
      <c r="M58" s="6"/>
      <c r="N58" s="6"/>
      <c r="O58" s="6"/>
      <c r="P58" s="24"/>
      <c r="Q58" s="24"/>
      <c r="R58" s="24"/>
    </row>
    <row r="59" spans="2:19" s="4" customFormat="1" ht="14" x14ac:dyDescent="0.2">
      <c r="L59" s="6"/>
      <c r="M59" s="6"/>
      <c r="N59" s="6"/>
      <c r="O59" s="6"/>
      <c r="P59" s="24"/>
      <c r="Q59" s="24"/>
      <c r="R59" s="24"/>
    </row>
    <row r="60" spans="2:19" s="4" customFormat="1" ht="14" x14ac:dyDescent="0.2">
      <c r="L60" s="6"/>
      <c r="M60" s="6"/>
      <c r="N60" s="6"/>
      <c r="O60" s="6"/>
      <c r="P60" s="24"/>
      <c r="Q60" s="24"/>
      <c r="R60" s="24"/>
    </row>
    <row r="61" spans="2:19" s="4" customFormat="1" ht="14" x14ac:dyDescent="0.2">
      <c r="L61" s="6"/>
      <c r="M61" s="6"/>
      <c r="N61" s="6"/>
      <c r="O61" s="6"/>
      <c r="P61" s="24"/>
      <c r="Q61" s="24"/>
      <c r="R61" s="24"/>
    </row>
    <row r="62" spans="2:19" s="4" customFormat="1" ht="14" x14ac:dyDescent="0.2">
      <c r="L62" s="6"/>
      <c r="M62" s="6"/>
      <c r="N62" s="6"/>
      <c r="O62" s="6"/>
      <c r="P62" s="24"/>
      <c r="Q62" s="24"/>
      <c r="R62" s="24"/>
    </row>
    <row r="63" spans="2:19" s="4" customFormat="1" ht="14" x14ac:dyDescent="0.2">
      <c r="L63" s="6"/>
      <c r="M63" s="6"/>
      <c r="N63" s="6"/>
      <c r="O63" s="6"/>
      <c r="P63" s="24"/>
      <c r="Q63" s="24"/>
      <c r="R63" s="24"/>
    </row>
    <row r="64" spans="2:19" s="4" customFormat="1" ht="14" x14ac:dyDescent="0.2">
      <c r="L64" s="6"/>
      <c r="M64" s="6"/>
      <c r="N64" s="6"/>
      <c r="O64" s="6"/>
      <c r="P64" s="24"/>
      <c r="Q64" s="24"/>
      <c r="R64" s="24"/>
    </row>
    <row r="65" spans="12:18" s="4" customFormat="1" ht="14" x14ac:dyDescent="0.2">
      <c r="L65" s="6"/>
      <c r="M65" s="6"/>
      <c r="N65" s="6"/>
      <c r="O65" s="6"/>
      <c r="P65" s="24"/>
      <c r="Q65" s="24"/>
      <c r="R65" s="24"/>
    </row>
    <row r="66" spans="12:18" s="4" customFormat="1" ht="14" x14ac:dyDescent="0.2">
      <c r="L66" s="6"/>
      <c r="M66" s="6"/>
      <c r="N66" s="6"/>
      <c r="O66" s="6"/>
      <c r="P66" s="24"/>
      <c r="Q66" s="24"/>
      <c r="R66" s="24"/>
    </row>
    <row r="67" spans="12:18" s="4" customFormat="1" ht="14" x14ac:dyDescent="0.2">
      <c r="L67" s="6"/>
      <c r="M67" s="6"/>
      <c r="N67" s="6"/>
      <c r="O67" s="6"/>
      <c r="P67" s="24"/>
      <c r="Q67" s="24"/>
      <c r="R67" s="24"/>
    </row>
    <row r="68" spans="12:18" s="4" customFormat="1" ht="14" x14ac:dyDescent="0.2">
      <c r="L68" s="6"/>
      <c r="M68" s="6"/>
      <c r="N68" s="6"/>
      <c r="O68" s="6"/>
      <c r="P68" s="24"/>
      <c r="Q68" s="24"/>
      <c r="R68" s="24"/>
    </row>
    <row r="69" spans="12:18" s="4" customFormat="1" ht="14" x14ac:dyDescent="0.2">
      <c r="L69" s="6"/>
      <c r="M69" s="6"/>
      <c r="N69" s="6"/>
      <c r="O69" s="6"/>
      <c r="P69" s="24"/>
      <c r="Q69" s="24"/>
      <c r="R69" s="24"/>
    </row>
    <row r="70" spans="12:18" s="4" customFormat="1" ht="14" x14ac:dyDescent="0.2">
      <c r="L70" s="6"/>
      <c r="M70" s="6"/>
      <c r="N70" s="6"/>
      <c r="O70" s="6"/>
      <c r="P70" s="24"/>
      <c r="Q70" s="24"/>
      <c r="R70" s="24"/>
    </row>
    <row r="71" spans="12:18" s="4" customFormat="1" ht="14" x14ac:dyDescent="0.2">
      <c r="L71" s="6"/>
      <c r="M71" s="6"/>
      <c r="N71" s="6"/>
      <c r="O71" s="6"/>
      <c r="P71" s="24"/>
      <c r="Q71" s="24"/>
      <c r="R71" s="24"/>
    </row>
    <row r="72" spans="12:18" s="4" customFormat="1" ht="14" x14ac:dyDescent="0.2">
      <c r="L72" s="6"/>
      <c r="M72" s="6"/>
      <c r="N72" s="6"/>
      <c r="O72" s="6"/>
      <c r="P72" s="24"/>
      <c r="Q72" s="24"/>
      <c r="R72" s="24"/>
    </row>
    <row r="73" spans="12:18" s="4" customFormat="1" ht="14" x14ac:dyDescent="0.2">
      <c r="L73" s="6"/>
      <c r="M73" s="6"/>
      <c r="N73" s="6"/>
      <c r="O73" s="6"/>
      <c r="P73" s="24"/>
      <c r="Q73" s="24"/>
      <c r="R73" s="24"/>
    </row>
    <row r="74" spans="12:18" s="4" customFormat="1" ht="14" x14ac:dyDescent="0.2">
      <c r="L74" s="6"/>
      <c r="M74" s="6"/>
      <c r="N74" s="6"/>
      <c r="O74" s="6"/>
      <c r="P74" s="24"/>
      <c r="Q74" s="24"/>
      <c r="R74" s="24"/>
    </row>
    <row r="75" spans="12:18" s="4" customFormat="1" ht="14" x14ac:dyDescent="0.2">
      <c r="L75" s="6"/>
      <c r="M75" s="6"/>
      <c r="N75" s="6"/>
      <c r="O75" s="6"/>
      <c r="P75" s="24"/>
      <c r="Q75" s="24"/>
      <c r="R75" s="24"/>
    </row>
    <row r="76" spans="12:18" s="4" customFormat="1" ht="14" x14ac:dyDescent="0.2">
      <c r="L76" s="6"/>
      <c r="M76" s="6"/>
      <c r="N76" s="6"/>
      <c r="O76" s="6"/>
      <c r="P76" s="24"/>
      <c r="Q76" s="24"/>
      <c r="R76" s="24"/>
    </row>
    <row r="77" spans="12:18" s="4" customFormat="1" ht="14" x14ac:dyDescent="0.2">
      <c r="L77" s="6"/>
      <c r="M77" s="6"/>
      <c r="N77" s="6"/>
      <c r="O77" s="6"/>
      <c r="P77" s="24"/>
      <c r="Q77" s="24"/>
      <c r="R77" s="24"/>
    </row>
    <row r="78" spans="12:18" s="4" customFormat="1" ht="14" x14ac:dyDescent="0.2">
      <c r="L78" s="6"/>
      <c r="M78" s="6"/>
      <c r="N78" s="6"/>
      <c r="O78" s="6"/>
      <c r="P78" s="24"/>
      <c r="Q78" s="24"/>
      <c r="R78" s="24"/>
    </row>
    <row r="79" spans="12:18" s="4" customFormat="1" ht="14" x14ac:dyDescent="0.2">
      <c r="L79" s="6"/>
      <c r="M79" s="6"/>
      <c r="N79" s="6"/>
      <c r="O79" s="6"/>
      <c r="P79" s="24"/>
      <c r="Q79" s="24"/>
      <c r="R79" s="24"/>
    </row>
    <row r="80" spans="12:18" s="4" customFormat="1" ht="14" x14ac:dyDescent="0.2">
      <c r="L80" s="6"/>
      <c r="M80" s="6"/>
      <c r="N80" s="6"/>
      <c r="O80" s="6"/>
      <c r="P80" s="24"/>
      <c r="Q80" s="24"/>
      <c r="R80" s="24"/>
    </row>
    <row r="81" spans="12:18" s="4" customFormat="1" ht="14" x14ac:dyDescent="0.2">
      <c r="L81" s="6"/>
      <c r="M81" s="6"/>
      <c r="N81" s="6"/>
      <c r="O81" s="6"/>
      <c r="P81" s="24"/>
      <c r="Q81" s="24"/>
      <c r="R81" s="24"/>
    </row>
    <row r="82" spans="12:18" s="4" customFormat="1" ht="14" x14ac:dyDescent="0.2">
      <c r="L82" s="6"/>
      <c r="M82" s="6"/>
      <c r="N82" s="6"/>
      <c r="O82" s="6"/>
      <c r="P82" s="24"/>
      <c r="Q82" s="24"/>
      <c r="R82" s="24"/>
    </row>
    <row r="83" spans="12:18" s="4" customFormat="1" ht="14" x14ac:dyDescent="0.2">
      <c r="L83" s="6"/>
      <c r="M83" s="6"/>
      <c r="N83" s="6"/>
      <c r="O83" s="6"/>
      <c r="P83" s="24"/>
      <c r="Q83" s="24"/>
      <c r="R83" s="24"/>
    </row>
    <row r="84" spans="12:18" s="4" customFormat="1" ht="14" x14ac:dyDescent="0.2">
      <c r="L84" s="6"/>
      <c r="M84" s="6"/>
      <c r="N84" s="6"/>
      <c r="O84" s="6"/>
      <c r="P84" s="24"/>
      <c r="Q84" s="24"/>
      <c r="R84" s="24"/>
    </row>
    <row r="85" spans="12:18" s="4" customFormat="1" ht="14" x14ac:dyDescent="0.2">
      <c r="L85" s="6"/>
      <c r="M85" s="6"/>
      <c r="N85" s="6"/>
      <c r="O85" s="6"/>
      <c r="P85" s="24"/>
      <c r="Q85" s="24"/>
      <c r="R85" s="24"/>
    </row>
    <row r="86" spans="12:18" s="4" customFormat="1" ht="14" x14ac:dyDescent="0.2">
      <c r="L86" s="6"/>
      <c r="M86" s="6"/>
      <c r="N86" s="6"/>
      <c r="O86" s="6"/>
      <c r="P86" s="24"/>
      <c r="Q86" s="24"/>
      <c r="R86" s="24"/>
    </row>
    <row r="87" spans="12:18" s="4" customFormat="1" ht="14" x14ac:dyDescent="0.2">
      <c r="L87" s="6"/>
      <c r="M87" s="6"/>
      <c r="N87" s="6"/>
      <c r="O87" s="6"/>
      <c r="P87" s="24"/>
      <c r="Q87" s="24"/>
      <c r="R87" s="24"/>
    </row>
    <row r="88" spans="12:18" s="4" customFormat="1" ht="14" x14ac:dyDescent="0.2">
      <c r="L88" s="6"/>
      <c r="M88" s="6"/>
      <c r="N88" s="6"/>
      <c r="O88" s="6"/>
      <c r="P88" s="24"/>
      <c r="Q88" s="24"/>
      <c r="R88" s="24"/>
    </row>
    <row r="89" spans="12:18" s="4" customFormat="1" ht="14" x14ac:dyDescent="0.2">
      <c r="L89" s="6"/>
      <c r="M89" s="6"/>
      <c r="N89" s="6"/>
      <c r="O89" s="6"/>
      <c r="P89" s="24"/>
      <c r="Q89" s="24"/>
      <c r="R89" s="24"/>
    </row>
    <row r="90" spans="12:18" s="4" customFormat="1" ht="14" x14ac:dyDescent="0.2">
      <c r="L90" s="6"/>
      <c r="M90" s="6"/>
      <c r="N90" s="6"/>
      <c r="O90" s="6"/>
      <c r="P90" s="24"/>
      <c r="Q90" s="24"/>
      <c r="R90" s="24"/>
    </row>
    <row r="91" spans="12:18" s="4" customFormat="1" ht="14" x14ac:dyDescent="0.2">
      <c r="L91" s="6"/>
      <c r="M91" s="6"/>
      <c r="N91" s="6"/>
      <c r="O91" s="6"/>
      <c r="P91" s="24"/>
      <c r="Q91" s="24"/>
      <c r="R91" s="24"/>
    </row>
    <row r="92" spans="12:18" s="4" customFormat="1" ht="14" x14ac:dyDescent="0.2">
      <c r="L92" s="6"/>
      <c r="M92" s="6"/>
      <c r="N92" s="6"/>
      <c r="O92" s="6"/>
      <c r="P92" s="24"/>
      <c r="Q92" s="24"/>
      <c r="R92" s="24"/>
    </row>
    <row r="93" spans="12:18" s="4" customFormat="1" ht="14" x14ac:dyDescent="0.2">
      <c r="L93" s="6"/>
      <c r="M93" s="6"/>
      <c r="N93" s="6"/>
      <c r="O93" s="6"/>
      <c r="P93" s="24"/>
      <c r="Q93" s="24"/>
      <c r="R93" s="24"/>
    </row>
    <row r="94" spans="12:18" s="4" customFormat="1" ht="14" x14ac:dyDescent="0.2">
      <c r="L94" s="6"/>
      <c r="M94" s="6"/>
      <c r="N94" s="6"/>
      <c r="O94" s="6"/>
      <c r="P94" s="24"/>
      <c r="Q94" s="24"/>
      <c r="R94" s="24"/>
    </row>
    <row r="95" spans="12:18" s="4" customFormat="1" ht="14" x14ac:dyDescent="0.2">
      <c r="L95" s="6"/>
      <c r="M95" s="6"/>
      <c r="N95" s="6"/>
      <c r="O95" s="6"/>
      <c r="P95" s="24"/>
      <c r="Q95" s="24"/>
      <c r="R95" s="24"/>
    </row>
    <row r="96" spans="12:18" s="4" customFormat="1" ht="14" x14ac:dyDescent="0.2">
      <c r="L96" s="6"/>
      <c r="M96" s="6"/>
      <c r="N96" s="6"/>
      <c r="O96" s="6"/>
      <c r="P96" s="24"/>
      <c r="Q96" s="24"/>
      <c r="R96" s="24"/>
    </row>
    <row r="97" spans="12:18" s="4" customFormat="1" ht="14" x14ac:dyDescent="0.2">
      <c r="L97" s="6"/>
      <c r="M97" s="6"/>
      <c r="N97" s="6"/>
      <c r="O97" s="6"/>
      <c r="P97" s="24"/>
      <c r="Q97" s="24"/>
      <c r="R97" s="24"/>
    </row>
    <row r="98" spans="12:18" s="4" customFormat="1" ht="14" x14ac:dyDescent="0.2">
      <c r="L98" s="6"/>
      <c r="M98" s="6"/>
      <c r="N98" s="6"/>
      <c r="O98" s="6"/>
      <c r="P98" s="24"/>
      <c r="Q98" s="24"/>
      <c r="R98" s="24"/>
    </row>
    <row r="99" spans="12:18" s="4" customFormat="1" ht="14" x14ac:dyDescent="0.2">
      <c r="L99" s="6"/>
      <c r="M99" s="6"/>
      <c r="N99" s="6"/>
      <c r="O99" s="6"/>
      <c r="P99" s="24"/>
      <c r="Q99" s="24"/>
      <c r="R99" s="24"/>
    </row>
    <row r="100" spans="12:18" s="4" customFormat="1" ht="14" x14ac:dyDescent="0.2">
      <c r="L100" s="6"/>
      <c r="M100" s="6"/>
      <c r="N100" s="6"/>
      <c r="O100" s="6"/>
      <c r="P100" s="24"/>
      <c r="Q100" s="24"/>
      <c r="R100" s="24"/>
    </row>
    <row r="101" spans="12:18" s="4" customFormat="1" ht="14" x14ac:dyDescent="0.2">
      <c r="L101" s="6"/>
      <c r="M101" s="6"/>
      <c r="N101" s="6"/>
      <c r="O101" s="6"/>
      <c r="P101" s="24"/>
      <c r="Q101" s="24"/>
      <c r="R101" s="24"/>
    </row>
    <row r="102" spans="12:18" s="4" customFormat="1" ht="14" x14ac:dyDescent="0.2">
      <c r="L102" s="6"/>
      <c r="M102" s="6"/>
      <c r="N102" s="6"/>
      <c r="O102" s="6"/>
      <c r="P102" s="24"/>
      <c r="Q102" s="24"/>
      <c r="R102" s="24"/>
    </row>
    <row r="103" spans="12:18" s="4" customFormat="1" ht="14" x14ac:dyDescent="0.2">
      <c r="L103" s="6"/>
      <c r="M103" s="6"/>
      <c r="N103" s="6"/>
      <c r="O103" s="6"/>
      <c r="P103" s="24"/>
      <c r="Q103" s="24"/>
      <c r="R103" s="24"/>
    </row>
    <row r="104" spans="12:18" s="4" customFormat="1" ht="14" x14ac:dyDescent="0.2">
      <c r="L104" s="6"/>
      <c r="M104" s="6"/>
      <c r="N104" s="6"/>
      <c r="O104" s="6"/>
      <c r="P104" s="24"/>
      <c r="Q104" s="24"/>
      <c r="R104" s="24"/>
    </row>
    <row r="105" spans="12:18" s="4" customFormat="1" ht="14" x14ac:dyDescent="0.2">
      <c r="L105" s="6"/>
      <c r="M105" s="6"/>
      <c r="N105" s="6"/>
      <c r="O105" s="6"/>
      <c r="P105" s="24"/>
      <c r="Q105" s="24"/>
      <c r="R105" s="24"/>
    </row>
    <row r="106" spans="12:18" s="4" customFormat="1" ht="14" x14ac:dyDescent="0.2">
      <c r="L106" s="6"/>
      <c r="M106" s="6"/>
      <c r="N106" s="6"/>
      <c r="O106" s="6"/>
      <c r="P106" s="24"/>
      <c r="Q106" s="24"/>
      <c r="R106" s="24"/>
    </row>
    <row r="107" spans="12:18" s="4" customFormat="1" ht="14" x14ac:dyDescent="0.2">
      <c r="L107" s="6"/>
      <c r="M107" s="6"/>
      <c r="N107" s="6"/>
      <c r="O107" s="6"/>
      <c r="P107" s="24"/>
      <c r="Q107" s="24"/>
      <c r="R107" s="24"/>
    </row>
    <row r="108" spans="12:18" s="4" customFormat="1" ht="14" x14ac:dyDescent="0.2">
      <c r="L108" s="6"/>
      <c r="M108" s="6"/>
      <c r="N108" s="6"/>
      <c r="O108" s="6"/>
      <c r="P108" s="24"/>
      <c r="Q108" s="24"/>
      <c r="R108" s="24"/>
    </row>
    <row r="109" spans="12:18" s="4" customFormat="1" ht="14" x14ac:dyDescent="0.2">
      <c r="L109" s="6"/>
      <c r="M109" s="6"/>
      <c r="N109" s="6"/>
      <c r="O109" s="6"/>
      <c r="P109" s="24"/>
      <c r="Q109" s="24"/>
      <c r="R109" s="24"/>
    </row>
    <row r="110" spans="12:18" s="4" customFormat="1" ht="14" x14ac:dyDescent="0.2">
      <c r="L110" s="6"/>
      <c r="M110" s="6"/>
      <c r="N110" s="6"/>
      <c r="O110" s="6"/>
      <c r="P110" s="24"/>
      <c r="Q110" s="24"/>
      <c r="R110" s="24"/>
    </row>
    <row r="111" spans="12:18" s="4" customFormat="1" ht="14" x14ac:dyDescent="0.2">
      <c r="L111" s="6"/>
      <c r="M111" s="6"/>
      <c r="N111" s="6"/>
      <c r="O111" s="6"/>
      <c r="P111" s="24"/>
      <c r="Q111" s="24"/>
      <c r="R111" s="24"/>
    </row>
    <row r="112" spans="12:18" s="4" customFormat="1" ht="14" x14ac:dyDescent="0.2">
      <c r="L112" s="6"/>
      <c r="M112" s="6"/>
      <c r="N112" s="6"/>
      <c r="O112" s="6"/>
      <c r="P112" s="24"/>
      <c r="Q112" s="24"/>
      <c r="R112" s="24"/>
    </row>
    <row r="113" spans="12:18" s="4" customFormat="1" ht="14" x14ac:dyDescent="0.2">
      <c r="L113" s="6"/>
      <c r="M113" s="6"/>
      <c r="N113" s="6"/>
      <c r="O113" s="6"/>
      <c r="P113" s="24"/>
      <c r="Q113" s="24"/>
      <c r="R113" s="24"/>
    </row>
    <row r="114" spans="12:18" s="4" customFormat="1" ht="14" x14ac:dyDescent="0.2">
      <c r="L114" s="6"/>
      <c r="M114" s="6"/>
      <c r="N114" s="6"/>
      <c r="O114" s="6"/>
      <c r="P114" s="24"/>
      <c r="Q114" s="24"/>
      <c r="R114" s="24"/>
    </row>
    <row r="115" spans="12:18" s="4" customFormat="1" ht="14" x14ac:dyDescent="0.2">
      <c r="L115" s="6"/>
      <c r="M115" s="6"/>
      <c r="N115" s="6"/>
      <c r="O115" s="6"/>
      <c r="P115" s="24"/>
      <c r="Q115" s="24"/>
      <c r="R115" s="24"/>
    </row>
    <row r="116" spans="12:18" s="4" customFormat="1" ht="14" x14ac:dyDescent="0.2">
      <c r="L116" s="6"/>
      <c r="M116" s="6"/>
      <c r="N116" s="6"/>
      <c r="O116" s="6"/>
      <c r="P116" s="24"/>
      <c r="Q116" s="24"/>
      <c r="R116" s="24"/>
    </row>
    <row r="117" spans="12:18" s="4" customFormat="1" ht="14" x14ac:dyDescent="0.2">
      <c r="L117" s="6"/>
      <c r="M117" s="6"/>
      <c r="N117" s="6"/>
      <c r="O117" s="6"/>
      <c r="P117" s="24"/>
      <c r="Q117" s="24"/>
      <c r="R117" s="24"/>
    </row>
    <row r="118" spans="12:18" s="4" customFormat="1" ht="14" x14ac:dyDescent="0.2">
      <c r="L118" s="6"/>
      <c r="M118" s="6"/>
      <c r="N118" s="6"/>
      <c r="O118" s="6"/>
      <c r="P118" s="24"/>
      <c r="Q118" s="24"/>
      <c r="R118" s="24"/>
    </row>
    <row r="119" spans="12:18" s="4" customFormat="1" ht="14" x14ac:dyDescent="0.2">
      <c r="L119" s="6"/>
      <c r="M119" s="6"/>
      <c r="N119" s="6"/>
      <c r="O119" s="6"/>
      <c r="P119" s="24"/>
      <c r="Q119" s="24"/>
      <c r="R119" s="24"/>
    </row>
    <row r="120" spans="12:18" s="4" customFormat="1" ht="14" x14ac:dyDescent="0.2">
      <c r="L120" s="6"/>
      <c r="M120" s="6"/>
      <c r="N120" s="6"/>
      <c r="O120" s="6"/>
      <c r="P120" s="24"/>
      <c r="Q120" s="24"/>
      <c r="R120" s="24"/>
    </row>
    <row r="121" spans="12:18" s="4" customFormat="1" ht="14" x14ac:dyDescent="0.2">
      <c r="L121" s="6"/>
      <c r="M121" s="6"/>
      <c r="N121" s="6"/>
      <c r="O121" s="6"/>
      <c r="P121" s="24"/>
      <c r="Q121" s="24"/>
      <c r="R121" s="24"/>
    </row>
    <row r="122" spans="12:18" s="4" customFormat="1" ht="14" x14ac:dyDescent="0.2">
      <c r="L122" s="6"/>
      <c r="M122" s="6"/>
      <c r="N122" s="6"/>
      <c r="O122" s="6"/>
      <c r="P122" s="24"/>
      <c r="Q122" s="24"/>
      <c r="R122" s="24"/>
    </row>
    <row r="123" spans="12:18" s="4" customFormat="1" ht="14" x14ac:dyDescent="0.2">
      <c r="L123" s="6"/>
      <c r="M123" s="6"/>
      <c r="N123" s="6"/>
      <c r="O123" s="6"/>
      <c r="P123" s="24"/>
      <c r="Q123" s="24"/>
      <c r="R123" s="24"/>
    </row>
    <row r="124" spans="12:18" s="4" customFormat="1" ht="14" x14ac:dyDescent="0.2">
      <c r="L124" s="6"/>
      <c r="M124" s="6"/>
      <c r="N124" s="6"/>
      <c r="O124" s="6"/>
      <c r="P124" s="24"/>
      <c r="Q124" s="24"/>
      <c r="R124" s="24"/>
    </row>
    <row r="125" spans="12:18" s="4" customFormat="1" ht="14" x14ac:dyDescent="0.2">
      <c r="L125" s="6"/>
      <c r="M125" s="6"/>
      <c r="N125" s="6"/>
      <c r="O125" s="6"/>
      <c r="P125" s="24"/>
      <c r="Q125" s="24"/>
      <c r="R125" s="24"/>
    </row>
    <row r="126" spans="12:18" s="4" customFormat="1" ht="14" x14ac:dyDescent="0.2">
      <c r="L126" s="6"/>
      <c r="M126" s="6"/>
      <c r="N126" s="6"/>
      <c r="O126" s="6"/>
      <c r="P126" s="24"/>
      <c r="Q126" s="24"/>
      <c r="R126" s="24"/>
    </row>
    <row r="127" spans="12:18" s="4" customFormat="1" ht="14" x14ac:dyDescent="0.2">
      <c r="L127" s="6"/>
      <c r="M127" s="6"/>
      <c r="N127" s="6"/>
      <c r="O127" s="6"/>
      <c r="P127" s="24"/>
      <c r="Q127" s="24"/>
      <c r="R127" s="24"/>
    </row>
    <row r="128" spans="12:18" s="4" customFormat="1" ht="14" x14ac:dyDescent="0.2">
      <c r="L128" s="6"/>
      <c r="M128" s="6"/>
      <c r="N128" s="6"/>
      <c r="O128" s="6"/>
      <c r="P128" s="24"/>
      <c r="Q128" s="24"/>
      <c r="R128" s="24"/>
    </row>
    <row r="129" spans="12:18" s="4" customFormat="1" ht="14" x14ac:dyDescent="0.2">
      <c r="L129" s="6"/>
      <c r="M129" s="6"/>
      <c r="N129" s="6"/>
      <c r="O129" s="6"/>
      <c r="P129" s="24"/>
      <c r="Q129" s="24"/>
      <c r="R129" s="24"/>
    </row>
    <row r="130" spans="12:18" s="4" customFormat="1" ht="14" x14ac:dyDescent="0.2">
      <c r="L130" s="6"/>
      <c r="M130" s="6"/>
      <c r="N130" s="6"/>
      <c r="O130" s="6"/>
      <c r="P130" s="24"/>
      <c r="Q130" s="24"/>
      <c r="R130" s="24"/>
    </row>
    <row r="131" spans="12:18" s="4" customFormat="1" ht="14" x14ac:dyDescent="0.2">
      <c r="L131" s="6"/>
      <c r="M131" s="6"/>
      <c r="N131" s="6"/>
      <c r="O131" s="6"/>
      <c r="P131" s="24"/>
      <c r="Q131" s="24"/>
      <c r="R131" s="24"/>
    </row>
    <row r="132" spans="12:18" s="4" customFormat="1" ht="14" x14ac:dyDescent="0.2">
      <c r="L132" s="6"/>
      <c r="M132" s="6"/>
      <c r="N132" s="6"/>
      <c r="O132" s="6"/>
      <c r="P132" s="24"/>
      <c r="Q132" s="24"/>
      <c r="R132" s="24"/>
    </row>
    <row r="133" spans="12:18" s="4" customFormat="1" ht="14" x14ac:dyDescent="0.2">
      <c r="L133" s="6"/>
      <c r="M133" s="6"/>
      <c r="N133" s="6"/>
      <c r="O133" s="6"/>
      <c r="P133" s="24"/>
      <c r="Q133" s="24"/>
      <c r="R133" s="24"/>
    </row>
    <row r="134" spans="12:18" s="4" customFormat="1" ht="14" x14ac:dyDescent="0.2">
      <c r="L134" s="6"/>
      <c r="M134" s="6"/>
      <c r="N134" s="6"/>
      <c r="O134" s="6"/>
      <c r="P134" s="24"/>
      <c r="Q134" s="24"/>
      <c r="R134" s="24"/>
    </row>
    <row r="135" spans="12:18" s="4" customFormat="1" ht="14" x14ac:dyDescent="0.2">
      <c r="L135" s="6"/>
      <c r="M135" s="6"/>
      <c r="N135" s="6"/>
      <c r="O135" s="6"/>
      <c r="P135" s="24"/>
      <c r="Q135" s="24"/>
      <c r="R135" s="24"/>
    </row>
    <row r="136" spans="12:18" s="4" customFormat="1" ht="14" x14ac:dyDescent="0.2">
      <c r="L136" s="6"/>
      <c r="M136" s="6"/>
      <c r="N136" s="6"/>
      <c r="O136" s="6"/>
      <c r="P136" s="24"/>
      <c r="Q136" s="24"/>
      <c r="R136" s="24"/>
    </row>
    <row r="137" spans="12:18" s="4" customFormat="1" ht="14" x14ac:dyDescent="0.2">
      <c r="L137" s="6"/>
      <c r="M137" s="6"/>
      <c r="N137" s="6"/>
      <c r="O137" s="6"/>
      <c r="P137" s="24"/>
      <c r="Q137" s="24"/>
      <c r="R137" s="24"/>
    </row>
    <row r="138" spans="12:18" s="4" customFormat="1" ht="14" x14ac:dyDescent="0.2">
      <c r="L138" s="6"/>
      <c r="M138" s="6"/>
      <c r="N138" s="6"/>
      <c r="O138" s="6"/>
      <c r="P138" s="24"/>
      <c r="Q138" s="24"/>
      <c r="R138" s="24"/>
    </row>
    <row r="139" spans="12:18" s="4" customFormat="1" ht="14" x14ac:dyDescent="0.2">
      <c r="L139" s="6"/>
      <c r="M139" s="6"/>
      <c r="N139" s="6"/>
      <c r="O139" s="6"/>
      <c r="P139" s="24"/>
      <c r="Q139" s="24"/>
      <c r="R139" s="24"/>
    </row>
    <row r="140" spans="12:18" s="4" customFormat="1" ht="14" x14ac:dyDescent="0.2">
      <c r="L140" s="6"/>
      <c r="M140" s="6"/>
      <c r="N140" s="6"/>
      <c r="O140" s="6"/>
      <c r="P140" s="24"/>
      <c r="Q140" s="24"/>
      <c r="R140" s="24"/>
    </row>
    <row r="141" spans="12:18" s="4" customFormat="1" ht="14" x14ac:dyDescent="0.2">
      <c r="L141" s="6"/>
      <c r="M141" s="6"/>
      <c r="N141" s="6"/>
      <c r="O141" s="6"/>
      <c r="P141" s="24"/>
      <c r="Q141" s="24"/>
      <c r="R141" s="24"/>
    </row>
    <row r="142" spans="12:18" s="4" customFormat="1" ht="14" x14ac:dyDescent="0.2">
      <c r="L142" s="6"/>
      <c r="M142" s="6"/>
      <c r="N142" s="6"/>
      <c r="O142" s="6"/>
      <c r="P142" s="24"/>
      <c r="Q142" s="24"/>
      <c r="R142" s="24"/>
    </row>
    <row r="143" spans="12:18" s="4" customFormat="1" ht="14" x14ac:dyDescent="0.2">
      <c r="L143" s="6"/>
      <c r="M143" s="6"/>
      <c r="N143" s="6"/>
      <c r="O143" s="6"/>
      <c r="P143" s="24"/>
      <c r="Q143" s="24"/>
      <c r="R143" s="24"/>
    </row>
    <row r="144" spans="12:18" s="4" customFormat="1" ht="14" x14ac:dyDescent="0.2">
      <c r="L144" s="6"/>
      <c r="M144" s="6"/>
      <c r="N144" s="6"/>
      <c r="O144" s="6"/>
      <c r="P144" s="24"/>
      <c r="Q144" s="24"/>
      <c r="R144" s="24"/>
    </row>
    <row r="145" spans="12:18" s="4" customFormat="1" ht="14" x14ac:dyDescent="0.2">
      <c r="L145" s="6"/>
      <c r="M145" s="6"/>
      <c r="N145" s="6"/>
      <c r="O145" s="6"/>
      <c r="P145" s="24"/>
      <c r="Q145" s="24"/>
      <c r="R145" s="24"/>
    </row>
    <row r="146" spans="12:18" s="4" customFormat="1" ht="14" x14ac:dyDescent="0.2">
      <c r="L146" s="6"/>
      <c r="M146" s="6"/>
      <c r="N146" s="6"/>
      <c r="O146" s="6"/>
      <c r="P146" s="24"/>
      <c r="Q146" s="24"/>
      <c r="R146" s="24"/>
    </row>
    <row r="147" spans="12:18" s="4" customFormat="1" ht="14" x14ac:dyDescent="0.2">
      <c r="L147" s="6"/>
      <c r="M147" s="6"/>
      <c r="N147" s="6"/>
      <c r="O147" s="6"/>
      <c r="P147" s="24"/>
      <c r="Q147" s="24"/>
      <c r="R147" s="24"/>
    </row>
    <row r="148" spans="12:18" s="4" customFormat="1" ht="14" x14ac:dyDescent="0.2">
      <c r="L148" s="6"/>
      <c r="M148" s="6"/>
      <c r="N148" s="6"/>
      <c r="O148" s="6"/>
      <c r="P148" s="24"/>
      <c r="Q148" s="24"/>
      <c r="R148" s="24"/>
    </row>
    <row r="149" spans="12:18" s="4" customFormat="1" ht="14" x14ac:dyDescent="0.2">
      <c r="L149" s="6"/>
      <c r="M149" s="6"/>
      <c r="N149" s="6"/>
      <c r="O149" s="6"/>
      <c r="P149" s="24"/>
      <c r="Q149" s="24"/>
      <c r="R149" s="24"/>
    </row>
  </sheetData>
  <mergeCells count="3">
    <mergeCell ref="B3:B7"/>
    <mergeCell ref="B9:B10"/>
    <mergeCell ref="B1:H1"/>
  </mergeCells>
  <hyperlinks>
    <hyperlink ref="H11" r:id="rId1" xr:uid="{DCF4F869-F8B0-A14E-B165-AF0CC4856517}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Porównanie COI EDO ROS ROD</vt:lpstr>
      <vt:lpstr>ROD 12 lat </vt:lpstr>
      <vt:lpstr>EDO 10 lat</vt:lpstr>
      <vt:lpstr>ROS 6 lat</vt:lpstr>
      <vt:lpstr>COI 4 lata</vt:lpstr>
      <vt:lpstr>IKE Obligacja 10 lat</vt:lpstr>
      <vt:lpstr>EDO przykład do wpisu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Iwuć</dc:creator>
  <cp:lastModifiedBy>Microsoft Office User</cp:lastModifiedBy>
  <dcterms:created xsi:type="dcterms:W3CDTF">2016-11-22T10:04:55Z</dcterms:created>
  <dcterms:modified xsi:type="dcterms:W3CDTF">2020-09-24T18:08:50Z</dcterms:modified>
</cp:coreProperties>
</file>