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filterPrivacy="1" codeName="Ten_skoroszyt"/>
  <xr:revisionPtr revIDLastSave="0" documentId="13_ncr:1_{0A178DBA-77F1-40BD-A725-2D44754310DF}" xr6:coauthVersionLast="45" xr6:coauthVersionMax="45" xr10:uidLastSave="{00000000-0000-0000-0000-000000000000}"/>
  <bookViews>
    <workbookView xWindow="47880" yWindow="-120" windowWidth="29040" windowHeight="15840" xr2:uid="{00000000-000D-0000-FFFF-FFFF00000000}"/>
  </bookViews>
  <sheets>
    <sheet name="PORÓWNANIE" sheetId="14" r:id="rId1"/>
    <sheet name="Opłaty obliczenia 200 ZŁ" sheetId="3" r:id="rId2"/>
    <sheet name="Opłaty obliczenia 1000 ZŁ" sheetId="18" r:id="rId3"/>
    <sheet name="Opłaty obliczenia 4000 ZŁ" sheetId="9" r:id="rId4"/>
    <sheet name="Opłaty obliczenia 10000 ZŁ" sheetId="8" r:id="rId5"/>
    <sheet name="Opłaty obliczenia 20000 ZŁ " sheetId="10" r:id="rId6"/>
    <sheet name="Opłaty obliczenia 50000 ZŁ " sheetId="11" r:id="rId7"/>
    <sheet name="Opłaty obliczenia 100000 ZŁ " sheetId="12" r:id="rId8"/>
    <sheet name="Opłaty obliczenia 200000 ZŁ" sheetId="13" r:id="rId9"/>
    <sheet name="WORLD" sheetId="4" r:id="rId10"/>
    <sheet name="EMERGING M" sheetId="5" r:id="rId11"/>
    <sheet name="ACWI" sheetId="2" r:id="rId12"/>
    <sheet name="S&amp;P 500" sheetId="7" r:id="rId13"/>
    <sheet name="Największe ETF" sheetId="16"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13" l="1"/>
  <c r="E17" i="12"/>
  <c r="E16" i="11"/>
  <c r="E17" i="10"/>
  <c r="E17" i="8"/>
  <c r="E17" i="9"/>
  <c r="E17" i="18"/>
  <c r="E17" i="3"/>
  <c r="AE15" i="14" l="1"/>
  <c r="AE16" i="14"/>
  <c r="AE24" i="14"/>
  <c r="AD19" i="14"/>
  <c r="AD23" i="14"/>
  <c r="N23" i="14"/>
  <c r="R23" i="14"/>
  <c r="V23" i="14"/>
  <c r="Z23" i="14"/>
  <c r="AA24" i="14"/>
  <c r="G23" i="14"/>
  <c r="F23" i="14"/>
  <c r="C23" i="14"/>
  <c r="B23" i="14"/>
  <c r="J23" i="14"/>
  <c r="K23" i="14"/>
  <c r="L23" i="14"/>
  <c r="G15" i="14"/>
  <c r="G16" i="14"/>
  <c r="F19" i="14"/>
  <c r="G12" i="14"/>
  <c r="I26" i="18"/>
  <c r="G26" i="18"/>
  <c r="I25" i="18"/>
  <c r="I24" i="18"/>
  <c r="G24" i="18"/>
  <c r="E24" i="18"/>
  <c r="H24" i="18" s="1"/>
  <c r="I23" i="18"/>
  <c r="G23" i="18"/>
  <c r="E23" i="18"/>
  <c r="F21" i="14" s="1"/>
  <c r="I22" i="18"/>
  <c r="E22" i="18"/>
  <c r="F20" i="14" s="1"/>
  <c r="I21" i="18"/>
  <c r="G21" i="18"/>
  <c r="H21" i="18" s="1"/>
  <c r="I20" i="18"/>
  <c r="G20" i="18"/>
  <c r="E20" i="18"/>
  <c r="H20" i="18" s="1"/>
  <c r="I19" i="18"/>
  <c r="E19" i="18"/>
  <c r="F17" i="14" s="1"/>
  <c r="I18" i="18"/>
  <c r="E18" i="18"/>
  <c r="H18" i="18" s="1"/>
  <c r="J18" i="18" s="1"/>
  <c r="H16" i="14" s="1"/>
  <c r="I17" i="18"/>
  <c r="H17" i="18"/>
  <c r="J17" i="18" s="1"/>
  <c r="H15" i="14" s="1"/>
  <c r="I16" i="18"/>
  <c r="G16" i="18"/>
  <c r="E16" i="18"/>
  <c r="F14" i="14" s="1"/>
  <c r="I15" i="18"/>
  <c r="G15" i="18"/>
  <c r="E15" i="18"/>
  <c r="F13" i="14" s="1"/>
  <c r="I14" i="18"/>
  <c r="E14" i="18"/>
  <c r="H14" i="18" s="1"/>
  <c r="J14" i="18" s="1"/>
  <c r="H12" i="14" s="1"/>
  <c r="D7" i="18"/>
  <c r="E26" i="18" s="1"/>
  <c r="H26" i="18" s="1"/>
  <c r="J26" i="18" s="1"/>
  <c r="K26" i="18" s="1"/>
  <c r="I24" i="14" s="1"/>
  <c r="G15" i="3"/>
  <c r="G13" i="14" s="1"/>
  <c r="G15" i="9"/>
  <c r="G15" i="8"/>
  <c r="G15" i="10"/>
  <c r="G14" i="11"/>
  <c r="G15" i="12"/>
  <c r="G15" i="13"/>
  <c r="AE13" i="14" s="1"/>
  <c r="G25" i="11"/>
  <c r="W24" i="14" s="1"/>
  <c r="I25" i="11"/>
  <c r="I24" i="11"/>
  <c r="I26" i="13"/>
  <c r="G26" i="13"/>
  <c r="I25" i="13"/>
  <c r="I26" i="12"/>
  <c r="G26" i="12"/>
  <c r="I25" i="12"/>
  <c r="I26" i="10"/>
  <c r="G26" i="10"/>
  <c r="S24" i="14" s="1"/>
  <c r="I25" i="10"/>
  <c r="G26" i="8"/>
  <c r="O24" i="14" s="1"/>
  <c r="I26" i="8"/>
  <c r="I25" i="8"/>
  <c r="I26" i="9"/>
  <c r="I25" i="9"/>
  <c r="G26" i="3"/>
  <c r="G24" i="14" s="1"/>
  <c r="G26" i="9"/>
  <c r="I26" i="3"/>
  <c r="F24" i="14" l="1"/>
  <c r="F16" i="14"/>
  <c r="F15" i="14"/>
  <c r="F22" i="14"/>
  <c r="H24" i="14"/>
  <c r="H16" i="18"/>
  <c r="J16" i="18" s="1"/>
  <c r="H14" i="14" s="1"/>
  <c r="F12" i="14"/>
  <c r="F18" i="14"/>
  <c r="C24" i="14"/>
  <c r="K17" i="18"/>
  <c r="I15" i="14" s="1"/>
  <c r="K14" i="18"/>
  <c r="I12" i="14" s="1"/>
  <c r="K18" i="18"/>
  <c r="I16" i="14" s="1"/>
  <c r="J21" i="18"/>
  <c r="H19" i="14" s="1"/>
  <c r="G22" i="18"/>
  <c r="H22" i="18" s="1"/>
  <c r="J22" i="18" s="1"/>
  <c r="J20" i="18"/>
  <c r="K21" i="18"/>
  <c r="I19" i="14" s="1"/>
  <c r="J24" i="18"/>
  <c r="H15" i="18"/>
  <c r="J15" i="18" s="1"/>
  <c r="G19" i="18"/>
  <c r="H19" i="18" s="1"/>
  <c r="J19" i="18" s="1"/>
  <c r="H23" i="18"/>
  <c r="J23" i="18" s="1"/>
  <c r="G25" i="18"/>
  <c r="H25" i="18" s="1"/>
  <c r="J25" i="18" s="1"/>
  <c r="B8" i="16"/>
  <c r="B9" i="16"/>
  <c r="K16" i="18" l="1"/>
  <c r="I14" i="14" s="1"/>
  <c r="K23" i="18"/>
  <c r="I21" i="14" s="1"/>
  <c r="H21" i="14"/>
  <c r="K19" i="18"/>
  <c r="I17" i="14" s="1"/>
  <c r="H17" i="14"/>
  <c r="K15" i="18"/>
  <c r="I13" i="14" s="1"/>
  <c r="H13" i="14"/>
  <c r="K24" i="18"/>
  <c r="I22" i="14" s="1"/>
  <c r="H22" i="14"/>
  <c r="K20" i="18"/>
  <c r="I18" i="14" s="1"/>
  <c r="H18" i="14"/>
  <c r="K22" i="18"/>
  <c r="I20" i="14" s="1"/>
  <c r="H20" i="14"/>
  <c r="K25" i="18"/>
  <c r="I23" i="14" s="1"/>
  <c r="H23" i="14"/>
  <c r="D7" i="13"/>
  <c r="AE12" i="14"/>
  <c r="AA13" i="14"/>
  <c r="Z14" i="14"/>
  <c r="Z15" i="14"/>
  <c r="AA15" i="14"/>
  <c r="AA16" i="14"/>
  <c r="Z19" i="14"/>
  <c r="AA19" i="14"/>
  <c r="Z22" i="14"/>
  <c r="AA22" i="14"/>
  <c r="AA12" i="14"/>
  <c r="W15" i="14"/>
  <c r="W16" i="14"/>
  <c r="V19" i="14"/>
  <c r="W12" i="14"/>
  <c r="R13" i="14"/>
  <c r="S13" i="14"/>
  <c r="S14" i="14"/>
  <c r="R15" i="14"/>
  <c r="S15" i="14"/>
  <c r="S16" i="14"/>
  <c r="R18" i="14"/>
  <c r="S18" i="14"/>
  <c r="R19" i="14"/>
  <c r="R20" i="14"/>
  <c r="S21" i="14"/>
  <c r="S22" i="14"/>
  <c r="S12" i="14"/>
  <c r="O13" i="14"/>
  <c r="O14" i="14"/>
  <c r="N15" i="14"/>
  <c r="O15" i="14"/>
  <c r="O16" i="14"/>
  <c r="P16" i="14"/>
  <c r="N17" i="14"/>
  <c r="N19" i="14"/>
  <c r="N20" i="14"/>
  <c r="N21" i="14"/>
  <c r="O12" i="14"/>
  <c r="K12" i="14"/>
  <c r="C13" i="14"/>
  <c r="C15" i="14"/>
  <c r="C16" i="14"/>
  <c r="C12" i="14"/>
  <c r="B19" i="14"/>
  <c r="I24" i="13"/>
  <c r="G24" i="13"/>
  <c r="AE22" i="14" s="1"/>
  <c r="E24" i="13"/>
  <c r="AD22" i="14" s="1"/>
  <c r="I23" i="13"/>
  <c r="G23" i="13"/>
  <c r="AE21" i="14" s="1"/>
  <c r="E23" i="13"/>
  <c r="AD21" i="14" s="1"/>
  <c r="I22" i="13"/>
  <c r="E22" i="13"/>
  <c r="AD20" i="14" s="1"/>
  <c r="I21" i="13"/>
  <c r="H21" i="13"/>
  <c r="AF19" i="14" s="1"/>
  <c r="G21" i="13"/>
  <c r="AE19" i="14" s="1"/>
  <c r="I20" i="13"/>
  <c r="G20" i="13"/>
  <c r="AE18" i="14" s="1"/>
  <c r="E20" i="13"/>
  <c r="AD18" i="14" s="1"/>
  <c r="I19" i="13"/>
  <c r="E19" i="13"/>
  <c r="AD17" i="14" s="1"/>
  <c r="I18" i="13"/>
  <c r="E18" i="13"/>
  <c r="I17" i="13"/>
  <c r="I16" i="13"/>
  <c r="G16" i="13"/>
  <c r="AE14" i="14" s="1"/>
  <c r="E16" i="13"/>
  <c r="AD14" i="14" s="1"/>
  <c r="I15" i="13"/>
  <c r="E15" i="13"/>
  <c r="AD13" i="14" s="1"/>
  <c r="I14" i="13"/>
  <c r="E14" i="13"/>
  <c r="H14" i="13" s="1"/>
  <c r="AF12" i="14" s="1"/>
  <c r="G22" i="13"/>
  <c r="AE20" i="14" s="1"/>
  <c r="I24" i="12"/>
  <c r="G24" i="12"/>
  <c r="E24" i="12"/>
  <c r="I23" i="12"/>
  <c r="G23" i="12"/>
  <c r="AA21" i="14" s="1"/>
  <c r="E23" i="12"/>
  <c r="H23" i="12" s="1"/>
  <c r="J23" i="12" s="1"/>
  <c r="K23" i="12" s="1"/>
  <c r="AC21" i="14" s="1"/>
  <c r="I22" i="12"/>
  <c r="E22" i="12"/>
  <c r="Z20" i="14" s="1"/>
  <c r="I21" i="12"/>
  <c r="G21" i="12"/>
  <c r="H21" i="12" s="1"/>
  <c r="AB19" i="14" s="1"/>
  <c r="I20" i="12"/>
  <c r="G20" i="12"/>
  <c r="AA18" i="14" s="1"/>
  <c r="E20" i="12"/>
  <c r="H20" i="12" s="1"/>
  <c r="J20" i="12" s="1"/>
  <c r="K20" i="12" s="1"/>
  <c r="I19" i="12"/>
  <c r="E19" i="12"/>
  <c r="I18" i="12"/>
  <c r="E18" i="12"/>
  <c r="H18" i="12" s="1"/>
  <c r="AB16" i="14" s="1"/>
  <c r="I17" i="12"/>
  <c r="H17" i="12"/>
  <c r="J17" i="12" s="1"/>
  <c r="K17" i="12" s="1"/>
  <c r="AC15" i="14" s="1"/>
  <c r="I16" i="12"/>
  <c r="G16" i="12"/>
  <c r="AA14" i="14" s="1"/>
  <c r="E16" i="12"/>
  <c r="I15" i="12"/>
  <c r="E15" i="12"/>
  <c r="Z13" i="14" s="1"/>
  <c r="I14" i="12"/>
  <c r="E14" i="12"/>
  <c r="H14" i="12" s="1"/>
  <c r="D7" i="12"/>
  <c r="I23" i="11"/>
  <c r="G23" i="11"/>
  <c r="W22" i="14" s="1"/>
  <c r="E23" i="11"/>
  <c r="V22" i="14" s="1"/>
  <c r="I22" i="11"/>
  <c r="G22" i="11"/>
  <c r="W21" i="14" s="1"/>
  <c r="E22" i="11"/>
  <c r="V21" i="14" s="1"/>
  <c r="I21" i="11"/>
  <c r="E21" i="11"/>
  <c r="V20" i="14" s="1"/>
  <c r="I20" i="11"/>
  <c r="G20" i="11"/>
  <c r="W19" i="14" s="1"/>
  <c r="I19" i="11"/>
  <c r="G19" i="11"/>
  <c r="W18" i="14" s="1"/>
  <c r="E19" i="11"/>
  <c r="H19" i="11" s="1"/>
  <c r="X18" i="14" s="1"/>
  <c r="I18" i="11"/>
  <c r="E18" i="11"/>
  <c r="V17" i="14" s="1"/>
  <c r="I17" i="11"/>
  <c r="E17" i="11"/>
  <c r="H17" i="11" s="1"/>
  <c r="I16" i="11"/>
  <c r="H16" i="11"/>
  <c r="I15" i="11"/>
  <c r="G15" i="11"/>
  <c r="W14" i="14" s="1"/>
  <c r="E15" i="11"/>
  <c r="I14" i="11"/>
  <c r="W13" i="14"/>
  <c r="E14" i="11"/>
  <c r="H14" i="11" s="1"/>
  <c r="X13" i="14" s="1"/>
  <c r="I13" i="11"/>
  <c r="E13" i="11"/>
  <c r="V12" i="14" s="1"/>
  <c r="D7" i="11"/>
  <c r="I24" i="10"/>
  <c r="G24" i="10"/>
  <c r="E24" i="10"/>
  <c r="H24" i="10" s="1"/>
  <c r="J24" i="10" s="1"/>
  <c r="I23" i="10"/>
  <c r="G23" i="10"/>
  <c r="E23" i="10"/>
  <c r="H23" i="10" s="1"/>
  <c r="J23" i="10" s="1"/>
  <c r="K23" i="10" s="1"/>
  <c r="U21" i="14" s="1"/>
  <c r="I22" i="10"/>
  <c r="E22" i="10"/>
  <c r="I21" i="10"/>
  <c r="H21" i="10"/>
  <c r="J21" i="10" s="1"/>
  <c r="G21" i="10"/>
  <c r="S19" i="14" s="1"/>
  <c r="I20" i="10"/>
  <c r="G20" i="10"/>
  <c r="E20" i="10"/>
  <c r="I19" i="10"/>
  <c r="E19" i="10"/>
  <c r="R17" i="14" s="1"/>
  <c r="I18" i="10"/>
  <c r="E18" i="10"/>
  <c r="H18" i="10" s="1"/>
  <c r="T16" i="14" s="1"/>
  <c r="I17" i="10"/>
  <c r="H17" i="10"/>
  <c r="J17" i="10" s="1"/>
  <c r="K17" i="10" s="1"/>
  <c r="U15" i="14" s="1"/>
  <c r="I16" i="10"/>
  <c r="G16" i="10"/>
  <c r="E16" i="10"/>
  <c r="H16" i="10" s="1"/>
  <c r="I15" i="10"/>
  <c r="E15" i="10"/>
  <c r="H15" i="10" s="1"/>
  <c r="J15" i="10" s="1"/>
  <c r="I14" i="10"/>
  <c r="E14" i="10"/>
  <c r="H14" i="10" s="1"/>
  <c r="T12" i="14" s="1"/>
  <c r="D7" i="10"/>
  <c r="E18" i="8"/>
  <c r="N16" i="14" s="1"/>
  <c r="E14" i="8"/>
  <c r="N12" i="14" s="1"/>
  <c r="I24" i="8"/>
  <c r="G24" i="8"/>
  <c r="O22" i="14" s="1"/>
  <c r="E24" i="8"/>
  <c r="N22" i="14" s="1"/>
  <c r="I23" i="8"/>
  <c r="G23" i="8"/>
  <c r="O21" i="14" s="1"/>
  <c r="E23" i="8"/>
  <c r="I22" i="8"/>
  <c r="E22" i="8"/>
  <c r="I21" i="8"/>
  <c r="G21" i="8"/>
  <c r="H21" i="8" s="1"/>
  <c r="J21" i="8" s="1"/>
  <c r="I20" i="8"/>
  <c r="G20" i="8"/>
  <c r="O18" i="14" s="1"/>
  <c r="E20" i="8"/>
  <c r="N18" i="14" s="1"/>
  <c r="I19" i="8"/>
  <c r="E19" i="8"/>
  <c r="I18" i="8"/>
  <c r="H18" i="8"/>
  <c r="I17" i="8"/>
  <c r="H17" i="8"/>
  <c r="P15" i="14" s="1"/>
  <c r="I16" i="8"/>
  <c r="G16" i="8"/>
  <c r="E16" i="8"/>
  <c r="N14" i="14" s="1"/>
  <c r="I15" i="8"/>
  <c r="E15" i="8"/>
  <c r="N13" i="14" s="1"/>
  <c r="I14" i="8"/>
  <c r="H14" i="8"/>
  <c r="P12" i="14" s="1"/>
  <c r="D7" i="8"/>
  <c r="H17" i="9"/>
  <c r="E14" i="9"/>
  <c r="J12" i="14" s="1"/>
  <c r="I24" i="9"/>
  <c r="G24" i="9"/>
  <c r="E24" i="9"/>
  <c r="I23" i="9"/>
  <c r="G23" i="9"/>
  <c r="E23" i="9"/>
  <c r="I22" i="9"/>
  <c r="E22" i="9"/>
  <c r="I21" i="9"/>
  <c r="G21" i="9"/>
  <c r="H21" i="9" s="1"/>
  <c r="I20" i="9"/>
  <c r="G20" i="9"/>
  <c r="H20" i="9" s="1"/>
  <c r="E20" i="9"/>
  <c r="I19" i="9"/>
  <c r="E19" i="9"/>
  <c r="I18" i="9"/>
  <c r="E18" i="9"/>
  <c r="H18" i="9" s="1"/>
  <c r="I17" i="9"/>
  <c r="I16" i="9"/>
  <c r="G16" i="9"/>
  <c r="E16" i="9"/>
  <c r="I15" i="9"/>
  <c r="E15" i="9"/>
  <c r="I14" i="9"/>
  <c r="H14" i="9"/>
  <c r="L12" i="14" s="1"/>
  <c r="D7" i="9"/>
  <c r="I21" i="3"/>
  <c r="G21" i="3"/>
  <c r="G19" i="14" s="1"/>
  <c r="G20" i="3"/>
  <c r="G18" i="14" s="1"/>
  <c r="G16" i="3"/>
  <c r="G14" i="14" s="1"/>
  <c r="D7" i="3"/>
  <c r="I23" i="3"/>
  <c r="G24" i="3"/>
  <c r="G22" i="14" s="1"/>
  <c r="E24" i="3"/>
  <c r="B22" i="14" s="1"/>
  <c r="I24" i="3"/>
  <c r="G23" i="3"/>
  <c r="G21" i="14" s="1"/>
  <c r="E23" i="3"/>
  <c r="B21" i="14" s="1"/>
  <c r="E22" i="3"/>
  <c r="B20" i="14" s="1"/>
  <c r="E20" i="3"/>
  <c r="B18" i="14" s="1"/>
  <c r="O19" i="14" l="1"/>
  <c r="Z16" i="14"/>
  <c r="T19" i="14"/>
  <c r="R14" i="14"/>
  <c r="H23" i="9"/>
  <c r="J14" i="12"/>
  <c r="K14" i="12" s="1"/>
  <c r="AC12" i="14" s="1"/>
  <c r="H24" i="12"/>
  <c r="J24" i="12" s="1"/>
  <c r="K24" i="12" s="1"/>
  <c r="AC22" i="14" s="1"/>
  <c r="Z21" i="14"/>
  <c r="H18" i="13"/>
  <c r="AF16" i="14" s="1"/>
  <c r="AD16" i="14"/>
  <c r="R12" i="14"/>
  <c r="H23" i="8"/>
  <c r="P21" i="14" s="1"/>
  <c r="H20" i="10"/>
  <c r="R22" i="14"/>
  <c r="J18" i="8"/>
  <c r="K18" i="8" s="1"/>
  <c r="Q16" i="14" s="1"/>
  <c r="J17" i="11"/>
  <c r="T21" i="14"/>
  <c r="Z12" i="14"/>
  <c r="Z18" i="14"/>
  <c r="G22" i="10"/>
  <c r="S20" i="14" s="1"/>
  <c r="E26" i="10"/>
  <c r="G19" i="10"/>
  <c r="S17" i="14" s="1"/>
  <c r="G25" i="10"/>
  <c r="G19" i="9"/>
  <c r="E26" i="9"/>
  <c r="H26" i="9" s="1"/>
  <c r="J26" i="9" s="1"/>
  <c r="K26" i="9" s="1"/>
  <c r="M24" i="14" s="1"/>
  <c r="J16" i="10"/>
  <c r="K16" i="10" s="1"/>
  <c r="U14" i="14" s="1"/>
  <c r="G18" i="11"/>
  <c r="W17" i="14" s="1"/>
  <c r="E25" i="11"/>
  <c r="V24" i="14" s="1"/>
  <c r="R16" i="14"/>
  <c r="G19" i="13"/>
  <c r="AE17" i="14" s="1"/>
  <c r="G25" i="13"/>
  <c r="E26" i="13"/>
  <c r="J21" i="9"/>
  <c r="G22" i="8"/>
  <c r="O20" i="14" s="1"/>
  <c r="E26" i="8"/>
  <c r="G25" i="8"/>
  <c r="G19" i="8"/>
  <c r="O17" i="14" s="1"/>
  <c r="R21" i="14"/>
  <c r="AB12" i="14"/>
  <c r="Z17" i="14"/>
  <c r="G22" i="12"/>
  <c r="G25" i="12"/>
  <c r="E26" i="12"/>
  <c r="G19" i="12"/>
  <c r="AA17" i="14" s="1"/>
  <c r="H17" i="13"/>
  <c r="AF15" i="14" s="1"/>
  <c r="AD15" i="14"/>
  <c r="E26" i="3"/>
  <c r="G19" i="3"/>
  <c r="H21" i="3"/>
  <c r="C22" i="14"/>
  <c r="C18" i="14"/>
  <c r="C14" i="14"/>
  <c r="C19" i="14"/>
  <c r="G22" i="3"/>
  <c r="C21" i="14"/>
  <c r="J21" i="13"/>
  <c r="K21" i="13" s="1"/>
  <c r="AG19" i="14" s="1"/>
  <c r="J21" i="12"/>
  <c r="K21" i="12" s="1"/>
  <c r="AB15" i="14"/>
  <c r="AC18" i="14"/>
  <c r="AB22" i="14"/>
  <c r="AB21" i="14"/>
  <c r="AB18" i="14"/>
  <c r="H25" i="11"/>
  <c r="G24" i="11"/>
  <c r="H13" i="11"/>
  <c r="J13" i="11" s="1"/>
  <c r="K13" i="11" s="1"/>
  <c r="Y12" i="14" s="1"/>
  <c r="J16" i="11"/>
  <c r="K16" i="11" s="1"/>
  <c r="Y15" i="14" s="1"/>
  <c r="H23" i="11"/>
  <c r="X22" i="14" s="1"/>
  <c r="V13" i="14"/>
  <c r="H15" i="11"/>
  <c r="V16" i="14"/>
  <c r="G21" i="11"/>
  <c r="W20" i="14" s="1"/>
  <c r="K17" i="11"/>
  <c r="Y16" i="14" s="1"/>
  <c r="V18" i="14"/>
  <c r="V14" i="14"/>
  <c r="H20" i="11"/>
  <c r="X19" i="14" s="1"/>
  <c r="V15" i="14"/>
  <c r="X16" i="14"/>
  <c r="X15" i="14"/>
  <c r="T22" i="14"/>
  <c r="T15" i="14"/>
  <c r="T14" i="14"/>
  <c r="T13" i="14"/>
  <c r="P19" i="14"/>
  <c r="J18" i="9"/>
  <c r="K18" i="9" s="1"/>
  <c r="M16" i="14" s="1"/>
  <c r="G22" i="9"/>
  <c r="H22" i="9" s="1"/>
  <c r="J22" i="9" s="1"/>
  <c r="K22" i="9" s="1"/>
  <c r="M20" i="14" s="1"/>
  <c r="G25" i="9"/>
  <c r="H25" i="9" s="1"/>
  <c r="J25" i="9" s="1"/>
  <c r="K25" i="9" s="1"/>
  <c r="M23" i="14" s="1"/>
  <c r="H24" i="9"/>
  <c r="J24" i="9" s="1"/>
  <c r="K24" i="9" s="1"/>
  <c r="M22" i="14" s="1"/>
  <c r="H19" i="13"/>
  <c r="H16" i="13"/>
  <c r="AF14" i="14" s="1"/>
  <c r="H15" i="13"/>
  <c r="H23" i="13"/>
  <c r="J16" i="13"/>
  <c r="K16" i="13" s="1"/>
  <c r="AG14" i="14" s="1"/>
  <c r="AD12" i="14"/>
  <c r="J18" i="13"/>
  <c r="K18" i="13" s="1"/>
  <c r="AG16" i="14" s="1"/>
  <c r="H24" i="13"/>
  <c r="J14" i="13"/>
  <c r="K14" i="13" s="1"/>
  <c r="AG12" i="14" s="1"/>
  <c r="H20" i="13"/>
  <c r="H22" i="13"/>
  <c r="H15" i="12"/>
  <c r="H16" i="12"/>
  <c r="J18" i="12"/>
  <c r="K18" i="12" s="1"/>
  <c r="J14" i="11"/>
  <c r="K14" i="11" s="1"/>
  <c r="Y13" i="14" s="1"/>
  <c r="J19" i="11"/>
  <c r="K19" i="11" s="1"/>
  <c r="Y18" i="14" s="1"/>
  <c r="H22" i="11"/>
  <c r="J14" i="10"/>
  <c r="K14" i="10" s="1"/>
  <c r="U12" i="14" s="1"/>
  <c r="J18" i="10"/>
  <c r="K18" i="10" s="1"/>
  <c r="U16" i="14" s="1"/>
  <c r="K21" i="10"/>
  <c r="U19" i="14" s="1"/>
  <c r="K24" i="10"/>
  <c r="U22" i="14" s="1"/>
  <c r="K15" i="10"/>
  <c r="U13" i="14" s="1"/>
  <c r="H20" i="8"/>
  <c r="H24" i="8"/>
  <c r="H15" i="8"/>
  <c r="K21" i="8"/>
  <c r="Q19" i="14" s="1"/>
  <c r="J14" i="8"/>
  <c r="K14" i="8" s="1"/>
  <c r="Q12" i="14" s="1"/>
  <c r="H16" i="8"/>
  <c r="J17" i="8"/>
  <c r="K17" i="8" s="1"/>
  <c r="Q15" i="14" s="1"/>
  <c r="J23" i="9"/>
  <c r="K23" i="9" s="1"/>
  <c r="M21" i="14" s="1"/>
  <c r="H15" i="9"/>
  <c r="J15" i="9" s="1"/>
  <c r="K15" i="9" s="1"/>
  <c r="M13" i="14" s="1"/>
  <c r="K21" i="9"/>
  <c r="M19" i="14" s="1"/>
  <c r="J14" i="9"/>
  <c r="K14" i="9" s="1"/>
  <c r="M12" i="14" s="1"/>
  <c r="H16" i="9"/>
  <c r="J16" i="9" s="1"/>
  <c r="K16" i="9" s="1"/>
  <c r="M14" i="14" s="1"/>
  <c r="J17" i="9"/>
  <c r="K17" i="9" s="1"/>
  <c r="M15" i="14" s="1"/>
  <c r="H19" i="9"/>
  <c r="J19" i="9" s="1"/>
  <c r="K19" i="9" s="1"/>
  <c r="M17" i="14" s="1"/>
  <c r="J20" i="9"/>
  <c r="K20" i="9" s="1"/>
  <c r="M18" i="14" s="1"/>
  <c r="E19" i="3"/>
  <c r="B17" i="14" s="1"/>
  <c r="E18" i="3"/>
  <c r="B16" i="14" s="1"/>
  <c r="B15" i="14"/>
  <c r="E16" i="3"/>
  <c r="B14" i="14" s="1"/>
  <c r="I15" i="3"/>
  <c r="I16" i="3"/>
  <c r="I17" i="3"/>
  <c r="I18" i="3"/>
  <c r="I19" i="3"/>
  <c r="I20" i="3"/>
  <c r="I22" i="3"/>
  <c r="I14" i="3"/>
  <c r="H20" i="3"/>
  <c r="H24" i="3"/>
  <c r="E15" i="3"/>
  <c r="B13" i="14" s="1"/>
  <c r="E14" i="3"/>
  <c r="J17" i="13" l="1"/>
  <c r="K17" i="13" s="1"/>
  <c r="AG15" i="14" s="1"/>
  <c r="J19" i="13"/>
  <c r="K19" i="13" s="1"/>
  <c r="AG17" i="14" s="1"/>
  <c r="AF17" i="14"/>
  <c r="J20" i="10"/>
  <c r="K20" i="10" s="1"/>
  <c r="U18" i="14" s="1"/>
  <c r="T18" i="14"/>
  <c r="J20" i="13"/>
  <c r="K20" i="13" s="1"/>
  <c r="AG18" i="14" s="1"/>
  <c r="AF18" i="14"/>
  <c r="O23" i="14"/>
  <c r="H25" i="8"/>
  <c r="N24" i="14"/>
  <c r="H26" i="8"/>
  <c r="S23" i="14"/>
  <c r="H25" i="10"/>
  <c r="J24" i="13"/>
  <c r="K24" i="13" s="1"/>
  <c r="AG22" i="14" s="1"/>
  <c r="AF22" i="14"/>
  <c r="R24" i="14"/>
  <c r="H26" i="10"/>
  <c r="H22" i="8"/>
  <c r="H18" i="11"/>
  <c r="Z24" i="14"/>
  <c r="H26" i="12"/>
  <c r="H25" i="13"/>
  <c r="AE23" i="14"/>
  <c r="J23" i="8"/>
  <c r="K23" i="8" s="1"/>
  <c r="Q21" i="14" s="1"/>
  <c r="H25" i="12"/>
  <c r="AA23" i="14"/>
  <c r="H22" i="10"/>
  <c r="H24" i="11"/>
  <c r="W23" i="14"/>
  <c r="H22" i="12"/>
  <c r="AA20" i="14"/>
  <c r="H19" i="8"/>
  <c r="J23" i="13"/>
  <c r="K23" i="13" s="1"/>
  <c r="AG21" i="14" s="1"/>
  <c r="AF21" i="14"/>
  <c r="J25" i="11"/>
  <c r="K25" i="11" s="1"/>
  <c r="Y24" i="14" s="1"/>
  <c r="X24" i="14"/>
  <c r="H26" i="13"/>
  <c r="AD24" i="14"/>
  <c r="H19" i="10"/>
  <c r="J22" i="13"/>
  <c r="K22" i="13" s="1"/>
  <c r="AG20" i="14" s="1"/>
  <c r="AF20" i="14"/>
  <c r="J15" i="13"/>
  <c r="K15" i="13" s="1"/>
  <c r="AG13" i="14" s="1"/>
  <c r="AF13" i="14"/>
  <c r="H19" i="12"/>
  <c r="D18" i="14"/>
  <c r="J20" i="3"/>
  <c r="J18" i="14"/>
  <c r="J19" i="14"/>
  <c r="D19" i="14"/>
  <c r="J21" i="3"/>
  <c r="G20" i="14"/>
  <c r="C20" i="14"/>
  <c r="H14" i="3"/>
  <c r="B12" i="14"/>
  <c r="G17" i="14"/>
  <c r="C17" i="14"/>
  <c r="B24" i="14"/>
  <c r="H26" i="3"/>
  <c r="J15" i="12"/>
  <c r="K15" i="12" s="1"/>
  <c r="AB13" i="14"/>
  <c r="AC16" i="14"/>
  <c r="AC19" i="14"/>
  <c r="J16" i="12"/>
  <c r="K16" i="12" s="1"/>
  <c r="AB14" i="14"/>
  <c r="X12" i="14"/>
  <c r="J23" i="11"/>
  <c r="K23" i="11" s="1"/>
  <c r="Y22" i="14" s="1"/>
  <c r="H21" i="11"/>
  <c r="X20" i="14" s="1"/>
  <c r="J20" i="11"/>
  <c r="K20" i="11" s="1"/>
  <c r="Y19" i="14" s="1"/>
  <c r="J15" i="11"/>
  <c r="K15" i="11" s="1"/>
  <c r="Y14" i="14" s="1"/>
  <c r="X14" i="14"/>
  <c r="J21" i="11"/>
  <c r="K21" i="11" s="1"/>
  <c r="Y20" i="14" s="1"/>
  <c r="J22" i="11"/>
  <c r="K22" i="11" s="1"/>
  <c r="Y21" i="14" s="1"/>
  <c r="X21" i="14"/>
  <c r="J22" i="10"/>
  <c r="K22" i="10" s="1"/>
  <c r="U20" i="14" s="1"/>
  <c r="T20" i="14"/>
  <c r="J22" i="8"/>
  <c r="K22" i="8" s="1"/>
  <c r="Q20" i="14" s="1"/>
  <c r="P20" i="14"/>
  <c r="J16" i="8"/>
  <c r="K16" i="8" s="1"/>
  <c r="Q14" i="14" s="1"/>
  <c r="P14" i="14"/>
  <c r="J15" i="8"/>
  <c r="K15" i="8" s="1"/>
  <c r="Q13" i="14" s="1"/>
  <c r="P13" i="14"/>
  <c r="J20" i="8"/>
  <c r="K20" i="8" s="1"/>
  <c r="Q18" i="14" s="1"/>
  <c r="P18" i="14"/>
  <c r="J24" i="8"/>
  <c r="K24" i="8" s="1"/>
  <c r="Q22" i="14" s="1"/>
  <c r="P22" i="14"/>
  <c r="J22" i="14"/>
  <c r="D22" i="14"/>
  <c r="J24" i="3"/>
  <c r="J19" i="10"/>
  <c r="K19" i="10" s="1"/>
  <c r="U17" i="14" s="1"/>
  <c r="T17" i="14"/>
  <c r="J19" i="8"/>
  <c r="K19" i="8" s="1"/>
  <c r="Q17" i="14" s="1"/>
  <c r="P17" i="14"/>
  <c r="H15" i="3"/>
  <c r="H16" i="3"/>
  <c r="H19" i="3"/>
  <c r="H17" i="3"/>
  <c r="H22" i="3"/>
  <c r="H18" i="3"/>
  <c r="H23" i="3"/>
  <c r="J26" i="8" l="1"/>
  <c r="K26" i="8" s="1"/>
  <c r="Q24" i="14" s="1"/>
  <c r="P24" i="14"/>
  <c r="J26" i="12"/>
  <c r="K26" i="12" s="1"/>
  <c r="AC24" i="14" s="1"/>
  <c r="AB24" i="14"/>
  <c r="J25" i="8"/>
  <c r="K25" i="8" s="1"/>
  <c r="Q23" i="14" s="1"/>
  <c r="P23" i="14"/>
  <c r="J25" i="13"/>
  <c r="K25" i="13" s="1"/>
  <c r="AG23" i="14" s="1"/>
  <c r="AF23" i="14"/>
  <c r="J19" i="12"/>
  <c r="K19" i="12" s="1"/>
  <c r="AC17" i="14" s="1"/>
  <c r="AB17" i="14"/>
  <c r="J25" i="10"/>
  <c r="K25" i="10" s="1"/>
  <c r="U23" i="14" s="1"/>
  <c r="T23" i="14"/>
  <c r="AB20" i="14"/>
  <c r="J22" i="12"/>
  <c r="K22" i="12" s="1"/>
  <c r="AC20" i="14" s="1"/>
  <c r="J25" i="12"/>
  <c r="K25" i="12" s="1"/>
  <c r="AC23" i="14" s="1"/>
  <c r="AB23" i="14"/>
  <c r="J26" i="10"/>
  <c r="K26" i="10" s="1"/>
  <c r="U24" i="14" s="1"/>
  <c r="T24" i="14"/>
  <c r="J26" i="13"/>
  <c r="K26" i="13" s="1"/>
  <c r="AG24" i="14" s="1"/>
  <c r="AF24" i="14"/>
  <c r="J18" i="11"/>
  <c r="K18" i="11" s="1"/>
  <c r="Y17" i="14" s="1"/>
  <c r="X17" i="14"/>
  <c r="J24" i="11"/>
  <c r="K24" i="11" s="1"/>
  <c r="Y23" i="14" s="1"/>
  <c r="X23" i="14"/>
  <c r="J14" i="14"/>
  <c r="D14" i="14"/>
  <c r="J16" i="3"/>
  <c r="J23" i="3"/>
  <c r="D21" i="14"/>
  <c r="J21" i="14"/>
  <c r="D16" i="14"/>
  <c r="J18" i="3"/>
  <c r="J16" i="14"/>
  <c r="J20" i="14"/>
  <c r="D20" i="14"/>
  <c r="J22" i="3"/>
  <c r="J26" i="3"/>
  <c r="J24" i="14"/>
  <c r="D24" i="14"/>
  <c r="K21" i="3"/>
  <c r="K19" i="14"/>
  <c r="K18" i="14"/>
  <c r="K20" i="3"/>
  <c r="J15" i="14"/>
  <c r="D15" i="14"/>
  <c r="J17" i="3"/>
  <c r="D12" i="14"/>
  <c r="J14" i="3"/>
  <c r="K14" i="3" s="1"/>
  <c r="E12" i="14" s="1"/>
  <c r="J15" i="3"/>
  <c r="D13" i="14"/>
  <c r="J13" i="14"/>
  <c r="AC14" i="14"/>
  <c r="AC13" i="14"/>
  <c r="K22" i="14"/>
  <c r="K24" i="3"/>
  <c r="D17" i="14"/>
  <c r="J19" i="3"/>
  <c r="J17" i="14"/>
  <c r="E18" i="14" l="1"/>
  <c r="L18" i="14"/>
  <c r="K16" i="3"/>
  <c r="K14" i="14"/>
  <c r="K22" i="3"/>
  <c r="K20" i="14"/>
  <c r="K21" i="14"/>
  <c r="K23" i="3"/>
  <c r="K15" i="14"/>
  <c r="K17" i="3"/>
  <c r="E19" i="14"/>
  <c r="L19" i="14"/>
  <c r="K16" i="14"/>
  <c r="K18" i="3"/>
  <c r="K26" i="3"/>
  <c r="K24" i="14"/>
  <c r="K13" i="14"/>
  <c r="K15" i="3"/>
  <c r="E22" i="14"/>
  <c r="L22" i="14"/>
  <c r="K19" i="3"/>
  <c r="K17" i="14"/>
  <c r="L24" i="14" l="1"/>
  <c r="E24" i="14"/>
  <c r="E14" i="14"/>
  <c r="L14" i="14"/>
  <c r="L21" i="14"/>
  <c r="E21" i="14"/>
  <c r="L16" i="14"/>
  <c r="E16" i="14"/>
  <c r="E15" i="14"/>
  <c r="L15" i="14"/>
  <c r="L20" i="14"/>
  <c r="E20" i="14"/>
  <c r="L13" i="14"/>
  <c r="E13" i="14"/>
  <c r="L17" i="14"/>
  <c r="E1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23" authorId="0" shapeId="0" xr:uid="{00000000-0006-0000-0100-000001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 ref="I24" authorId="0" shapeId="0" xr:uid="{00000000-0006-0000-0100-000002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4" authorId="0" shapeId="0" xr:uid="{00000000-0006-0000-0900-000001000000}">
      <text>
        <r>
          <rPr>
            <b/>
            <sz val="9"/>
            <color indexed="81"/>
            <rFont val="Tahoma"/>
            <family val="2"/>
            <charset val="238"/>
          </rPr>
          <t xml:space="preserve">Iwuć Marcin: 
The Fund seeks to track the performance of the FTSE All-World Index
(the “Index”).
2 The Index is comprised of large and mid-sized company stocks in
developed and emerging markets.
</t>
        </r>
        <r>
          <rPr>
            <sz val="9"/>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23" authorId="0" shapeId="0" xr:uid="{00000000-0006-0000-0200-000001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 ref="I24" authorId="0" shapeId="0" xr:uid="{00000000-0006-0000-0200-000002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23" authorId="0" shapeId="0" xr:uid="{00000000-0006-0000-0300-000001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 ref="I24" authorId="0" shapeId="0" xr:uid="{00000000-0006-0000-0300-000002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23" authorId="0" shapeId="0" xr:uid="{00000000-0006-0000-0400-000001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 ref="I24" authorId="0" shapeId="0" xr:uid="{00000000-0006-0000-0400-000002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23" authorId="0" shapeId="0" xr:uid="{00000000-0006-0000-0500-000001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 ref="I24" authorId="0" shapeId="0" xr:uid="{00000000-0006-0000-0500-000002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22" authorId="0" shapeId="0" xr:uid="{00000000-0006-0000-0600-000001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 ref="I23" authorId="0" shapeId="0" xr:uid="{00000000-0006-0000-0600-000002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23" authorId="0" shapeId="0" xr:uid="{00000000-0006-0000-0700-000001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 ref="I24" authorId="0" shapeId="0" xr:uid="{00000000-0006-0000-0700-000002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23" authorId="0" shapeId="0" xr:uid="{00000000-0006-0000-0800-000001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 ref="I24" authorId="0" shapeId="0" xr:uid="{00000000-0006-0000-0800-000002000000}">
      <text>
        <r>
          <rPr>
            <b/>
            <sz val="9"/>
            <color indexed="81"/>
            <rFont val="Tahoma"/>
            <family val="2"/>
            <charset val="238"/>
          </rPr>
          <t>Iwuć Marcin:</t>
        </r>
        <r>
          <rPr>
            <sz val="9"/>
            <color indexed="81"/>
            <rFont val="Tahoma"/>
            <family val="2"/>
            <charset val="238"/>
          </rPr>
          <t xml:space="preserve">
ETFy proponowane przez Finax pobierają 0,2% rocznie od wszystkich ETF</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4" authorId="0" shapeId="0" xr:uid="{00000000-0006-0000-0A00-000001000000}">
      <text>
        <r>
          <rPr>
            <b/>
            <sz val="9"/>
            <color indexed="81"/>
            <rFont val="Tahoma"/>
            <family val="2"/>
            <charset val="238"/>
          </rPr>
          <t>Iwuć Marcin: ETF na małe spółki</t>
        </r>
        <r>
          <rPr>
            <sz val="9"/>
            <color indexed="81"/>
            <rFont val="Tahoma"/>
            <family val="2"/>
            <charset val="238"/>
          </rPr>
          <t xml:space="preserve">
</t>
        </r>
      </text>
    </comment>
    <comment ref="F9" authorId="0" shapeId="0" xr:uid="{00000000-0006-0000-0A00-000002000000}">
      <text>
        <r>
          <rPr>
            <b/>
            <sz val="9"/>
            <color indexed="81"/>
            <rFont val="Tahoma"/>
            <family val="2"/>
            <charset val="238"/>
          </rPr>
          <t>Autor:</t>
        </r>
        <r>
          <rPr>
            <sz val="9"/>
            <color indexed="81"/>
            <rFont val="Tahoma"/>
            <family val="2"/>
            <charset val="238"/>
          </rPr>
          <t xml:space="preserve">
DB X-TRACKERS MSCI WORLD INDEX UCITS 1C The aim is for your investment to reflect the performance of the
MSCI Total Return Net World Index (Index) which is designed to
reflect the performance of the listed shares of certain
companies from various developed countries</t>
        </r>
      </text>
    </comment>
  </commentList>
</comments>
</file>

<file path=xl/sharedStrings.xml><?xml version="1.0" encoding="utf-8"?>
<sst xmlns="http://schemas.openxmlformats.org/spreadsheetml/2006/main" count="1010" uniqueCount="198">
  <si>
    <t>DM BOŚ</t>
  </si>
  <si>
    <t>https://info.bossa.pl/oferta/dokumenty/kidzgr/?_ga=2.36225699.2007989217.1571402645-217137514.1571402645</t>
  </si>
  <si>
    <t>DM BZ WBK</t>
  </si>
  <si>
    <t>DM PKO</t>
  </si>
  <si>
    <t>ING SECURITIES</t>
  </si>
  <si>
    <t>Vanguard</t>
  </si>
  <si>
    <t>iShares</t>
  </si>
  <si>
    <t>SDPR</t>
  </si>
  <si>
    <t>DB</t>
  </si>
  <si>
    <t>Lyxor</t>
  </si>
  <si>
    <t>SPDR MSCI ACWI UCITS ETF</t>
  </si>
  <si>
    <t>iShares Core MSCI World UCITS</t>
  </si>
  <si>
    <t>Vanguard FTSE All-World</t>
  </si>
  <si>
    <t>SPDR MSCI World Small Cap ETF</t>
  </si>
  <si>
    <t>(1) iShares Core MSCI Emerging Markets IMI UCITS ETF (2) iShares emerg. Mkts. Dividend</t>
  </si>
  <si>
    <t>Amundi</t>
  </si>
  <si>
    <t>Amundi ETF MSCI Emerging Markets</t>
  </si>
  <si>
    <t>SPDR MSCI Emerging Markets Small Cap</t>
  </si>
  <si>
    <t xml:space="preserve">(1) iShares Core S&amp;P 500 UCITS ETF (2) iShares S&amp;P 500 UCITS ETF </t>
  </si>
  <si>
    <t>SPDR S&amp;P 500 UCITS</t>
  </si>
  <si>
    <t>Vanguard S&amp;P 500 UCITS ETF</t>
  </si>
  <si>
    <t>https://www.santander.pl/regulation_file_server/time20190906094715/download?id=150267&amp;lang=pl_PL</t>
  </si>
  <si>
    <t>https://www.mdm.pl/ds-server/36433?ticketSource=ui-pub</t>
  </si>
  <si>
    <t>AMUNDI MSCI EMERGING MARKETS UCITS</t>
  </si>
  <si>
    <t>DB X-TRACKERS MSCI WORLD INDEX UCITS 1C</t>
  </si>
  <si>
    <t>(1) ISHARES MSCI WORLD UCITS(2)ISHARES CORE MSCI WORLD UCITS</t>
  </si>
  <si>
    <t>ISHARES CORE S&amp;P 500</t>
  </si>
  <si>
    <t>DB X-TRACKERS S&amp;P 500 UCITS 1C</t>
  </si>
  <si>
    <t>(1) VANGUARD S&amp;P 500 ETF (2) VANGUARD S&amp;P 500 UCITS</t>
  </si>
  <si>
    <t>https://www.cdmpekao.com.pl/binsource/f/18/92/1/PRODc76e0311-deed-313a-b0ae-50f3cf210245,ATTACHMENT,PL,1,4,0.pdf</t>
  </si>
  <si>
    <t>HSBC</t>
  </si>
  <si>
    <t>HSBC MSCI WORLD UCITS ETF</t>
  </si>
  <si>
    <t>(1) LYXOR MSCI WORLD (2) LYXOR MSCI A-C WRLD-C-EUR</t>
  </si>
  <si>
    <t>SPDR EMER DIVIDEND UCITS ETF</t>
  </si>
  <si>
    <t>AMUNDI S&amp;P 500 UCITS ETF</t>
  </si>
  <si>
    <t>HSBC S&amp;P 500 UCITS ETF</t>
  </si>
  <si>
    <t>SPDR S&amp;P 500 UCITS ETF DIST</t>
  </si>
  <si>
    <t>VANG S&amp;P500 USDD</t>
  </si>
  <si>
    <t>LYXOR DDS S&amp;P500</t>
  </si>
  <si>
    <t>https://www.bm.pkobp.pl/oferta/klient-indywidualny/rynki-zagraniczne/#/szczegoly-oferty/</t>
  </si>
  <si>
    <t>https://www.bm.pkobp.pl/media_files/0e01a6f6-342c-47f2-9f84-2ea18a9b3808.pdf</t>
  </si>
  <si>
    <t>iShares Core S&amp;P 500 UCITS</t>
  </si>
  <si>
    <t>Amundi Msci Emerging Markets</t>
  </si>
  <si>
    <t>iShares MSCI ACWI UCITS</t>
  </si>
  <si>
    <t>https://www.xtb.com/pl/oferta/informacje-o-rachunku/specyfikacja-instrumentow#etfs</t>
  </si>
  <si>
    <t>(1) iShares Core MSCI World UCITS (Acc USD) (2) iShares Core MSCI World UCITS (Acc EUR) (3) iShares MSCI World UCITS USD (Dist GBP)</t>
  </si>
  <si>
    <t>(1) iShares S&amp;P 500 UCITS (Dist EUR) (2) iShares S&amp;P 500 UCITS (Dist GBP) (3) iShares S&amp;P 500 UCITS (Dist USD)</t>
  </si>
  <si>
    <t>Amundi MSCI Emerging Markets UCITS (Acc EUR)</t>
  </si>
  <si>
    <t>Lyxor MSCI Emerging Markets UCITS (Acc EUR)</t>
  </si>
  <si>
    <t>https://xtb.scdn5.secure.raxcdn.com/file/0043/33/Tabela%20op%C5%82at%20i%20prowizji_11062019_e30ada4dde.pdf</t>
  </si>
  <si>
    <t>https://www.degiro.pl/data/pdf/pl/Oplaty-i-prowizje.pdf</t>
  </si>
  <si>
    <t>HSBC MSCI WORLD</t>
  </si>
  <si>
    <t>ISHARES WORLD</t>
  </si>
  <si>
    <t xml:space="preserve">HSBC SP 500 ETF (2) </t>
  </si>
  <si>
    <t>ISHARES S&amp;P 500</t>
  </si>
  <si>
    <t>LYXOR ETF SP500</t>
  </si>
  <si>
    <t>https://www.degiro.pl/data/pdf/pl/lista-bezprowizyjnych-ETF.pdf</t>
  </si>
  <si>
    <t>VANGUARD S&amp;P500</t>
  </si>
  <si>
    <t>AMUNDI ETF SP 500</t>
  </si>
  <si>
    <t>ISHSV-MSCI ACWI DL A</t>
  </si>
  <si>
    <t>HSBC MSCI WORLD UC.ETF DZ</t>
  </si>
  <si>
    <t>ISHS-MSCI WORLD DL D</t>
  </si>
  <si>
    <t>LYX.MSCI WORLD U.ETF D</t>
  </si>
  <si>
    <t>SPDR MSCI WORLD</t>
  </si>
  <si>
    <t>LYNX</t>
  </si>
  <si>
    <t>ISHS-CORE S+P 500 DL D</t>
  </si>
  <si>
    <t>SPDR S+P 500 LW VOL.USD</t>
  </si>
  <si>
    <t>ETF</t>
  </si>
  <si>
    <t>ISIN</t>
  </si>
  <si>
    <t>IE00B3XXRP09</t>
  </si>
  <si>
    <t>Cena 1 ETF</t>
  </si>
  <si>
    <t>EUR</t>
  </si>
  <si>
    <t>file:///C:/Users/iwuck/Downloads/Tabela%20op_at%20i%20prowizji%20maklerskich%20Domu%20Maklerskiego%20Banku%20Ochrony%20_rodowiska%20S.A.%20-%20rynek%20zagraniczny%20(4).pdf</t>
  </si>
  <si>
    <t>Liczba ETF</t>
  </si>
  <si>
    <t>https://www.mdm.pl/ds-server/25502?ticketSource=ui-pub</t>
  </si>
  <si>
    <t>Opłata uzależniona jest od kwoty i waluty:</t>
  </si>
  <si>
    <t>https://www.cdmpekao.com.pl/pakietyuslugi/taryfy-i-regulacje/zagraniczne_if</t>
  </si>
  <si>
    <t>0,038% + 2 EUR</t>
  </si>
  <si>
    <t>1,2% (w tym VAT 20%) rocznie za zarządzanie portfelem</t>
  </si>
  <si>
    <t>0,5% min 50 EUR</t>
  </si>
  <si>
    <t>0,5% plus VAT</t>
  </si>
  <si>
    <t xml:space="preserve">OPŁATA ZA TRANSAKCJE </t>
  </si>
  <si>
    <t>OPŁATA ZA TRANSAKCJE W ZŁ</t>
  </si>
  <si>
    <t>RAZEM OPŁATY DLA BROKERA</t>
  </si>
  <si>
    <t>BROKER</t>
  </si>
  <si>
    <t>SZT</t>
  </si>
  <si>
    <t>ZŁ/EUR</t>
  </si>
  <si>
    <t>Wartość inwestycji</t>
  </si>
  <si>
    <t>INNE OPŁATY JAK TRZYMANIE INSTRUMENTÓW, ZARZĄDZANIE...</t>
  </si>
  <si>
    <t>LINK DO TABEL OPŁAT</t>
  </si>
  <si>
    <r>
      <t>0,29%</t>
    </r>
    <r>
      <rPr>
        <sz val="9"/>
        <color rgb="FF000000"/>
        <rFont val="Calibri"/>
        <family val="2"/>
        <charset val="238"/>
        <scheme val="minor"/>
      </rPr>
      <t> wartości,</t>
    </r>
    <r>
      <rPr>
        <b/>
        <sz val="9"/>
        <color rgb="FF000000"/>
        <rFont val="Calibri"/>
        <family val="2"/>
        <charset val="238"/>
        <scheme val="minor"/>
      </rPr>
      <t xml:space="preserve"> minimum 38 PLN/ 9 EUR/ 9,90 USD/ 8 GBP </t>
    </r>
  </si>
  <si>
    <r>
      <rPr>
        <b/>
        <sz val="9"/>
        <color theme="1"/>
        <rFont val="Calibri"/>
        <family val="2"/>
        <charset val="238"/>
        <scheme val="minor"/>
      </rPr>
      <t>0,39%,</t>
    </r>
    <r>
      <rPr>
        <sz val="9"/>
        <color theme="1"/>
        <rFont val="Calibri"/>
        <family val="2"/>
        <charset val="238"/>
        <scheme val="minor"/>
      </rPr>
      <t xml:space="preserve"> </t>
    </r>
    <r>
      <rPr>
        <b/>
        <sz val="9"/>
        <color theme="1"/>
        <rFont val="Calibri"/>
        <family val="2"/>
        <charset val="238"/>
        <scheme val="minor"/>
      </rPr>
      <t>minimum 12 EUR/USD/GBP/CHF</t>
    </r>
  </si>
  <si>
    <t>https://mail.google.com/mail/u/0/#inbox/FMfcgxwDrldjpsjxPNnFLzPNBLRgVgCR?projector=1&amp;messagePartId=0.3</t>
  </si>
  <si>
    <t>X TRADE BROKERS</t>
  </si>
  <si>
    <t>DI BRE BANK</t>
  </si>
  <si>
    <t>CDM PEKAO</t>
  </si>
  <si>
    <r>
      <rPr>
        <b/>
        <sz val="11"/>
        <color rgb="FFC00000"/>
        <rFont val="Calibri"/>
        <family val="2"/>
        <charset val="238"/>
        <scheme val="minor"/>
      </rPr>
      <t>DEGIRO</t>
    </r>
    <r>
      <rPr>
        <sz val="11"/>
        <color theme="1"/>
        <rFont val="Calibri"/>
        <family val="2"/>
        <charset val="238"/>
        <scheme val="minor"/>
      </rPr>
      <t xml:space="preserve">  dla ETF spoza listy bezplatnych ETF</t>
    </r>
  </si>
  <si>
    <r>
      <rPr>
        <b/>
        <sz val="11"/>
        <color rgb="FFC00000"/>
        <rFont val="Calibri"/>
        <family val="2"/>
        <charset val="238"/>
        <scheme val="minor"/>
      </rPr>
      <t>DEGIRO</t>
    </r>
    <r>
      <rPr>
        <sz val="11"/>
        <color theme="1"/>
        <rFont val="Calibri"/>
        <family val="2"/>
        <charset val="238"/>
        <scheme val="minor"/>
      </rPr>
      <t xml:space="preserve"> dla ETF z promocji</t>
    </r>
  </si>
  <si>
    <r>
      <rPr>
        <b/>
        <sz val="11"/>
        <color rgb="FFC00000"/>
        <rFont val="Calibri"/>
        <family val="2"/>
        <charset val="238"/>
        <scheme val="minor"/>
      </rPr>
      <t>FINAX</t>
    </r>
    <r>
      <rPr>
        <sz val="11"/>
        <color theme="1"/>
        <rFont val="Calibri"/>
        <family val="2"/>
        <charset val="238"/>
        <scheme val="minor"/>
      </rPr>
      <t xml:space="preserve"> gdy powierzsz swoje pieniądze w zarządzanie Finax</t>
    </r>
  </si>
  <si>
    <r>
      <rPr>
        <b/>
        <sz val="11"/>
        <color rgb="FFC00000"/>
        <rFont val="Calibri"/>
        <family val="2"/>
        <charset val="238"/>
        <scheme val="minor"/>
      </rPr>
      <t>FINAX</t>
    </r>
    <r>
      <rPr>
        <b/>
        <sz val="11"/>
        <color theme="1"/>
        <rFont val="Calibri"/>
        <family val="2"/>
        <charset val="238"/>
        <scheme val="minor"/>
      </rPr>
      <t xml:space="preserve"> </t>
    </r>
    <r>
      <rPr>
        <sz val="11"/>
        <color theme="1"/>
        <rFont val="Calibri"/>
        <family val="2"/>
        <charset val="238"/>
        <scheme val="minor"/>
      </rPr>
      <t xml:space="preserve"> gdy sam dokonujesz zakupu</t>
    </r>
  </si>
  <si>
    <r>
      <t xml:space="preserve">Na stronie https://www.degiro.pl/oplaty-i-prowizje/bezprowizyjne-inwestowanie-w-fundusze-etf.html znajduje się </t>
    </r>
    <r>
      <rPr>
        <b/>
        <sz val="9"/>
        <color theme="1"/>
        <rFont val="Calibri"/>
        <family val="2"/>
        <charset val="238"/>
        <scheme val="minor"/>
      </rPr>
      <t>przegląd bezpłatnych ETF</t>
    </r>
    <r>
      <rPr>
        <sz val="9"/>
        <color theme="1"/>
        <rFont val="Calibri"/>
        <family val="2"/>
        <charset val="238"/>
        <scheme val="minor"/>
      </rPr>
      <t xml:space="preserve">. W każdym miesiącu kalendarzowym jedna transakcja (kupno/sprzedaż, bez krótkiej sprzedaży) na ETF z tej listy, będzie bezpłatna. </t>
    </r>
  </si>
  <si>
    <r>
      <t>od 0,29%</t>
    </r>
    <r>
      <rPr>
        <sz val="9"/>
        <color rgb="FF000000"/>
        <rFont val="Calibri"/>
        <family val="2"/>
        <charset val="238"/>
        <scheme val="minor"/>
      </rPr>
      <t xml:space="preserve"> wartości, </t>
    </r>
    <r>
      <rPr>
        <b/>
        <sz val="9"/>
        <color rgb="FF000000"/>
        <rFont val="Calibri"/>
        <family val="2"/>
        <charset val="238"/>
        <scheme val="minor"/>
      </rPr>
      <t>minimum 9 EUR/9GBP/38 PLN</t>
    </r>
    <r>
      <rPr>
        <sz val="9"/>
        <color rgb="FF000000"/>
        <rFont val="Calibri"/>
        <family val="2"/>
        <charset val="238"/>
        <scheme val="minor"/>
      </rPr>
      <t xml:space="preserve"> a w przypadku Wiener Borsa i Borsa Italiana minimum to </t>
    </r>
    <r>
      <rPr>
        <b/>
        <sz val="9"/>
        <color rgb="FF000000"/>
        <rFont val="Calibri"/>
        <family val="2"/>
        <charset val="238"/>
        <scheme val="minor"/>
      </rPr>
      <t>15 EUR</t>
    </r>
  </si>
  <si>
    <r>
      <rPr>
        <b/>
        <sz val="9"/>
        <color theme="1"/>
        <rFont val="Calibri"/>
        <family val="2"/>
        <charset val="238"/>
        <scheme val="minor"/>
      </rPr>
      <t>0,29% minimum 19 PLN/5 EUR/5GBP</t>
    </r>
    <r>
      <rPr>
        <sz val="9"/>
        <color theme="1"/>
        <rFont val="Calibri"/>
        <family val="2"/>
        <charset val="238"/>
        <scheme val="minor"/>
      </rPr>
      <t xml:space="preserve">. </t>
    </r>
  </si>
  <si>
    <t>ZŁ/USD</t>
  </si>
  <si>
    <t>2,5 EURO opłatry rocznej za każdą giełdę, na kórej kupujesz ETF, inną niż GPW.  Jeśli np.. Kupujesz ETF na giełdach w Amsterdamie i Londynie, wówczas co roku zakłacisz po 2,5 EUR, razem 5 EUR.</t>
  </si>
  <si>
    <t>DM BOŚ (BOSSA)</t>
  </si>
  <si>
    <t>Przechowywanie instrumentów finansowych w ramach rejestru zagranicznych instrumentów finansowych (opłata miesięczna od wartości portfela na koniec miesiąca): bezpłatnie jeżeli miesięczna wartość obrotu liczona dla danej waluty osiągnie co najmniej 20% wartości instrumentów finansowych kwotowanych w danej walucie,  w przeciwnym przypadku 0,02% miesięcznie. Opłata za dostęp do serwisu internetowego 6 zł miesięcznie (o ile w miesiącu poprzednim nie było transakcji).</t>
  </si>
  <si>
    <t>OPŁATA ZA TRZYMANIE, ZARZĄDZANIE, RACHUNEK - ROCZNIE W ZŁ</t>
  </si>
  <si>
    <t xml:space="preserve">Bezpłatnie - bez dostepu do serwisów informacyjnych. </t>
  </si>
  <si>
    <t xml:space="preserve">Kurs EUR </t>
  </si>
  <si>
    <t xml:space="preserve">Kurs USD </t>
  </si>
  <si>
    <t>Opłata pobierana przez ETF</t>
  </si>
  <si>
    <t>rocznie jako % ETF</t>
  </si>
  <si>
    <t>OPŁATY ZA TRANSAKCJE KUPNA/SPRZEDAŻY</t>
  </si>
  <si>
    <t>INNE OPŁATY DLA BROKERA</t>
  </si>
  <si>
    <t>OPŁATA DLA ETF pobierana bezpośrednio przez ETF</t>
  </si>
  <si>
    <t>RAZEM WSZYTSKIE OPŁATY</t>
  </si>
  <si>
    <t>OPŁATY JAKO% INWESTYCJI</t>
  </si>
  <si>
    <t>https://www.lynxbroker.pl/oplaty-i-prowizje/</t>
  </si>
  <si>
    <t>0,15% rocznie wartości instrumentów lub opłata negocjowana, nie mniej niż koszty poniesione przez Dom Maklerski PKO Banku Polskiego na rzecz Zagranicznego depozytariusza, a dodatkowo 60 zł za prowadzenie rachunku -jeśli korespondendcja przychodzi mailowo- lub 80 zł w przeciwnym przypadku. Płaci się jedną opłatę 60 zł/80 zł od rachunku polskiego i zagranicznego łącznie.</t>
  </si>
  <si>
    <t>25 zł  za pół roku lub 0 zł jeśli masz usługę e-maklera (przy usłudze e maklera ponosisz koszty przewalutowania bo kupujesz i sprzedajesz w PLN). Opłata 0,15% wartosci instrumentów przy rachunakch od 0,5 mln zł w górę i to pod warunkiem, że prowizje od transakcji nie pokrywaja 0,15% x wartość rachunku.</t>
  </si>
  <si>
    <t>0 zł w większości przypadków</t>
  </si>
  <si>
    <t>2,5 EUR opłatry rocznej za każdą giełdę, na kórej kupujesz ETF, inną niż GPW.  Jeśli np..kupujesz ETF na giełdach w Amsterdamie i Londynie (lub na swoim koncie masz instrumenty z tych giełd), wówczas co roku zapłacisz po 2,5 EUR, razem 5 EUR.</t>
  </si>
  <si>
    <t>Prowadzenie rachunku jest darmowe, ale jeśli nie dokonałeś transakcji na rachunku w trakcie miesiąca kalendarzowego lub wartość rachunku jest niższa 2000 USD to wówczas płaci się 1 USD miesięcznie.</t>
  </si>
  <si>
    <t>0 zł za zakup, lecz gdy inwestujesz poczatkowo (wpłata początkowa) kwotę mniejszą niż 1000 EUR to płacisz 1,2% Entry Fee</t>
  </si>
  <si>
    <r>
      <rPr>
        <b/>
        <sz val="9"/>
        <color theme="1"/>
        <rFont val="Calibri"/>
        <family val="2"/>
        <charset val="238"/>
        <scheme val="minor"/>
      </rPr>
      <t>0,12%, minimum 6 EUR</t>
    </r>
    <r>
      <rPr>
        <sz val="9"/>
        <color theme="1"/>
        <rFont val="Calibri"/>
        <family val="2"/>
        <charset val="238"/>
        <scheme val="minor"/>
      </rPr>
      <t xml:space="preserve"> a </t>
    </r>
    <r>
      <rPr>
        <b/>
        <sz val="9"/>
        <color theme="1"/>
        <rFont val="Calibri"/>
        <family val="2"/>
        <charset val="238"/>
        <scheme val="minor"/>
      </rPr>
      <t>maksymalnie 99 EUR</t>
    </r>
  </si>
  <si>
    <t>INNE OPŁATY JAK TRZYMANIE INSTRUMENTÓW, ZARZĄDZANIE, RACHUNEK …</t>
  </si>
  <si>
    <t>&gt;&gt;&gt; cena tego ETF w momencie tworzenia wpisu</t>
  </si>
  <si>
    <t>RAZEM</t>
  </si>
  <si>
    <t>INNE OPŁATY BROKERA</t>
  </si>
  <si>
    <t>OPŁATY (BROKER + ETF) JAKO % INWESTYCJI</t>
  </si>
  <si>
    <t>&gt;&gt;&gt; link do kluczowych informacji o tym ETF https://global.vanguard.com/portal/site/loadPDF?country=be&amp;docId=6017</t>
  </si>
  <si>
    <r>
      <t xml:space="preserve">JEDNORAZOWA WPŁATA </t>
    </r>
    <r>
      <rPr>
        <b/>
        <i/>
        <sz val="8"/>
        <color rgb="FFFF0000"/>
        <rFont val="Calibri"/>
        <family val="2"/>
        <charset val="238"/>
        <scheme val="minor"/>
      </rPr>
      <t>200 ZŁ</t>
    </r>
    <r>
      <rPr>
        <b/>
        <i/>
        <sz val="8"/>
        <color theme="1"/>
        <rFont val="Calibri"/>
        <family val="2"/>
        <charset val="238"/>
        <scheme val="minor"/>
      </rPr>
      <t xml:space="preserve"> W ROKU</t>
    </r>
  </si>
  <si>
    <r>
      <t xml:space="preserve">JEDNORAZOWA WPŁATA </t>
    </r>
    <r>
      <rPr>
        <b/>
        <i/>
        <sz val="8"/>
        <color rgb="FFFF0000"/>
        <rFont val="Calibri"/>
        <family val="2"/>
        <charset val="238"/>
        <scheme val="minor"/>
      </rPr>
      <t xml:space="preserve">4000 ZŁ </t>
    </r>
    <r>
      <rPr>
        <b/>
        <i/>
        <sz val="8"/>
        <color theme="1"/>
        <rFont val="Calibri"/>
        <family val="2"/>
        <charset val="238"/>
        <scheme val="minor"/>
      </rPr>
      <t>W ROKU</t>
    </r>
  </si>
  <si>
    <r>
      <t>JEDNORAZOWA WPŁATA</t>
    </r>
    <r>
      <rPr>
        <b/>
        <i/>
        <sz val="8"/>
        <color rgb="FFFF0000"/>
        <rFont val="Calibri"/>
        <family val="2"/>
        <charset val="238"/>
        <scheme val="minor"/>
      </rPr>
      <t xml:space="preserve"> 10 000ZŁ </t>
    </r>
    <r>
      <rPr>
        <b/>
        <i/>
        <sz val="8"/>
        <color theme="1"/>
        <rFont val="Calibri"/>
        <family val="2"/>
        <charset val="238"/>
        <scheme val="minor"/>
      </rPr>
      <t>W ROKU</t>
    </r>
  </si>
  <si>
    <r>
      <t xml:space="preserve">JEDNORAZOWA WPŁATA </t>
    </r>
    <r>
      <rPr>
        <b/>
        <i/>
        <sz val="8"/>
        <color rgb="FFFF0000"/>
        <rFont val="Calibri"/>
        <family val="2"/>
        <charset val="238"/>
        <scheme val="minor"/>
      </rPr>
      <t xml:space="preserve">20 000 ZŁ </t>
    </r>
    <r>
      <rPr>
        <b/>
        <i/>
        <sz val="8"/>
        <color theme="1"/>
        <rFont val="Calibri"/>
        <family val="2"/>
        <charset val="238"/>
        <scheme val="minor"/>
      </rPr>
      <t>W ROKU</t>
    </r>
  </si>
  <si>
    <r>
      <t xml:space="preserve">JEDNORAZOWA WPŁATA </t>
    </r>
    <r>
      <rPr>
        <b/>
        <i/>
        <sz val="8"/>
        <color rgb="FFFF0000"/>
        <rFont val="Calibri"/>
        <family val="2"/>
        <charset val="238"/>
        <scheme val="minor"/>
      </rPr>
      <t xml:space="preserve">50 000 ZŁ </t>
    </r>
    <r>
      <rPr>
        <b/>
        <i/>
        <sz val="8"/>
        <color theme="1"/>
        <rFont val="Calibri"/>
        <family val="2"/>
        <charset val="238"/>
        <scheme val="minor"/>
      </rPr>
      <t>W ROKU</t>
    </r>
  </si>
  <si>
    <r>
      <t xml:space="preserve">JEDNORAZOWA WPŁATA </t>
    </r>
    <r>
      <rPr>
        <b/>
        <i/>
        <sz val="8"/>
        <color rgb="FFFF0000"/>
        <rFont val="Calibri"/>
        <family val="2"/>
        <charset val="238"/>
        <scheme val="minor"/>
      </rPr>
      <t xml:space="preserve">100 000 ZŁ </t>
    </r>
    <r>
      <rPr>
        <b/>
        <i/>
        <sz val="8"/>
        <color theme="1"/>
        <rFont val="Calibri"/>
        <family val="2"/>
        <charset val="238"/>
        <scheme val="minor"/>
      </rPr>
      <t>W ROKU</t>
    </r>
  </si>
  <si>
    <r>
      <t xml:space="preserve">JEDNORAZOWA WPŁATA </t>
    </r>
    <r>
      <rPr>
        <b/>
        <i/>
        <sz val="8"/>
        <color rgb="FFFF0000"/>
        <rFont val="Calibri"/>
        <family val="2"/>
        <charset val="238"/>
        <scheme val="minor"/>
      </rPr>
      <t xml:space="preserve">200 000 ZŁ </t>
    </r>
    <r>
      <rPr>
        <b/>
        <i/>
        <sz val="8"/>
        <color theme="1"/>
        <rFont val="Calibri"/>
        <family val="2"/>
        <charset val="238"/>
        <scheme val="minor"/>
      </rPr>
      <t>W ROKU</t>
    </r>
  </si>
  <si>
    <t>JAK NIŻEJ</t>
  </si>
  <si>
    <t>0,04% wartosci zagranicznych instrumentów finansowych za kwartał liczone według ceny rynkowej w ostatnim dniu kończącym kwartał kalendarzowy, jednak nie mniej niż 2,5 EUR, 3 USD, 3 CHF, 2 GBP… W przypadku obrotów większych niż 50% wartości instrumentów opłata nie jest pobierana. Oraz 0,15% wartości instrumentów rocznie.</t>
  </si>
  <si>
    <t>CORE MSCI EMI IMI UCITS ETF</t>
  </si>
  <si>
    <t>Core S&amp;P 500 UCITS ETF</t>
  </si>
  <si>
    <t>Lista dostępna tylko dla klientów po zalogowaniu</t>
  </si>
  <si>
    <t>AMUNDI</t>
  </si>
  <si>
    <t>W zasadzie wszytskie dostępne z głownych giełd w Europie</t>
  </si>
  <si>
    <t>Ne prowadzi rynku zagranicznego</t>
  </si>
  <si>
    <t>ACWI</t>
  </si>
  <si>
    <t xml:space="preserve">W zasadzie wszytskie dostępne z głownych giełd w Europie </t>
  </si>
  <si>
    <t>&gt;&gt; w tabeli podane są tylko przykładowe ETF z jednej z giełd, do których LYNX oferuje dostęp</t>
  </si>
  <si>
    <t>Tak -o ile jest dostępny na głównych giełdach w Europie</t>
  </si>
  <si>
    <t xml:space="preserve">iShares </t>
  </si>
  <si>
    <t xml:space="preserve">DEGIRO  </t>
  </si>
  <si>
    <t>DEGIRO - promocyjne ETF</t>
  </si>
  <si>
    <t>FINAX</t>
  </si>
  <si>
    <t>ETFMatic</t>
  </si>
  <si>
    <t>nie dotyczy</t>
  </si>
  <si>
    <t>nie dotyczy (pierwsza wpłata minimalna to 100 EUR)</t>
  </si>
  <si>
    <t>https://etfmatic.com/terms-and-conditions/</t>
  </si>
  <si>
    <t>nie ma opłaty za transakcje, minimalna pierwsza wpłata to 100 EUR, nie masz jednak bezpośredniego wpływu na ETF w Twoim portfelu. Alokacji (pomiędzy ETF akcyjnymi, ETF obligacji i innymi instrumentami dokonuje ETFMatic)</t>
  </si>
  <si>
    <t>BlackRock (Ishares ETF)</t>
  </si>
  <si>
    <t>Invesco</t>
  </si>
  <si>
    <t>Charles Schwab Corp.</t>
  </si>
  <si>
    <t>State Street Corp. (SDPR ETF )</t>
  </si>
  <si>
    <t>Inne - szacunek</t>
  </si>
  <si>
    <t>bilionów $</t>
  </si>
  <si>
    <t>SDPR S&amp;P 500 (od State Street Corp)</t>
  </si>
  <si>
    <t>iShares Core S&amp;P 500 (BlackRock)</t>
  </si>
  <si>
    <t>Vanguard Total Stock Market ETF</t>
  </si>
  <si>
    <t>Vanguard S&amp;P 500 ETF</t>
  </si>
  <si>
    <t>Invesco QQQ Trust</t>
  </si>
  <si>
    <t>NAJWIĘKSZE FIRMY ETF</t>
  </si>
  <si>
    <t>NAJWIĘKSZE FUNDUSZE ETF</t>
  </si>
  <si>
    <t xml:space="preserve">Żródło: Opracowanie własne na podstwie https://www.investopedia.com/who-are-the-etf-giants-4691723, czerwiec 2019 r. </t>
  </si>
  <si>
    <t>Interactive Brokers</t>
  </si>
  <si>
    <t>0,1%  minimum 4 EUR</t>
  </si>
  <si>
    <t xml:space="preserve">Opłata za nieaktywność ("inactivity" fee) tzn. jeśli Twój rachunek jest niższy niż 2000 USD wówczas płacisz 20 USD/miesięcznie. Dla rachunków przekraczających  2000 USD płacisz 10 USD/miesięcznie. Ta opłata jest pomniejszana o wartość innych prowizji np.prowizji za traksakcje (jeśli w miesiącu opłata za transakcje wyniesie przykładowo 11 USD wówczas inactivity fee nie zapłacisz). Dopiero rachunki z salldem powyżej 100.000 USD nie podlegają tym opłatom. Pierwsze 3 miesiące są zwolnione z tej opłaty. </t>
  </si>
  <si>
    <t>https://www.interactivebrokers.co.uk/en/index.php?f=38234</t>
  </si>
  <si>
    <t>INTERACTIVE BROKERS</t>
  </si>
  <si>
    <t>ETFMATIC</t>
  </si>
  <si>
    <r>
      <rPr>
        <b/>
        <sz val="11"/>
        <color rgb="FFC00000"/>
        <rFont val="Calibri"/>
        <family val="2"/>
        <charset val="238"/>
        <scheme val="minor"/>
      </rPr>
      <t>FINAX</t>
    </r>
    <r>
      <rPr>
        <sz val="11"/>
        <color theme="1"/>
        <rFont val="Calibri"/>
        <family val="2"/>
        <charset val="238"/>
        <scheme val="minor"/>
      </rPr>
      <t xml:space="preserve"> gdy powierzysz swoje pieniądze w zarządzanie Finax</t>
    </r>
  </si>
  <si>
    <t>Nie ma opłaty za transakcje, minimalna pierwsza wpłata to 100 EUR, nie masz jednak bezpośredniego wpływu na ETF w Twoim portfelu. Alokacji (pomiędzy ETF akcyjnymi, ETF obligacji i innymi instrumentami dokonuje ETFMatic)</t>
  </si>
  <si>
    <t>0 zł za zakup, lecz gdy inwestujesz poczatkowo (wpłata początkowa) kwotę mniejszą niż 1000 EUR to płacisz 1,2% Entry Fee. To nie Ty dokonujesz wyboru ETF lecz Finax.</t>
  </si>
  <si>
    <t>0,5% min 50 EUR, niewielka liczba ETF do wyboru, To nie Ty dokonujesz wyboru ETF lecz Finax.</t>
  </si>
  <si>
    <t>https://www.interactivebrokers.com/en/index.php?f=42772</t>
  </si>
  <si>
    <t>WORLD</t>
  </si>
  <si>
    <t>&gt;&gt; w tabeli podane są tylko przykładowe ETF z jednej z giełd, do których ten broker oferuje dostęp</t>
  </si>
  <si>
    <t>&gt;&gt; tu są podane "darmowe ETF" czyli te gdzie promocja</t>
  </si>
  <si>
    <r>
      <rPr>
        <b/>
        <sz val="9"/>
        <color theme="1"/>
        <rFont val="Calibri"/>
        <family val="2"/>
        <charset val="238"/>
        <scheme val="minor"/>
      </rPr>
      <t>0,5%</t>
    </r>
    <r>
      <rPr>
        <sz val="9"/>
        <color theme="1"/>
        <rFont val="Calibri"/>
        <family val="2"/>
        <charset val="238"/>
        <scheme val="minor"/>
      </rPr>
      <t xml:space="preserve"> min </t>
    </r>
    <r>
      <rPr>
        <b/>
        <sz val="9"/>
        <color theme="1"/>
        <rFont val="Calibri"/>
        <family val="2"/>
        <charset val="238"/>
        <scheme val="minor"/>
      </rPr>
      <t>50 EUR</t>
    </r>
  </si>
  <si>
    <r>
      <t xml:space="preserve">JEDNORAZOWA WPŁATA </t>
    </r>
    <r>
      <rPr>
        <b/>
        <i/>
        <sz val="8"/>
        <color rgb="FFFF0000"/>
        <rFont val="Calibri"/>
        <family val="2"/>
        <charset val="238"/>
        <scheme val="minor"/>
      </rPr>
      <t>1000 ZŁ</t>
    </r>
    <r>
      <rPr>
        <b/>
        <i/>
        <sz val="8"/>
        <color theme="1"/>
        <rFont val="Calibri"/>
        <family val="2"/>
        <charset val="238"/>
        <scheme val="minor"/>
      </rPr>
      <t xml:space="preserve"> W ROKU</t>
    </r>
  </si>
  <si>
    <t>S&amp;P 500</t>
  </si>
  <si>
    <t>EMERGING MARKETS</t>
  </si>
  <si>
    <t>PRZYKŁADOWE ETF DOSTEPNE U WYBRANYCH BROKERÓW</t>
  </si>
  <si>
    <t>https://marciniwuc.com/jak-kupic-etf/</t>
  </si>
  <si>
    <t>DM MBANK</t>
  </si>
  <si>
    <r>
      <rPr>
        <b/>
        <sz val="9"/>
        <color theme="1"/>
        <rFont val="Calibri"/>
        <family val="2"/>
        <charset val="238"/>
        <scheme val="minor"/>
      </rPr>
      <t>0,12 %</t>
    </r>
    <r>
      <rPr>
        <sz val="9"/>
        <color theme="1"/>
        <rFont val="Calibri"/>
        <family val="2"/>
        <charset val="238"/>
        <scheme val="minor"/>
      </rPr>
      <t xml:space="preserve"> wartości transakcji, </t>
    </r>
    <r>
      <rPr>
        <b/>
        <sz val="9"/>
        <color theme="1"/>
        <rFont val="Calibri"/>
        <family val="2"/>
        <charset val="238"/>
        <scheme val="minor"/>
      </rPr>
      <t xml:space="preserve">minimum 10 EUR </t>
    </r>
    <r>
      <rPr>
        <sz val="9"/>
        <color theme="1"/>
        <rFont val="Calibri"/>
        <family val="2"/>
        <charset val="238"/>
        <scheme val="minor"/>
      </rPr>
      <t>(zmiana od 3 listopada 2019 r., było 4,99 EUR). Wszystkie przewalutowania wynikające z Transakcji oraz zdarzeń korporacyjnych na OMI na Rachunku Klienta są objęte marżą w wysokości 0.5% Kursu Wymiany XTB</t>
    </r>
  </si>
  <si>
    <r>
      <rPr>
        <b/>
        <sz val="9"/>
        <color theme="1"/>
        <rFont val="Calibri"/>
        <family val="2"/>
        <charset val="238"/>
        <scheme val="minor"/>
      </rPr>
      <t>0,12 %</t>
    </r>
    <r>
      <rPr>
        <sz val="9"/>
        <color theme="1"/>
        <rFont val="Calibri"/>
        <family val="2"/>
        <charset val="238"/>
        <scheme val="minor"/>
      </rPr>
      <t xml:space="preserve"> wartości transakcji, </t>
    </r>
    <r>
      <rPr>
        <b/>
        <sz val="9"/>
        <color theme="1"/>
        <rFont val="Calibri"/>
        <family val="2"/>
        <charset val="238"/>
        <scheme val="minor"/>
      </rPr>
      <t>minimum 10 EUR (zmiana od 3 listopada 2019 r., było 4,99 EUR)</t>
    </r>
    <r>
      <rPr>
        <sz val="9"/>
        <color theme="1"/>
        <rFont val="Calibri"/>
        <family val="2"/>
        <charset val="238"/>
        <scheme val="minor"/>
      </rPr>
      <t>. Wszystkie przewalutowania  są objęte marżą w wysokości 0.5% Kursu Wymiany XTB.</t>
    </r>
  </si>
  <si>
    <r>
      <rPr>
        <b/>
        <sz val="9"/>
        <color theme="1"/>
        <rFont val="Calibri"/>
        <family val="2"/>
        <charset val="238"/>
        <scheme val="minor"/>
      </rPr>
      <t>0,12 %</t>
    </r>
    <r>
      <rPr>
        <sz val="9"/>
        <color theme="1"/>
        <rFont val="Calibri"/>
        <family val="2"/>
        <charset val="238"/>
        <scheme val="minor"/>
      </rPr>
      <t xml:space="preserve"> wartości transakcji,minimum 10 EUR (zmiana od 3 listopada 2019 r., było 4,99 EUR). Wszystkie przewalutowania  są objęte marżą w wysokości 0.5% Kursu Wymiany XTB.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</si>
</sst>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_-* #,##0.00\ _z_ł_-;\-* #,##0.00\ _z_ł_-;_-* &quot;-&quot;??\ _z_ł_-;_-@_-"/>
    <numFmt numFmtId="165" formatCode="0.0%"/>
  </numFmts>
  <fonts count="4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u/>
      <sz val="11"/>
      <color theme="10"/>
      <name val="Calibri"/>
      <family val="2"/>
      <scheme val="minor"/>
    </font>
    <font>
      <sz val="9"/>
      <color indexed="81"/>
      <name val="Tahoma"/>
      <family val="2"/>
      <charset val="238"/>
    </font>
    <font>
      <b/>
      <sz val="9"/>
      <color indexed="81"/>
      <name val="Tahoma"/>
      <family val="2"/>
      <charset val="238"/>
    </font>
    <font>
      <sz val="12"/>
      <color theme="1"/>
      <name val="Calibri"/>
      <family val="2"/>
      <scheme val="minor"/>
    </font>
    <font>
      <sz val="11"/>
      <color theme="1"/>
      <name val="Calibri"/>
      <family val="2"/>
      <scheme val="minor"/>
    </font>
    <font>
      <b/>
      <sz val="11"/>
      <color theme="0"/>
      <name val="Calibri"/>
      <family val="2"/>
      <charset val="238"/>
      <scheme val="minor"/>
    </font>
    <font>
      <sz val="11"/>
      <color theme="0"/>
      <name val="Calibri"/>
      <family val="2"/>
      <charset val="238"/>
      <scheme val="minor"/>
    </font>
    <font>
      <b/>
      <sz val="11"/>
      <color rgb="FFC00000"/>
      <name val="Calibri"/>
      <family val="2"/>
      <charset val="238"/>
      <scheme val="minor"/>
    </font>
    <font>
      <b/>
      <sz val="11"/>
      <color rgb="FFFF0000"/>
      <name val="Calibri"/>
      <family val="2"/>
      <charset val="238"/>
      <scheme val="minor"/>
    </font>
    <font>
      <b/>
      <sz val="9"/>
      <color rgb="FF000000"/>
      <name val="Calibri"/>
      <family val="2"/>
      <charset val="238"/>
      <scheme val="minor"/>
    </font>
    <font>
      <sz val="9"/>
      <color rgb="FF000000"/>
      <name val="Calibri"/>
      <family val="2"/>
      <charset val="238"/>
      <scheme val="minor"/>
    </font>
    <font>
      <sz val="9"/>
      <color theme="1"/>
      <name val="Calibri"/>
      <family val="2"/>
      <charset val="238"/>
      <scheme val="minor"/>
    </font>
    <font>
      <sz val="11"/>
      <name val="Calibri"/>
      <family val="2"/>
      <charset val="238"/>
      <scheme val="minor"/>
    </font>
    <font>
      <b/>
      <sz val="9"/>
      <color theme="1"/>
      <name val="Calibri"/>
      <family val="2"/>
      <charset val="238"/>
      <scheme val="minor"/>
    </font>
    <font>
      <b/>
      <sz val="11"/>
      <color theme="4" tint="0.59999389629810485"/>
      <name val="Calibri"/>
      <family val="2"/>
      <charset val="238"/>
      <scheme val="minor"/>
    </font>
    <font>
      <b/>
      <sz val="14"/>
      <color rgb="FFFF0000"/>
      <name val="Calibri"/>
      <family val="2"/>
      <charset val="238"/>
      <scheme val="minor"/>
    </font>
    <font>
      <b/>
      <i/>
      <sz val="11"/>
      <color theme="1"/>
      <name val="Calibri"/>
      <family val="2"/>
      <charset val="238"/>
      <scheme val="minor"/>
    </font>
    <font>
      <b/>
      <i/>
      <sz val="8"/>
      <color theme="1"/>
      <name val="Calibri"/>
      <family val="2"/>
      <charset val="238"/>
      <scheme val="minor"/>
    </font>
    <font>
      <b/>
      <i/>
      <sz val="8"/>
      <color rgb="FFFF0000"/>
      <name val="Calibri"/>
      <family val="2"/>
      <charset val="238"/>
      <scheme val="minor"/>
    </font>
    <font>
      <b/>
      <sz val="8"/>
      <color theme="0"/>
      <name val="Calibri"/>
      <family val="2"/>
      <charset val="238"/>
      <scheme val="minor"/>
    </font>
    <font>
      <b/>
      <sz val="8"/>
      <color theme="1"/>
      <name val="Calibri"/>
      <family val="2"/>
      <charset val="238"/>
      <scheme val="minor"/>
    </font>
    <font>
      <sz val="8"/>
      <name val="Calibri"/>
      <family val="2"/>
      <charset val="238"/>
      <scheme val="minor"/>
    </font>
    <font>
      <b/>
      <sz val="8"/>
      <name val="Calibri"/>
      <family val="2"/>
      <charset val="238"/>
      <scheme val="minor"/>
    </font>
    <font>
      <i/>
      <sz val="11"/>
      <name val="Calibri"/>
      <family val="2"/>
      <charset val="238"/>
      <scheme val="minor"/>
    </font>
    <font>
      <i/>
      <sz val="11"/>
      <color theme="1"/>
      <name val="Calibri"/>
      <family val="2"/>
      <charset val="238"/>
      <scheme val="minor"/>
    </font>
    <font>
      <b/>
      <sz val="11"/>
      <color theme="6" tint="0.79998168889431442"/>
      <name val="Calibri"/>
      <family val="2"/>
      <charset val="238"/>
      <scheme val="minor"/>
    </font>
    <font>
      <i/>
      <u/>
      <sz val="6"/>
      <color rgb="FF0070C0"/>
      <name val="Calibri"/>
      <family val="2"/>
      <charset val="238"/>
      <scheme val="minor"/>
    </font>
    <font>
      <sz val="11"/>
      <color rgb="FF0070C0"/>
      <name val="Calibri"/>
      <family val="2"/>
      <charset val="238"/>
      <scheme val="minor"/>
    </font>
    <font>
      <i/>
      <u/>
      <sz val="6"/>
      <color theme="6" tint="-0.249977111117893"/>
      <name val="Calibri"/>
      <family val="2"/>
      <charset val="238"/>
      <scheme val="minor"/>
    </font>
    <font>
      <sz val="11"/>
      <color theme="6" tint="-0.249977111117893"/>
      <name val="Calibri"/>
      <family val="2"/>
      <charset val="238"/>
      <scheme val="minor"/>
    </font>
    <font>
      <sz val="6"/>
      <color rgb="FF0070C0"/>
      <name val="Calibri"/>
      <family val="2"/>
      <charset val="238"/>
      <scheme val="minor"/>
    </font>
    <font>
      <b/>
      <sz val="14"/>
      <color rgb="FF0070C0"/>
      <name val="Calibri"/>
      <family val="2"/>
      <charset val="238"/>
      <scheme val="minor"/>
    </font>
    <font>
      <sz val="8"/>
      <name val="Caibri "/>
      <charset val="238"/>
    </font>
    <font>
      <b/>
      <sz val="14"/>
      <color theme="3" tint="0.89999084444715716"/>
      <name val="Calibri"/>
      <family val="2"/>
      <charset val="238"/>
      <scheme val="minor"/>
    </font>
    <font>
      <b/>
      <i/>
      <u/>
      <sz val="14"/>
      <color rgb="FF0070C0"/>
      <name val="Calibri"/>
      <family val="2"/>
      <charset val="238"/>
      <scheme val="minor"/>
    </font>
    <font>
      <b/>
      <sz val="14"/>
      <color theme="1"/>
      <name val="Calibri"/>
      <family val="2"/>
      <charset val="238"/>
      <scheme val="minor"/>
    </font>
    <font>
      <b/>
      <sz val="8"/>
      <name val="Caibri "/>
      <charset val="238"/>
    </font>
    <font>
      <b/>
      <u/>
      <sz val="11"/>
      <color theme="1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rgb="FF002060"/>
        <bgColor indexed="64"/>
      </patternFill>
    </fill>
    <fill>
      <patternFill patternType="solid">
        <fgColor theme="0"/>
        <bgColor indexed="64"/>
      </patternFill>
    </fill>
    <fill>
      <patternFill patternType="solid">
        <fgColor theme="6" tint="-0.249977111117893"/>
        <bgColor indexed="64"/>
      </patternFill>
    </fill>
    <fill>
      <patternFill patternType="solid">
        <fgColor theme="6" tint="0.79998168889431442"/>
        <bgColor indexed="64"/>
      </patternFill>
    </fill>
  </fills>
  <borders count="49">
    <border>
      <left/>
      <right/>
      <top/>
      <bottom/>
      <diagonal/>
    </border>
    <border>
      <left style="thin">
        <color auto="1"/>
      </left>
      <right style="thin">
        <color auto="1"/>
      </right>
      <top style="thin">
        <color auto="1"/>
      </top>
      <bottom style="thin">
        <color auto="1"/>
      </bottom>
      <diagonal/>
    </border>
    <border>
      <left/>
      <right style="mediumDashed">
        <color indexed="64"/>
      </right>
      <top style="thin">
        <color auto="1"/>
      </top>
      <bottom style="mediumDashed">
        <color indexed="64"/>
      </bottom>
      <diagonal/>
    </border>
    <border>
      <left/>
      <right style="mediumDashed">
        <color indexed="64"/>
      </right>
      <top style="thin">
        <color auto="1"/>
      </top>
      <bottom style="thin">
        <color auto="1"/>
      </bottom>
      <diagonal/>
    </border>
    <border>
      <left style="mediumDashed">
        <color indexed="64"/>
      </left>
      <right style="mediumDashed">
        <color indexed="64"/>
      </right>
      <top style="mediumDashed">
        <color indexed="64"/>
      </top>
      <bottom style="thin">
        <color auto="1"/>
      </bottom>
      <diagonal/>
    </border>
    <border>
      <left/>
      <right style="mediumDashed">
        <color indexed="64"/>
      </right>
      <top style="mediumDashed">
        <color indexed="64"/>
      </top>
      <bottom style="mediumDashed">
        <color indexed="64"/>
      </bottom>
      <diagonal/>
    </border>
    <border>
      <left style="mediumDashed">
        <color indexed="64"/>
      </left>
      <right style="mediumDashed">
        <color indexed="64"/>
      </right>
      <top style="thin">
        <color auto="1"/>
      </top>
      <bottom style="mediumDashed">
        <color indexed="64"/>
      </bottom>
      <diagonal/>
    </border>
    <border>
      <left style="mediumDashed">
        <color indexed="64"/>
      </left>
      <right style="mediumDashed">
        <color indexed="64"/>
      </right>
      <top style="mediumDashed">
        <color indexed="64"/>
      </top>
      <bottom style="mediumDashed">
        <color indexed="64"/>
      </bottom>
      <diagonal/>
    </border>
    <border>
      <left/>
      <right/>
      <top style="thin">
        <color auto="1"/>
      </top>
      <bottom style="thin">
        <color auto="1"/>
      </bottom>
      <diagonal/>
    </border>
    <border>
      <left/>
      <right style="thin">
        <color auto="1"/>
      </right>
      <top/>
      <bottom style="mediumDashed">
        <color indexed="64"/>
      </bottom>
      <diagonal/>
    </border>
    <border>
      <left/>
      <right style="mediumDashed">
        <color indexed="64"/>
      </right>
      <top/>
      <bottom style="medium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Dashed">
        <color indexed="64"/>
      </right>
      <top/>
      <bottom style="thin">
        <color auto="1"/>
      </bottom>
      <diagonal/>
    </border>
    <border>
      <left style="medium">
        <color indexed="64"/>
      </left>
      <right style="mediumDashed">
        <color indexed="64"/>
      </right>
      <top style="thin">
        <color auto="1"/>
      </top>
      <bottom style="mediumDashed">
        <color indexed="64"/>
      </bottom>
      <diagonal/>
    </border>
    <border>
      <left style="mediumDashed">
        <color indexed="64"/>
      </left>
      <right style="medium">
        <color indexed="64"/>
      </right>
      <top style="thin">
        <color auto="1"/>
      </top>
      <bottom style="mediumDashed">
        <color indexed="64"/>
      </bottom>
      <diagonal/>
    </border>
    <border>
      <left style="mediumDashed">
        <color indexed="64"/>
      </left>
      <right style="medium">
        <color indexed="64"/>
      </right>
      <top style="mediumDashed">
        <color indexed="64"/>
      </top>
      <bottom style="mediumDashed">
        <color indexed="64"/>
      </bottom>
      <diagonal/>
    </border>
    <border>
      <left style="mediumDashed">
        <color indexed="64"/>
      </left>
      <right style="medium">
        <color indexed="64"/>
      </right>
      <top/>
      <bottom style="mediumDashed">
        <color indexed="64"/>
      </bottom>
      <diagonal/>
    </border>
    <border>
      <left style="medium">
        <color indexed="64"/>
      </left>
      <right style="mediumDashed">
        <color indexed="64"/>
      </right>
      <top style="mediumDashed">
        <color indexed="64"/>
      </top>
      <bottom style="mediumDashed">
        <color indexed="64"/>
      </bottom>
      <diagonal/>
    </border>
    <border>
      <left/>
      <right style="medium">
        <color indexed="64"/>
      </right>
      <top style="mediumDashed">
        <color indexed="64"/>
      </top>
      <bottom style="mediumDashed">
        <color indexed="64"/>
      </bottom>
      <diagonal/>
    </border>
    <border>
      <left style="medium">
        <color indexed="64"/>
      </left>
      <right style="mediumDashed">
        <color indexed="64"/>
      </right>
      <top style="mediumDashed">
        <color indexed="64"/>
      </top>
      <bottom style="medium">
        <color indexed="64"/>
      </bottom>
      <diagonal/>
    </border>
    <border>
      <left style="medium">
        <color indexed="64"/>
      </left>
      <right/>
      <top style="medium">
        <color indexed="64"/>
      </top>
      <bottom style="mediumDashed">
        <color indexed="64"/>
      </bottom>
      <diagonal/>
    </border>
    <border>
      <left/>
      <right style="medium">
        <color indexed="64"/>
      </right>
      <top/>
      <bottom style="thin">
        <color auto="1"/>
      </bottom>
      <diagonal/>
    </border>
    <border>
      <left/>
      <right style="medium">
        <color indexed="64"/>
      </right>
      <top/>
      <bottom style="mediumDashed">
        <color indexed="64"/>
      </bottom>
      <diagonal/>
    </border>
    <border>
      <left/>
      <right style="medium">
        <color indexed="64"/>
      </right>
      <top style="mediumDashed">
        <color indexed="64"/>
      </top>
      <bottom style="medium">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style="mediumDashed">
        <color indexed="64"/>
      </bottom>
      <diagonal/>
    </border>
    <border>
      <left style="medium">
        <color indexed="64"/>
      </left>
      <right/>
      <top style="mediumDashed">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style="mediumDashed">
        <color indexed="64"/>
      </right>
      <top style="mediumDashed">
        <color indexed="64"/>
      </top>
      <bottom style="thin">
        <color auto="1"/>
      </bottom>
      <diagonal/>
    </border>
    <border>
      <left/>
      <right style="medium">
        <color indexed="64"/>
      </right>
      <top style="mediumDashed">
        <color indexed="64"/>
      </top>
      <bottom/>
      <diagonal/>
    </border>
    <border>
      <left style="medium">
        <color indexed="64"/>
      </left>
      <right style="mediumDashed">
        <color indexed="64"/>
      </right>
      <top style="thin">
        <color auto="1"/>
      </top>
      <bottom style="medium">
        <color indexed="64"/>
      </bottom>
      <diagonal/>
    </border>
    <border>
      <left style="mediumDashed">
        <color indexed="64"/>
      </left>
      <right style="mediumDashed">
        <color indexed="64"/>
      </right>
      <top style="thin">
        <color auto="1"/>
      </top>
      <bottom style="medium">
        <color indexed="64"/>
      </bottom>
      <diagonal/>
    </border>
    <border>
      <left style="mediumDashed">
        <color indexed="64"/>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style="mediumDashed">
        <color indexed="64"/>
      </right>
      <top style="medium">
        <color indexed="64"/>
      </top>
      <bottom style="thin">
        <color auto="1"/>
      </bottom>
      <diagonal/>
    </border>
    <border>
      <left style="mediumDashed">
        <color indexed="64"/>
      </left>
      <right style="mediumDashed">
        <color indexed="64"/>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mediumDashed">
        <color indexed="64"/>
      </bottom>
      <diagonal/>
    </border>
    <border>
      <left style="medium">
        <color indexed="64"/>
      </left>
      <right/>
      <top/>
      <bottom style="medium">
        <color indexed="64"/>
      </bottom>
      <diagonal/>
    </border>
    <border>
      <left/>
      <right style="mediumDashed">
        <color indexed="64"/>
      </right>
      <top style="mediumDashed">
        <color indexed="64"/>
      </top>
      <bottom style="medium">
        <color indexed="64"/>
      </bottom>
      <diagonal/>
    </border>
    <border>
      <left/>
      <right style="mediumDashed">
        <color indexed="64"/>
      </right>
      <top style="medium">
        <color indexed="64"/>
      </top>
      <bottom style="thin">
        <color auto="1"/>
      </bottom>
      <diagonal/>
    </border>
    <border>
      <left style="medium">
        <color indexed="64"/>
      </left>
      <right style="mediumDashed">
        <color indexed="64"/>
      </right>
      <top style="thin">
        <color auto="1"/>
      </top>
      <bottom style="thin">
        <color auto="1"/>
      </bottom>
      <diagonal/>
    </border>
    <border>
      <left style="mediumDashed">
        <color indexed="64"/>
      </left>
      <right style="medium">
        <color indexed="64"/>
      </right>
      <top style="mediumDashed">
        <color indexed="64"/>
      </top>
      <bottom style="thin">
        <color auto="1"/>
      </bottom>
      <diagonal/>
    </border>
    <border>
      <left/>
      <right style="thin">
        <color auto="1"/>
      </right>
      <top/>
      <bottom style="medium">
        <color indexed="64"/>
      </bottom>
      <diagonal/>
    </border>
    <border>
      <left/>
      <right style="medium">
        <color indexed="64"/>
      </right>
      <top/>
      <bottom style="medium">
        <color indexed="64"/>
      </bottom>
      <diagonal/>
    </border>
  </borders>
  <cellStyleXfs count="4">
    <xf numFmtId="0" fontId="0" fillId="0" borderId="0"/>
    <xf numFmtId="0" fontId="5" fillId="0" borderId="0" applyNumberFormat="0" applyFill="0" applyBorder="0" applyAlignment="0" applyProtection="0"/>
    <xf numFmtId="164" fontId="9" fillId="0" borderId="0" applyFont="0" applyFill="0" applyBorder="0" applyAlignment="0" applyProtection="0"/>
    <xf numFmtId="9" fontId="9" fillId="0" borderId="0" applyFont="0" applyFill="0" applyBorder="0" applyAlignment="0" applyProtection="0"/>
  </cellStyleXfs>
  <cellXfs count="171">
    <xf numFmtId="0" fontId="0" fillId="0" borderId="0" xfId="0"/>
    <xf numFmtId="0" fontId="0" fillId="0" borderId="1" xfId="0" applyBorder="1"/>
    <xf numFmtId="0" fontId="4" fillId="0" borderId="0" xfId="0" applyFont="1"/>
    <xf numFmtId="0" fontId="0" fillId="0" borderId="0" xfId="0" applyBorder="1"/>
    <xf numFmtId="0" fontId="4" fillId="0" borderId="0" xfId="0" applyFont="1" applyBorder="1"/>
    <xf numFmtId="0" fontId="4" fillId="0" borderId="0" xfId="0" applyFont="1" applyAlignment="1">
      <alignment wrapText="1"/>
    </xf>
    <xf numFmtId="164" fontId="3" fillId="0" borderId="0" xfId="2" applyFont="1" applyAlignment="1">
      <alignment horizontal="center"/>
    </xf>
    <xf numFmtId="0" fontId="3" fillId="0" borderId="0" xfId="0" applyFont="1"/>
    <xf numFmtId="0" fontId="3" fillId="3" borderId="0" xfId="0" applyFont="1" applyFill="1"/>
    <xf numFmtId="0" fontId="10" fillId="3" borderId="0" xfId="0" applyFont="1" applyFill="1"/>
    <xf numFmtId="0" fontId="11" fillId="3" borderId="0" xfId="0" applyFont="1" applyFill="1"/>
    <xf numFmtId="2" fontId="10" fillId="3" borderId="0" xfId="0" applyNumberFormat="1" applyFont="1" applyFill="1"/>
    <xf numFmtId="0" fontId="3" fillId="0" borderId="0" xfId="0" applyFont="1" applyBorder="1"/>
    <xf numFmtId="164" fontId="3" fillId="0" borderId="0" xfId="2" applyFont="1" applyBorder="1" applyAlignment="1">
      <alignment horizontal="center"/>
    </xf>
    <xf numFmtId="0" fontId="16" fillId="0" borderId="4" xfId="0" applyFont="1" applyBorder="1" applyAlignment="1">
      <alignment wrapText="1"/>
    </xf>
    <xf numFmtId="0" fontId="14" fillId="0" borderId="6" xfId="0" applyFont="1" applyBorder="1" applyAlignment="1">
      <alignment wrapText="1"/>
    </xf>
    <xf numFmtId="7" fontId="3" fillId="0" borderId="6" xfId="2" applyNumberFormat="1" applyFont="1" applyBorder="1" applyAlignment="1">
      <alignment horizontal="center"/>
    </xf>
    <xf numFmtId="7" fontId="3" fillId="0" borderId="7" xfId="2" applyNumberFormat="1" applyFont="1" applyBorder="1" applyAlignment="1">
      <alignment horizontal="center"/>
    </xf>
    <xf numFmtId="0" fontId="16" fillId="0" borderId="3" xfId="0" applyFont="1" applyBorder="1" applyAlignment="1">
      <alignment wrapText="1"/>
    </xf>
    <xf numFmtId="0" fontId="14" fillId="0" borderId="8" xfId="0" applyFont="1" applyBorder="1" applyAlignment="1">
      <alignment wrapText="1"/>
    </xf>
    <xf numFmtId="0" fontId="16" fillId="0" borderId="10" xfId="0" applyFont="1" applyBorder="1" applyAlignment="1">
      <alignment wrapText="1"/>
    </xf>
    <xf numFmtId="7" fontId="3" fillId="0" borderId="5" xfId="2" applyNumberFormat="1" applyFont="1" applyBorder="1" applyAlignment="1">
      <alignment horizontal="center"/>
    </xf>
    <xf numFmtId="7" fontId="3" fillId="0" borderId="9" xfId="2" applyNumberFormat="1" applyFont="1" applyBorder="1" applyAlignment="1">
      <alignment horizontal="center"/>
    </xf>
    <xf numFmtId="7" fontId="3" fillId="0" borderId="4" xfId="2" applyNumberFormat="1" applyFont="1" applyBorder="1" applyAlignment="1">
      <alignment horizontal="center"/>
    </xf>
    <xf numFmtId="0" fontId="18" fillId="0" borderId="7" xfId="0" applyFont="1" applyFill="1" applyBorder="1" applyAlignment="1">
      <alignment wrapText="1"/>
    </xf>
    <xf numFmtId="0" fontId="16" fillId="0" borderId="5" xfId="0" applyFont="1" applyFill="1" applyBorder="1" applyAlignment="1">
      <alignment wrapText="1"/>
    </xf>
    <xf numFmtId="0" fontId="16" fillId="0" borderId="2" xfId="0" applyFont="1" applyBorder="1" applyAlignment="1">
      <alignment vertical="top" wrapText="1"/>
    </xf>
    <xf numFmtId="0" fontId="19" fillId="3" borderId="0" xfId="0" applyFont="1" applyFill="1"/>
    <xf numFmtId="2" fontId="20" fillId="3" borderId="0" xfId="0" applyNumberFormat="1" applyFont="1" applyFill="1"/>
    <xf numFmtId="0" fontId="20" fillId="3" borderId="0" xfId="0" applyFont="1" applyFill="1"/>
    <xf numFmtId="10" fontId="10" fillId="3" borderId="0" xfId="3" applyNumberFormat="1" applyFont="1" applyFill="1"/>
    <xf numFmtId="0" fontId="3" fillId="4" borderId="0" xfId="0" applyFont="1" applyFill="1" applyBorder="1"/>
    <xf numFmtId="0" fontId="12" fillId="0" borderId="15" xfId="0" applyFont="1" applyBorder="1"/>
    <xf numFmtId="7" fontId="3" fillId="0" borderId="16" xfId="2" applyNumberFormat="1" applyFont="1" applyBorder="1" applyAlignment="1">
      <alignment horizontal="center"/>
    </xf>
    <xf numFmtId="0" fontId="12" fillId="0" borderId="14" xfId="0" applyFont="1" applyBorder="1"/>
    <xf numFmtId="7" fontId="3" fillId="0" borderId="17" xfId="2" applyNumberFormat="1" applyFont="1" applyBorder="1" applyAlignment="1">
      <alignment horizontal="center"/>
    </xf>
    <xf numFmtId="7" fontId="3" fillId="0" borderId="18" xfId="2" applyNumberFormat="1" applyFont="1" applyBorder="1" applyAlignment="1">
      <alignment horizontal="center"/>
    </xf>
    <xf numFmtId="0" fontId="12" fillId="0" borderId="19" xfId="0" applyFont="1" applyBorder="1"/>
    <xf numFmtId="7" fontId="3" fillId="0" borderId="20" xfId="2" applyNumberFormat="1" applyFont="1" applyBorder="1" applyAlignment="1">
      <alignment horizontal="center"/>
    </xf>
    <xf numFmtId="0" fontId="3" fillId="0" borderId="19" xfId="0" applyFont="1" applyBorder="1" applyAlignment="1">
      <alignment wrapText="1"/>
    </xf>
    <xf numFmtId="0" fontId="3" fillId="0" borderId="19" xfId="0" applyFont="1" applyBorder="1"/>
    <xf numFmtId="0" fontId="16" fillId="0" borderId="19" xfId="0" applyFont="1" applyBorder="1"/>
    <xf numFmtId="0" fontId="16" fillId="0" borderId="19" xfId="0" applyFont="1" applyBorder="1" applyAlignment="1">
      <alignment wrapText="1"/>
    </xf>
    <xf numFmtId="7" fontId="3" fillId="0" borderId="24" xfId="2" applyNumberFormat="1" applyFont="1" applyBorder="1" applyAlignment="1">
      <alignment horizontal="center"/>
    </xf>
    <xf numFmtId="0" fontId="16" fillId="4" borderId="19" xfId="0" applyFont="1" applyFill="1" applyBorder="1" applyAlignment="1">
      <alignment wrapText="1"/>
    </xf>
    <xf numFmtId="0" fontId="16" fillId="0" borderId="19" xfId="0" applyFont="1" applyBorder="1" applyAlignment="1">
      <alignment horizontal="left" wrapText="1"/>
    </xf>
    <xf numFmtId="7" fontId="3" fillId="4" borderId="17" xfId="2" applyNumberFormat="1" applyFont="1" applyFill="1" applyBorder="1" applyAlignment="1">
      <alignment horizontal="center"/>
    </xf>
    <xf numFmtId="7" fontId="3" fillId="4" borderId="20" xfId="2" applyNumberFormat="1" applyFont="1" applyFill="1" applyBorder="1" applyAlignment="1">
      <alignment horizontal="center"/>
    </xf>
    <xf numFmtId="7" fontId="3" fillId="0" borderId="25" xfId="2" applyNumberFormat="1" applyFont="1" applyBorder="1" applyAlignment="1">
      <alignment horizontal="center"/>
    </xf>
    <xf numFmtId="165" fontId="3" fillId="0" borderId="0" xfId="3" applyNumberFormat="1" applyFont="1"/>
    <xf numFmtId="165" fontId="3" fillId="4" borderId="0" xfId="3" applyNumberFormat="1" applyFont="1" applyFill="1" applyBorder="1"/>
    <xf numFmtId="7" fontId="16" fillId="0" borderId="19" xfId="2" applyNumberFormat="1" applyFont="1" applyBorder="1" applyAlignment="1">
      <alignment horizontal="left"/>
    </xf>
    <xf numFmtId="4" fontId="20" fillId="3" borderId="0" xfId="0" applyNumberFormat="1" applyFont="1" applyFill="1"/>
    <xf numFmtId="0" fontId="16" fillId="0" borderId="0" xfId="0" applyFont="1"/>
    <xf numFmtId="0" fontId="18" fillId="0" borderId="0" xfId="0" applyFont="1" applyAlignment="1">
      <alignment wrapText="1"/>
    </xf>
    <xf numFmtId="0" fontId="12" fillId="0" borderId="28" xfId="0" applyFont="1" applyBorder="1"/>
    <xf numFmtId="0" fontId="12" fillId="0" borderId="27" xfId="0" applyFont="1" applyBorder="1"/>
    <xf numFmtId="0" fontId="12" fillId="0" borderId="29" xfId="0" applyFont="1" applyBorder="1"/>
    <xf numFmtId="0" fontId="3" fillId="0" borderId="29" xfId="0" applyFont="1" applyBorder="1" applyAlignment="1">
      <alignment wrapText="1"/>
    </xf>
    <xf numFmtId="7" fontId="15" fillId="0" borderId="15" xfId="0" applyNumberFormat="1" applyFont="1" applyBorder="1" applyAlignment="1">
      <alignment wrapText="1"/>
    </xf>
    <xf numFmtId="7" fontId="15" fillId="0" borderId="6" xfId="0" applyNumberFormat="1" applyFont="1" applyBorder="1" applyAlignment="1">
      <alignment wrapText="1"/>
    </xf>
    <xf numFmtId="165" fontId="15" fillId="0" borderId="16" xfId="3" applyNumberFormat="1" applyFont="1" applyBorder="1" applyAlignment="1">
      <alignment wrapText="1"/>
    </xf>
    <xf numFmtId="7" fontId="15" fillId="0" borderId="34" xfId="0" applyNumberFormat="1" applyFont="1" applyBorder="1" applyAlignment="1">
      <alignment wrapText="1"/>
    </xf>
    <xf numFmtId="7" fontId="15" fillId="0" borderId="35" xfId="0" applyNumberFormat="1" applyFont="1" applyBorder="1" applyAlignment="1">
      <alignment wrapText="1"/>
    </xf>
    <xf numFmtId="165" fontId="15" fillId="0" borderId="36" xfId="3" applyNumberFormat="1" applyFont="1" applyBorder="1" applyAlignment="1">
      <alignment wrapText="1"/>
    </xf>
    <xf numFmtId="0" fontId="22" fillId="4" borderId="26" xfId="0" applyFont="1" applyFill="1" applyBorder="1" applyAlignment="1">
      <alignment wrapText="1"/>
    </xf>
    <xf numFmtId="0" fontId="22" fillId="4" borderId="0" xfId="0" applyFont="1" applyFill="1" applyBorder="1" applyAlignment="1">
      <alignment wrapText="1"/>
    </xf>
    <xf numFmtId="0" fontId="22" fillId="2" borderId="0" xfId="0" applyFont="1" applyFill="1" applyBorder="1" applyAlignment="1">
      <alignment wrapText="1"/>
    </xf>
    <xf numFmtId="0" fontId="22" fillId="2" borderId="26" xfId="0" applyFont="1" applyFill="1" applyBorder="1" applyAlignment="1">
      <alignment wrapText="1"/>
    </xf>
    <xf numFmtId="0" fontId="25" fillId="4" borderId="0" xfId="0" applyFont="1" applyFill="1" applyBorder="1" applyAlignment="1">
      <alignment wrapText="1"/>
    </xf>
    <xf numFmtId="0" fontId="25" fillId="0" borderId="0" xfId="0" applyFont="1" applyAlignment="1">
      <alignment wrapText="1"/>
    </xf>
    <xf numFmtId="0" fontId="10" fillId="3" borderId="0" xfId="0" applyFont="1" applyFill="1" applyAlignment="1">
      <alignment horizontal="right"/>
    </xf>
    <xf numFmtId="2" fontId="20" fillId="3" borderId="0" xfId="0" applyNumberFormat="1" applyFont="1" applyFill="1" applyAlignment="1">
      <alignment horizontal="right"/>
    </xf>
    <xf numFmtId="0" fontId="3" fillId="3" borderId="0" xfId="0" applyFont="1" applyFill="1" applyBorder="1"/>
    <xf numFmtId="0" fontId="17" fillId="4" borderId="0" xfId="0" applyFont="1" applyFill="1" applyBorder="1"/>
    <xf numFmtId="0" fontId="17" fillId="4" borderId="0" xfId="0" applyFont="1" applyFill="1" applyBorder="1" applyAlignment="1">
      <alignment horizontal="left" vertical="top"/>
    </xf>
    <xf numFmtId="0" fontId="28" fillId="4" borderId="0" xfId="0" applyFont="1" applyFill="1" applyBorder="1" applyAlignment="1">
      <alignment horizontal="left" vertical="top"/>
    </xf>
    <xf numFmtId="0" fontId="12" fillId="0" borderId="19" xfId="0" applyFont="1" applyBorder="1" applyAlignment="1">
      <alignment wrapText="1"/>
    </xf>
    <xf numFmtId="10" fontId="16" fillId="0" borderId="19" xfId="0" applyNumberFormat="1" applyFont="1" applyBorder="1" applyAlignment="1">
      <alignment horizontal="left"/>
    </xf>
    <xf numFmtId="7" fontId="3" fillId="0" borderId="20" xfId="2" applyNumberFormat="1" applyFont="1" applyBorder="1" applyAlignment="1">
      <alignment wrapText="1"/>
    </xf>
    <xf numFmtId="0" fontId="5" fillId="0" borderId="0" xfId="1" applyAlignment="1">
      <alignment horizontal="left" vertical="center" wrapText="1" indent="1"/>
    </xf>
    <xf numFmtId="0" fontId="29" fillId="0" borderId="0" xfId="0" applyFont="1"/>
    <xf numFmtId="0" fontId="30" fillId="3" borderId="0" xfId="0" applyFont="1" applyFill="1"/>
    <xf numFmtId="0" fontId="10" fillId="5" borderId="19" xfId="0" applyFont="1" applyFill="1" applyBorder="1" applyAlignment="1">
      <alignment horizontal="center" wrapText="1"/>
    </xf>
    <xf numFmtId="0" fontId="10" fillId="5" borderId="23" xfId="0" applyFont="1" applyFill="1" applyBorder="1" applyAlignment="1">
      <alignment horizontal="center" wrapText="1"/>
    </xf>
    <xf numFmtId="0" fontId="34" fillId="0" borderId="0" xfId="0" applyFont="1"/>
    <xf numFmtId="0" fontId="10" fillId="5" borderId="37" xfId="0" applyFont="1" applyFill="1" applyBorder="1" applyAlignment="1">
      <alignment horizontal="center" wrapText="1"/>
    </xf>
    <xf numFmtId="0" fontId="10" fillId="5" borderId="38" xfId="0" applyFont="1" applyFill="1" applyBorder="1" applyAlignment="1">
      <alignment horizontal="center" wrapText="1"/>
    </xf>
    <xf numFmtId="0" fontId="10" fillId="5" borderId="39" xfId="0" applyFont="1" applyFill="1" applyBorder="1" applyAlignment="1">
      <alignment horizontal="center" wrapText="1"/>
    </xf>
    <xf numFmtId="164" fontId="10" fillId="5" borderId="40" xfId="2" applyFont="1" applyFill="1" applyBorder="1" applyAlignment="1">
      <alignment horizontal="center" wrapText="1"/>
    </xf>
    <xf numFmtId="0" fontId="33" fillId="0" borderId="29" xfId="1" applyFont="1" applyBorder="1" applyAlignment="1">
      <alignment wrapText="1"/>
    </xf>
    <xf numFmtId="0" fontId="33" fillId="0" borderId="41" xfId="1" applyFont="1" applyBorder="1" applyAlignment="1">
      <alignment wrapText="1"/>
    </xf>
    <xf numFmtId="0" fontId="33" fillId="0" borderId="42" xfId="1" applyFont="1" applyBorder="1" applyAlignment="1">
      <alignment wrapText="1"/>
    </xf>
    <xf numFmtId="0" fontId="12" fillId="0" borderId="21" xfId="0" applyFont="1" applyBorder="1" applyAlignment="1">
      <alignment wrapText="1"/>
    </xf>
    <xf numFmtId="0" fontId="16" fillId="0" borderId="43" xfId="0" applyFont="1" applyFill="1" applyBorder="1" applyAlignment="1">
      <alignment wrapText="1"/>
    </xf>
    <xf numFmtId="0" fontId="16" fillId="0" borderId="21" xfId="0" applyFont="1" applyBorder="1" applyAlignment="1">
      <alignment wrapText="1"/>
    </xf>
    <xf numFmtId="7" fontId="3" fillId="0" borderId="25" xfId="2" applyNumberFormat="1" applyFont="1" applyBorder="1" applyAlignment="1">
      <alignment wrapText="1"/>
    </xf>
    <xf numFmtId="0" fontId="13" fillId="5" borderId="38" xfId="0" applyFont="1" applyFill="1" applyBorder="1" applyAlignment="1">
      <alignment horizontal="center" wrapText="1"/>
    </xf>
    <xf numFmtId="0" fontId="10" fillId="5" borderId="44" xfId="0" applyFont="1" applyFill="1" applyBorder="1" applyAlignment="1">
      <alignment horizontal="center" wrapText="1"/>
    </xf>
    <xf numFmtId="165" fontId="10" fillId="5" borderId="40" xfId="3" applyNumberFormat="1" applyFont="1" applyFill="1" applyBorder="1" applyAlignment="1">
      <alignment horizontal="center" wrapText="1"/>
    </xf>
    <xf numFmtId="7" fontId="3" fillId="0" borderId="45" xfId="2" applyNumberFormat="1" applyFont="1" applyBorder="1" applyAlignment="1">
      <alignment horizontal="center"/>
    </xf>
    <xf numFmtId="165" fontId="3" fillId="0" borderId="16" xfId="3" applyNumberFormat="1" applyFont="1" applyBorder="1" applyAlignment="1">
      <alignment horizontal="center"/>
    </xf>
    <xf numFmtId="7" fontId="3" fillId="0" borderId="15" xfId="2" applyNumberFormat="1" applyFont="1" applyBorder="1" applyAlignment="1">
      <alignment horizontal="center"/>
    </xf>
    <xf numFmtId="165" fontId="3" fillId="0" borderId="17" xfId="3" applyNumberFormat="1" applyFont="1" applyBorder="1" applyAlignment="1">
      <alignment horizontal="center"/>
    </xf>
    <xf numFmtId="7" fontId="3" fillId="0" borderId="19" xfId="2" applyNumberFormat="1" applyFont="1" applyBorder="1" applyAlignment="1">
      <alignment horizontal="center"/>
    </xf>
    <xf numFmtId="165" fontId="3" fillId="0" borderId="20" xfId="3" applyNumberFormat="1" applyFont="1" applyBorder="1" applyAlignment="1">
      <alignment horizontal="center"/>
    </xf>
    <xf numFmtId="165" fontId="3" fillId="0" borderId="46" xfId="3" applyNumberFormat="1" applyFont="1" applyBorder="1" applyAlignment="1">
      <alignment horizontal="center"/>
    </xf>
    <xf numFmtId="7" fontId="3" fillId="0" borderId="32" xfId="2" applyNumberFormat="1" applyFont="1" applyBorder="1" applyAlignment="1">
      <alignment horizontal="center"/>
    </xf>
    <xf numFmtId="165" fontId="3" fillId="0" borderId="24" xfId="3" applyNumberFormat="1" applyFont="1" applyBorder="1" applyAlignment="1">
      <alignment horizontal="center"/>
    </xf>
    <xf numFmtId="7" fontId="3" fillId="0" borderId="34" xfId="2" applyNumberFormat="1" applyFont="1" applyBorder="1" applyAlignment="1">
      <alignment horizontal="center"/>
    </xf>
    <xf numFmtId="7" fontId="3" fillId="0" borderId="47" xfId="2" applyNumberFormat="1" applyFont="1" applyBorder="1" applyAlignment="1">
      <alignment horizontal="center"/>
    </xf>
    <xf numFmtId="7" fontId="3" fillId="0" borderId="35" xfId="2" applyNumberFormat="1" applyFont="1" applyBorder="1" applyAlignment="1">
      <alignment horizontal="center"/>
    </xf>
    <xf numFmtId="165" fontId="3" fillId="0" borderId="48" xfId="3" applyNumberFormat="1" applyFont="1" applyBorder="1" applyAlignment="1">
      <alignment horizontal="center"/>
    </xf>
    <xf numFmtId="7" fontId="3" fillId="0" borderId="25" xfId="2" applyNumberFormat="1" applyFont="1" applyBorder="1" applyAlignment="1">
      <alignment horizontal="center" wrapText="1"/>
    </xf>
    <xf numFmtId="7" fontId="3" fillId="0" borderId="20" xfId="2" applyNumberFormat="1" applyFont="1" applyBorder="1" applyAlignment="1">
      <alignment horizontal="center" wrapText="1"/>
    </xf>
    <xf numFmtId="164" fontId="3" fillId="0" borderId="0" xfId="2" applyFont="1"/>
    <xf numFmtId="7" fontId="3" fillId="0" borderId="0" xfId="0" applyNumberFormat="1" applyFont="1"/>
    <xf numFmtId="0" fontId="24" fillId="5" borderId="27" xfId="0" applyFont="1" applyFill="1" applyBorder="1" applyAlignment="1">
      <alignment horizontal="center" wrapText="1"/>
    </xf>
    <xf numFmtId="0" fontId="24" fillId="5" borderId="32" xfId="0" applyFont="1" applyFill="1" applyBorder="1" applyAlignment="1">
      <alignment horizontal="center" wrapText="1"/>
    </xf>
    <xf numFmtId="0" fontId="24" fillId="5" borderId="19" xfId="0" applyFont="1" applyFill="1" applyBorder="1" applyAlignment="1">
      <alignment horizontal="center" wrapText="1"/>
    </xf>
    <xf numFmtId="0" fontId="24" fillId="5" borderId="33" xfId="0" applyFont="1" applyFill="1" applyBorder="1" applyAlignment="1">
      <alignment horizontal="center" wrapText="1"/>
    </xf>
    <xf numFmtId="165" fontId="15" fillId="0" borderId="0" xfId="3" applyNumberFormat="1" applyFont="1" applyBorder="1" applyAlignment="1">
      <alignment wrapText="1"/>
    </xf>
    <xf numFmtId="0" fontId="2" fillId="0" borderId="29" xfId="0" applyFont="1" applyBorder="1" applyAlignment="1">
      <alignment wrapText="1"/>
    </xf>
    <xf numFmtId="7" fontId="16" fillId="0" borderId="20" xfId="2" applyNumberFormat="1" applyFont="1" applyBorder="1" applyAlignment="1">
      <alignment wrapText="1"/>
    </xf>
    <xf numFmtId="0" fontId="11" fillId="5" borderId="1" xfId="0" applyFont="1" applyFill="1" applyBorder="1" applyAlignment="1">
      <alignment horizontal="center"/>
    </xf>
    <xf numFmtId="0" fontId="10" fillId="5" borderId="1" xfId="0" applyFont="1" applyFill="1" applyBorder="1" applyAlignment="1">
      <alignment horizontal="center"/>
    </xf>
    <xf numFmtId="0" fontId="13" fillId="4" borderId="1" xfId="0" applyFont="1" applyFill="1" applyBorder="1" applyAlignment="1">
      <alignment horizontal="left" vertical="top"/>
    </xf>
    <xf numFmtId="0" fontId="27" fillId="4" borderId="1" xfId="0" applyFont="1" applyFill="1" applyBorder="1" applyAlignment="1">
      <alignment horizontal="left" vertical="top"/>
    </xf>
    <xf numFmtId="0" fontId="26" fillId="4" borderId="1" xfId="0" applyFont="1" applyFill="1" applyBorder="1" applyAlignment="1">
      <alignment horizontal="left" vertical="top"/>
    </xf>
    <xf numFmtId="0" fontId="27" fillId="4" borderId="1" xfId="1" applyFont="1" applyFill="1" applyBorder="1" applyAlignment="1">
      <alignment horizontal="left" vertical="top"/>
    </xf>
    <xf numFmtId="0" fontId="26" fillId="4" borderId="1" xfId="0" applyFont="1" applyFill="1" applyBorder="1" applyAlignment="1">
      <alignment horizontal="left" vertical="top" wrapText="1"/>
    </xf>
    <xf numFmtId="0" fontId="27" fillId="4" borderId="1" xfId="1" applyFont="1" applyFill="1" applyBorder="1" applyAlignment="1">
      <alignment horizontal="left" vertical="top" wrapText="1"/>
    </xf>
    <xf numFmtId="0" fontId="12" fillId="0" borderId="1" xfId="0" applyFont="1" applyBorder="1" applyAlignment="1">
      <alignment wrapText="1"/>
    </xf>
    <xf numFmtId="0" fontId="17" fillId="4" borderId="1" xfId="0" applyFont="1" applyFill="1" applyBorder="1"/>
    <xf numFmtId="0" fontId="31" fillId="4" borderId="0" xfId="0" applyFont="1" applyFill="1" applyBorder="1" applyAlignment="1">
      <alignment wrapText="1"/>
    </xf>
    <xf numFmtId="0" fontId="31" fillId="4" borderId="0" xfId="1" applyFont="1" applyFill="1" applyBorder="1" applyAlignment="1">
      <alignment horizontal="left" vertical="top" wrapText="1"/>
    </xf>
    <xf numFmtId="0" fontId="35" fillId="4" borderId="0" xfId="0" applyFont="1" applyFill="1" applyBorder="1" applyAlignment="1">
      <alignment horizontal="left" vertical="top" wrapText="1"/>
    </xf>
    <xf numFmtId="0" fontId="31" fillId="4" borderId="0" xfId="0" applyFont="1" applyFill="1" applyBorder="1" applyAlignment="1">
      <alignment horizontal="left" vertical="top" wrapText="1"/>
    </xf>
    <xf numFmtId="0" fontId="36" fillId="4" borderId="0" xfId="0" applyFont="1" applyFill="1" applyBorder="1"/>
    <xf numFmtId="0" fontId="31" fillId="4" borderId="1" xfId="1" applyFont="1" applyFill="1" applyBorder="1" applyAlignment="1">
      <alignment horizontal="left" vertical="top" wrapText="1"/>
    </xf>
    <xf numFmtId="0" fontId="35" fillId="4" borderId="1" xfId="0" applyFont="1" applyFill="1" applyBorder="1" applyAlignment="1">
      <alignment horizontal="left" vertical="top" wrapText="1"/>
    </xf>
    <xf numFmtId="0" fontId="31" fillId="4" borderId="1" xfId="0" applyFont="1" applyFill="1" applyBorder="1" applyAlignment="1">
      <alignment wrapText="1"/>
    </xf>
    <xf numFmtId="0" fontId="8" fillId="0" borderId="0" xfId="0" applyFont="1" applyBorder="1"/>
    <xf numFmtId="0" fontId="32" fillId="0" borderId="0" xfId="0" applyFont="1" applyBorder="1"/>
    <xf numFmtId="0" fontId="26" fillId="4" borderId="1" xfId="1" applyFont="1" applyFill="1" applyBorder="1" applyAlignment="1">
      <alignment horizontal="left" vertical="top" wrapText="1"/>
    </xf>
    <xf numFmtId="0" fontId="26" fillId="4" borderId="1" xfId="0" applyFont="1" applyFill="1" applyBorder="1" applyAlignment="1">
      <alignment wrapText="1"/>
    </xf>
    <xf numFmtId="0" fontId="27" fillId="4" borderId="1" xfId="0" applyFont="1" applyFill="1" applyBorder="1" applyAlignment="1">
      <alignment horizontal="left" vertical="top" wrapText="1"/>
    </xf>
    <xf numFmtId="0" fontId="27" fillId="4" borderId="1" xfId="0" applyFont="1" applyFill="1" applyBorder="1" applyAlignment="1">
      <alignment wrapText="1"/>
    </xf>
    <xf numFmtId="0" fontId="31" fillId="5" borderId="1" xfId="0" applyFont="1" applyFill="1" applyBorder="1" applyAlignment="1">
      <alignment wrapText="1"/>
    </xf>
    <xf numFmtId="0" fontId="38" fillId="5" borderId="1" xfId="0" applyFont="1" applyFill="1" applyBorder="1"/>
    <xf numFmtId="0" fontId="39" fillId="5" borderId="1" xfId="0" applyFont="1" applyFill="1" applyBorder="1" applyAlignment="1">
      <alignment wrapText="1"/>
    </xf>
    <xf numFmtId="0" fontId="38" fillId="5" borderId="1" xfId="0" applyFont="1" applyFill="1" applyBorder="1" applyAlignment="1">
      <alignment horizontal="center"/>
    </xf>
    <xf numFmtId="0" fontId="40" fillId="0" borderId="0" xfId="0" applyFont="1" applyBorder="1"/>
    <xf numFmtId="0" fontId="12" fillId="4" borderId="1" xfId="0" applyFont="1" applyFill="1" applyBorder="1" applyAlignment="1">
      <alignment horizontal="left" vertical="top"/>
    </xf>
    <xf numFmtId="0" fontId="36" fillId="0" borderId="0" xfId="0" applyFont="1" applyBorder="1"/>
    <xf numFmtId="0" fontId="41" fillId="4" borderId="1" xfId="0" applyFont="1" applyFill="1" applyBorder="1" applyAlignment="1">
      <alignment horizontal="left" vertical="top" wrapText="1"/>
    </xf>
    <xf numFmtId="0" fontId="41" fillId="4" borderId="1" xfId="1" applyFont="1" applyFill="1" applyBorder="1" applyAlignment="1">
      <alignment horizontal="left" vertical="top" wrapText="1"/>
    </xf>
    <xf numFmtId="0" fontId="37" fillId="4" borderId="1" xfId="0" applyFont="1" applyFill="1" applyBorder="1" applyAlignment="1">
      <alignment horizontal="left" vertical="top" wrapText="1"/>
    </xf>
    <xf numFmtId="0" fontId="42" fillId="0" borderId="0" xfId="1" applyFont="1"/>
    <xf numFmtId="0" fontId="22" fillId="2" borderId="22" xfId="0" applyFont="1" applyFill="1" applyBorder="1" applyAlignment="1">
      <alignment horizontal="center" wrapText="1"/>
    </xf>
    <xf numFmtId="0" fontId="22" fillId="2" borderId="30" xfId="0" applyFont="1" applyFill="1" applyBorder="1" applyAlignment="1">
      <alignment horizontal="center" wrapText="1"/>
    </xf>
    <xf numFmtId="0" fontId="22" fillId="2" borderId="31" xfId="0" applyFont="1" applyFill="1" applyBorder="1" applyAlignment="1">
      <alignment horizontal="center" wrapText="1"/>
    </xf>
    <xf numFmtId="0" fontId="22" fillId="6" borderId="22" xfId="0" applyFont="1" applyFill="1" applyBorder="1" applyAlignment="1">
      <alignment horizontal="center" wrapText="1"/>
    </xf>
    <xf numFmtId="0" fontId="22" fillId="6" borderId="30" xfId="0" applyFont="1" applyFill="1" applyBorder="1" applyAlignment="1">
      <alignment horizontal="center" wrapText="1"/>
    </xf>
    <xf numFmtId="0" fontId="22" fillId="6" borderId="31" xfId="0" applyFont="1" applyFill="1" applyBorder="1" applyAlignment="1">
      <alignment horizontal="center" wrapText="1"/>
    </xf>
    <xf numFmtId="0" fontId="21" fillId="2" borderId="11" xfId="0" applyFont="1" applyFill="1" applyBorder="1" applyAlignment="1">
      <alignment horizontal="center"/>
    </xf>
    <xf numFmtId="0" fontId="21" fillId="2" borderId="12" xfId="0" applyFont="1" applyFill="1" applyBorder="1" applyAlignment="1">
      <alignment horizontal="center"/>
    </xf>
    <xf numFmtId="0" fontId="21" fillId="2" borderId="13" xfId="0" applyFont="1" applyFill="1" applyBorder="1" applyAlignment="1">
      <alignment horizontal="center"/>
    </xf>
    <xf numFmtId="0" fontId="21" fillId="6" borderId="11" xfId="0" applyFont="1" applyFill="1" applyBorder="1" applyAlignment="1">
      <alignment horizontal="center"/>
    </xf>
    <xf numFmtId="0" fontId="21" fillId="6" borderId="13" xfId="0" applyFont="1" applyFill="1" applyBorder="1" applyAlignment="1">
      <alignment horizontal="center"/>
    </xf>
    <xf numFmtId="0" fontId="21" fillId="0" borderId="0" xfId="0" applyFont="1" applyBorder="1" applyAlignment="1">
      <alignment horizontal="center"/>
    </xf>
  </cellXfs>
  <cellStyles count="4">
    <cellStyle name="Dziesiętny" xfId="2" builtinId="3"/>
    <cellStyle name="Hiperłącze" xfId="1" builtinId="8"/>
    <cellStyle name="Normalny" xfId="0" builtinId="0"/>
    <cellStyle name="Procentowy" xfId="3" builtinId="5"/>
  </cellStyles>
  <dxfs count="22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b="1"/>
              <a:t>NAJWIĘKSZE FIRMY ETF</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55E-40EA-8CA0-4CF5F8CEE98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55E-40EA-8CA0-4CF5F8CEE98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55E-40EA-8CA0-4CF5F8CEE98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55E-40EA-8CA0-4CF5F8CEE98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55E-40EA-8CA0-4CF5F8CEE98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55E-40EA-8CA0-4CF5F8CEE98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'Największe ETF'!$A$3:$A$8</c:f>
              <c:strCache>
                <c:ptCount val="6"/>
                <c:pt idx="0">
                  <c:v>BlackRock (Ishares ETF)</c:v>
                </c:pt>
                <c:pt idx="1">
                  <c:v>Vanguard</c:v>
                </c:pt>
                <c:pt idx="2">
                  <c:v>State Street Corp. (SDPR ETF )</c:v>
                </c:pt>
                <c:pt idx="3">
                  <c:v>Invesco</c:v>
                </c:pt>
                <c:pt idx="4">
                  <c:v>Charles Schwab Corp.</c:v>
                </c:pt>
                <c:pt idx="5">
                  <c:v>Inne - szacunek</c:v>
                </c:pt>
              </c:strCache>
            </c:strRef>
          </c:cat>
          <c:val>
            <c:numRef>
              <c:f>'Największe ETF'!$B$3:$B$8</c:f>
              <c:numCache>
                <c:formatCode>General</c:formatCode>
                <c:ptCount val="6"/>
                <c:pt idx="0">
                  <c:v>1554</c:v>
                </c:pt>
                <c:pt idx="1">
                  <c:v>1008</c:v>
                </c:pt>
                <c:pt idx="2">
                  <c:v>640</c:v>
                </c:pt>
                <c:pt idx="3">
                  <c:v>203</c:v>
                </c:pt>
                <c:pt idx="4">
                  <c:v>142</c:v>
                </c:pt>
                <c:pt idx="5">
                  <c:v>453</c:v>
                </c:pt>
              </c:numCache>
            </c:numRef>
          </c:val>
          <c:extLst>
            <c:ext xmlns:c16="http://schemas.microsoft.com/office/drawing/2014/chart" uri="{C3380CC4-5D6E-409C-BE32-E72D297353CC}">
              <c16:uniqueId val="{00000000-F6DC-42D9-88DC-34829B9EE45C}"/>
            </c:ext>
          </c:extLst>
        </c:ser>
        <c:dLbls>
          <c:showLegendKey val="0"/>
          <c:showVal val="0"/>
          <c:showCatName val="0"/>
          <c:showSerName val="0"/>
          <c:showPercent val="1"/>
          <c:showBubbleSize val="0"/>
          <c:showLeaderLines val="1"/>
        </c:dLbls>
        <c:firstSliceAng val="1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b="1"/>
              <a:t>NAJWIĘKSZE</a:t>
            </a:r>
            <a:r>
              <a:rPr lang="pl-PL" b="1" baseline="0"/>
              <a:t> FUNDUSZE ETF (w bln USD)</a:t>
            </a:r>
            <a:endParaRPr lang="pl-PL"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l-PL"/>
        </a:p>
      </c:txPr>
    </c:title>
    <c:autoTitleDeleted val="0"/>
    <c:plotArea>
      <c:layout/>
      <c:pieChart>
        <c:varyColors val="1"/>
        <c:ser>
          <c:idx val="0"/>
          <c:order val="0"/>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B8-4760-893C-29D458CAA90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0B8-4760-893C-29D458CAA90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0B8-4760-893C-29D458CAA9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0B8-4760-893C-29D458CAA90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0B8-4760-893C-29D458CAA905}"/>
              </c:ext>
            </c:extLst>
          </c:dPt>
          <c:dLbls>
            <c:numFmt formatCode="#,##0;[Red]#,##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'Największe ETF'!$D$4:$D$8</c:f>
              <c:strCache>
                <c:ptCount val="5"/>
                <c:pt idx="0">
                  <c:v>SDPR S&amp;P 500 (od State Street Corp)</c:v>
                </c:pt>
                <c:pt idx="1">
                  <c:v>iShares Core S&amp;P 500 (BlackRock)</c:v>
                </c:pt>
                <c:pt idx="2">
                  <c:v>Vanguard Total Stock Market ETF</c:v>
                </c:pt>
                <c:pt idx="3">
                  <c:v>Vanguard S&amp;P 500 ETF</c:v>
                </c:pt>
                <c:pt idx="4">
                  <c:v>Invesco QQQ Trust</c:v>
                </c:pt>
              </c:strCache>
            </c:strRef>
          </c:cat>
          <c:val>
            <c:numRef>
              <c:f>'Największe ETF'!$E$4:$E$8</c:f>
              <c:numCache>
                <c:formatCode>General</c:formatCode>
                <c:ptCount val="5"/>
                <c:pt idx="0">
                  <c:v>268</c:v>
                </c:pt>
                <c:pt idx="1">
                  <c:v>182</c:v>
                </c:pt>
                <c:pt idx="2">
                  <c:v>115</c:v>
                </c:pt>
                <c:pt idx="3">
                  <c:v>114</c:v>
                </c:pt>
                <c:pt idx="4">
                  <c:v>75</c:v>
                </c:pt>
              </c:numCache>
            </c:numRef>
          </c:val>
          <c:extLst>
            <c:ext xmlns:c16="http://schemas.microsoft.com/office/drawing/2014/chart" uri="{C3380CC4-5D6E-409C-BE32-E72D297353CC}">
              <c16:uniqueId val="{00000000-4D71-4BF7-8DED-FDF1BA16914A}"/>
            </c:ext>
          </c:extLst>
        </c:ser>
        <c:dLbls>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marciniwuc.com/jak-kupic-etf/"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marciniwuc.com/jak-kupic-etf/"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marciniwuc.com/jak-kupic-etf/"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marciniwuc.com/jak-kupic-etf/"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marciniwuc.com/jak-kupic-etf/" TargetMode="External"/></Relationships>
</file>

<file path=xl/drawings/_rels/drawing14.xml.rels><?xml version="1.0" encoding="UTF-8" standalone="yes"?>
<Relationships xmlns="http://schemas.openxmlformats.org/package/2006/relationships"><Relationship Id="rId3" Type="http://schemas.openxmlformats.org/officeDocument/2006/relationships/hyperlink" Target="https://marciniwuc.com/jak-kupic-etf/"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rciniwuc.com/jak-kupic-et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rciniwuc.com/jak-kupic-et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rciniwuc.com/jak-kupic-et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rciniwuc.com/jak-kupic-et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rciniwuc.com/jak-kupic-et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rciniwuc.com/jak-kupic-et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rciniwuc.com/jak-kupic-et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rciniwuc.com/jak-kupic-et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6</xdr:col>
      <xdr:colOff>558800</xdr:colOff>
      <xdr:row>0</xdr:row>
      <xdr:rowOff>38100</xdr:rowOff>
    </xdr:from>
    <xdr:to>
      <xdr:col>10</xdr:col>
      <xdr:colOff>377119</xdr:colOff>
      <xdr:row>3</xdr:row>
      <xdr:rowOff>74790</xdr:rowOff>
    </xdr:to>
    <xdr:pic>
      <xdr:nvPicPr>
        <xdr:cNvPr id="2" name="image1.png" title="https://marciniwuc.com">
          <a:hlinkClick xmlns:r="http://schemas.openxmlformats.org/officeDocument/2006/relationships" r:id="rId1"/>
          <a:extLst>
            <a:ext uri="{FF2B5EF4-FFF2-40B4-BE49-F238E27FC236}">
              <a16:creationId xmlns:a16="http://schemas.microsoft.com/office/drawing/2014/main" id="{F196C7F2-C99B-D540-8CA1-4DD5A212A6E0}"/>
            </a:ext>
          </a:extLst>
        </xdr:cNvPr>
        <xdr:cNvPicPr preferRelativeResize="0">
          <a:picLocks noChangeAspect="1"/>
        </xdr:cNvPicPr>
      </xdr:nvPicPr>
      <xdr:blipFill>
        <a:blip xmlns:r="http://schemas.openxmlformats.org/officeDocument/2006/relationships" r:embed="rId2" cstate="print"/>
        <a:stretch>
          <a:fillRect/>
        </a:stretch>
      </xdr:blipFill>
      <xdr:spPr>
        <a:xfrm>
          <a:off x="5359400" y="38100"/>
          <a:ext cx="2472619" cy="60819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12700</xdr:colOff>
      <xdr:row>16</xdr:row>
      <xdr:rowOff>165100</xdr:rowOff>
    </xdr:from>
    <xdr:to>
      <xdr:col>2</xdr:col>
      <xdr:colOff>1228019</xdr:colOff>
      <xdr:row>18</xdr:row>
      <xdr:rowOff>87490</xdr:rowOff>
    </xdr:to>
    <xdr:pic>
      <xdr:nvPicPr>
        <xdr:cNvPr id="2" name="image1.png" title="https://marciniwuc.com">
          <a:hlinkClick xmlns:r="http://schemas.openxmlformats.org/officeDocument/2006/relationships" r:id="rId1"/>
          <a:extLst>
            <a:ext uri="{FF2B5EF4-FFF2-40B4-BE49-F238E27FC236}">
              <a16:creationId xmlns:a16="http://schemas.microsoft.com/office/drawing/2014/main" id="{80C88434-9C08-824F-A7E1-B251A4678029}"/>
            </a:ext>
          </a:extLst>
        </xdr:cNvPr>
        <xdr:cNvPicPr preferRelativeResize="0">
          <a:picLocks noChangeAspect="1"/>
        </xdr:cNvPicPr>
      </xdr:nvPicPr>
      <xdr:blipFill>
        <a:blip xmlns:r="http://schemas.openxmlformats.org/officeDocument/2006/relationships" r:embed="rId2" cstate="print"/>
        <a:stretch>
          <a:fillRect/>
        </a:stretch>
      </xdr:blipFill>
      <xdr:spPr>
        <a:xfrm>
          <a:off x="673100" y="5499100"/>
          <a:ext cx="2472619" cy="60819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12700</xdr:colOff>
      <xdr:row>16</xdr:row>
      <xdr:rowOff>127000</xdr:rowOff>
    </xdr:from>
    <xdr:to>
      <xdr:col>2</xdr:col>
      <xdr:colOff>326319</xdr:colOff>
      <xdr:row>18</xdr:row>
      <xdr:rowOff>49390</xdr:rowOff>
    </xdr:to>
    <xdr:pic>
      <xdr:nvPicPr>
        <xdr:cNvPr id="2" name="image1.png" title="https://marciniwuc.com">
          <a:hlinkClick xmlns:r="http://schemas.openxmlformats.org/officeDocument/2006/relationships" r:id="rId1"/>
          <a:extLst>
            <a:ext uri="{FF2B5EF4-FFF2-40B4-BE49-F238E27FC236}">
              <a16:creationId xmlns:a16="http://schemas.microsoft.com/office/drawing/2014/main" id="{F5A486B0-56D4-DB40-83E2-FFD4F093EF68}"/>
            </a:ext>
          </a:extLst>
        </xdr:cNvPr>
        <xdr:cNvPicPr preferRelativeResize="0">
          <a:picLocks noChangeAspect="1"/>
        </xdr:cNvPicPr>
      </xdr:nvPicPr>
      <xdr:blipFill>
        <a:blip xmlns:r="http://schemas.openxmlformats.org/officeDocument/2006/relationships" r:embed="rId2" cstate="print"/>
        <a:stretch>
          <a:fillRect/>
        </a:stretch>
      </xdr:blipFill>
      <xdr:spPr>
        <a:xfrm>
          <a:off x="12700" y="5461000"/>
          <a:ext cx="2472619" cy="60819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1231900</xdr:colOff>
      <xdr:row>16</xdr:row>
      <xdr:rowOff>203200</xdr:rowOff>
    </xdr:from>
    <xdr:to>
      <xdr:col>2</xdr:col>
      <xdr:colOff>1189919</xdr:colOff>
      <xdr:row>18</xdr:row>
      <xdr:rowOff>125590</xdr:rowOff>
    </xdr:to>
    <xdr:pic>
      <xdr:nvPicPr>
        <xdr:cNvPr id="2" name="image1.png" title="https://marciniwuc.com">
          <a:hlinkClick xmlns:r="http://schemas.openxmlformats.org/officeDocument/2006/relationships" r:id="rId1"/>
          <a:extLst>
            <a:ext uri="{FF2B5EF4-FFF2-40B4-BE49-F238E27FC236}">
              <a16:creationId xmlns:a16="http://schemas.microsoft.com/office/drawing/2014/main" id="{ACA3483C-AD6C-384D-AF9A-5AC99362FEE0}"/>
            </a:ext>
          </a:extLst>
        </xdr:cNvPr>
        <xdr:cNvPicPr preferRelativeResize="0">
          <a:picLocks noChangeAspect="1"/>
        </xdr:cNvPicPr>
      </xdr:nvPicPr>
      <xdr:blipFill>
        <a:blip xmlns:r="http://schemas.openxmlformats.org/officeDocument/2006/relationships" r:embed="rId2" cstate="print"/>
        <a:stretch>
          <a:fillRect/>
        </a:stretch>
      </xdr:blipFill>
      <xdr:spPr>
        <a:xfrm>
          <a:off x="1231900" y="5892800"/>
          <a:ext cx="2472619" cy="60819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16</xdr:row>
      <xdr:rowOff>101600</xdr:rowOff>
    </xdr:from>
    <xdr:to>
      <xdr:col>2</xdr:col>
      <xdr:colOff>250119</xdr:colOff>
      <xdr:row>18</xdr:row>
      <xdr:rowOff>23990</xdr:rowOff>
    </xdr:to>
    <xdr:pic>
      <xdr:nvPicPr>
        <xdr:cNvPr id="2" name="image1.png" title="https://marciniwuc.com">
          <a:hlinkClick xmlns:r="http://schemas.openxmlformats.org/officeDocument/2006/relationships" r:id="rId1"/>
          <a:extLst>
            <a:ext uri="{FF2B5EF4-FFF2-40B4-BE49-F238E27FC236}">
              <a16:creationId xmlns:a16="http://schemas.microsoft.com/office/drawing/2014/main" id="{D63F315C-2C07-4A40-912C-EA0A0FF15E8E}"/>
            </a:ext>
          </a:extLst>
        </xdr:cNvPr>
        <xdr:cNvPicPr preferRelativeResize="0">
          <a:picLocks noChangeAspect="1"/>
        </xdr:cNvPicPr>
      </xdr:nvPicPr>
      <xdr:blipFill>
        <a:blip xmlns:r="http://schemas.openxmlformats.org/officeDocument/2006/relationships" r:embed="rId2" cstate="print"/>
        <a:stretch>
          <a:fillRect/>
        </a:stretch>
      </xdr:blipFill>
      <xdr:spPr>
        <a:xfrm>
          <a:off x="0" y="5689600"/>
          <a:ext cx="2472619" cy="60819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18</xdr:row>
      <xdr:rowOff>57150</xdr:rowOff>
    </xdr:from>
    <xdr:to>
      <xdr:col>1</xdr:col>
      <xdr:colOff>3041650</xdr:colOff>
      <xdr:row>33</xdr:row>
      <xdr:rowOff>38100</xdr:rowOff>
    </xdr:to>
    <xdr:graphicFrame macro="">
      <xdr:nvGraphicFramePr>
        <xdr:cNvPr id="3" name="Wykres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311150</xdr:colOff>
      <xdr:row>18</xdr:row>
      <xdr:rowOff>6350</xdr:rowOff>
    </xdr:from>
    <xdr:to>
      <xdr:col>8</xdr:col>
      <xdr:colOff>406400</xdr:colOff>
      <xdr:row>32</xdr:row>
      <xdr:rowOff>171450</xdr:rowOff>
    </xdr:to>
    <xdr:graphicFrame macro="">
      <xdr:nvGraphicFramePr>
        <xdr:cNvPr id="4" name="Wykres 3">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101600</xdr:colOff>
      <xdr:row>9</xdr:row>
      <xdr:rowOff>139700</xdr:rowOff>
    </xdr:from>
    <xdr:to>
      <xdr:col>0</xdr:col>
      <xdr:colOff>2574219</xdr:colOff>
      <xdr:row>12</xdr:row>
      <xdr:rowOff>176390</xdr:rowOff>
    </xdr:to>
    <xdr:pic>
      <xdr:nvPicPr>
        <xdr:cNvPr id="5" name="image1.png" title="https://marciniwuc.com">
          <a:hlinkClick xmlns:r="http://schemas.openxmlformats.org/officeDocument/2006/relationships" r:id="rId3"/>
          <a:extLst>
            <a:ext uri="{FF2B5EF4-FFF2-40B4-BE49-F238E27FC236}">
              <a16:creationId xmlns:a16="http://schemas.microsoft.com/office/drawing/2014/main" id="{8B6C1195-5B5A-484A-922E-1A7EBDC6BA99}"/>
            </a:ext>
          </a:extLst>
        </xdr:cNvPr>
        <xdr:cNvPicPr preferRelativeResize="0">
          <a:picLocks noChangeAspect="1"/>
        </xdr:cNvPicPr>
      </xdr:nvPicPr>
      <xdr:blipFill>
        <a:blip xmlns:r="http://schemas.openxmlformats.org/officeDocument/2006/relationships" r:embed="rId4" cstate="print"/>
        <a:stretch>
          <a:fillRect/>
        </a:stretch>
      </xdr:blipFill>
      <xdr:spPr>
        <a:xfrm>
          <a:off x="101600" y="1854200"/>
          <a:ext cx="2472619" cy="60819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1775461</xdr:colOff>
      <xdr:row>18</xdr:row>
      <xdr:rowOff>190500</xdr:rowOff>
    </xdr:from>
    <xdr:to>
      <xdr:col>3</xdr:col>
      <xdr:colOff>2573154</xdr:colOff>
      <xdr:row>18</xdr:row>
      <xdr:rowOff>1192954</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28011" y="6777990"/>
          <a:ext cx="2580773" cy="996104"/>
        </a:xfrm>
        <a:prstGeom prst="rect">
          <a:avLst/>
        </a:prstGeom>
      </xdr:spPr>
    </xdr:pic>
    <xdr:clientData/>
  </xdr:twoCellAnchor>
  <xdr:twoCellAnchor editAs="absolute">
    <xdr:from>
      <xdr:col>5</xdr:col>
      <xdr:colOff>254000</xdr:colOff>
      <xdr:row>4</xdr:row>
      <xdr:rowOff>158750</xdr:rowOff>
    </xdr:from>
    <xdr:to>
      <xdr:col>5</xdr:col>
      <xdr:colOff>2726619</xdr:colOff>
      <xdr:row>7</xdr:row>
      <xdr:rowOff>150990</xdr:rowOff>
    </xdr:to>
    <xdr:pic>
      <xdr:nvPicPr>
        <xdr:cNvPr id="4" name="image1.png" title="https://marciniwuc.com">
          <a:hlinkClick xmlns:r="http://schemas.openxmlformats.org/officeDocument/2006/relationships" r:id="rId2"/>
          <a:extLst>
            <a:ext uri="{FF2B5EF4-FFF2-40B4-BE49-F238E27FC236}">
              <a16:creationId xmlns:a16="http://schemas.microsoft.com/office/drawing/2014/main" id="{811B5894-700B-3640-B990-A0C03C440698}"/>
            </a:ext>
          </a:extLst>
        </xdr:cNvPr>
        <xdr:cNvPicPr preferRelativeResize="0">
          <a:picLocks noChangeAspect="1"/>
        </xdr:cNvPicPr>
      </xdr:nvPicPr>
      <xdr:blipFill>
        <a:blip xmlns:r="http://schemas.openxmlformats.org/officeDocument/2006/relationships" r:embed="rId3" cstate="print"/>
        <a:stretch>
          <a:fillRect/>
        </a:stretch>
      </xdr:blipFill>
      <xdr:spPr>
        <a:xfrm>
          <a:off x="7912100" y="927100"/>
          <a:ext cx="2472619" cy="60819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1775461</xdr:colOff>
      <xdr:row>18</xdr:row>
      <xdr:rowOff>190500</xdr:rowOff>
    </xdr:from>
    <xdr:to>
      <xdr:col>3</xdr:col>
      <xdr:colOff>2573154</xdr:colOff>
      <xdr:row>18</xdr:row>
      <xdr:rowOff>1192954</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67661" y="7988300"/>
          <a:ext cx="2575693" cy="996104"/>
        </a:xfrm>
        <a:prstGeom prst="rect">
          <a:avLst/>
        </a:prstGeom>
      </xdr:spPr>
    </xdr:pic>
    <xdr:clientData/>
  </xdr:twoCellAnchor>
  <xdr:twoCellAnchor editAs="oneCell">
    <xdr:from>
      <xdr:col>2</xdr:col>
      <xdr:colOff>1775461</xdr:colOff>
      <xdr:row>18</xdr:row>
      <xdr:rowOff>190500</xdr:rowOff>
    </xdr:from>
    <xdr:to>
      <xdr:col>3</xdr:col>
      <xdr:colOff>2573154</xdr:colOff>
      <xdr:row>18</xdr:row>
      <xdr:rowOff>1192954</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867661" y="7988300"/>
          <a:ext cx="2575693" cy="996104"/>
        </a:xfrm>
        <a:prstGeom prst="rect">
          <a:avLst/>
        </a:prstGeom>
      </xdr:spPr>
    </xdr:pic>
    <xdr:clientData/>
  </xdr:twoCellAnchor>
  <xdr:twoCellAnchor editAs="oneCell">
    <xdr:from>
      <xdr:col>2</xdr:col>
      <xdr:colOff>1775461</xdr:colOff>
      <xdr:row>18</xdr:row>
      <xdr:rowOff>173567</xdr:rowOff>
    </xdr:from>
    <xdr:to>
      <xdr:col>3</xdr:col>
      <xdr:colOff>2573154</xdr:colOff>
      <xdr:row>18</xdr:row>
      <xdr:rowOff>1192954</xdr:rowOff>
    </xdr:to>
    <xdr:pic>
      <xdr:nvPicPr>
        <xdr:cNvPr id="4" name="Obraz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867661" y="7971367"/>
          <a:ext cx="2575693" cy="1013037"/>
        </a:xfrm>
        <a:prstGeom prst="rect">
          <a:avLst/>
        </a:prstGeom>
      </xdr:spPr>
    </xdr:pic>
    <xdr:clientData/>
  </xdr:twoCellAnchor>
  <xdr:twoCellAnchor editAs="absolute">
    <xdr:from>
      <xdr:col>5</xdr:col>
      <xdr:colOff>254000</xdr:colOff>
      <xdr:row>5</xdr:row>
      <xdr:rowOff>6350</xdr:rowOff>
    </xdr:from>
    <xdr:to>
      <xdr:col>5</xdr:col>
      <xdr:colOff>2726619</xdr:colOff>
      <xdr:row>8</xdr:row>
      <xdr:rowOff>1765</xdr:rowOff>
    </xdr:to>
    <xdr:pic>
      <xdr:nvPicPr>
        <xdr:cNvPr id="5" name="image1.png" title="https://marciniwuc.com">
          <a:hlinkClick xmlns:r="http://schemas.openxmlformats.org/officeDocument/2006/relationships" r:id="rId2"/>
          <a:extLst>
            <a:ext uri="{FF2B5EF4-FFF2-40B4-BE49-F238E27FC236}">
              <a16:creationId xmlns:a16="http://schemas.microsoft.com/office/drawing/2014/main" id="{D446783F-095F-1948-B6B8-DA9C868EE909}"/>
            </a:ext>
          </a:extLst>
        </xdr:cNvPr>
        <xdr:cNvPicPr preferRelativeResize="0">
          <a:picLocks noChangeAspect="1"/>
        </xdr:cNvPicPr>
      </xdr:nvPicPr>
      <xdr:blipFill>
        <a:blip xmlns:r="http://schemas.openxmlformats.org/officeDocument/2006/relationships" r:embed="rId3" cstate="print"/>
        <a:stretch>
          <a:fillRect/>
        </a:stretch>
      </xdr:blipFill>
      <xdr:spPr>
        <a:xfrm>
          <a:off x="8242300" y="965200"/>
          <a:ext cx="2472619" cy="60819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1775461</xdr:colOff>
      <xdr:row>18</xdr:row>
      <xdr:rowOff>190500</xdr:rowOff>
    </xdr:from>
    <xdr:to>
      <xdr:col>3</xdr:col>
      <xdr:colOff>2573154</xdr:colOff>
      <xdr:row>18</xdr:row>
      <xdr:rowOff>1192954</xdr:rowOff>
    </xdr:to>
    <xdr:pic>
      <xdr:nvPicPr>
        <xdr:cNvPr id="2" name="Obraz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967991" y="7787640"/>
          <a:ext cx="2580773" cy="996104"/>
        </a:xfrm>
        <a:prstGeom prst="rect">
          <a:avLst/>
        </a:prstGeom>
      </xdr:spPr>
    </xdr:pic>
    <xdr:clientData/>
  </xdr:twoCellAnchor>
  <xdr:twoCellAnchor editAs="oneCell">
    <xdr:from>
      <xdr:col>2</xdr:col>
      <xdr:colOff>1775461</xdr:colOff>
      <xdr:row>18</xdr:row>
      <xdr:rowOff>190500</xdr:rowOff>
    </xdr:from>
    <xdr:to>
      <xdr:col>3</xdr:col>
      <xdr:colOff>2573154</xdr:colOff>
      <xdr:row>18</xdr:row>
      <xdr:rowOff>1192954</xdr:rowOff>
    </xdr:to>
    <xdr:pic>
      <xdr:nvPicPr>
        <xdr:cNvPr id="3" name="Obraz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967991" y="7787640"/>
          <a:ext cx="2580773" cy="996104"/>
        </a:xfrm>
        <a:prstGeom prst="rect">
          <a:avLst/>
        </a:prstGeom>
      </xdr:spPr>
    </xdr:pic>
    <xdr:clientData/>
  </xdr:twoCellAnchor>
  <xdr:twoCellAnchor editAs="oneCell">
    <xdr:from>
      <xdr:col>2</xdr:col>
      <xdr:colOff>1775461</xdr:colOff>
      <xdr:row>18</xdr:row>
      <xdr:rowOff>173567</xdr:rowOff>
    </xdr:from>
    <xdr:to>
      <xdr:col>3</xdr:col>
      <xdr:colOff>2573154</xdr:colOff>
      <xdr:row>18</xdr:row>
      <xdr:rowOff>1192954</xdr:rowOff>
    </xdr:to>
    <xdr:pic>
      <xdr:nvPicPr>
        <xdr:cNvPr id="4" name="Obraz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2969261" y="7768167"/>
          <a:ext cx="2579926" cy="1013037"/>
        </a:xfrm>
        <a:prstGeom prst="rect">
          <a:avLst/>
        </a:prstGeom>
      </xdr:spPr>
    </xdr:pic>
    <xdr:clientData/>
  </xdr:twoCellAnchor>
  <xdr:twoCellAnchor editAs="absolute">
    <xdr:from>
      <xdr:col>5</xdr:col>
      <xdr:colOff>228600</xdr:colOff>
      <xdr:row>5</xdr:row>
      <xdr:rowOff>6350</xdr:rowOff>
    </xdr:from>
    <xdr:to>
      <xdr:col>5</xdr:col>
      <xdr:colOff>2694869</xdr:colOff>
      <xdr:row>8</xdr:row>
      <xdr:rowOff>1765</xdr:rowOff>
    </xdr:to>
    <xdr:pic>
      <xdr:nvPicPr>
        <xdr:cNvPr id="5" name="image1.png" title="https://marciniwuc.com">
          <a:hlinkClick xmlns:r="http://schemas.openxmlformats.org/officeDocument/2006/relationships" r:id="rId2"/>
          <a:extLst>
            <a:ext uri="{FF2B5EF4-FFF2-40B4-BE49-F238E27FC236}">
              <a16:creationId xmlns:a16="http://schemas.microsoft.com/office/drawing/2014/main" id="{BCD7F18A-02A2-CE47-9241-F82954601AD8}"/>
            </a:ext>
          </a:extLst>
        </xdr:cNvPr>
        <xdr:cNvPicPr preferRelativeResize="0">
          <a:picLocks noChangeAspect="1"/>
        </xdr:cNvPicPr>
      </xdr:nvPicPr>
      <xdr:blipFill>
        <a:blip xmlns:r="http://schemas.openxmlformats.org/officeDocument/2006/relationships" r:embed="rId3" cstate="print"/>
        <a:stretch>
          <a:fillRect/>
        </a:stretch>
      </xdr:blipFill>
      <xdr:spPr>
        <a:xfrm>
          <a:off x="8216900" y="965200"/>
          <a:ext cx="2472619" cy="60819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1775461</xdr:colOff>
      <xdr:row>18</xdr:row>
      <xdr:rowOff>190500</xdr:rowOff>
    </xdr:from>
    <xdr:to>
      <xdr:col>4</xdr:col>
      <xdr:colOff>77604</xdr:colOff>
      <xdr:row>18</xdr:row>
      <xdr:rowOff>1192954</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967991" y="7787640"/>
          <a:ext cx="2580773" cy="996104"/>
        </a:xfrm>
        <a:prstGeom prst="rect">
          <a:avLst/>
        </a:prstGeom>
      </xdr:spPr>
    </xdr:pic>
    <xdr:clientData/>
  </xdr:twoCellAnchor>
  <xdr:twoCellAnchor editAs="oneCell">
    <xdr:from>
      <xdr:col>2</xdr:col>
      <xdr:colOff>1775461</xdr:colOff>
      <xdr:row>18</xdr:row>
      <xdr:rowOff>190500</xdr:rowOff>
    </xdr:from>
    <xdr:to>
      <xdr:col>4</xdr:col>
      <xdr:colOff>77604</xdr:colOff>
      <xdr:row>18</xdr:row>
      <xdr:rowOff>1192954</xdr:rowOff>
    </xdr:to>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2967991" y="7787640"/>
          <a:ext cx="2580773" cy="996104"/>
        </a:xfrm>
        <a:prstGeom prst="rect">
          <a:avLst/>
        </a:prstGeom>
      </xdr:spPr>
    </xdr:pic>
    <xdr:clientData/>
  </xdr:twoCellAnchor>
  <xdr:twoCellAnchor editAs="oneCell">
    <xdr:from>
      <xdr:col>2</xdr:col>
      <xdr:colOff>1775461</xdr:colOff>
      <xdr:row>18</xdr:row>
      <xdr:rowOff>190500</xdr:rowOff>
    </xdr:from>
    <xdr:to>
      <xdr:col>4</xdr:col>
      <xdr:colOff>77604</xdr:colOff>
      <xdr:row>18</xdr:row>
      <xdr:rowOff>1192954</xdr:rowOff>
    </xdr:to>
    <xdr:pic>
      <xdr:nvPicPr>
        <xdr:cNvPr id="4" name="Obraz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967991" y="7787640"/>
          <a:ext cx="2580773" cy="996104"/>
        </a:xfrm>
        <a:prstGeom prst="rect">
          <a:avLst/>
        </a:prstGeom>
      </xdr:spPr>
    </xdr:pic>
    <xdr:clientData/>
  </xdr:twoCellAnchor>
  <xdr:twoCellAnchor editAs="oneCell">
    <xdr:from>
      <xdr:col>2</xdr:col>
      <xdr:colOff>1775461</xdr:colOff>
      <xdr:row>18</xdr:row>
      <xdr:rowOff>173567</xdr:rowOff>
    </xdr:from>
    <xdr:to>
      <xdr:col>4</xdr:col>
      <xdr:colOff>77604</xdr:colOff>
      <xdr:row>18</xdr:row>
      <xdr:rowOff>1192954</xdr:rowOff>
    </xdr:to>
    <xdr:pic>
      <xdr:nvPicPr>
        <xdr:cNvPr id="5" name="Obraz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2967991" y="7770707"/>
          <a:ext cx="2580773" cy="1013037"/>
        </a:xfrm>
        <a:prstGeom prst="rect">
          <a:avLst/>
        </a:prstGeom>
      </xdr:spPr>
    </xdr:pic>
    <xdr:clientData/>
  </xdr:twoCellAnchor>
  <xdr:twoCellAnchor editAs="absolute">
    <xdr:from>
      <xdr:col>5</xdr:col>
      <xdr:colOff>158750</xdr:colOff>
      <xdr:row>5</xdr:row>
      <xdr:rowOff>0</xdr:rowOff>
    </xdr:from>
    <xdr:to>
      <xdr:col>5</xdr:col>
      <xdr:colOff>2637719</xdr:colOff>
      <xdr:row>7</xdr:row>
      <xdr:rowOff>163690</xdr:rowOff>
    </xdr:to>
    <xdr:pic>
      <xdr:nvPicPr>
        <xdr:cNvPr id="6" name="image1.png" title="https://marciniwuc.com">
          <a:hlinkClick xmlns:r="http://schemas.openxmlformats.org/officeDocument/2006/relationships" r:id="rId2"/>
          <a:extLst>
            <a:ext uri="{FF2B5EF4-FFF2-40B4-BE49-F238E27FC236}">
              <a16:creationId xmlns:a16="http://schemas.microsoft.com/office/drawing/2014/main" id="{4C234DD5-BC7D-CC46-8261-282479BEA86B}"/>
            </a:ext>
          </a:extLst>
        </xdr:cNvPr>
        <xdr:cNvPicPr preferRelativeResize="0">
          <a:picLocks noChangeAspect="1"/>
        </xdr:cNvPicPr>
      </xdr:nvPicPr>
      <xdr:blipFill>
        <a:blip xmlns:r="http://schemas.openxmlformats.org/officeDocument/2006/relationships" r:embed="rId3" cstate="print"/>
        <a:stretch>
          <a:fillRect/>
        </a:stretch>
      </xdr:blipFill>
      <xdr:spPr>
        <a:xfrm>
          <a:off x="7023100" y="939800"/>
          <a:ext cx="2472619" cy="60819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1775461</xdr:colOff>
      <xdr:row>18</xdr:row>
      <xdr:rowOff>190500</xdr:rowOff>
    </xdr:from>
    <xdr:to>
      <xdr:col>4</xdr:col>
      <xdr:colOff>77604</xdr:colOff>
      <xdr:row>19</xdr:row>
      <xdr:rowOff>135326</xdr:rowOff>
    </xdr:to>
    <xdr:pic>
      <xdr:nvPicPr>
        <xdr:cNvPr id="2" name="Obraz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491741" y="7787640"/>
          <a:ext cx="2580773" cy="996104"/>
        </a:xfrm>
        <a:prstGeom prst="rect">
          <a:avLst/>
        </a:prstGeom>
      </xdr:spPr>
    </xdr:pic>
    <xdr:clientData/>
  </xdr:twoCellAnchor>
  <xdr:twoCellAnchor editAs="oneCell">
    <xdr:from>
      <xdr:col>2</xdr:col>
      <xdr:colOff>1775461</xdr:colOff>
      <xdr:row>18</xdr:row>
      <xdr:rowOff>190500</xdr:rowOff>
    </xdr:from>
    <xdr:to>
      <xdr:col>4</xdr:col>
      <xdr:colOff>77604</xdr:colOff>
      <xdr:row>19</xdr:row>
      <xdr:rowOff>135326</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491741" y="7787640"/>
          <a:ext cx="2580773" cy="996104"/>
        </a:xfrm>
        <a:prstGeom prst="rect">
          <a:avLst/>
        </a:prstGeom>
      </xdr:spPr>
    </xdr:pic>
    <xdr:clientData/>
  </xdr:twoCellAnchor>
  <xdr:twoCellAnchor editAs="oneCell">
    <xdr:from>
      <xdr:col>2</xdr:col>
      <xdr:colOff>1775461</xdr:colOff>
      <xdr:row>18</xdr:row>
      <xdr:rowOff>190500</xdr:rowOff>
    </xdr:from>
    <xdr:to>
      <xdr:col>4</xdr:col>
      <xdr:colOff>77604</xdr:colOff>
      <xdr:row>19</xdr:row>
      <xdr:rowOff>135326</xdr:rowOff>
    </xdr:to>
    <xdr:pic>
      <xdr:nvPicPr>
        <xdr:cNvPr id="4" name="Obraz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2491741" y="7787640"/>
          <a:ext cx="2580773" cy="996104"/>
        </a:xfrm>
        <a:prstGeom prst="rect">
          <a:avLst/>
        </a:prstGeom>
      </xdr:spPr>
    </xdr:pic>
    <xdr:clientData/>
  </xdr:twoCellAnchor>
  <xdr:twoCellAnchor editAs="oneCell">
    <xdr:from>
      <xdr:col>2</xdr:col>
      <xdr:colOff>1775461</xdr:colOff>
      <xdr:row>18</xdr:row>
      <xdr:rowOff>173567</xdr:rowOff>
    </xdr:from>
    <xdr:to>
      <xdr:col>4</xdr:col>
      <xdr:colOff>77604</xdr:colOff>
      <xdr:row>19</xdr:row>
      <xdr:rowOff>135326</xdr:rowOff>
    </xdr:to>
    <xdr:pic>
      <xdr:nvPicPr>
        <xdr:cNvPr id="5" name="Obraz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stretch>
          <a:fillRect/>
        </a:stretch>
      </xdr:blipFill>
      <xdr:spPr>
        <a:xfrm>
          <a:off x="2491741" y="7770707"/>
          <a:ext cx="2580773" cy="1013037"/>
        </a:xfrm>
        <a:prstGeom prst="rect">
          <a:avLst/>
        </a:prstGeom>
      </xdr:spPr>
    </xdr:pic>
    <xdr:clientData/>
  </xdr:twoCellAnchor>
  <xdr:twoCellAnchor editAs="absolute">
    <xdr:from>
      <xdr:col>5</xdr:col>
      <xdr:colOff>196850</xdr:colOff>
      <xdr:row>5</xdr:row>
      <xdr:rowOff>25400</xdr:rowOff>
    </xdr:from>
    <xdr:to>
      <xdr:col>5</xdr:col>
      <xdr:colOff>2675819</xdr:colOff>
      <xdr:row>8</xdr:row>
      <xdr:rowOff>11290</xdr:rowOff>
    </xdr:to>
    <xdr:pic>
      <xdr:nvPicPr>
        <xdr:cNvPr id="6" name="image1.png" title="https://marciniwuc.com">
          <a:hlinkClick xmlns:r="http://schemas.openxmlformats.org/officeDocument/2006/relationships" r:id="rId2"/>
          <a:extLst>
            <a:ext uri="{FF2B5EF4-FFF2-40B4-BE49-F238E27FC236}">
              <a16:creationId xmlns:a16="http://schemas.microsoft.com/office/drawing/2014/main" id="{DA0196D5-ABF1-8143-ACFC-6B0524DC7C0C}"/>
            </a:ext>
          </a:extLst>
        </xdr:cNvPr>
        <xdr:cNvPicPr preferRelativeResize="0">
          <a:picLocks noChangeAspect="1"/>
        </xdr:cNvPicPr>
      </xdr:nvPicPr>
      <xdr:blipFill>
        <a:blip xmlns:r="http://schemas.openxmlformats.org/officeDocument/2006/relationships" r:embed="rId3" cstate="print"/>
        <a:stretch>
          <a:fillRect/>
        </a:stretch>
      </xdr:blipFill>
      <xdr:spPr>
        <a:xfrm>
          <a:off x="7061200" y="977900"/>
          <a:ext cx="2472619" cy="60819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1775461</xdr:colOff>
      <xdr:row>17</xdr:row>
      <xdr:rowOff>190500</xdr:rowOff>
    </xdr:from>
    <xdr:to>
      <xdr:col>4</xdr:col>
      <xdr:colOff>77604</xdr:colOff>
      <xdr:row>17</xdr:row>
      <xdr:rowOff>1192954</xdr:rowOff>
    </xdr:to>
    <xdr:pic>
      <xdr:nvPicPr>
        <xdr:cNvPr id="2" name="Obraz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2491741" y="7787640"/>
          <a:ext cx="2580773" cy="996104"/>
        </a:xfrm>
        <a:prstGeom prst="rect">
          <a:avLst/>
        </a:prstGeom>
      </xdr:spPr>
    </xdr:pic>
    <xdr:clientData/>
  </xdr:twoCellAnchor>
  <xdr:twoCellAnchor editAs="oneCell">
    <xdr:from>
      <xdr:col>2</xdr:col>
      <xdr:colOff>1775461</xdr:colOff>
      <xdr:row>17</xdr:row>
      <xdr:rowOff>190500</xdr:rowOff>
    </xdr:from>
    <xdr:to>
      <xdr:col>4</xdr:col>
      <xdr:colOff>77604</xdr:colOff>
      <xdr:row>17</xdr:row>
      <xdr:rowOff>1192954</xdr:rowOff>
    </xdr:to>
    <xdr:pic>
      <xdr:nvPicPr>
        <xdr:cNvPr id="3" name="Obraz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2491741" y="7787640"/>
          <a:ext cx="2580773" cy="996104"/>
        </a:xfrm>
        <a:prstGeom prst="rect">
          <a:avLst/>
        </a:prstGeom>
      </xdr:spPr>
    </xdr:pic>
    <xdr:clientData/>
  </xdr:twoCellAnchor>
  <xdr:twoCellAnchor editAs="oneCell">
    <xdr:from>
      <xdr:col>2</xdr:col>
      <xdr:colOff>1775461</xdr:colOff>
      <xdr:row>17</xdr:row>
      <xdr:rowOff>190500</xdr:rowOff>
    </xdr:from>
    <xdr:to>
      <xdr:col>4</xdr:col>
      <xdr:colOff>77604</xdr:colOff>
      <xdr:row>17</xdr:row>
      <xdr:rowOff>1192954</xdr:rowOff>
    </xdr:to>
    <xdr:pic>
      <xdr:nvPicPr>
        <xdr:cNvPr id="4" name="Obraz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2491741" y="7787640"/>
          <a:ext cx="2580773" cy="996104"/>
        </a:xfrm>
        <a:prstGeom prst="rect">
          <a:avLst/>
        </a:prstGeom>
      </xdr:spPr>
    </xdr:pic>
    <xdr:clientData/>
  </xdr:twoCellAnchor>
  <xdr:twoCellAnchor editAs="oneCell">
    <xdr:from>
      <xdr:col>2</xdr:col>
      <xdr:colOff>1775461</xdr:colOff>
      <xdr:row>17</xdr:row>
      <xdr:rowOff>173567</xdr:rowOff>
    </xdr:from>
    <xdr:to>
      <xdr:col>4</xdr:col>
      <xdr:colOff>77604</xdr:colOff>
      <xdr:row>17</xdr:row>
      <xdr:rowOff>1192954</xdr:rowOff>
    </xdr:to>
    <xdr:pic>
      <xdr:nvPicPr>
        <xdr:cNvPr id="5" name="Obraz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2491741" y="7770707"/>
          <a:ext cx="2580773" cy="1013037"/>
        </a:xfrm>
        <a:prstGeom prst="rect">
          <a:avLst/>
        </a:prstGeom>
      </xdr:spPr>
    </xdr:pic>
    <xdr:clientData/>
  </xdr:twoCellAnchor>
  <xdr:twoCellAnchor editAs="absolute">
    <xdr:from>
      <xdr:col>5</xdr:col>
      <xdr:colOff>234950</xdr:colOff>
      <xdr:row>5</xdr:row>
      <xdr:rowOff>6350</xdr:rowOff>
    </xdr:from>
    <xdr:to>
      <xdr:col>5</xdr:col>
      <xdr:colOff>2713919</xdr:colOff>
      <xdr:row>8</xdr:row>
      <xdr:rowOff>1765</xdr:rowOff>
    </xdr:to>
    <xdr:pic>
      <xdr:nvPicPr>
        <xdr:cNvPr id="6" name="image1.png" title="https://marciniwuc.com">
          <a:hlinkClick xmlns:r="http://schemas.openxmlformats.org/officeDocument/2006/relationships" r:id="rId2"/>
          <a:extLst>
            <a:ext uri="{FF2B5EF4-FFF2-40B4-BE49-F238E27FC236}">
              <a16:creationId xmlns:a16="http://schemas.microsoft.com/office/drawing/2014/main" id="{E33F568F-790B-A748-B367-AD6099B01B84}"/>
            </a:ext>
          </a:extLst>
        </xdr:cNvPr>
        <xdr:cNvPicPr preferRelativeResize="0">
          <a:picLocks noChangeAspect="1"/>
        </xdr:cNvPicPr>
      </xdr:nvPicPr>
      <xdr:blipFill>
        <a:blip xmlns:r="http://schemas.openxmlformats.org/officeDocument/2006/relationships" r:embed="rId3" cstate="print"/>
        <a:stretch>
          <a:fillRect/>
        </a:stretch>
      </xdr:blipFill>
      <xdr:spPr>
        <a:xfrm>
          <a:off x="7099300" y="965200"/>
          <a:ext cx="2472619" cy="60819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1775461</xdr:colOff>
      <xdr:row>18</xdr:row>
      <xdr:rowOff>190500</xdr:rowOff>
    </xdr:from>
    <xdr:to>
      <xdr:col>4</xdr:col>
      <xdr:colOff>77604</xdr:colOff>
      <xdr:row>18</xdr:row>
      <xdr:rowOff>1192954</xdr:rowOff>
    </xdr:to>
    <xdr:pic>
      <xdr:nvPicPr>
        <xdr:cNvPr id="2" name="Obraz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491741" y="7787640"/>
          <a:ext cx="2580773" cy="996104"/>
        </a:xfrm>
        <a:prstGeom prst="rect">
          <a:avLst/>
        </a:prstGeom>
      </xdr:spPr>
    </xdr:pic>
    <xdr:clientData/>
  </xdr:twoCellAnchor>
  <xdr:twoCellAnchor editAs="oneCell">
    <xdr:from>
      <xdr:col>2</xdr:col>
      <xdr:colOff>1775461</xdr:colOff>
      <xdr:row>18</xdr:row>
      <xdr:rowOff>190500</xdr:rowOff>
    </xdr:from>
    <xdr:to>
      <xdr:col>4</xdr:col>
      <xdr:colOff>77604</xdr:colOff>
      <xdr:row>18</xdr:row>
      <xdr:rowOff>1192954</xdr:rowOff>
    </xdr:to>
    <xdr:pic>
      <xdr:nvPicPr>
        <xdr:cNvPr id="3" name="Obraz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2491741" y="7787640"/>
          <a:ext cx="2580773" cy="996104"/>
        </a:xfrm>
        <a:prstGeom prst="rect">
          <a:avLst/>
        </a:prstGeom>
      </xdr:spPr>
    </xdr:pic>
    <xdr:clientData/>
  </xdr:twoCellAnchor>
  <xdr:twoCellAnchor editAs="oneCell">
    <xdr:from>
      <xdr:col>2</xdr:col>
      <xdr:colOff>1775461</xdr:colOff>
      <xdr:row>18</xdr:row>
      <xdr:rowOff>190500</xdr:rowOff>
    </xdr:from>
    <xdr:to>
      <xdr:col>4</xdr:col>
      <xdr:colOff>77604</xdr:colOff>
      <xdr:row>18</xdr:row>
      <xdr:rowOff>1192954</xdr:rowOff>
    </xdr:to>
    <xdr:pic>
      <xdr:nvPicPr>
        <xdr:cNvPr id="4" name="Obraz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2491741" y="7787640"/>
          <a:ext cx="2580773" cy="996104"/>
        </a:xfrm>
        <a:prstGeom prst="rect">
          <a:avLst/>
        </a:prstGeom>
      </xdr:spPr>
    </xdr:pic>
    <xdr:clientData/>
  </xdr:twoCellAnchor>
  <xdr:twoCellAnchor editAs="oneCell">
    <xdr:from>
      <xdr:col>2</xdr:col>
      <xdr:colOff>1775461</xdr:colOff>
      <xdr:row>18</xdr:row>
      <xdr:rowOff>173567</xdr:rowOff>
    </xdr:from>
    <xdr:to>
      <xdr:col>4</xdr:col>
      <xdr:colOff>77604</xdr:colOff>
      <xdr:row>18</xdr:row>
      <xdr:rowOff>1192954</xdr:rowOff>
    </xdr:to>
    <xdr:pic>
      <xdr:nvPicPr>
        <xdr:cNvPr id="5" name="Obraz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2491741" y="7770707"/>
          <a:ext cx="2580773" cy="1013037"/>
        </a:xfrm>
        <a:prstGeom prst="rect">
          <a:avLst/>
        </a:prstGeom>
      </xdr:spPr>
    </xdr:pic>
    <xdr:clientData/>
  </xdr:twoCellAnchor>
  <xdr:twoCellAnchor editAs="absolute">
    <xdr:from>
      <xdr:col>5</xdr:col>
      <xdr:colOff>177800</xdr:colOff>
      <xdr:row>5</xdr:row>
      <xdr:rowOff>6350</xdr:rowOff>
    </xdr:from>
    <xdr:to>
      <xdr:col>5</xdr:col>
      <xdr:colOff>2650419</xdr:colOff>
      <xdr:row>8</xdr:row>
      <xdr:rowOff>1765</xdr:rowOff>
    </xdr:to>
    <xdr:pic>
      <xdr:nvPicPr>
        <xdr:cNvPr id="6" name="image1.png" title="https://marciniwuc.com">
          <a:hlinkClick xmlns:r="http://schemas.openxmlformats.org/officeDocument/2006/relationships" r:id="rId2"/>
          <a:extLst>
            <a:ext uri="{FF2B5EF4-FFF2-40B4-BE49-F238E27FC236}">
              <a16:creationId xmlns:a16="http://schemas.microsoft.com/office/drawing/2014/main" id="{B4E859E5-92AC-0A4A-8385-8077CEAE4B64}"/>
            </a:ext>
          </a:extLst>
        </xdr:cNvPr>
        <xdr:cNvPicPr preferRelativeResize="0">
          <a:picLocks noChangeAspect="1"/>
        </xdr:cNvPicPr>
      </xdr:nvPicPr>
      <xdr:blipFill>
        <a:blip xmlns:r="http://schemas.openxmlformats.org/officeDocument/2006/relationships" r:embed="rId3" cstate="print"/>
        <a:stretch>
          <a:fillRect/>
        </a:stretch>
      </xdr:blipFill>
      <xdr:spPr>
        <a:xfrm>
          <a:off x="7035800" y="965200"/>
          <a:ext cx="2472619" cy="60819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1775461</xdr:colOff>
      <xdr:row>18</xdr:row>
      <xdr:rowOff>190500</xdr:rowOff>
    </xdr:from>
    <xdr:to>
      <xdr:col>4</xdr:col>
      <xdr:colOff>77604</xdr:colOff>
      <xdr:row>18</xdr:row>
      <xdr:rowOff>1192954</xdr:rowOff>
    </xdr:to>
    <xdr:pic>
      <xdr:nvPicPr>
        <xdr:cNvPr id="2" name="Obraz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2491741" y="7787640"/>
          <a:ext cx="2580773" cy="996104"/>
        </a:xfrm>
        <a:prstGeom prst="rect">
          <a:avLst/>
        </a:prstGeom>
      </xdr:spPr>
    </xdr:pic>
    <xdr:clientData/>
  </xdr:twoCellAnchor>
  <xdr:twoCellAnchor editAs="oneCell">
    <xdr:from>
      <xdr:col>2</xdr:col>
      <xdr:colOff>1775461</xdr:colOff>
      <xdr:row>18</xdr:row>
      <xdr:rowOff>190500</xdr:rowOff>
    </xdr:from>
    <xdr:to>
      <xdr:col>4</xdr:col>
      <xdr:colOff>77604</xdr:colOff>
      <xdr:row>18</xdr:row>
      <xdr:rowOff>1192954</xdr:rowOff>
    </xdr:to>
    <xdr:pic>
      <xdr:nvPicPr>
        <xdr:cNvPr id="3" name="Obraz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491741" y="7787640"/>
          <a:ext cx="2580773" cy="996104"/>
        </a:xfrm>
        <a:prstGeom prst="rect">
          <a:avLst/>
        </a:prstGeom>
      </xdr:spPr>
    </xdr:pic>
    <xdr:clientData/>
  </xdr:twoCellAnchor>
  <xdr:twoCellAnchor editAs="oneCell">
    <xdr:from>
      <xdr:col>2</xdr:col>
      <xdr:colOff>1775461</xdr:colOff>
      <xdr:row>18</xdr:row>
      <xdr:rowOff>190500</xdr:rowOff>
    </xdr:from>
    <xdr:to>
      <xdr:col>4</xdr:col>
      <xdr:colOff>77604</xdr:colOff>
      <xdr:row>18</xdr:row>
      <xdr:rowOff>1192954</xdr:rowOff>
    </xdr:to>
    <xdr:pic>
      <xdr:nvPicPr>
        <xdr:cNvPr id="4" name="Obraz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2491741" y="7787640"/>
          <a:ext cx="2580773" cy="996104"/>
        </a:xfrm>
        <a:prstGeom prst="rect">
          <a:avLst/>
        </a:prstGeom>
      </xdr:spPr>
    </xdr:pic>
    <xdr:clientData/>
  </xdr:twoCellAnchor>
  <xdr:twoCellAnchor editAs="oneCell">
    <xdr:from>
      <xdr:col>2</xdr:col>
      <xdr:colOff>1775461</xdr:colOff>
      <xdr:row>18</xdr:row>
      <xdr:rowOff>173567</xdr:rowOff>
    </xdr:from>
    <xdr:to>
      <xdr:col>4</xdr:col>
      <xdr:colOff>77604</xdr:colOff>
      <xdr:row>18</xdr:row>
      <xdr:rowOff>1192954</xdr:rowOff>
    </xdr:to>
    <xdr:pic>
      <xdr:nvPicPr>
        <xdr:cNvPr id="5" name="Obraz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2491741" y="7770707"/>
          <a:ext cx="2580773" cy="1013037"/>
        </a:xfrm>
        <a:prstGeom prst="rect">
          <a:avLst/>
        </a:prstGeom>
      </xdr:spPr>
    </xdr:pic>
    <xdr:clientData/>
  </xdr:twoCellAnchor>
  <xdr:twoCellAnchor editAs="absolute">
    <xdr:from>
      <xdr:col>5</xdr:col>
      <xdr:colOff>215900</xdr:colOff>
      <xdr:row>5</xdr:row>
      <xdr:rowOff>0</xdr:rowOff>
    </xdr:from>
    <xdr:to>
      <xdr:col>5</xdr:col>
      <xdr:colOff>2688519</xdr:colOff>
      <xdr:row>7</xdr:row>
      <xdr:rowOff>163690</xdr:rowOff>
    </xdr:to>
    <xdr:pic>
      <xdr:nvPicPr>
        <xdr:cNvPr id="6" name="image1.png" title="https://marciniwuc.com">
          <a:hlinkClick xmlns:r="http://schemas.openxmlformats.org/officeDocument/2006/relationships" r:id="rId2"/>
          <a:extLst>
            <a:ext uri="{FF2B5EF4-FFF2-40B4-BE49-F238E27FC236}">
              <a16:creationId xmlns:a16="http://schemas.microsoft.com/office/drawing/2014/main" id="{2A517E3A-3EA8-5844-8063-6FEA6804841F}"/>
            </a:ext>
          </a:extLst>
        </xdr:cNvPr>
        <xdr:cNvPicPr preferRelativeResize="0">
          <a:picLocks noChangeAspect="1"/>
        </xdr:cNvPicPr>
      </xdr:nvPicPr>
      <xdr:blipFill>
        <a:blip xmlns:r="http://schemas.openxmlformats.org/officeDocument/2006/relationships" r:embed="rId3" cstate="print"/>
        <a:stretch>
          <a:fillRect/>
        </a:stretch>
      </xdr:blipFill>
      <xdr:spPr>
        <a:xfrm>
          <a:off x="7073900" y="939800"/>
          <a:ext cx="2472619" cy="608190"/>
        </a:xfrm>
        <a:prstGeom prst="rect">
          <a:avLst/>
        </a:prstGeom>
        <a:noFill/>
      </xdr:spPr>
    </xdr:pic>
    <xdr:clientData/>
  </xdr:twoCellAnchor>
</xdr:wsDr>
</file>

<file path=xl/theme/theme1.xml><?xml version="1.0" encoding="utf-8"?>
<a:theme xmlns:a="http://schemas.openxmlformats.org/drawingml/2006/main" name="Motyw pakietu Office">
  <a:themeElements>
    <a:clrScheme name="Aspek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marciniwuc.com/jak-kupic-et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bm.pkobp.pl/media_files/0e01a6f6-342c-47f2-9f84-2ea18a9b3808.pdf" TargetMode="External"/><Relationship Id="rId13" Type="http://schemas.openxmlformats.org/officeDocument/2006/relationships/drawing" Target="../drawings/drawing10.xml"/><Relationship Id="rId3" Type="http://schemas.openxmlformats.org/officeDocument/2006/relationships/hyperlink" Target="https://www.xetra.com/xetra-en/instruments/etf-exchange-traded-funds/list-of-tradable-etfs/xetra/1130070!tradable" TargetMode="External"/><Relationship Id="rId7" Type="http://schemas.openxmlformats.org/officeDocument/2006/relationships/hyperlink" Target="https://www.cdmpekao.com.pl/binsource/f/18/92/1/PRODc76e0311-deed-313a-b0ae-50f3cf210245,ATTACHMENT,PL,1,4,0.pdf" TargetMode="External"/><Relationship Id="rId12" Type="http://schemas.openxmlformats.org/officeDocument/2006/relationships/hyperlink" Target="https://www.interactivebrokers.com/en/index.php?f=42772" TargetMode="External"/><Relationship Id="rId2" Type="http://schemas.openxmlformats.org/officeDocument/2006/relationships/hyperlink" Target="https://www.xetra.com/xetra-en/instruments/etf-exchange-traded-funds/list-of-tradable-etfs/xetra/1102012!tradable" TargetMode="External"/><Relationship Id="rId1" Type="http://schemas.openxmlformats.org/officeDocument/2006/relationships/hyperlink" Target="https://www.xtb.com/pl/oferta/dostepne-rynki/etf/iwda-uk" TargetMode="External"/><Relationship Id="rId6" Type="http://schemas.openxmlformats.org/officeDocument/2006/relationships/hyperlink" Target="https://www.mdm.pl/ds-server/36433?ticketSource=ui-pub" TargetMode="External"/><Relationship Id="rId11" Type="http://schemas.openxmlformats.org/officeDocument/2006/relationships/hyperlink" Target="https://etfmatic.com/terms-and-conditions/" TargetMode="External"/><Relationship Id="rId5" Type="http://schemas.openxmlformats.org/officeDocument/2006/relationships/hyperlink" Target="https://info.bossa.pl/oferta/dokumenty/kidzgr/?_ga=2.36225699.2007989217.1571402645-217137514.1571402645" TargetMode="External"/><Relationship Id="rId15" Type="http://schemas.openxmlformats.org/officeDocument/2006/relationships/comments" Target="../comments9.xml"/><Relationship Id="rId10" Type="http://schemas.openxmlformats.org/officeDocument/2006/relationships/hyperlink" Target="https://www.degiro.pl/data/pdf/pl/lista-bezprowizyjnych-ETF.pdf" TargetMode="External"/><Relationship Id="rId4" Type="http://schemas.openxmlformats.org/officeDocument/2006/relationships/hyperlink" Target="https://www.xetra.com/xetra-en/instruments/etf-exchange-traded-funds/list-of-tradable-etfs/xetra/1102042!tradable" TargetMode="External"/><Relationship Id="rId9" Type="http://schemas.openxmlformats.org/officeDocument/2006/relationships/hyperlink" Target="https://www.xtb.com/pl/oferta/informacje-o-rachunku/specyfikacja-instrumentow" TargetMode="External"/><Relationship Id="rId1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degiro.pl/data/pdf/pl/lista-bezprowizyjnych-ETF.pdf" TargetMode="External"/><Relationship Id="rId3" Type="http://schemas.openxmlformats.org/officeDocument/2006/relationships/hyperlink" Target="https://info.bossa.pl/oferta/dokumenty/kidzgr/?_ga=2.36225699.2007989217.1571402645-217137514.1571402645" TargetMode="External"/><Relationship Id="rId7" Type="http://schemas.openxmlformats.org/officeDocument/2006/relationships/hyperlink" Target="https://www.xtb.com/pl/oferta/informacje-o-rachunku/specyfikacja-instrumentow" TargetMode="External"/><Relationship Id="rId2" Type="http://schemas.openxmlformats.org/officeDocument/2006/relationships/hyperlink" Target="https://www.xtb.com/pl/oferta/dostepne-rynki/etf/lem-fr" TargetMode="External"/><Relationship Id="rId1" Type="http://schemas.openxmlformats.org/officeDocument/2006/relationships/hyperlink" Target="https://www.xtb.com/pl/oferta/dostepne-rynki/etf/amem-de" TargetMode="External"/><Relationship Id="rId6" Type="http://schemas.openxmlformats.org/officeDocument/2006/relationships/hyperlink" Target="https://www.bm.pkobp.pl/media_files/0e01a6f6-342c-47f2-9f84-2ea18a9b3808.pdf" TargetMode="External"/><Relationship Id="rId11" Type="http://schemas.openxmlformats.org/officeDocument/2006/relationships/drawing" Target="../drawings/drawing11.xml"/><Relationship Id="rId5" Type="http://schemas.openxmlformats.org/officeDocument/2006/relationships/hyperlink" Target="https://www.cdmpekao.com.pl/binsource/f/18/92/1/PRODc76e0311-deed-313a-b0ae-50f3cf210245,ATTACHMENT,PL,1,4,0.pdf" TargetMode="External"/><Relationship Id="rId10" Type="http://schemas.openxmlformats.org/officeDocument/2006/relationships/hyperlink" Target="https://www.interactivebrokers.com/en/index.php?f=42772" TargetMode="External"/><Relationship Id="rId4" Type="http://schemas.openxmlformats.org/officeDocument/2006/relationships/hyperlink" Target="https://www.mdm.pl/ds-server/36433?ticketSource=ui-pub" TargetMode="External"/><Relationship Id="rId9" Type="http://schemas.openxmlformats.org/officeDocument/2006/relationships/hyperlink" Target="https://etfmatic.com/terms-and-condition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xetra.com/xetra-en/instruments/etf-exchange-traded-funds/list-of-tradable-etfs/xetra/1096960!tradable" TargetMode="External"/><Relationship Id="rId13" Type="http://schemas.openxmlformats.org/officeDocument/2006/relationships/vmlDrawing" Target="../drawings/vmlDrawing10.vml"/><Relationship Id="rId3" Type="http://schemas.openxmlformats.org/officeDocument/2006/relationships/hyperlink" Target="https://www.cdmpekao.com.pl/binsource/f/18/92/1/PRODc76e0311-deed-313a-b0ae-50f3cf210245,ATTACHMENT,PL,1,4,0.pdf" TargetMode="External"/><Relationship Id="rId7" Type="http://schemas.openxmlformats.org/officeDocument/2006/relationships/hyperlink" Target="https://www.degiro.pl/data/pdf/pl/lista-bezprowizyjnych-ETF.pdf" TargetMode="External"/><Relationship Id="rId12" Type="http://schemas.openxmlformats.org/officeDocument/2006/relationships/drawing" Target="../drawings/drawing12.xml"/><Relationship Id="rId2" Type="http://schemas.openxmlformats.org/officeDocument/2006/relationships/hyperlink" Target="https://www.mdm.pl/ds-server/36433?ticketSource=ui-pub" TargetMode="External"/><Relationship Id="rId1" Type="http://schemas.openxmlformats.org/officeDocument/2006/relationships/hyperlink" Target="https://info.bossa.pl/oferta/dokumenty/kidzgr/?_ga=2.36225699.2007989217.1571402645-217137514.1571402645" TargetMode="External"/><Relationship Id="rId6" Type="http://schemas.openxmlformats.org/officeDocument/2006/relationships/hyperlink" Target="https://www.xtb.com/pl/oferta/informacje-o-rachunku/specyfikacja-instrumentow" TargetMode="External"/><Relationship Id="rId11" Type="http://schemas.openxmlformats.org/officeDocument/2006/relationships/printerSettings" Target="../printerSettings/printerSettings9.bin"/><Relationship Id="rId5" Type="http://schemas.openxmlformats.org/officeDocument/2006/relationships/hyperlink" Target="https://www.xtb.com/pl/oferta/dostepne-rynki/etf/isac-uk" TargetMode="External"/><Relationship Id="rId10" Type="http://schemas.openxmlformats.org/officeDocument/2006/relationships/hyperlink" Target="https://www.interactivebrokers.com/en/index.php?f=42772" TargetMode="External"/><Relationship Id="rId4" Type="http://schemas.openxmlformats.org/officeDocument/2006/relationships/hyperlink" Target="https://www.bm.pkobp.pl/media_files/0e01a6f6-342c-47f2-9f84-2ea18a9b3808.pdf" TargetMode="External"/><Relationship Id="rId9" Type="http://schemas.openxmlformats.org/officeDocument/2006/relationships/hyperlink" Target="https://etfmatic.com/terms-and-conditions/" TargetMode="External"/><Relationship Id="rId1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8" Type="http://schemas.openxmlformats.org/officeDocument/2006/relationships/hyperlink" Target="https://www.xtb.com/pl/oferta/informacje-o-rachunku/specyfikacja-instrumentow" TargetMode="External"/><Relationship Id="rId3" Type="http://schemas.openxmlformats.org/officeDocument/2006/relationships/hyperlink" Target="https://www.xetra.com/xetra-en/instruments/etf-exchange-traded-funds/list-of-tradable-etfs/xetra/1092924!tradable" TargetMode="External"/><Relationship Id="rId7" Type="http://schemas.openxmlformats.org/officeDocument/2006/relationships/hyperlink" Target="https://www.bm.pkobp.pl/media_files/0e01a6f6-342c-47f2-9f84-2ea18a9b3808.pdf" TargetMode="External"/><Relationship Id="rId12" Type="http://schemas.openxmlformats.org/officeDocument/2006/relationships/drawing" Target="../drawings/drawing13.xml"/><Relationship Id="rId2" Type="http://schemas.openxmlformats.org/officeDocument/2006/relationships/hyperlink" Target="https://www.xetra.com/xetra-en/instruments/etf-exchange-traded-funds/list-of-tradable-etfs/xetra/1130272!tradable" TargetMode="External"/><Relationship Id="rId1" Type="http://schemas.openxmlformats.org/officeDocument/2006/relationships/hyperlink" Target="https://www.xtb.com/pl/oferta/dostepne-rynki/etf/iusa-de" TargetMode="External"/><Relationship Id="rId6" Type="http://schemas.openxmlformats.org/officeDocument/2006/relationships/hyperlink" Target="https://www.cdmpekao.com.pl/binsource/f/18/92/1/PRODc76e0311-deed-313a-b0ae-50f3cf210245,ATTACHMENT,PL,1,4,0.pdf" TargetMode="External"/><Relationship Id="rId11" Type="http://schemas.openxmlformats.org/officeDocument/2006/relationships/hyperlink" Target="https://www.interactivebrokers.com/en/index.php?f=42772" TargetMode="External"/><Relationship Id="rId5" Type="http://schemas.openxmlformats.org/officeDocument/2006/relationships/hyperlink" Target="https://www.mdm.pl/ds-server/36433?ticketSource=ui-pub" TargetMode="External"/><Relationship Id="rId10" Type="http://schemas.openxmlformats.org/officeDocument/2006/relationships/hyperlink" Target="https://etfmatic.com/terms-and-conditions/" TargetMode="External"/><Relationship Id="rId4" Type="http://schemas.openxmlformats.org/officeDocument/2006/relationships/hyperlink" Target="https://info.bossa.pl/oferta/dokumenty/kidzgr/?_ga=2.36225699.2007989217.1571402645-217137514.1571402645" TargetMode="External"/><Relationship Id="rId9" Type="http://schemas.openxmlformats.org/officeDocument/2006/relationships/hyperlink" Target="https://www.degiro.pl/data/pdf/pl/lista-bezprowizyjnych-ETF.pdf"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degiro.pl/data/pdf/pl/Oplaty-i-prowizje.pdf" TargetMode="External"/><Relationship Id="rId13" Type="http://schemas.openxmlformats.org/officeDocument/2006/relationships/hyperlink" Target="https://www.interactivebrokers.co.uk/en/index.php?f=38234" TargetMode="External"/><Relationship Id="rId3" Type="http://schemas.openxmlformats.org/officeDocument/2006/relationships/hyperlink" Target="https://www.bm.pkobp.pl/oferta/klient-indywidualny/rynki-zagraniczne/" TargetMode="External"/><Relationship Id="rId7" Type="http://schemas.openxmlformats.org/officeDocument/2006/relationships/hyperlink" Target="https://mail.google.com/mail/u/0/" TargetMode="External"/><Relationship Id="rId12" Type="http://schemas.openxmlformats.org/officeDocument/2006/relationships/hyperlink" Target="https://etfmatic.com/terms-and-conditions/" TargetMode="External"/><Relationship Id="rId17" Type="http://schemas.openxmlformats.org/officeDocument/2006/relationships/comments" Target="../comments1.xml"/><Relationship Id="rId2" Type="http://schemas.openxmlformats.org/officeDocument/2006/relationships/hyperlink" Target="https://www.santander.pl/regulation_file_server/time20190906094715/download?id=150267&amp;lang=pl_PL" TargetMode="External"/><Relationship Id="rId16" Type="http://schemas.openxmlformats.org/officeDocument/2006/relationships/vmlDrawing" Target="../drawings/vmlDrawing1.vml"/><Relationship Id="rId1" Type="http://schemas.openxmlformats.org/officeDocument/2006/relationships/hyperlink" Target="../../../../../../Downloads/Tabela%20op_at%20i%20prowizji%20maklerskich%20Domu%20Maklerskiego%20Banku%20Ochrony%20_rodowiska%20S.A.%20-%20rynek%20zagraniczny%20(4).pdf" TargetMode="External"/><Relationship Id="rId6" Type="http://schemas.openxmlformats.org/officeDocument/2006/relationships/hyperlink" Target="https://www.cdmpekao.com.pl/pakietyuslugi/taryfy-i-regulacje/zagraniczne_if" TargetMode="External"/><Relationship Id="rId11" Type="http://schemas.openxmlformats.org/officeDocument/2006/relationships/hyperlink" Target="https://www.lynxbroker.pl/oplaty-i-prowizje/" TargetMode="External"/><Relationship Id="rId5" Type="http://schemas.openxmlformats.org/officeDocument/2006/relationships/hyperlink" Target="https://www.mdm.pl/ds-server/25502?ticketSource=ui-pub" TargetMode="External"/><Relationship Id="rId15" Type="http://schemas.openxmlformats.org/officeDocument/2006/relationships/drawing" Target="../drawings/drawing2.xml"/><Relationship Id="rId10" Type="http://schemas.openxmlformats.org/officeDocument/2006/relationships/hyperlink" Target="https://mail.google.com/mail/u/0/" TargetMode="External"/><Relationship Id="rId4" Type="http://schemas.openxmlformats.org/officeDocument/2006/relationships/hyperlink" Target="https://xtb.scdn5.secure.raxcdn.com/file/0043/33/Tabela%20op%C5%82at%20i%20prowizji_11062019_e30ada4dde.pdf" TargetMode="External"/><Relationship Id="rId9" Type="http://schemas.openxmlformats.org/officeDocument/2006/relationships/hyperlink" Target="https://www.degiro.pl/data/pdf/pl/Oplaty-i-prowizje.pdf"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degiro.pl/data/pdf/pl/Oplaty-i-prowizje.pdf" TargetMode="External"/><Relationship Id="rId13" Type="http://schemas.openxmlformats.org/officeDocument/2006/relationships/hyperlink" Target="https://www.interactivebrokers.co.uk/en/index.php?f=38234" TargetMode="External"/><Relationship Id="rId3" Type="http://schemas.openxmlformats.org/officeDocument/2006/relationships/hyperlink" Target="https://www.bm.pkobp.pl/oferta/klient-indywidualny/rynki-zagraniczne/" TargetMode="External"/><Relationship Id="rId7" Type="http://schemas.openxmlformats.org/officeDocument/2006/relationships/hyperlink" Target="https://mail.google.com/mail/u/0/" TargetMode="External"/><Relationship Id="rId12" Type="http://schemas.openxmlformats.org/officeDocument/2006/relationships/hyperlink" Target="https://etfmatic.com/terms-and-conditions/" TargetMode="External"/><Relationship Id="rId17" Type="http://schemas.openxmlformats.org/officeDocument/2006/relationships/comments" Target="../comments2.xml"/><Relationship Id="rId2" Type="http://schemas.openxmlformats.org/officeDocument/2006/relationships/hyperlink" Target="https://www.santander.pl/regulation_file_server/time20190906094715/download?id=150267&amp;lang=pl_PL" TargetMode="External"/><Relationship Id="rId16" Type="http://schemas.openxmlformats.org/officeDocument/2006/relationships/vmlDrawing" Target="../drawings/vmlDrawing2.vml"/><Relationship Id="rId1" Type="http://schemas.openxmlformats.org/officeDocument/2006/relationships/hyperlink" Target="../../../../../../Downloads/Tabela%20op_at%20i%20prowizji%20maklerskich%20Domu%20Maklerskiego%20Banku%20Ochrony%20_rodowiska%20S.A.%20-%20rynek%20zagraniczny%20(4).pdf" TargetMode="External"/><Relationship Id="rId6" Type="http://schemas.openxmlformats.org/officeDocument/2006/relationships/hyperlink" Target="https://www.cdmpekao.com.pl/pakietyuslugi/taryfy-i-regulacje/zagraniczne_if" TargetMode="External"/><Relationship Id="rId11" Type="http://schemas.openxmlformats.org/officeDocument/2006/relationships/hyperlink" Target="https://www.lynxbroker.pl/oplaty-i-prowizje/" TargetMode="External"/><Relationship Id="rId5" Type="http://schemas.openxmlformats.org/officeDocument/2006/relationships/hyperlink" Target="https://www.mdm.pl/ds-server/25502?ticketSource=ui-pub" TargetMode="External"/><Relationship Id="rId15" Type="http://schemas.openxmlformats.org/officeDocument/2006/relationships/drawing" Target="../drawings/drawing3.xml"/><Relationship Id="rId10" Type="http://schemas.openxmlformats.org/officeDocument/2006/relationships/hyperlink" Target="https://mail.google.com/mail/u/0/" TargetMode="External"/><Relationship Id="rId4" Type="http://schemas.openxmlformats.org/officeDocument/2006/relationships/hyperlink" Target="https://xtb.scdn5.secure.raxcdn.com/file/0043/33/Tabela%20op%C5%82at%20i%20prowizji_11062019_e30ada4dde.pdf" TargetMode="External"/><Relationship Id="rId9" Type="http://schemas.openxmlformats.org/officeDocument/2006/relationships/hyperlink" Target="https://www.degiro.pl/data/pdf/pl/Oplaty-i-prowizje.pdf"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degiro.pl/data/pdf/pl/Oplaty-i-prowizje.pdf" TargetMode="External"/><Relationship Id="rId13" Type="http://schemas.openxmlformats.org/officeDocument/2006/relationships/hyperlink" Target="https://www.interactivebrokers.co.uk/en/index.php?f=38234" TargetMode="External"/><Relationship Id="rId3" Type="http://schemas.openxmlformats.org/officeDocument/2006/relationships/hyperlink" Target="https://www.bm.pkobp.pl/oferta/klient-indywidualny/rynki-zagraniczne/" TargetMode="External"/><Relationship Id="rId7" Type="http://schemas.openxmlformats.org/officeDocument/2006/relationships/hyperlink" Target="https://mail.google.com/mail/u/0/" TargetMode="External"/><Relationship Id="rId12" Type="http://schemas.openxmlformats.org/officeDocument/2006/relationships/hyperlink" Target="https://etfmatic.com/terms-and-conditions/" TargetMode="External"/><Relationship Id="rId17" Type="http://schemas.openxmlformats.org/officeDocument/2006/relationships/comments" Target="../comments3.xml"/><Relationship Id="rId2" Type="http://schemas.openxmlformats.org/officeDocument/2006/relationships/hyperlink" Target="https://www.santander.pl/regulation_file_server/time20190906094715/download?id=150267&amp;lang=pl_PL" TargetMode="External"/><Relationship Id="rId16" Type="http://schemas.openxmlformats.org/officeDocument/2006/relationships/vmlDrawing" Target="../drawings/vmlDrawing3.vml"/><Relationship Id="rId1" Type="http://schemas.openxmlformats.org/officeDocument/2006/relationships/hyperlink" Target="../../../../../../Downloads/Tabela%20op_at%20i%20prowizji%20maklerskich%20Domu%20Maklerskiego%20Banku%20Ochrony%20_rodowiska%20S.A.%20-%20rynek%20zagraniczny%20(4).pdf" TargetMode="External"/><Relationship Id="rId6" Type="http://schemas.openxmlformats.org/officeDocument/2006/relationships/hyperlink" Target="https://www.cdmpekao.com.pl/pakietyuslugi/taryfy-i-regulacje/zagraniczne_if" TargetMode="External"/><Relationship Id="rId11" Type="http://schemas.openxmlformats.org/officeDocument/2006/relationships/hyperlink" Target="https://www.lynxbroker.pl/oplaty-i-prowizje/" TargetMode="External"/><Relationship Id="rId5" Type="http://schemas.openxmlformats.org/officeDocument/2006/relationships/hyperlink" Target="https://www.mdm.pl/ds-server/25502?ticketSource=ui-pub" TargetMode="External"/><Relationship Id="rId15" Type="http://schemas.openxmlformats.org/officeDocument/2006/relationships/drawing" Target="../drawings/drawing4.xml"/><Relationship Id="rId10" Type="http://schemas.openxmlformats.org/officeDocument/2006/relationships/hyperlink" Target="https://mail.google.com/mail/u/0/" TargetMode="External"/><Relationship Id="rId4" Type="http://schemas.openxmlformats.org/officeDocument/2006/relationships/hyperlink" Target="https://xtb.scdn5.secure.raxcdn.com/file/0043/33/Tabela%20op%C5%82at%20i%20prowizji_11062019_e30ada4dde.pdf" TargetMode="External"/><Relationship Id="rId9" Type="http://schemas.openxmlformats.org/officeDocument/2006/relationships/hyperlink" Target="https://www.degiro.pl/data/pdf/pl/Oplaty-i-prowizje.pdf" TargetMode="External"/><Relationship Id="rId1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degiro.pl/data/pdf/pl/Oplaty-i-prowizje.pdf" TargetMode="External"/><Relationship Id="rId13" Type="http://schemas.openxmlformats.org/officeDocument/2006/relationships/hyperlink" Target="https://www.interactivebrokers.co.uk/en/index.php?f=38234" TargetMode="External"/><Relationship Id="rId3" Type="http://schemas.openxmlformats.org/officeDocument/2006/relationships/hyperlink" Target="https://www.bm.pkobp.pl/oferta/klient-indywidualny/rynki-zagraniczne/" TargetMode="External"/><Relationship Id="rId7" Type="http://schemas.openxmlformats.org/officeDocument/2006/relationships/hyperlink" Target="https://mail.google.com/mail/u/0/" TargetMode="External"/><Relationship Id="rId12" Type="http://schemas.openxmlformats.org/officeDocument/2006/relationships/hyperlink" Target="https://etfmatic.com/terms-and-conditions/" TargetMode="External"/><Relationship Id="rId17" Type="http://schemas.openxmlformats.org/officeDocument/2006/relationships/comments" Target="../comments4.xml"/><Relationship Id="rId2" Type="http://schemas.openxmlformats.org/officeDocument/2006/relationships/hyperlink" Target="https://www.santander.pl/regulation_file_server/time20190906094715/download?id=150267&amp;lang=pl_PL" TargetMode="External"/><Relationship Id="rId16" Type="http://schemas.openxmlformats.org/officeDocument/2006/relationships/vmlDrawing" Target="../drawings/vmlDrawing4.vml"/><Relationship Id="rId1" Type="http://schemas.openxmlformats.org/officeDocument/2006/relationships/hyperlink" Target="../../../../../../Downloads/Tabela%20op_at%20i%20prowizji%20maklerskich%20Domu%20Maklerskiego%20Banku%20Ochrony%20_rodowiska%20S.A.%20-%20rynek%20zagraniczny%20(4).pdf" TargetMode="External"/><Relationship Id="rId6" Type="http://schemas.openxmlformats.org/officeDocument/2006/relationships/hyperlink" Target="https://www.cdmpekao.com.pl/pakietyuslugi/taryfy-i-regulacje/zagraniczne_if" TargetMode="External"/><Relationship Id="rId11" Type="http://schemas.openxmlformats.org/officeDocument/2006/relationships/hyperlink" Target="https://www.lynxbroker.pl/oplaty-i-prowizje/" TargetMode="External"/><Relationship Id="rId5" Type="http://schemas.openxmlformats.org/officeDocument/2006/relationships/hyperlink" Target="https://www.mdm.pl/ds-server/25502?ticketSource=ui-pub" TargetMode="External"/><Relationship Id="rId15" Type="http://schemas.openxmlformats.org/officeDocument/2006/relationships/drawing" Target="../drawings/drawing5.xml"/><Relationship Id="rId10" Type="http://schemas.openxmlformats.org/officeDocument/2006/relationships/hyperlink" Target="https://mail.google.com/mail/u/0/" TargetMode="External"/><Relationship Id="rId4" Type="http://schemas.openxmlformats.org/officeDocument/2006/relationships/hyperlink" Target="https://xtb.scdn5.secure.raxcdn.com/file/0043/33/Tabela%20op%C5%82at%20i%20prowizji_11062019_e30ada4dde.pdf" TargetMode="External"/><Relationship Id="rId9" Type="http://schemas.openxmlformats.org/officeDocument/2006/relationships/hyperlink" Target="https://www.degiro.pl/data/pdf/pl/Oplaty-i-prowizje.pdf" TargetMode="External"/><Relationship Id="rId1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degiro.pl/data/pdf/pl/Oplaty-i-prowizje.pdf" TargetMode="External"/><Relationship Id="rId13" Type="http://schemas.openxmlformats.org/officeDocument/2006/relationships/hyperlink" Target="https://www.interactivebrokers.co.uk/en/index.php?f=38234" TargetMode="External"/><Relationship Id="rId3" Type="http://schemas.openxmlformats.org/officeDocument/2006/relationships/hyperlink" Target="https://www.bm.pkobp.pl/oferta/klient-indywidualny/rynki-zagraniczne/" TargetMode="External"/><Relationship Id="rId7" Type="http://schemas.openxmlformats.org/officeDocument/2006/relationships/hyperlink" Target="https://mail.google.com/mail/u/0/" TargetMode="External"/><Relationship Id="rId12" Type="http://schemas.openxmlformats.org/officeDocument/2006/relationships/hyperlink" Target="https://etfmatic.com/terms-and-conditions/" TargetMode="External"/><Relationship Id="rId17" Type="http://schemas.openxmlformats.org/officeDocument/2006/relationships/comments" Target="../comments5.xml"/><Relationship Id="rId2" Type="http://schemas.openxmlformats.org/officeDocument/2006/relationships/hyperlink" Target="https://www.santander.pl/regulation_file_server/time20190906094715/download?id=150267&amp;lang=pl_PL" TargetMode="External"/><Relationship Id="rId16" Type="http://schemas.openxmlformats.org/officeDocument/2006/relationships/vmlDrawing" Target="../drawings/vmlDrawing5.vml"/><Relationship Id="rId1" Type="http://schemas.openxmlformats.org/officeDocument/2006/relationships/hyperlink" Target="../../../../../../Downloads/Tabela%20op_at%20i%20prowizji%20maklerskich%20Domu%20Maklerskiego%20Banku%20Ochrony%20_rodowiska%20S.A.%20-%20rynek%20zagraniczny%20(4).pdf" TargetMode="External"/><Relationship Id="rId6" Type="http://schemas.openxmlformats.org/officeDocument/2006/relationships/hyperlink" Target="https://www.cdmpekao.com.pl/pakietyuslugi/taryfy-i-regulacje/zagraniczne_if" TargetMode="External"/><Relationship Id="rId11" Type="http://schemas.openxmlformats.org/officeDocument/2006/relationships/hyperlink" Target="https://www.lynxbroker.pl/oplaty-i-prowizje/" TargetMode="External"/><Relationship Id="rId5" Type="http://schemas.openxmlformats.org/officeDocument/2006/relationships/hyperlink" Target="https://www.mdm.pl/ds-server/25502?ticketSource=ui-pub" TargetMode="External"/><Relationship Id="rId15" Type="http://schemas.openxmlformats.org/officeDocument/2006/relationships/drawing" Target="../drawings/drawing6.xml"/><Relationship Id="rId10" Type="http://schemas.openxmlformats.org/officeDocument/2006/relationships/hyperlink" Target="https://mail.google.com/mail/u/0/" TargetMode="External"/><Relationship Id="rId4" Type="http://schemas.openxmlformats.org/officeDocument/2006/relationships/hyperlink" Target="https://xtb.scdn5.secure.raxcdn.com/file/0043/33/Tabela%20op%C5%82at%20i%20prowizji_11062019_e30ada4dde.pdf" TargetMode="External"/><Relationship Id="rId9" Type="http://schemas.openxmlformats.org/officeDocument/2006/relationships/hyperlink" Target="https://www.degiro.pl/data/pdf/pl/Oplaty-i-prowizje.pdf" TargetMode="External"/><Relationship Id="rId1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degiro.pl/data/pdf/pl/Oplaty-i-prowizje.pdf" TargetMode="External"/><Relationship Id="rId13" Type="http://schemas.openxmlformats.org/officeDocument/2006/relationships/hyperlink" Target="https://www.interactivebrokers.co.uk/en/index.php?f=38234" TargetMode="External"/><Relationship Id="rId3" Type="http://schemas.openxmlformats.org/officeDocument/2006/relationships/hyperlink" Target="https://www.bm.pkobp.pl/oferta/klient-indywidualny/rynki-zagraniczne/" TargetMode="External"/><Relationship Id="rId7" Type="http://schemas.openxmlformats.org/officeDocument/2006/relationships/hyperlink" Target="https://mail.google.com/mail/u/0/" TargetMode="External"/><Relationship Id="rId12" Type="http://schemas.openxmlformats.org/officeDocument/2006/relationships/hyperlink" Target="https://etfmatic.com/terms-and-conditions/" TargetMode="External"/><Relationship Id="rId17" Type="http://schemas.openxmlformats.org/officeDocument/2006/relationships/comments" Target="../comments6.xml"/><Relationship Id="rId2" Type="http://schemas.openxmlformats.org/officeDocument/2006/relationships/hyperlink" Target="https://www.santander.pl/regulation_file_server/time20190906094715/download?id=150267&amp;lang=pl_PL" TargetMode="External"/><Relationship Id="rId16" Type="http://schemas.openxmlformats.org/officeDocument/2006/relationships/vmlDrawing" Target="../drawings/vmlDrawing6.vml"/><Relationship Id="rId1" Type="http://schemas.openxmlformats.org/officeDocument/2006/relationships/hyperlink" Target="../../../../../../Downloads/Tabela%20op_at%20i%20prowizji%20maklerskich%20Domu%20Maklerskiego%20Banku%20Ochrony%20_rodowiska%20S.A.%20-%20rynek%20zagraniczny%20(4).pdf" TargetMode="External"/><Relationship Id="rId6" Type="http://schemas.openxmlformats.org/officeDocument/2006/relationships/hyperlink" Target="https://www.cdmpekao.com.pl/pakietyuslugi/taryfy-i-regulacje/zagraniczne_if" TargetMode="External"/><Relationship Id="rId11" Type="http://schemas.openxmlformats.org/officeDocument/2006/relationships/hyperlink" Target="https://www.lynxbroker.pl/oplaty-i-prowizje/" TargetMode="External"/><Relationship Id="rId5" Type="http://schemas.openxmlformats.org/officeDocument/2006/relationships/hyperlink" Target="https://www.mdm.pl/ds-server/25502?ticketSource=ui-pub" TargetMode="External"/><Relationship Id="rId15" Type="http://schemas.openxmlformats.org/officeDocument/2006/relationships/drawing" Target="../drawings/drawing7.xml"/><Relationship Id="rId10" Type="http://schemas.openxmlformats.org/officeDocument/2006/relationships/hyperlink" Target="https://mail.google.com/mail/u/0/" TargetMode="External"/><Relationship Id="rId4" Type="http://schemas.openxmlformats.org/officeDocument/2006/relationships/hyperlink" Target="https://xtb.scdn5.secure.raxcdn.com/file/0043/33/Tabela%20op%C5%82at%20i%20prowizji_11062019_e30ada4dde.pdf" TargetMode="External"/><Relationship Id="rId9" Type="http://schemas.openxmlformats.org/officeDocument/2006/relationships/hyperlink" Target="https://www.degiro.pl/data/pdf/pl/Oplaty-i-prowizje.pdf" TargetMode="External"/><Relationship Id="rId1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degiro.pl/data/pdf/pl/Oplaty-i-prowizje.pdf" TargetMode="External"/><Relationship Id="rId13" Type="http://schemas.openxmlformats.org/officeDocument/2006/relationships/hyperlink" Target="https://www.interactivebrokers.co.uk/en/index.php?f=38234" TargetMode="External"/><Relationship Id="rId3" Type="http://schemas.openxmlformats.org/officeDocument/2006/relationships/hyperlink" Target="https://www.bm.pkobp.pl/oferta/klient-indywidualny/rynki-zagraniczne/" TargetMode="External"/><Relationship Id="rId7" Type="http://schemas.openxmlformats.org/officeDocument/2006/relationships/hyperlink" Target="https://mail.google.com/mail/u/0/" TargetMode="External"/><Relationship Id="rId12" Type="http://schemas.openxmlformats.org/officeDocument/2006/relationships/hyperlink" Target="https://etfmatic.com/terms-and-conditions/" TargetMode="External"/><Relationship Id="rId17" Type="http://schemas.openxmlformats.org/officeDocument/2006/relationships/comments" Target="../comments7.xml"/><Relationship Id="rId2" Type="http://schemas.openxmlformats.org/officeDocument/2006/relationships/hyperlink" Target="https://www.santander.pl/regulation_file_server/time20190906094715/download?id=150267&amp;lang=pl_PL" TargetMode="External"/><Relationship Id="rId16" Type="http://schemas.openxmlformats.org/officeDocument/2006/relationships/vmlDrawing" Target="../drawings/vmlDrawing7.vml"/><Relationship Id="rId1" Type="http://schemas.openxmlformats.org/officeDocument/2006/relationships/hyperlink" Target="../../../../../../Downloads/Tabela%20op_at%20i%20prowizji%20maklerskich%20Domu%20Maklerskiego%20Banku%20Ochrony%20_rodowiska%20S.A.%20-%20rynek%20zagraniczny%20(4).pdf" TargetMode="External"/><Relationship Id="rId6" Type="http://schemas.openxmlformats.org/officeDocument/2006/relationships/hyperlink" Target="https://www.cdmpekao.com.pl/pakietyuslugi/taryfy-i-regulacje/zagraniczne_if" TargetMode="External"/><Relationship Id="rId11" Type="http://schemas.openxmlformats.org/officeDocument/2006/relationships/hyperlink" Target="https://www.lynxbroker.pl/oplaty-i-prowizje/" TargetMode="External"/><Relationship Id="rId5" Type="http://schemas.openxmlformats.org/officeDocument/2006/relationships/hyperlink" Target="https://www.mdm.pl/ds-server/25502?ticketSource=ui-pub" TargetMode="External"/><Relationship Id="rId15" Type="http://schemas.openxmlformats.org/officeDocument/2006/relationships/drawing" Target="../drawings/drawing8.xml"/><Relationship Id="rId10" Type="http://schemas.openxmlformats.org/officeDocument/2006/relationships/hyperlink" Target="https://mail.google.com/mail/u/0/" TargetMode="External"/><Relationship Id="rId4" Type="http://schemas.openxmlformats.org/officeDocument/2006/relationships/hyperlink" Target="https://xtb.scdn5.secure.raxcdn.com/file/0043/33/Tabela%20op%C5%82at%20i%20prowizji_11062019_e30ada4dde.pdf" TargetMode="External"/><Relationship Id="rId9" Type="http://schemas.openxmlformats.org/officeDocument/2006/relationships/hyperlink" Target="https://www.degiro.pl/data/pdf/pl/Oplaty-i-prowizje.pdf" TargetMode="External"/><Relationship Id="rId1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degiro.pl/data/pdf/pl/Oplaty-i-prowizje.pdf" TargetMode="External"/><Relationship Id="rId13" Type="http://schemas.openxmlformats.org/officeDocument/2006/relationships/hyperlink" Target="https://www.interactivebrokers.co.uk/en/index.php?f=38234" TargetMode="External"/><Relationship Id="rId3" Type="http://schemas.openxmlformats.org/officeDocument/2006/relationships/hyperlink" Target="https://www.bm.pkobp.pl/oferta/klient-indywidualny/rynki-zagraniczne/" TargetMode="External"/><Relationship Id="rId7" Type="http://schemas.openxmlformats.org/officeDocument/2006/relationships/hyperlink" Target="https://mail.google.com/mail/u/0/" TargetMode="External"/><Relationship Id="rId12" Type="http://schemas.openxmlformats.org/officeDocument/2006/relationships/hyperlink" Target="https://etfmatic.com/terms-and-conditions/" TargetMode="External"/><Relationship Id="rId17" Type="http://schemas.openxmlformats.org/officeDocument/2006/relationships/comments" Target="../comments8.xml"/><Relationship Id="rId2" Type="http://schemas.openxmlformats.org/officeDocument/2006/relationships/hyperlink" Target="https://www.santander.pl/regulation_file_server/time20190906094715/download?id=150267&amp;lang=pl_PL" TargetMode="External"/><Relationship Id="rId16" Type="http://schemas.openxmlformats.org/officeDocument/2006/relationships/vmlDrawing" Target="../drawings/vmlDrawing8.vml"/><Relationship Id="rId1" Type="http://schemas.openxmlformats.org/officeDocument/2006/relationships/hyperlink" Target="../../../../../../Downloads/Tabela%20op_at%20i%20prowizji%20maklerskich%20Domu%20Maklerskiego%20Banku%20Ochrony%20_rodowiska%20S.A.%20-%20rynek%20zagraniczny%20(4).pdf" TargetMode="External"/><Relationship Id="rId6" Type="http://schemas.openxmlformats.org/officeDocument/2006/relationships/hyperlink" Target="https://www.cdmpekao.com.pl/pakietyuslugi/taryfy-i-regulacje/zagraniczne_if" TargetMode="External"/><Relationship Id="rId11" Type="http://schemas.openxmlformats.org/officeDocument/2006/relationships/hyperlink" Target="https://www.lynxbroker.pl/oplaty-i-prowizje/" TargetMode="External"/><Relationship Id="rId5" Type="http://schemas.openxmlformats.org/officeDocument/2006/relationships/hyperlink" Target="https://www.mdm.pl/ds-server/25502?ticketSource=ui-pub" TargetMode="External"/><Relationship Id="rId15" Type="http://schemas.openxmlformats.org/officeDocument/2006/relationships/drawing" Target="../drawings/drawing9.xml"/><Relationship Id="rId10" Type="http://schemas.openxmlformats.org/officeDocument/2006/relationships/hyperlink" Target="https://mail.google.com/mail/u/0/" TargetMode="External"/><Relationship Id="rId4" Type="http://schemas.openxmlformats.org/officeDocument/2006/relationships/hyperlink" Target="https://xtb.scdn5.secure.raxcdn.com/file/0043/33/Tabela%20op%C5%82at%20i%20prowizji_11062019_e30ada4dde.pdf" TargetMode="External"/><Relationship Id="rId9" Type="http://schemas.openxmlformats.org/officeDocument/2006/relationships/hyperlink" Target="https://www.degiro.pl/data/pdf/pl/Oplaty-i-prowizje.pdf" TargetMode="External"/><Relationship Id="rId1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I25"/>
  <sheetViews>
    <sheetView showGridLines="0" tabSelected="1" zoomScaleNormal="100" workbookViewId="0">
      <pane xSplit="1" ySplit="11" topLeftCell="B12" activePane="bottomRight" state="frozen"/>
      <selection pane="topRight" activeCell="B1" sqref="B1"/>
      <selection pane="bottomLeft" activeCell="A12" sqref="A12"/>
      <selection pane="bottomRight" activeCell="O7" sqref="O7"/>
    </sheetView>
  </sheetViews>
  <sheetFormatPr defaultColWidth="8.81640625" defaultRowHeight="14.5"/>
  <cols>
    <col min="1" max="1" width="17.453125" style="2" customWidth="1"/>
    <col min="2" max="2" width="9.453125" style="7" customWidth="1"/>
    <col min="3" max="3" width="7.81640625" style="6" customWidth="1"/>
    <col min="4" max="4" width="8.1796875" style="7" customWidth="1"/>
    <col min="5" max="5" width="9.453125" style="7" customWidth="1"/>
    <col min="6" max="6" width="10.453125" style="7" customWidth="1"/>
    <col min="7" max="7" width="7.81640625" style="7" customWidth="1"/>
    <col min="8" max="8" width="9" style="7" customWidth="1"/>
    <col min="9" max="9" width="9.453125" style="7" customWidth="1"/>
    <col min="10" max="10" width="8.453125" style="49" customWidth="1"/>
    <col min="11" max="11" width="8.1796875" style="7" customWidth="1"/>
    <col min="12" max="12" width="8.81640625" style="7"/>
    <col min="13" max="13" width="8.81640625" style="7" customWidth="1"/>
    <col min="14" max="14" width="8.36328125" style="7" customWidth="1"/>
    <col min="15" max="15" width="6.81640625" style="7" customWidth="1"/>
    <col min="16" max="16" width="7.453125" style="7" customWidth="1"/>
    <col min="17" max="17" width="9.453125" style="7" customWidth="1"/>
    <col min="18" max="18" width="8.1796875" style="7" customWidth="1"/>
    <col min="19" max="19" width="7.81640625" style="7" customWidth="1"/>
    <col min="20" max="20" width="7.1796875" style="7" customWidth="1"/>
    <col min="21" max="22" width="7.81640625" style="7" customWidth="1"/>
    <col min="23" max="23" width="7.453125" style="7" customWidth="1"/>
    <col min="24" max="24" width="8.453125" style="7" customWidth="1"/>
    <col min="25" max="25" width="7.453125" style="7" customWidth="1"/>
    <col min="26" max="26" width="7.81640625" style="7" customWidth="1"/>
    <col min="27" max="27" width="6.81640625" style="7" customWidth="1"/>
    <col min="28" max="29" width="7.453125" style="7" customWidth="1"/>
    <col min="30" max="138" width="8.81640625" style="31"/>
    <col min="139" max="16384" width="8.81640625" style="7"/>
  </cols>
  <sheetData>
    <row r="1" spans="1:139">
      <c r="A1" s="27" t="s">
        <v>67</v>
      </c>
      <c r="B1" s="8"/>
      <c r="C1" s="27" t="s">
        <v>20</v>
      </c>
      <c r="D1" s="8"/>
      <c r="E1" s="10"/>
      <c r="F1" s="8"/>
    </row>
    <row r="2" spans="1:139">
      <c r="A2" s="27" t="s">
        <v>68</v>
      </c>
      <c r="B2" s="8"/>
      <c r="C2" s="27" t="s">
        <v>69</v>
      </c>
      <c r="D2" s="8"/>
      <c r="E2" s="10"/>
      <c r="F2" s="8"/>
    </row>
    <row r="3" spans="1:139">
      <c r="A3" s="9" t="s">
        <v>70</v>
      </c>
      <c r="B3" s="8"/>
      <c r="C3" s="9">
        <v>51</v>
      </c>
      <c r="D3" s="8"/>
      <c r="E3" s="10" t="s">
        <v>71</v>
      </c>
      <c r="F3" s="8"/>
    </row>
    <row r="4" spans="1:139">
      <c r="A4" s="9" t="s">
        <v>109</v>
      </c>
      <c r="B4" s="8"/>
      <c r="C4" s="11">
        <v>4.3735999999999997</v>
      </c>
      <c r="D4" s="8"/>
      <c r="E4" s="10" t="s">
        <v>86</v>
      </c>
      <c r="F4" s="8"/>
    </row>
    <row r="5" spans="1:139">
      <c r="A5" s="9" t="s">
        <v>73</v>
      </c>
      <c r="B5" s="8"/>
      <c r="C5" s="71" t="s">
        <v>139</v>
      </c>
      <c r="D5" s="8"/>
      <c r="E5" s="10" t="s">
        <v>85</v>
      </c>
      <c r="F5" s="8"/>
      <c r="H5" s="158" t="s">
        <v>193</v>
      </c>
    </row>
    <row r="6" spans="1:139" ht="18.5">
      <c r="A6" s="28" t="s">
        <v>87</v>
      </c>
      <c r="B6" s="8"/>
      <c r="C6" s="72" t="s">
        <v>139</v>
      </c>
      <c r="D6" s="8"/>
      <c r="E6" s="29" t="s">
        <v>86</v>
      </c>
      <c r="F6" s="8"/>
    </row>
    <row r="7" spans="1:139">
      <c r="A7" s="9" t="s">
        <v>110</v>
      </c>
      <c r="B7" s="8"/>
      <c r="C7" s="11">
        <v>4</v>
      </c>
      <c r="D7" s="8"/>
      <c r="E7" s="10" t="s">
        <v>103</v>
      </c>
      <c r="F7" s="73"/>
      <c r="G7" s="31"/>
      <c r="H7" s="31"/>
      <c r="I7" s="31"/>
      <c r="J7" s="50"/>
    </row>
    <row r="8" spans="1:139">
      <c r="A8" s="9" t="s">
        <v>111</v>
      </c>
      <c r="B8" s="8"/>
      <c r="C8" s="30">
        <v>6.9999999999999999E-4</v>
      </c>
      <c r="D8" s="8"/>
      <c r="E8" s="10" t="s">
        <v>112</v>
      </c>
      <c r="F8" s="73"/>
      <c r="G8" s="31"/>
      <c r="H8" s="31"/>
      <c r="I8" s="31"/>
      <c r="J8" s="50"/>
    </row>
    <row r="9" spans="1:139" ht="15" thickBot="1">
      <c r="A9" s="4"/>
      <c r="B9" s="12"/>
      <c r="C9" s="13"/>
      <c r="D9" s="31"/>
      <c r="E9" s="31"/>
      <c r="F9" s="31"/>
      <c r="G9" s="31"/>
      <c r="H9" s="31"/>
      <c r="I9" s="31"/>
      <c r="J9" s="50"/>
    </row>
    <row r="10" spans="1:139" s="68" customFormat="1" ht="26.75" customHeight="1" thickBot="1">
      <c r="A10" s="65"/>
      <c r="B10" s="159" t="s">
        <v>132</v>
      </c>
      <c r="C10" s="160"/>
      <c r="D10" s="160"/>
      <c r="E10" s="161"/>
      <c r="F10" s="162" t="s">
        <v>189</v>
      </c>
      <c r="G10" s="163"/>
      <c r="H10" s="163"/>
      <c r="I10" s="164"/>
      <c r="J10" s="159" t="s">
        <v>133</v>
      </c>
      <c r="K10" s="160"/>
      <c r="L10" s="160"/>
      <c r="M10" s="161"/>
      <c r="N10" s="162" t="s">
        <v>134</v>
      </c>
      <c r="O10" s="163"/>
      <c r="P10" s="163"/>
      <c r="Q10" s="164"/>
      <c r="R10" s="159" t="s">
        <v>135</v>
      </c>
      <c r="S10" s="160"/>
      <c r="T10" s="160"/>
      <c r="U10" s="161"/>
      <c r="V10" s="162" t="s">
        <v>136</v>
      </c>
      <c r="W10" s="163"/>
      <c r="X10" s="163"/>
      <c r="Y10" s="164"/>
      <c r="Z10" s="159" t="s">
        <v>137</v>
      </c>
      <c r="AA10" s="160"/>
      <c r="AB10" s="160"/>
      <c r="AC10" s="161"/>
      <c r="AD10" s="162" t="s">
        <v>138</v>
      </c>
      <c r="AE10" s="163"/>
      <c r="AF10" s="163"/>
      <c r="AG10" s="164"/>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7"/>
    </row>
    <row r="11" spans="1:139" s="70" customFormat="1" ht="73.5" customHeight="1" thickBot="1">
      <c r="A11" s="117" t="s">
        <v>84</v>
      </c>
      <c r="B11" s="118" t="s">
        <v>81</v>
      </c>
      <c r="C11" s="119" t="s">
        <v>129</v>
      </c>
      <c r="D11" s="119" t="s">
        <v>128</v>
      </c>
      <c r="E11" s="120" t="s">
        <v>130</v>
      </c>
      <c r="F11" s="118" t="s">
        <v>81</v>
      </c>
      <c r="G11" s="119" t="s">
        <v>129</v>
      </c>
      <c r="H11" s="119" t="s">
        <v>128</v>
      </c>
      <c r="I11" s="120" t="s">
        <v>130</v>
      </c>
      <c r="J11" s="118" t="s">
        <v>81</v>
      </c>
      <c r="K11" s="119" t="s">
        <v>129</v>
      </c>
      <c r="L11" s="119" t="s">
        <v>128</v>
      </c>
      <c r="M11" s="120" t="s">
        <v>130</v>
      </c>
      <c r="N11" s="118" t="s">
        <v>81</v>
      </c>
      <c r="O11" s="119" t="s">
        <v>129</v>
      </c>
      <c r="P11" s="119" t="s">
        <v>128</v>
      </c>
      <c r="Q11" s="120" t="s">
        <v>130</v>
      </c>
      <c r="R11" s="118" t="s">
        <v>81</v>
      </c>
      <c r="S11" s="119" t="s">
        <v>129</v>
      </c>
      <c r="T11" s="119" t="s">
        <v>128</v>
      </c>
      <c r="U11" s="120" t="s">
        <v>130</v>
      </c>
      <c r="V11" s="118" t="s">
        <v>81</v>
      </c>
      <c r="W11" s="119" t="s">
        <v>129</v>
      </c>
      <c r="X11" s="119" t="s">
        <v>128</v>
      </c>
      <c r="Y11" s="120" t="s">
        <v>130</v>
      </c>
      <c r="Z11" s="118" t="s">
        <v>81</v>
      </c>
      <c r="AA11" s="119" t="s">
        <v>129</v>
      </c>
      <c r="AB11" s="119" t="s">
        <v>128</v>
      </c>
      <c r="AC11" s="120" t="s">
        <v>130</v>
      </c>
      <c r="AD11" s="118" t="s">
        <v>81</v>
      </c>
      <c r="AE11" s="119" t="s">
        <v>129</v>
      </c>
      <c r="AF11" s="119" t="s">
        <v>128</v>
      </c>
      <c r="AG11" s="120" t="s">
        <v>130</v>
      </c>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row>
    <row r="12" spans="1:139" ht="15" thickBot="1">
      <c r="A12" s="55" t="s">
        <v>105</v>
      </c>
      <c r="B12" s="59">
        <f>'Opłaty obliczenia 200 ZŁ'!E14</f>
        <v>39.362399999999994</v>
      </c>
      <c r="C12" s="60">
        <f>'Opłaty obliczenia 200 ZŁ'!G14</f>
        <v>0</v>
      </c>
      <c r="D12" s="60">
        <f>'Opłaty obliczenia 200 ZŁ'!H14</f>
        <v>39.362399999999994</v>
      </c>
      <c r="E12" s="61">
        <f>'Opłaty obliczenia 200 ZŁ'!K14</f>
        <v>0.17717058823529411</v>
      </c>
      <c r="F12" s="59">
        <f>'Opłaty obliczenia 1000 ZŁ'!E14</f>
        <v>39.362399999999994</v>
      </c>
      <c r="G12" s="60">
        <f>'Opłaty obliczenia 200 ZŁ'!G14</f>
        <v>0</v>
      </c>
      <c r="H12" s="60">
        <f>'Opłaty obliczenia 1000 ZŁ'!J14</f>
        <v>40.143087599999994</v>
      </c>
      <c r="I12" s="61">
        <f>'Opłaty obliczenia 1000 ZŁ'!K14</f>
        <v>3.5994117647058815E-2</v>
      </c>
      <c r="J12" s="59">
        <f>'Opłaty obliczenia 4000 ZŁ'!E14</f>
        <v>39.362399999999994</v>
      </c>
      <c r="K12" s="60">
        <f>'Opłaty obliczenia 4000 ZŁ'!G14</f>
        <v>0</v>
      </c>
      <c r="L12" s="60">
        <f>'Opłaty obliczenia 4000 ZŁ'!H14</f>
        <v>39.362399999999994</v>
      </c>
      <c r="M12" s="61">
        <f>'Opłaty obliczenia 4000 ZŁ'!K14</f>
        <v>1.050392156862745E-2</v>
      </c>
      <c r="N12" s="59">
        <f>'Opłaty obliczenia 10000 ZŁ'!E14</f>
        <v>39.362399999999994</v>
      </c>
      <c r="O12" s="60">
        <f>'Opłaty obliczenia 10000 ZŁ'!G14</f>
        <v>0</v>
      </c>
      <c r="P12" s="60">
        <f>'Opłaty obliczenia 10000 ZŁ'!H14</f>
        <v>39.362399999999994</v>
      </c>
      <c r="Q12" s="61">
        <f>'Opłaty obliczenia 10000 ZŁ'!K14</f>
        <v>4.6215686274509796E-3</v>
      </c>
      <c r="R12" s="59">
        <f>'Opłaty obliczenia 20000 ZŁ '!E14</f>
        <v>58.216989599999998</v>
      </c>
      <c r="S12" s="60">
        <f>'Opłaty obliczenia 20000 ZŁ '!G14</f>
        <v>0</v>
      </c>
      <c r="T12" s="60">
        <f>'Opłaty obliczenia 20000 ZŁ '!H14</f>
        <v>58.216989599999998</v>
      </c>
      <c r="U12" s="61">
        <f>'Opłaty obliczenia 20000 ZŁ '!K14</f>
        <v>3.5999999999999999E-3</v>
      </c>
      <c r="V12" s="59">
        <f>'Opłaty obliczenia 50000 ZŁ '!E13</f>
        <v>145.542474</v>
      </c>
      <c r="W12" s="60">
        <f>'Opłaty obliczenia 50000 ZŁ '!G13</f>
        <v>0</v>
      </c>
      <c r="X12" s="60">
        <f>'Opłaty obliczenia 50000 ZŁ '!H13</f>
        <v>145.542474</v>
      </c>
      <c r="Y12" s="61">
        <f>'Opłaty obliczenia 50000 ZŁ '!K13</f>
        <v>3.6000000000000003E-3</v>
      </c>
      <c r="Z12" s="59">
        <f>'Opłaty obliczenia 100000 ZŁ '!E14</f>
        <v>290.43809255999997</v>
      </c>
      <c r="AA12" s="60">
        <f>'Opłaty obliczenia 100000 ZŁ '!G14</f>
        <v>0</v>
      </c>
      <c r="AB12" s="60">
        <f>'Opłaty obliczenia 100000 ZŁ '!H14</f>
        <v>290.43809255999997</v>
      </c>
      <c r="AC12" s="61">
        <f>'Opłaty obliczenia 100000 ZŁ '!K14</f>
        <v>3.5999999999999999E-3</v>
      </c>
      <c r="AD12" s="59">
        <f>'Opłaty obliczenia 200000 ZŁ'!E14</f>
        <v>580.22932967999998</v>
      </c>
      <c r="AE12" s="60">
        <f>'Opłaty obliczenia 200000 ZŁ'!G14</f>
        <v>0</v>
      </c>
      <c r="AF12" s="60">
        <f>'Opłaty obliczenia 200000 ZŁ'!H14</f>
        <v>580.22932967999998</v>
      </c>
      <c r="AG12" s="61">
        <f>'Opłaty obliczenia 200000 ZŁ'!K14</f>
        <v>3.6000000000000003E-3</v>
      </c>
    </row>
    <row r="13" spans="1:139" ht="15" thickBot="1">
      <c r="A13" s="56" t="s">
        <v>2</v>
      </c>
      <c r="B13" s="59">
        <f>'Opłaty obliczenia 200 ZŁ'!E15</f>
        <v>52.483199999999997</v>
      </c>
      <c r="C13" s="60">
        <f>'Opłaty obliczenia 200 ZŁ'!G15</f>
        <v>66.535328640000003</v>
      </c>
      <c r="D13" s="60">
        <f>'Opłaty obliczenia 200 ZŁ'!H15</f>
        <v>119.01852864</v>
      </c>
      <c r="E13" s="61">
        <f>'Opłaty obliczenia 200 ZŁ'!K15</f>
        <v>0.53428712273641854</v>
      </c>
      <c r="F13" s="59">
        <f>'Opłaty obliczenia 1000 ZŁ'!E15</f>
        <v>52.483199999999997</v>
      </c>
      <c r="G13" s="60">
        <f>'Opłaty obliczenia 200 ZŁ'!G15</f>
        <v>66.535328640000003</v>
      </c>
      <c r="H13" s="60">
        <f>'Opłaty obliczenia 1000 ZŁ'!J15</f>
        <v>121.94053079999999</v>
      </c>
      <c r="I13" s="61">
        <f>'Opłaty obliczenia 1000 ZŁ'!K15</f>
        <v>0.10933742454728369</v>
      </c>
      <c r="J13" s="59">
        <f>'Opłaty obliczenia 200 ZŁ'!H15</f>
        <v>119.01852864</v>
      </c>
      <c r="K13" s="60">
        <f>'Opłaty obliczenia 200 ZŁ'!J15</f>
        <v>119.17466616</v>
      </c>
      <c r="L13" s="60">
        <f>'Opłaty obliczenia 200 ZŁ'!K15</f>
        <v>0.53428712273641854</v>
      </c>
      <c r="M13" s="61">
        <f>'Opłaty obliczenia 4000 ZŁ'!K15</f>
        <v>3.2610395707578801E-2</v>
      </c>
      <c r="N13" s="59">
        <f>'Opłaty obliczenia 10000 ZŁ'!E15</f>
        <v>52.483199999999997</v>
      </c>
      <c r="O13" s="60">
        <f>'Opłaty obliczenia 10000 ZŁ'!G15</f>
        <v>90.089788800000008</v>
      </c>
      <c r="P13" s="60">
        <f>'Opłaty obliczenia 10000 ZŁ'!H15</f>
        <v>142.57298880000002</v>
      </c>
      <c r="Q13" s="61">
        <f>'Opłaty obliczenia 10000 ZŁ'!K15</f>
        <v>1.4904158283031524E-2</v>
      </c>
      <c r="R13" s="59">
        <f>'Opłaty obliczenia 20000 ZŁ '!E15</f>
        <v>78.291813599999998</v>
      </c>
      <c r="S13" s="60">
        <f>'Opłaty obliczenia 20000 ZŁ '!G15</f>
        <v>114.1795776</v>
      </c>
      <c r="T13" s="60">
        <f>'Opłaty obliczenia 20000 ZŁ '!H15</f>
        <v>192.4713912</v>
      </c>
      <c r="U13" s="61">
        <f>'Opłaty obliczenia 20000 ZŁ '!K15</f>
        <v>1.028770005654844E-2</v>
      </c>
      <c r="V13" s="59">
        <f>'Opłaty obliczenia 50000 ZŁ '!E14</f>
        <v>195.729534</v>
      </c>
      <c r="W13" s="60">
        <f>'Opłaty obliczenia 50000 ZŁ '!G14</f>
        <v>186.44894399999998</v>
      </c>
      <c r="X13" s="60">
        <f>'Opłaty obliczenia 50000 ZŁ '!H14</f>
        <v>382.17847799999998</v>
      </c>
      <c r="Y13" s="61">
        <f>'Opłaty obliczenia 50000 ZŁ '!K14</f>
        <v>8.3150800226193759E-3</v>
      </c>
      <c r="Z13" s="59">
        <f>'Opłaty obliczenia 100000 ZŁ '!E15</f>
        <v>390.58915896000002</v>
      </c>
      <c r="AA13" s="60">
        <f>'Opłaty obliczenia 100000 ZŁ '!G15</f>
        <v>246.36255936000003</v>
      </c>
      <c r="AB13" s="60">
        <f>'Opłaty obliczenia 100000 ZŁ '!H15</f>
        <v>636.95171832000005</v>
      </c>
      <c r="AC13" s="61">
        <f>'Opłaty obliczenia 100000 ZŁ '!K15</f>
        <v>7.059909496879806E-3</v>
      </c>
      <c r="AD13" s="59">
        <f>'Opłaty obliczenia 200000 ZŁ'!E15</f>
        <v>780.30840888</v>
      </c>
      <c r="AE13" s="60">
        <f>'Opłaty obliczenia 200000 ZŁ'!G15</f>
        <v>512.17397424000001</v>
      </c>
      <c r="AF13" s="60">
        <f>'Opłaty obliczenia 200000 ZŁ'!H15</f>
        <v>1292.4823831200001</v>
      </c>
      <c r="AG13" s="61">
        <f>'Opłaty obliczenia 200000 ZŁ'!K15</f>
        <v>7.1598577136994359E-3</v>
      </c>
    </row>
    <row r="14" spans="1:139" ht="15" thickBot="1">
      <c r="A14" s="55" t="s">
        <v>3</v>
      </c>
      <c r="B14" s="59">
        <f>'Opłaty obliczenia 200 ZŁ'!E16</f>
        <v>39.362399999999994</v>
      </c>
      <c r="C14" s="60">
        <f>'Opłaty obliczenia 200 ZŁ'!G16</f>
        <v>60.3345804</v>
      </c>
      <c r="D14" s="60">
        <f>'Opłaty obliczenia 200 ZŁ'!H16</f>
        <v>99.696980400000001</v>
      </c>
      <c r="E14" s="61">
        <f>'Opłaty obliczenia 200 ZŁ'!K16</f>
        <v>0.44766422922562116</v>
      </c>
      <c r="F14" s="59">
        <f>'Opłaty obliczenia 1000 ZŁ'!E16</f>
        <v>39.362399999999994</v>
      </c>
      <c r="G14" s="60">
        <f>'Opłaty obliczenia 200 ZŁ'!G16</f>
        <v>60.3345804</v>
      </c>
      <c r="H14" s="60">
        <f>'Opłaty obliczenia 1000 ZŁ'!J16</f>
        <v>101.81598959999999</v>
      </c>
      <c r="I14" s="61">
        <f>'Opłaty obliczenia 1000 ZŁ'!K16</f>
        <v>9.1292845845124218E-2</v>
      </c>
      <c r="J14" s="59">
        <f>'Opłaty obliczenia 200 ZŁ'!H16</f>
        <v>99.696980400000001</v>
      </c>
      <c r="K14" s="60">
        <f>'Opłaty obliczenia 200 ZŁ'!J16</f>
        <v>99.853117920000003</v>
      </c>
      <c r="L14" s="60">
        <f>'Opłaty obliczenia 200 ZŁ'!K16</f>
        <v>0.44766422922562116</v>
      </c>
      <c r="M14" s="61">
        <f>'Opłaty obliczenia 4000 ZŁ'!K16</f>
        <v>2.6948012734756728E-2</v>
      </c>
      <c r="N14" s="59">
        <f>'Opłaty obliczenia 10000 ZŁ'!E16</f>
        <v>39.362399999999994</v>
      </c>
      <c r="O14" s="60">
        <f>'Opłaty obliczenia 10000 ZŁ'!G16</f>
        <v>75.056117999999998</v>
      </c>
      <c r="P14" s="60">
        <f>'Opłaty obliczenia 10000 ZŁ'!H16</f>
        <v>114.41851799999999</v>
      </c>
      <c r="Q14" s="61">
        <f>'Opłaty obliczenia 10000 ZŁ'!K16</f>
        <v>1.2099205093902689E-2</v>
      </c>
      <c r="R14" s="59">
        <f>'Opłaty obliczenia 20000 ZŁ '!E16</f>
        <v>58.216989599999998</v>
      </c>
      <c r="S14" s="60">
        <f>'Opłaty obliczenia 20000 ZŁ '!G16</f>
        <v>90.112235999999996</v>
      </c>
      <c r="T14" s="60">
        <f>'Opłaty obliczenia 20000 ZŁ '!H16</f>
        <v>148.3292256</v>
      </c>
      <c r="U14" s="61">
        <f>'Opłaty obliczenia 20000 ZŁ '!K16</f>
        <v>8.0888182332258547E-3</v>
      </c>
      <c r="V14" s="59">
        <f>'Opłaty obliczenia 50000 ZŁ '!E15</f>
        <v>145.542474</v>
      </c>
      <c r="W14" s="60">
        <f>'Opłaty obliczenia 50000 ZŁ '!G15</f>
        <v>135.28059000000002</v>
      </c>
      <c r="X14" s="60">
        <f>'Opłaty obliczenia 50000 ZŁ '!H15</f>
        <v>280.82306400000004</v>
      </c>
      <c r="Y14" s="61">
        <f>'Opłaty obliczenia 50000 ZŁ '!K15</f>
        <v>6.2955272932903438E-3</v>
      </c>
      <c r="Z14" s="59">
        <f>'Opłaty obliczenia 100000 ZŁ '!E16</f>
        <v>290.43809255999997</v>
      </c>
      <c r="AA14" s="60">
        <f>'Opłaty obliczenia 100000 ZŁ '!G16</f>
        <v>210.22659959999999</v>
      </c>
      <c r="AB14" s="60">
        <f>'Opłaty obliczenia 100000 ZŁ '!H16</f>
        <v>500.66469215999996</v>
      </c>
      <c r="AC14" s="61">
        <f>'Opłaty obliczenia 100000 ZŁ '!K16</f>
        <v>5.6990949687980557E-3</v>
      </c>
      <c r="AD14" s="59">
        <f>'Opłaty obliczenia 200000 ZŁ'!E16</f>
        <v>580.22932967999998</v>
      </c>
      <c r="AE14" s="60">
        <f>'Opłaty obliczenia 200000 ZŁ'!G16</f>
        <v>360.11861879999998</v>
      </c>
      <c r="AF14" s="60">
        <f>'Opłaty obliczenia 200000 ZŁ'!H16</f>
        <v>940.34794848000001</v>
      </c>
      <c r="AG14" s="61">
        <f>'Opłaty obliczenia 200000 ZŁ'!K16</f>
        <v>5.399881428082863E-3</v>
      </c>
    </row>
    <row r="15" spans="1:139" ht="15" thickBot="1">
      <c r="A15" s="55" t="s">
        <v>93</v>
      </c>
      <c r="B15" s="59">
        <f>'Opłaty obliczenia 200 ZŁ'!E17</f>
        <v>43.735999999999997</v>
      </c>
      <c r="C15" s="60">
        <f>'Opłaty obliczenia 200 ZŁ'!G17</f>
        <v>0</v>
      </c>
      <c r="D15" s="60">
        <f>'Opłaty obliczenia 200 ZŁ'!H17</f>
        <v>43.735999999999997</v>
      </c>
      <c r="E15" s="61">
        <f>'Opłaty obliczenia 200 ZŁ'!K17</f>
        <v>0.19677843137254902</v>
      </c>
      <c r="F15" s="59">
        <f>'Opłaty obliczenia 1000 ZŁ'!E17</f>
        <v>43.735999999999997</v>
      </c>
      <c r="G15" s="60">
        <f>'Opłaty obliczenia 200 ZŁ'!G17</f>
        <v>0</v>
      </c>
      <c r="H15" s="60">
        <f>'Opłaty obliczenia 1000 ZŁ'!J17</f>
        <v>44.516687599999997</v>
      </c>
      <c r="I15" s="61">
        <f>'Opłaty obliczenia 1000 ZŁ'!K17</f>
        <v>3.9915686274509803E-2</v>
      </c>
      <c r="J15" s="59">
        <f>'Opłaty obliczenia 200 ZŁ'!H17</f>
        <v>43.735999999999997</v>
      </c>
      <c r="K15" s="60">
        <f>'Opłaty obliczenia 200 ZŁ'!J17</f>
        <v>43.892137519999999</v>
      </c>
      <c r="L15" s="60">
        <f>'Opłaty obliczenia 200 ZŁ'!K17</f>
        <v>0.19677843137254902</v>
      </c>
      <c r="M15" s="61">
        <f>'Opłaty obliczenia 4000 ZŁ'!K17</f>
        <v>1.1593246187363834E-2</v>
      </c>
      <c r="N15" s="59">
        <f>'Opłaty obliczenia 10000 ZŁ'!E17</f>
        <v>43.735999999999997</v>
      </c>
      <c r="O15" s="60">
        <f>'Opłaty obliczenia 10000 ZŁ'!G17</f>
        <v>0</v>
      </c>
      <c r="P15" s="60">
        <f>'Opłaty obliczenia 10000 ZŁ'!H17</f>
        <v>43.735999999999997</v>
      </c>
      <c r="Q15" s="61">
        <f>'Opłaty obliczenia 10000 ZŁ'!K17</f>
        <v>5.0572984749455334E-3</v>
      </c>
      <c r="R15" s="59">
        <f>'Opłaty obliczenia 20000 ZŁ '!E17</f>
        <v>43.735999999999997</v>
      </c>
      <c r="S15" s="60">
        <f>'Opłaty obliczenia 20000 ZŁ '!G17</f>
        <v>0</v>
      </c>
      <c r="T15" s="60">
        <f>'Opłaty obliczenia 20000 ZŁ '!H17</f>
        <v>43.735999999999997</v>
      </c>
      <c r="U15" s="61">
        <f>'Opłaty obliczenia 20000 ZŁ '!K17</f>
        <v>2.8786492374727668E-3</v>
      </c>
      <c r="V15" s="59">
        <f>'Opłaty obliczenia 50000 ZŁ '!E16</f>
        <v>60.224471999999992</v>
      </c>
      <c r="W15" s="60">
        <f>'Opłaty obliczenia 50000 ZŁ '!G16</f>
        <v>0</v>
      </c>
      <c r="X15" s="60">
        <f>'Opłaty obliczenia 50000 ZŁ '!H16</f>
        <v>60.224471999999992</v>
      </c>
      <c r="Y15" s="61">
        <f>'Opłaty obliczenia 50000 ZŁ '!K16</f>
        <v>1.9E-3</v>
      </c>
      <c r="Z15" s="59">
        <f>'Opłaty obliczenia 100000 ZŁ '!E17</f>
        <v>120.18127967999997</v>
      </c>
      <c r="AA15" s="60">
        <f>'Opłaty obliczenia 100000 ZŁ '!G17</f>
        <v>0</v>
      </c>
      <c r="AB15" s="60">
        <f>'Opłaty obliczenia 100000 ZŁ '!H17</f>
        <v>120.18127967999997</v>
      </c>
      <c r="AC15" s="61">
        <f>'Opłaty obliczenia 100000 ZŁ '!K17</f>
        <v>1.9E-3</v>
      </c>
      <c r="AD15" s="59">
        <f>'Opłaty obliczenia 200000 ZŁ'!E17</f>
        <v>240.09489503999995</v>
      </c>
      <c r="AE15" s="60">
        <f>'Opłaty obliczenia 200000 ZŁ'!G17</f>
        <v>0</v>
      </c>
      <c r="AF15" s="60">
        <f>'Opłaty obliczenia 200000 ZŁ'!H17</f>
        <v>240.09489503999995</v>
      </c>
      <c r="AG15" s="61">
        <f>'Opłaty obliczenia 200000 ZŁ'!K17</f>
        <v>1.9E-3</v>
      </c>
    </row>
    <row r="16" spans="1:139" ht="15" thickBot="1">
      <c r="A16" s="55" t="s">
        <v>94</v>
      </c>
      <c r="B16" s="59">
        <f>'Opłaty obliczenia 200 ZŁ'!E18</f>
        <v>21.867999999999999</v>
      </c>
      <c r="C16" s="60">
        <f>'Opłaty obliczenia 200 ZŁ'!G18</f>
        <v>50</v>
      </c>
      <c r="D16" s="60">
        <f>'Opłaty obliczenia 200 ZŁ'!H18</f>
        <v>71.867999999999995</v>
      </c>
      <c r="E16" s="61">
        <f>'Opłaty obliczenia 200 ZŁ'!K18</f>
        <v>0.32290058317821368</v>
      </c>
      <c r="F16" s="59">
        <f>'Opłaty obliczenia 1000 ZŁ'!E18</f>
        <v>21.867999999999999</v>
      </c>
      <c r="G16" s="60">
        <f>'Opłaty obliczenia 200 ZŁ'!G18</f>
        <v>50</v>
      </c>
      <c r="H16" s="60">
        <f>'Opłaty obliczenia 1000 ZŁ'!J18</f>
        <v>72.648687599999988</v>
      </c>
      <c r="I16" s="61">
        <f>'Opłaty obliczenia 1000 ZŁ'!K18</f>
        <v>6.5140116635642717E-2</v>
      </c>
      <c r="J16" s="59">
        <f>'Opłaty obliczenia 200 ZŁ'!H18</f>
        <v>71.867999999999995</v>
      </c>
      <c r="K16" s="60">
        <f>'Opłaty obliczenia 200 ZŁ'!J18</f>
        <v>72.024137519999996</v>
      </c>
      <c r="L16" s="60">
        <f>'Opłaty obliczenia 200 ZŁ'!K18</f>
        <v>0.32290058317821368</v>
      </c>
      <c r="M16" s="61">
        <f>'Opłaty obliczenia 4000 ZŁ'!K18</f>
        <v>1.8600032398789646E-2</v>
      </c>
      <c r="N16" s="59">
        <f>'Opłaty obliczenia 10000 ZŁ'!E18</f>
        <v>29.108494799999999</v>
      </c>
      <c r="O16" s="60">
        <f>'Opłaty obliczenia 10000 ZŁ'!G18</f>
        <v>50</v>
      </c>
      <c r="P16" s="60">
        <f>'Opłaty obliczenia 10000 ZŁ'!H18</f>
        <v>79.108494800000003</v>
      </c>
      <c r="Q16" s="61">
        <f>'Opłaty obliczenia 10000 ZŁ'!K18</f>
        <v>8.5813637220430918E-3</v>
      </c>
      <c r="R16" s="59">
        <f>'Opłaty obliczenia 20000 ZŁ '!E18</f>
        <v>58.216989599999998</v>
      </c>
      <c r="S16" s="60">
        <f>'Opłaty obliczenia 20000 ZŁ '!G18</f>
        <v>50</v>
      </c>
      <c r="T16" s="60">
        <f>'Opłaty obliczenia 20000 ZŁ '!H18</f>
        <v>108.21698960000001</v>
      </c>
      <c r="U16" s="61">
        <f>'Opłaty obliczenia 20000 ZŁ '!K18</f>
        <v>6.0906818610215463E-3</v>
      </c>
      <c r="V16" s="59">
        <f>'Opłaty obliczenia 50000 ZŁ '!E17</f>
        <v>145.542474</v>
      </c>
      <c r="W16" s="60">
        <f>'Opłaty obliczenia 50000 ZŁ '!G17</f>
        <v>50</v>
      </c>
      <c r="X16" s="60">
        <f>'Opłaty obliczenia 50000 ZŁ '!H17</f>
        <v>195.542474</v>
      </c>
      <c r="Y16" s="61">
        <f>'Opłaty obliczenia 50000 ZŁ '!K17</f>
        <v>4.5962727444086192E-3</v>
      </c>
      <c r="Z16" s="59">
        <f>'Opłaty obliczenia 100000 ZŁ '!E18</f>
        <v>290.43809255999997</v>
      </c>
      <c r="AA16" s="60">
        <f>'Opłaty obliczenia 100000 ZŁ '!G18</f>
        <v>50</v>
      </c>
      <c r="AB16" s="60">
        <f>'Opłaty obliczenia 100000 ZŁ '!H18</f>
        <v>340.43809255999997</v>
      </c>
      <c r="AC16" s="61">
        <f>'Opłaty obliczenia 100000 ZŁ '!K18</f>
        <v>4.0992458073317133E-3</v>
      </c>
      <c r="AD16" s="59">
        <f>'Opłaty obliczenia 200000 ZŁ'!E18</f>
        <v>580.22932967999998</v>
      </c>
      <c r="AE16" s="60">
        <f>'Opłaty obliczenia 200000 ZŁ'!G18</f>
        <v>50</v>
      </c>
      <c r="AF16" s="60">
        <f>'Opłaty obliczenia 200000 ZŁ'!H18</f>
        <v>630.22932967999998</v>
      </c>
      <c r="AG16" s="61">
        <f>'Opłaty obliczenia 200000 ZŁ'!K18</f>
        <v>3.8499011900690518E-3</v>
      </c>
    </row>
    <row r="17" spans="1:138" ht="15" thickBot="1">
      <c r="A17" s="57" t="s">
        <v>95</v>
      </c>
      <c r="B17" s="59">
        <f>'Opłaty obliczenia 200 ZŁ'!E19</f>
        <v>131.208</v>
      </c>
      <c r="C17" s="60">
        <f>'Opłaty obliczenia 200 ZŁ'!G19</f>
        <v>33.1365804</v>
      </c>
      <c r="D17" s="60">
        <f>'Opłaty obliczenia 200 ZŁ'!H19</f>
        <v>164.34458039999998</v>
      </c>
      <c r="E17" s="61">
        <f>'Opłaty obliczenia 200 ZŁ'!K19</f>
        <v>0.73749411764705874</v>
      </c>
      <c r="F17" s="59">
        <f>'Opłaty obliczenia 1000 ZŁ'!E19</f>
        <v>131.208</v>
      </c>
      <c r="G17" s="60">
        <f>'Opłaty obliczenia 200 ZŁ'!G19</f>
        <v>33.1365804</v>
      </c>
      <c r="H17" s="60">
        <f>'Opłaty obliczenia 1000 ZŁ'!J19</f>
        <v>166.46358960000001</v>
      </c>
      <c r="I17" s="61">
        <f>'Opłaty obliczenia 1000 ZŁ'!K19</f>
        <v>0.14925882352941178</v>
      </c>
      <c r="J17" s="59">
        <f>'Opłaty obliczenia 200 ZŁ'!H19</f>
        <v>164.34458039999998</v>
      </c>
      <c r="K17" s="60">
        <f>'Opłaty obliczenia 200 ZŁ'!J19</f>
        <v>164.50071791999997</v>
      </c>
      <c r="L17" s="60">
        <f>'Opłaty obliczenia 200 ZŁ'!K19</f>
        <v>0.73749411764705874</v>
      </c>
      <c r="M17" s="61">
        <f>'Opłaty obliczenia 4000 ZŁ'!K19</f>
        <v>4.304967320261438E-2</v>
      </c>
      <c r="N17" s="59">
        <f>'Opłaty obliczenia 10000 ZŁ'!E19</f>
        <v>131.208</v>
      </c>
      <c r="O17" s="60">
        <f>'Opłaty obliczenia 10000 ZŁ'!G19</f>
        <v>47.858118000000005</v>
      </c>
      <c r="P17" s="60">
        <f>'Opłaty obliczenia 10000 ZŁ'!H19</f>
        <v>179.06611800000002</v>
      </c>
      <c r="Q17" s="61">
        <f>'Opłaty obliczenia 10000 ZŁ'!K19</f>
        <v>1.8539869281045753E-2</v>
      </c>
      <c r="R17" s="59">
        <f>'Opłaty obliczenia 20000 ZŁ '!E19</f>
        <v>131.208</v>
      </c>
      <c r="S17" s="60">
        <f>'Opłaty obliczenia 20000 ZŁ '!G19</f>
        <v>62.914236000000002</v>
      </c>
      <c r="T17" s="60">
        <f>'Opłaty obliczenia 20000 ZŁ '!H19</f>
        <v>194.12223599999999</v>
      </c>
      <c r="U17" s="61">
        <f>'Opłaty obliczenia 20000 ZŁ '!K19</f>
        <v>1.0369934640522875E-2</v>
      </c>
      <c r="V17" s="59">
        <f>'Opłaty obliczenia 50000 ZŁ '!E18</f>
        <v>250.93529999999998</v>
      </c>
      <c r="W17" s="60">
        <f>'Opłaty obliczenia 50000 ZŁ '!G18</f>
        <v>135.50506200000001</v>
      </c>
      <c r="X17" s="60">
        <f>'Opłaty obliczenia 50000 ZŁ '!H18</f>
        <v>386.44036199999999</v>
      </c>
      <c r="Y17" s="61">
        <f>'Opłaty obliczenia 50000 ZŁ '!K18</f>
        <v>8.3999999999999995E-3</v>
      </c>
      <c r="Z17" s="59">
        <f>'Opłaty obliczenia 100000 ZŁ '!E19</f>
        <v>500.75533199999995</v>
      </c>
      <c r="AA17" s="60">
        <f>'Opłaty obliczenia 100000 ZŁ '!G19</f>
        <v>270.40787927999997</v>
      </c>
      <c r="AB17" s="60">
        <f>'Opłaty obliczenia 100000 ZŁ '!H19</f>
        <v>771.16321127999993</v>
      </c>
      <c r="AC17" s="61">
        <f>'Opłaty obliczenia 100000 ZŁ '!K19</f>
        <v>8.3999999999999995E-3</v>
      </c>
      <c r="AD17" s="59">
        <f>'Opłaty obliczenia 200000 ZŁ'!E19</f>
        <v>1000.3953959999999</v>
      </c>
      <c r="AE17" s="60">
        <f>'Opłaty obliczenia 200000 ZŁ'!G19</f>
        <v>540.21351383999991</v>
      </c>
      <c r="AF17" s="60">
        <f>'Opłaty obliczenia 200000 ZŁ'!H19</f>
        <v>1540.6089098399998</v>
      </c>
      <c r="AG17" s="61">
        <f>'Opłaty obliczenia 200000 ZŁ'!K19</f>
        <v>8.3999999999999995E-3</v>
      </c>
    </row>
    <row r="18" spans="1:138" ht="44" thickBot="1">
      <c r="A18" s="58" t="s">
        <v>96</v>
      </c>
      <c r="B18" s="59">
        <f>'Opłaty obliczenia 200 ZŁ'!E20</f>
        <v>8.8341909039999997</v>
      </c>
      <c r="C18" s="60">
        <f>'Opłaty obliczenia 200 ZŁ'!G20</f>
        <v>10.933999999999999</v>
      </c>
      <c r="D18" s="60">
        <f>'Opłaty obliczenia 200 ZŁ'!H20</f>
        <v>19.768190904000001</v>
      </c>
      <c r="E18" s="61">
        <f>'Opłaty obliczenia 200 ZŁ'!K20</f>
        <v>8.9325294117647072E-2</v>
      </c>
      <c r="F18" s="59">
        <f>'Opłaty obliczenia 1000 ZŁ'!E20</f>
        <v>9.1821545199999992</v>
      </c>
      <c r="G18" s="60">
        <f>'Opłaty obliczenia 200 ZŁ'!G20</f>
        <v>10.933999999999999</v>
      </c>
      <c r="H18" s="60">
        <f>'Opłaty obliczenia 1000 ZŁ'!J20</f>
        <v>20.896842119999999</v>
      </c>
      <c r="I18" s="61">
        <f>'Opłaty obliczenia 1000 ZŁ'!K20</f>
        <v>1.8737058823529409E-2</v>
      </c>
      <c r="J18" s="59">
        <f>'Opłaty obliczenia 200 ZŁ'!H20</f>
        <v>19.768190904000001</v>
      </c>
      <c r="K18" s="60">
        <f>'Opłaty obliczenia 200 ZŁ'!J20</f>
        <v>19.924328424000002</v>
      </c>
      <c r="L18" s="60">
        <f>'Opłaty obliczenia 200 ZŁ'!K20</f>
        <v>8.9325294117647072E-2</v>
      </c>
      <c r="M18" s="61">
        <f>'Opłaty obliczenia 4000 ZŁ'!K20</f>
        <v>5.9919607843137261E-3</v>
      </c>
      <c r="N18" s="59">
        <f>'Opłaty obliczenia 10000 ZŁ'!E20</f>
        <v>12.661790679999999</v>
      </c>
      <c r="O18" s="60">
        <f>'Opłaty obliczenia 10000 ZŁ'!G20</f>
        <v>10.933999999999999</v>
      </c>
      <c r="P18" s="60">
        <f>'Opłaty obliczenia 10000 ZŁ'!H20</f>
        <v>23.59579068</v>
      </c>
      <c r="Q18" s="61">
        <f>'Opłaty obliczenia 10000 ZŁ'!K20</f>
        <v>3.0507843137254904E-3</v>
      </c>
      <c r="R18" s="59">
        <f>'Opłaty obliczenia 20000 ZŁ '!E20</f>
        <v>16.576381359999999</v>
      </c>
      <c r="S18" s="60">
        <f>'Opłaty obliczenia 20000 ZŁ '!G20</f>
        <v>10.933999999999999</v>
      </c>
      <c r="T18" s="60">
        <f>'Opłaty obliczenia 20000 ZŁ '!H20</f>
        <v>27.510381359999997</v>
      </c>
      <c r="U18" s="61">
        <f>'Opłaty obliczenia 20000 ZŁ '!K20</f>
        <v>2.0703921568627449E-3</v>
      </c>
      <c r="V18" s="59">
        <f>'Opłaty obliczenia 50000 ZŁ '!E19</f>
        <v>28.320153399999999</v>
      </c>
      <c r="W18" s="60">
        <f>'Opłaty obliczenia 50000 ZŁ '!G19</f>
        <v>10.933999999999999</v>
      </c>
      <c r="X18" s="60">
        <f>'Opłaty obliczenia 50000 ZŁ '!H19</f>
        <v>39.2541534</v>
      </c>
      <c r="Y18" s="61">
        <f>'Opłaty obliczenia 50000 ZŁ '!K19</f>
        <v>1.4821568627450983E-3</v>
      </c>
      <c r="Z18" s="59">
        <f>'Opłaty obliczenia 100000 ZŁ '!E20</f>
        <v>47.806115895999994</v>
      </c>
      <c r="AA18" s="60">
        <f>'Opłaty obliczenia 100000 ZŁ '!G20</f>
        <v>10.933999999999999</v>
      </c>
      <c r="AB18" s="60">
        <f>'Opłaty obliczenia 100000 ZŁ '!H20</f>
        <v>58.740115895999992</v>
      </c>
      <c r="AC18" s="61">
        <f>'Opłaty obliczenia 100000 ZŁ '!K20</f>
        <v>1.2865151316651384E-3</v>
      </c>
      <c r="AD18" s="59">
        <f>'Opłaty obliczenia 200000 ZŁ'!E20</f>
        <v>86.778040887999992</v>
      </c>
      <c r="AE18" s="60">
        <f>'Opłaty obliczenia 200000 ZŁ'!G20</f>
        <v>10.933999999999999</v>
      </c>
      <c r="AF18" s="60">
        <f>'Opłaty obliczenia 200000 ZŁ'!H20</f>
        <v>97.71204088799999</v>
      </c>
      <c r="AG18" s="61">
        <f>'Opłaty obliczenia 200000 ZŁ'!K20</f>
        <v>1.1883671060397404E-3</v>
      </c>
    </row>
    <row r="19" spans="1:138" ht="29.5" thickBot="1">
      <c r="A19" s="58" t="s">
        <v>97</v>
      </c>
      <c r="B19" s="59">
        <f>'Opłaty obliczenia 200 ZŁ'!E21</f>
        <v>0</v>
      </c>
      <c r="C19" s="60">
        <f>'Opłaty obliczenia 200 ZŁ'!G21</f>
        <v>10.933999999999999</v>
      </c>
      <c r="D19" s="60">
        <f>'Opłaty obliczenia 200 ZŁ'!H21</f>
        <v>10.933999999999999</v>
      </c>
      <c r="E19" s="61">
        <f>'Opłaty obliczenia 200 ZŁ'!K21</f>
        <v>4.9719607843137253E-2</v>
      </c>
      <c r="F19" s="59">
        <f>'Opłaty obliczenia 1000 ZŁ'!E21</f>
        <v>0</v>
      </c>
      <c r="G19" s="60">
        <f>'Opłaty obliczenia 200 ZŁ'!G21</f>
        <v>10.933999999999999</v>
      </c>
      <c r="H19" s="60">
        <f>'Opłaty obliczenia 1000 ZŁ'!J21</f>
        <v>11.7146876</v>
      </c>
      <c r="I19" s="61">
        <f>'Opłaty obliczenia 1000 ZŁ'!K21</f>
        <v>1.050392156862745E-2</v>
      </c>
      <c r="J19" s="59">
        <f>'Opłaty obliczenia 200 ZŁ'!H21</f>
        <v>10.933999999999999</v>
      </c>
      <c r="K19" s="60">
        <f>'Opłaty obliczenia 200 ZŁ'!J21</f>
        <v>11.090137519999999</v>
      </c>
      <c r="L19" s="60">
        <f>'Opłaty obliczenia 200 ZŁ'!K21</f>
        <v>4.9719607843137253E-2</v>
      </c>
      <c r="M19" s="61">
        <f>'Opłaty obliczenia 4000 ZŁ'!K21</f>
        <v>3.4233115468409584E-3</v>
      </c>
      <c r="N19" s="59">
        <f>'Opłaty obliczenia 10000 ZŁ'!E21</f>
        <v>0</v>
      </c>
      <c r="O19" s="60">
        <f>'Opłaty obliczenia 10000 ZŁ'!G21</f>
        <v>10.933999999999999</v>
      </c>
      <c r="P19" s="60">
        <f>'Opłaty obliczenia 10000 ZŁ'!H21</f>
        <v>10.933999999999999</v>
      </c>
      <c r="Q19" s="61">
        <f>'Opłaty obliczenia 10000 ZŁ'!K21</f>
        <v>1.7893246187363834E-3</v>
      </c>
      <c r="R19" s="59">
        <f>'Opłaty obliczenia 20000 ZŁ '!E21</f>
        <v>0</v>
      </c>
      <c r="S19" s="60">
        <f>'Opłaty obliczenia 20000 ZŁ '!G21</f>
        <v>10.933999999999999</v>
      </c>
      <c r="T19" s="60">
        <f>'Opłaty obliczenia 20000 ZŁ '!H21</f>
        <v>10.933999999999999</v>
      </c>
      <c r="U19" s="61">
        <f>'Opłaty obliczenia 20000 ZŁ '!K21</f>
        <v>1.2446623093681918E-3</v>
      </c>
      <c r="V19" s="59">
        <f>'Opłaty obliczenia 50000 ZŁ '!E20</f>
        <v>0</v>
      </c>
      <c r="W19" s="60">
        <f>'Opłaty obliczenia 50000 ZŁ '!G20</f>
        <v>10.933999999999999</v>
      </c>
      <c r="X19" s="60">
        <f>'Opłaty obliczenia 50000 ZŁ '!H20</f>
        <v>10.933999999999999</v>
      </c>
      <c r="Y19" s="61">
        <f>'Opłaty obliczenia 50000 ZŁ '!K20</f>
        <v>9.1786492374727681E-4</v>
      </c>
      <c r="Z19" s="59">
        <f>'Opłaty obliczenia 100000 ZŁ '!E21</f>
        <v>0</v>
      </c>
      <c r="AA19" s="60">
        <f>'Opłaty obliczenia 100000 ZŁ '!G21</f>
        <v>10.933999999999999</v>
      </c>
      <c r="AB19" s="60">
        <f>'Opłaty obliczenia 100000 ZŁ '!H21</f>
        <v>10.933999999999999</v>
      </c>
      <c r="AC19" s="61">
        <f>'Opłaty obliczenia 100000 ZŁ '!K21</f>
        <v>8.0917507314729907E-4</v>
      </c>
      <c r="AD19" s="59">
        <f>'Opłaty obliczenia 200000 ZŁ'!E21</f>
        <v>0</v>
      </c>
      <c r="AE19" s="60">
        <f>'Opłaty obliczenia 200000 ZŁ'!G21</f>
        <v>10.933999999999999</v>
      </c>
      <c r="AF19" s="60">
        <f>'Opłaty obliczenia 200000 ZŁ'!H21</f>
        <v>10.933999999999999</v>
      </c>
      <c r="AG19" s="61">
        <f>'Opłaty obliczenia 200000 ZŁ'!K21</f>
        <v>7.5464839224430021E-4</v>
      </c>
    </row>
    <row r="20" spans="1:138" ht="15" thickBot="1">
      <c r="A20" s="57" t="s">
        <v>64</v>
      </c>
      <c r="B20" s="59">
        <f>'Opłaty obliczenia 200 ZŁ'!E22</f>
        <v>26.241599999999998</v>
      </c>
      <c r="C20" s="60">
        <f>'Opłaty obliczenia 200 ZŁ'!G22</f>
        <v>48</v>
      </c>
      <c r="D20" s="60">
        <f>'Opłaty obliczenia 200 ZŁ'!H22</f>
        <v>74.241600000000005</v>
      </c>
      <c r="E20" s="61">
        <f>'Opłaty obliczenia 200 ZŁ'!K22</f>
        <v>0.33354197161579108</v>
      </c>
      <c r="F20" s="59">
        <f>'Opłaty obliczenia 1000 ZŁ'!E22</f>
        <v>26.241599999999998</v>
      </c>
      <c r="G20" s="60">
        <f>'Opłaty obliczenia 200 ZŁ'!G22</f>
        <v>48</v>
      </c>
      <c r="H20" s="60">
        <f>'Opłaty obliczenia 1000 ZŁ'!J22</f>
        <v>75.022287599999999</v>
      </c>
      <c r="I20" s="61">
        <f>'Opłaty obliczenia 1000 ZŁ'!K22</f>
        <v>6.7268394323158204E-2</v>
      </c>
      <c r="J20" s="59">
        <f>'Opłaty obliczenia 200 ZŁ'!H22</f>
        <v>74.241600000000005</v>
      </c>
      <c r="K20" s="60">
        <f>'Opłaty obliczenia 200 ZŁ'!J22</f>
        <v>74.397737520000007</v>
      </c>
      <c r="L20" s="60">
        <f>'Opłaty obliczenia 200 ZŁ'!K22</f>
        <v>0.33354197161579108</v>
      </c>
      <c r="M20" s="61">
        <f>'Opłaty obliczenia 4000 ZŁ'!K22</f>
        <v>1.9191220645321725E-2</v>
      </c>
      <c r="N20" s="59">
        <f>'Opłaty obliczenia 10000 ZŁ'!E22</f>
        <v>26.241599999999998</v>
      </c>
      <c r="O20" s="60">
        <f>'Opłaty obliczenia 10000 ZŁ'!G22</f>
        <v>0</v>
      </c>
      <c r="P20" s="60">
        <f>'Opłaty obliczenia 10000 ZŁ'!H22</f>
        <v>26.241599999999998</v>
      </c>
      <c r="Q20" s="61">
        <f>'Opłaty obliczenia 10000 ZŁ'!K22</f>
        <v>3.3143790849673202E-3</v>
      </c>
      <c r="R20" s="59">
        <f>'Opłaty obliczenia 20000 ZŁ '!E22</f>
        <v>26.241599999999998</v>
      </c>
      <c r="S20" s="60">
        <f>'Opłaty obliczenia 20000 ZŁ '!G22</f>
        <v>0</v>
      </c>
      <c r="T20" s="60">
        <f>'Opłaty obliczenia 20000 ZŁ '!H22</f>
        <v>26.241599999999998</v>
      </c>
      <c r="U20" s="61">
        <f>'Opłaty obliczenia 20000 ZŁ '!K22</f>
        <v>2.0071895424836604E-3</v>
      </c>
      <c r="V20" s="59">
        <f>'Opłaty obliczenia 50000 ZŁ '!E21</f>
        <v>60.224471999999992</v>
      </c>
      <c r="W20" s="60">
        <f>'Opłaty obliczenia 50000 ZŁ '!G21</f>
        <v>0</v>
      </c>
      <c r="X20" s="60">
        <f>'Opłaty obliczenia 50000 ZŁ '!H21</f>
        <v>60.224471999999992</v>
      </c>
      <c r="Y20" s="61">
        <f>'Opłaty obliczenia 50000 ZŁ '!K21</f>
        <v>1.9E-3</v>
      </c>
      <c r="Z20" s="59">
        <f>'Opłaty obliczenia 100000 ZŁ '!E22</f>
        <v>120.18127967999997</v>
      </c>
      <c r="AA20" s="60">
        <f>'Opłaty obliczenia 100000 ZŁ '!G22</f>
        <v>0</v>
      </c>
      <c r="AB20" s="60">
        <f>'Opłaty obliczenia 100000 ZŁ '!H22</f>
        <v>120.18127967999997</v>
      </c>
      <c r="AC20" s="61">
        <f>'Opłaty obliczenia 100000 ZŁ '!K22</f>
        <v>1.9E-3</v>
      </c>
      <c r="AD20" s="59">
        <f>'Opłaty obliczenia 200000 ZŁ'!E22</f>
        <v>240.09489503999995</v>
      </c>
      <c r="AE20" s="60">
        <f>'Opłaty obliczenia 200000 ZŁ'!G22</f>
        <v>0</v>
      </c>
      <c r="AF20" s="60">
        <f>'Opłaty obliczenia 200000 ZŁ'!H22</f>
        <v>240.09489503999995</v>
      </c>
      <c r="AG20" s="61">
        <f>'Opłaty obliczenia 200000 ZŁ'!K22</f>
        <v>1.9E-3</v>
      </c>
    </row>
    <row r="21" spans="1:138" ht="58.5" thickBot="1">
      <c r="A21" s="122" t="s">
        <v>180</v>
      </c>
      <c r="B21" s="59">
        <f>'Opłaty obliczenia 200 ZŁ'!E23</f>
        <v>2.6766431999999996</v>
      </c>
      <c r="C21" s="60">
        <f>'Opłaty obliczenia 200 ZŁ'!G23</f>
        <v>2.6766432</v>
      </c>
      <c r="D21" s="60">
        <f>'Opłaty obliczenia 200 ZŁ'!H23</f>
        <v>5.3532864</v>
      </c>
      <c r="E21" s="61">
        <f>'Opłaty obliczenia 200 ZŁ'!K23</f>
        <v>2.6000000000000002E-2</v>
      </c>
      <c r="F21" s="59">
        <f>'Opłaty obliczenia 1000 ZŁ'!E23</f>
        <v>13.383215999999997</v>
      </c>
      <c r="G21" s="60">
        <f>'Opłaty obliczenia 200 ZŁ'!G23</f>
        <v>2.6766432</v>
      </c>
      <c r="H21" s="60">
        <f>'Opłaty obliczenia 1000 ZŁ'!J23</f>
        <v>28.996967999999999</v>
      </c>
      <c r="I21" s="61">
        <f>'Opłaty obliczenia 1000 ZŁ'!K23</f>
        <v>2.5999999999999999E-2</v>
      </c>
      <c r="J21" s="59">
        <f>'Opłaty obliczenia 200 ZŁ'!H23</f>
        <v>5.3532864</v>
      </c>
      <c r="K21" s="60">
        <f>'Opłaty obliczenia 200 ZŁ'!J23</f>
        <v>5.7993936000000001</v>
      </c>
      <c r="L21" s="60">
        <f>'Opłaty obliczenia 200 ZŁ'!K23</f>
        <v>2.6000000000000002E-2</v>
      </c>
      <c r="M21" s="61">
        <f>'Opłaty obliczenia 4000 ZŁ'!K23</f>
        <v>2.5999999999999999E-2</v>
      </c>
      <c r="N21" s="59">
        <f>'Opłaty obliczenia 10000 ZŁ'!E23</f>
        <v>0</v>
      </c>
      <c r="O21" s="60">
        <f>'Opłaty obliczenia 10000 ZŁ'!G23</f>
        <v>120.44894400000001</v>
      </c>
      <c r="P21" s="60">
        <f>'Opłaty obliczenia 10000 ZŁ'!H23</f>
        <v>120.44894400000001</v>
      </c>
      <c r="Q21" s="61">
        <f>'Opłaty obliczenia 10000 ZŁ'!K23</f>
        <v>1.4000000000000002E-2</v>
      </c>
      <c r="R21" s="59">
        <f>'Opłaty obliczenia 20000 ZŁ '!E23</f>
        <v>0</v>
      </c>
      <c r="S21" s="60">
        <f>'Opłaty obliczenia 20000 ZŁ '!G23</f>
        <v>240.89788800000002</v>
      </c>
      <c r="T21" s="60">
        <f>'Opłaty obliczenia 20000 ZŁ '!H23</f>
        <v>240.89788800000002</v>
      </c>
      <c r="U21" s="61">
        <f>'Opłaty obliczenia 20000 ZŁ '!K23</f>
        <v>1.4000000000000002E-2</v>
      </c>
      <c r="V21" s="59">
        <f>'Opłaty obliczenia 50000 ZŁ '!E22</f>
        <v>0</v>
      </c>
      <c r="W21" s="60">
        <f>'Opłaty obliczenia 50000 ZŁ '!G22</f>
        <v>602.24472000000003</v>
      </c>
      <c r="X21" s="60">
        <f>'Opłaty obliczenia 50000 ZŁ '!H22</f>
        <v>602.24472000000003</v>
      </c>
      <c r="Y21" s="61">
        <f>'Opłaty obliczenia 50000 ZŁ '!K22</f>
        <v>1.4E-2</v>
      </c>
      <c r="Z21" s="59">
        <f>'Opłaty obliczenia 100000 ZŁ '!E23</f>
        <v>0</v>
      </c>
      <c r="AA21" s="60">
        <f>'Opłaty obliczenia 100000 ZŁ '!G23</f>
        <v>1201.8127967999999</v>
      </c>
      <c r="AB21" s="60">
        <f>'Opłaty obliczenia 100000 ZŁ '!H23</f>
        <v>1201.8127967999999</v>
      </c>
      <c r="AC21" s="61">
        <f>'Opłaty obliczenia 100000 ZŁ '!K23</f>
        <v>1.3999999999999999E-2</v>
      </c>
      <c r="AD21" s="59">
        <f>'Opłaty obliczenia 200000 ZŁ'!E23</f>
        <v>0</v>
      </c>
      <c r="AE21" s="60">
        <f>'Opłaty obliczenia 200000 ZŁ'!G23</f>
        <v>2400.9489503999998</v>
      </c>
      <c r="AF21" s="60">
        <f>'Opłaty obliczenia 200000 ZŁ'!H23</f>
        <v>2400.9489503999998</v>
      </c>
      <c r="AG21" s="61">
        <f>'Opłaty obliczenia 200000 ZŁ'!K23</f>
        <v>1.4E-2</v>
      </c>
    </row>
    <row r="22" spans="1:138" ht="29.5" thickBot="1">
      <c r="A22" s="58" t="s">
        <v>99</v>
      </c>
      <c r="B22" s="59">
        <f>'Opłaty obliczenia 200 ZŁ'!E24</f>
        <v>218.67999999999998</v>
      </c>
      <c r="C22" s="60">
        <f>'Opłaty obliczenia 200 ZŁ'!G24</f>
        <v>1.3383216</v>
      </c>
      <c r="D22" s="60">
        <f>'Opłaty obliczenia 200 ZŁ'!H24</f>
        <v>220.01832159999998</v>
      </c>
      <c r="E22" s="61">
        <f>'Opłaty obliczenia 200 ZŁ'!K24</f>
        <v>0.98839215686274506</v>
      </c>
      <c r="F22" s="59">
        <f>'Opłaty obliczenia 1000 ZŁ'!E24</f>
        <v>218.67999999999998</v>
      </c>
      <c r="G22" s="60">
        <f>'Opłaty obliczenia 200 ZŁ'!G24</f>
        <v>1.3383216</v>
      </c>
      <c r="H22" s="60">
        <f>'Opłaty obliczenia 1000 ZŁ'!J24</f>
        <v>227.60214399999998</v>
      </c>
      <c r="I22" s="61">
        <f>'Opłaty obliczenia 1000 ZŁ'!K24</f>
        <v>0.204078431372549</v>
      </c>
      <c r="J22" s="59">
        <f>'Opłaty obliczenia 200 ZŁ'!H24</f>
        <v>220.01832159999998</v>
      </c>
      <c r="K22" s="60">
        <f>'Opłaty obliczenia 200 ZŁ'!J24</f>
        <v>220.46442879999998</v>
      </c>
      <c r="L22" s="60">
        <f>'Opłaty obliczenia 200 ZŁ'!K24</f>
        <v>0.98839215686274506</v>
      </c>
      <c r="M22" s="61">
        <f>'Opłaty obliczenia 4000 ZŁ'!K24</f>
        <v>6.2466230936819175E-2</v>
      </c>
      <c r="N22" s="59">
        <f>'Opłaty obliczenia 10000 ZŁ'!E24</f>
        <v>218.67999999999998</v>
      </c>
      <c r="O22" s="60">
        <f>'Opłaty obliczenia 10000 ZŁ'!G24</f>
        <v>60.224471999999992</v>
      </c>
      <c r="P22" s="60">
        <f>'Opłaty obliczenia 10000 ZŁ'!H24</f>
        <v>278.90447199999994</v>
      </c>
      <c r="Q22" s="61">
        <f>'Opłaty obliczenia 10000 ZŁ'!K24</f>
        <v>2.978649237472766E-2</v>
      </c>
      <c r="R22" s="59">
        <f>'Opłaty obliczenia 20000 ZŁ '!E24</f>
        <v>218.67999999999998</v>
      </c>
      <c r="S22" s="60">
        <f>'Opłaty obliczenia 20000 ZŁ '!G24</f>
        <v>120.44894399999998</v>
      </c>
      <c r="T22" s="60">
        <f>'Opłaty obliczenia 20000 ZŁ '!H24</f>
        <v>339.12894399999993</v>
      </c>
      <c r="U22" s="61">
        <f>'Opłaty obliczenia 20000 ZŁ '!K24</f>
        <v>1.8893246187363832E-2</v>
      </c>
      <c r="V22" s="59">
        <f>'Opłaty obliczenia 50000 ZŁ '!E23</f>
        <v>250.93529999999998</v>
      </c>
      <c r="W22" s="60">
        <f>'Opłaty obliczenia 50000 ZŁ '!G23</f>
        <v>301.12236000000001</v>
      </c>
      <c r="X22" s="60">
        <f>'Opłaty obliczenia 50000 ZŁ '!H23</f>
        <v>552.05765999999994</v>
      </c>
      <c r="Y22" s="61">
        <f>'Opłaty obliczenia 50000 ZŁ '!K23</f>
        <v>1.2999999999999998E-2</v>
      </c>
      <c r="Z22" s="59">
        <f>'Opłaty obliczenia 100000 ZŁ '!E24</f>
        <v>500.75533199999995</v>
      </c>
      <c r="AA22" s="60">
        <f>'Opłaty obliczenia 100000 ZŁ '!G24</f>
        <v>600.90639839999994</v>
      </c>
      <c r="AB22" s="60">
        <f>'Opłaty obliczenia 100000 ZŁ '!H24</f>
        <v>1101.6617303999999</v>
      </c>
      <c r="AC22" s="61">
        <f>'Opłaty obliczenia 100000 ZŁ '!K24</f>
        <v>1.2999999999999999E-2</v>
      </c>
      <c r="AD22" s="59">
        <f>'Opłaty obliczenia 200000 ZŁ'!E24</f>
        <v>1000.3953959999999</v>
      </c>
      <c r="AE22" s="60">
        <f>'Opłaty obliczenia 200000 ZŁ'!G24</f>
        <v>1200.4744751999999</v>
      </c>
      <c r="AF22" s="60">
        <f>'Opłaty obliczenia 200000 ZŁ'!H24</f>
        <v>2200.8698711999996</v>
      </c>
      <c r="AG22" s="61">
        <f>'Opłaty obliczenia 200000 ZŁ'!K24</f>
        <v>1.2999999999999999E-2</v>
      </c>
    </row>
    <row r="23" spans="1:138" s="12" customFormat="1" ht="85" thickBot="1">
      <c r="A23" s="77" t="s">
        <v>155</v>
      </c>
      <c r="B23" s="59" t="str">
        <f>'Opłaty obliczenia 200 ZŁ'!E25</f>
        <v>nie dotyczy</v>
      </c>
      <c r="C23" s="60" t="str">
        <f>'Opłaty obliczenia 200 ZŁ'!G25</f>
        <v>nie dotyczy (pierwsza wpłata minimalna to 100 EUR)</v>
      </c>
      <c r="D23" s="60"/>
      <c r="E23" s="61"/>
      <c r="F23" s="59">
        <f>'Opłaty obliczenia 1000 ZŁ'!E25</f>
        <v>0</v>
      </c>
      <c r="G23" s="60" t="str">
        <f>'Opłaty obliczenia 200 ZŁ'!G25</f>
        <v>nie dotyczy (pierwsza wpłata minimalna to 100 EUR)</v>
      </c>
      <c r="H23" s="60">
        <f>'Opłaty obliczenia 1000 ZŁ'!J25</f>
        <v>6.1339740000000003</v>
      </c>
      <c r="I23" s="61">
        <f>'Opłaty obliczenia 1000 ZŁ'!K25</f>
        <v>5.4999999999999997E-3</v>
      </c>
      <c r="J23" s="59">
        <f>'Opłaty obliczenia 200 ZŁ'!H25</f>
        <v>0</v>
      </c>
      <c r="K23" s="60">
        <f>'Opłaty obliczenia 200 ZŁ'!J25</f>
        <v>0</v>
      </c>
      <c r="L23" s="60">
        <f>'Opłaty obliczenia 200 ZŁ'!K25</f>
        <v>0</v>
      </c>
      <c r="M23" s="61">
        <f>'Opłaty obliczenia 4000 ZŁ'!K25</f>
        <v>5.5000000000000005E-3</v>
      </c>
      <c r="N23" s="59">
        <f>'Opłaty obliczenia 10000 ZŁ'!E25</f>
        <v>0</v>
      </c>
      <c r="O23" s="60">
        <f>'Opłaty obliczenia 10000 ZŁ'!G25</f>
        <v>48.179577599999995</v>
      </c>
      <c r="P23" s="60">
        <f>'Opłaty obliczenia 10000 ZŁ'!H25</f>
        <v>48.179577599999995</v>
      </c>
      <c r="Q23" s="61">
        <f>'Opłaty obliczenia 10000 ZŁ'!K25</f>
        <v>5.4999999999999997E-3</v>
      </c>
      <c r="R23" s="59">
        <f>'Opłaty obliczenia 20000 ZŁ '!E25</f>
        <v>0</v>
      </c>
      <c r="S23" s="60">
        <f>'Opłaty obliczenia 20000 ZŁ '!G25</f>
        <v>96.359155199999989</v>
      </c>
      <c r="T23" s="60">
        <f>'Opłaty obliczenia 20000 ZŁ '!H25</f>
        <v>96.359155199999989</v>
      </c>
      <c r="U23" s="61">
        <f>'Opłaty obliczenia 20000 ZŁ '!K25</f>
        <v>5.4999999999999997E-3</v>
      </c>
      <c r="V23" s="59">
        <f>'Opłaty obliczenia 50000 ZŁ '!E24</f>
        <v>0</v>
      </c>
      <c r="W23" s="60">
        <f>'Opłaty obliczenia 50000 ZŁ '!G24</f>
        <v>240.89788799999997</v>
      </c>
      <c r="X23" s="60">
        <f>'Opłaty obliczenia 50000 ZŁ '!H24</f>
        <v>240.89788799999997</v>
      </c>
      <c r="Y23" s="61">
        <f>'Opłaty obliczenia 50000 ZŁ '!K24</f>
        <v>5.4999999999999997E-3</v>
      </c>
      <c r="Z23" s="59">
        <f>'Opłaty obliczenia 100000 ZŁ '!E25</f>
        <v>0</v>
      </c>
      <c r="AA23" s="60">
        <f>'Opłaty obliczenia 100000 ZŁ '!G25</f>
        <v>480.72511871999995</v>
      </c>
      <c r="AB23" s="60">
        <f>'Opłaty obliczenia 100000 ZŁ '!H25</f>
        <v>480.72511871999995</v>
      </c>
      <c r="AC23" s="61">
        <f>'Opłaty obliczenia 100000 ZŁ '!K25</f>
        <v>5.4999999999999997E-3</v>
      </c>
      <c r="AD23" s="59">
        <f>'Opłaty obliczenia 200000 ZŁ'!E25</f>
        <v>0</v>
      </c>
      <c r="AE23" s="60">
        <f>'Opłaty obliczenia 200000 ZŁ'!G25</f>
        <v>960.37958015999982</v>
      </c>
      <c r="AF23" s="60">
        <f>'Opłaty obliczenia 200000 ZŁ'!H25</f>
        <v>960.37958015999982</v>
      </c>
      <c r="AG23" s="61">
        <f>'Opłaty obliczenia 200000 ZŁ'!K25</f>
        <v>5.4999999999999997E-3</v>
      </c>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row>
    <row r="24" spans="1:138" s="12" customFormat="1" ht="15" thickBot="1">
      <c r="A24" s="93" t="s">
        <v>174</v>
      </c>
      <c r="B24" s="62">
        <f>'Opłaty obliczenia 200 ZŁ'!E26</f>
        <v>17.494399999999999</v>
      </c>
      <c r="C24" s="63">
        <f>'Opłaty obliczenia 200 ZŁ'!G26</f>
        <v>720</v>
      </c>
      <c r="D24" s="63">
        <f>'Opłaty obliczenia 200 ZŁ'!H26</f>
        <v>737.49440000000004</v>
      </c>
      <c r="E24" s="64">
        <f>'Opłaty obliczenia 200 ZŁ'!K26</f>
        <v>3.308355064432944</v>
      </c>
      <c r="F24" s="62">
        <f>'Opłaty obliczenia 1000 ZŁ'!E26</f>
        <v>17.494399999999999</v>
      </c>
      <c r="G24" s="63">
        <f>'Opłaty obliczenia 200 ZŁ'!G26</f>
        <v>720</v>
      </c>
      <c r="H24" s="63">
        <f>'Opłaty obliczenia 1000 ZŁ'!J26</f>
        <v>738.27508760000001</v>
      </c>
      <c r="I24" s="64">
        <f>'Opłaty obliczenia 1000 ZŁ'!K26</f>
        <v>0.66197101288658866</v>
      </c>
      <c r="J24" s="62">
        <f>'Opłaty obliczenia 200 ZŁ'!H26</f>
        <v>737.49440000000004</v>
      </c>
      <c r="K24" s="63">
        <f>'Opłaty obliczenia 200 ZŁ'!J26</f>
        <v>737.94050720000007</v>
      </c>
      <c r="L24" s="63">
        <f>'Opłaty obliczenia 200 ZŁ'!K26</f>
        <v>3.308355064432944</v>
      </c>
      <c r="M24" s="64">
        <f>'Opłaty obliczenia 4000 ZŁ'!K26</f>
        <v>0.18438639246849689</v>
      </c>
      <c r="N24" s="62">
        <f>'Opłaty obliczenia 10000 ZŁ'!E26</f>
        <v>17.494399999999999</v>
      </c>
      <c r="O24" s="63">
        <f>'Opłaty obliczenia 10000 ZŁ'!G26</f>
        <v>360</v>
      </c>
      <c r="P24" s="63">
        <f>'Opłaty obliczenia 10000 ZŁ'!H26</f>
        <v>377.49439999999998</v>
      </c>
      <c r="Q24" s="64">
        <f>'Opłaty obliczenia 10000 ZŁ'!K26</f>
        <v>3.8308738188688476E-2</v>
      </c>
      <c r="R24" s="62">
        <f>'Opłaty obliczenia 20000 ZŁ '!E26</f>
        <v>20.074824</v>
      </c>
      <c r="S24" s="63">
        <f>'Opłaty obliczenia 20000 ZŁ '!G26</f>
        <v>360</v>
      </c>
      <c r="T24" s="63">
        <f>'Opłaty obliczenia 20000 ZŁ '!H26</f>
        <v>380.07482399999998</v>
      </c>
      <c r="U24" s="64">
        <f>'Opłaty obliczenia 20000 ZŁ '!K26</f>
        <v>1.9632909399355129E-2</v>
      </c>
      <c r="V24" s="62">
        <f>'Opłaty obliczenia 50000 ZŁ '!E25</f>
        <v>50.187059999999995</v>
      </c>
      <c r="W24" s="63">
        <f>'Opłaty obliczenia 50000 ZŁ '!G25</f>
        <v>360</v>
      </c>
      <c r="X24" s="63">
        <f>'Opłaty obliczenia 50000 ZŁ '!H25</f>
        <v>410.18705999999997</v>
      </c>
      <c r="Y24" s="64">
        <f>'Opłaty obliczenia 50000 ZŁ '!K25</f>
        <v>8.8731637597420539E-3</v>
      </c>
      <c r="Z24" s="62">
        <f>'Opłaty obliczenia 100000 ZŁ '!E26</f>
        <v>100.1510664</v>
      </c>
      <c r="AA24" s="63">
        <f>'Opłaty obliczenia 100000 ZŁ '!G26</f>
        <v>360</v>
      </c>
      <c r="AB24" s="63">
        <f>'Opłaty obliczenia 100000 ZŁ '!H26</f>
        <v>460.15106639999999</v>
      </c>
      <c r="AC24" s="64">
        <f>'Opłaty obliczenia 100000 ZŁ '!K26</f>
        <v>5.2945698127883339E-3</v>
      </c>
      <c r="AD24" s="59">
        <f>'Opłaty obliczenia 200000 ZŁ'!E26</f>
        <v>200.0790792</v>
      </c>
      <c r="AE24" s="60">
        <f>'Opłaty obliczenia 200000 ZŁ'!G26</f>
        <v>360</v>
      </c>
      <c r="AF24" s="60">
        <f>'Opłaty obliczenia 200000 ZŁ'!H26</f>
        <v>560.07907920000002</v>
      </c>
      <c r="AG24" s="61">
        <f>'Opłaty obliczenia 200000 ZŁ'!K26</f>
        <v>3.4992885684971709E-3</v>
      </c>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row>
    <row r="25" spans="1:138">
      <c r="F25" s="116"/>
      <c r="G25" s="116"/>
      <c r="H25" s="116"/>
      <c r="I25" s="121"/>
    </row>
  </sheetData>
  <mergeCells count="8">
    <mergeCell ref="B10:E10"/>
    <mergeCell ref="J10:M10"/>
    <mergeCell ref="F10:I10"/>
    <mergeCell ref="AD10:AG10"/>
    <mergeCell ref="N10:Q10"/>
    <mergeCell ref="R10:U10"/>
    <mergeCell ref="V10:Y10"/>
    <mergeCell ref="Z10:AC10"/>
  </mergeCells>
  <conditionalFormatting sqref="E12:E21">
    <cfRule type="top10" dxfId="220" priority="178" bottom="1" rank="5"/>
    <cfRule type="top10" dxfId="219" priority="179" bottom="1" rank="5"/>
    <cfRule type="top10" dxfId="218" priority="180" rank="5"/>
  </conditionalFormatting>
  <conditionalFormatting sqref="I25">
    <cfRule type="top10" dxfId="217" priority="157" bottom="1" rank="5"/>
    <cfRule type="top10" dxfId="216" priority="158" bottom="1" rank="5"/>
    <cfRule type="top10" dxfId="215" priority="159" rank="5"/>
  </conditionalFormatting>
  <conditionalFormatting sqref="E22:E24">
    <cfRule type="top10" dxfId="214" priority="154" bottom="1" rank="5"/>
    <cfRule type="top10" dxfId="213" priority="155" bottom="1" rank="5"/>
    <cfRule type="top10" dxfId="212" priority="156" rank="5"/>
  </conditionalFormatting>
  <conditionalFormatting sqref="E12:E24">
    <cfRule type="top10" dxfId="211" priority="122" rank="5"/>
    <cfRule type="top10" dxfId="210" priority="123" rank="5"/>
    <cfRule type="top10" dxfId="209" priority="124" bottom="1" rank="5"/>
    <cfRule type="top10" dxfId="208" priority="125" bottom="1" rank="5"/>
    <cfRule type="top10" dxfId="207" priority="126" rank="5"/>
  </conditionalFormatting>
  <conditionalFormatting sqref="Q12:Q21">
    <cfRule type="top10" dxfId="206" priority="97" bottom="1" rank="5"/>
    <cfRule type="top10" dxfId="205" priority="98" bottom="1" rank="5"/>
    <cfRule type="top10" dxfId="204" priority="99" rank="5"/>
  </conditionalFormatting>
  <conditionalFormatting sqref="Q22:Q24">
    <cfRule type="top10" dxfId="203" priority="94" bottom="1" rank="5"/>
    <cfRule type="top10" dxfId="202" priority="95" bottom="1" rank="5"/>
    <cfRule type="top10" dxfId="201" priority="96" rank="5"/>
  </conditionalFormatting>
  <conditionalFormatting sqref="Q12:Q24">
    <cfRule type="top10" dxfId="200" priority="89" rank="5"/>
    <cfRule type="top10" dxfId="199" priority="90" rank="5"/>
    <cfRule type="top10" dxfId="198" priority="91" bottom="1" rank="5"/>
    <cfRule type="top10" dxfId="197" priority="92" bottom="1" rank="5"/>
    <cfRule type="top10" dxfId="196" priority="93" rank="5"/>
  </conditionalFormatting>
  <conditionalFormatting sqref="U12:U21">
    <cfRule type="top10" dxfId="195" priority="86" bottom="1" rank="5"/>
    <cfRule type="top10" dxfId="194" priority="87" bottom="1" rank="5"/>
    <cfRule type="top10" dxfId="193" priority="88" rank="5"/>
  </conditionalFormatting>
  <conditionalFormatting sqref="U22:U24">
    <cfRule type="top10" dxfId="192" priority="83" bottom="1" rank="5"/>
    <cfRule type="top10" dxfId="191" priority="84" bottom="1" rank="5"/>
    <cfRule type="top10" dxfId="190" priority="85" rank="5"/>
  </conditionalFormatting>
  <conditionalFormatting sqref="U12:U24">
    <cfRule type="top10" dxfId="189" priority="78" rank="5"/>
    <cfRule type="top10" dxfId="188" priority="79" rank="5"/>
    <cfRule type="top10" dxfId="187" priority="80" bottom="1" rank="5"/>
    <cfRule type="top10" dxfId="186" priority="81" bottom="1" rank="5"/>
    <cfRule type="top10" dxfId="185" priority="82" rank="5"/>
  </conditionalFormatting>
  <conditionalFormatting sqref="Y12:Y21">
    <cfRule type="top10" dxfId="184" priority="75" bottom="1" rank="5"/>
    <cfRule type="top10" dxfId="183" priority="76" bottom="1" rank="5"/>
    <cfRule type="top10" dxfId="182" priority="77" rank="5"/>
  </conditionalFormatting>
  <conditionalFormatting sqref="Y22:Y24">
    <cfRule type="top10" dxfId="181" priority="72" bottom="1" rank="5"/>
    <cfRule type="top10" dxfId="180" priority="73" bottom="1" rank="5"/>
    <cfRule type="top10" dxfId="179" priority="74" rank="5"/>
  </conditionalFormatting>
  <conditionalFormatting sqref="Y12:Y24">
    <cfRule type="top10" dxfId="178" priority="67" rank="5"/>
    <cfRule type="top10" dxfId="177" priority="68" rank="5"/>
    <cfRule type="top10" dxfId="176" priority="69" bottom="1" rank="5"/>
    <cfRule type="top10" dxfId="175" priority="70" bottom="1" rank="5"/>
    <cfRule type="top10" dxfId="174" priority="71" rank="5"/>
  </conditionalFormatting>
  <conditionalFormatting sqref="AC12:AC21">
    <cfRule type="top10" dxfId="173" priority="64" bottom="1" rank="5"/>
    <cfRule type="top10" dxfId="172" priority="65" bottom="1" rank="5"/>
    <cfRule type="top10" dxfId="171" priority="66" rank="5"/>
  </conditionalFormatting>
  <conditionalFormatting sqref="AC22:AC24">
    <cfRule type="top10" dxfId="170" priority="61" bottom="1" rank="5"/>
    <cfRule type="top10" dxfId="169" priority="62" bottom="1" rank="5"/>
    <cfRule type="top10" dxfId="168" priority="63" rank="5"/>
  </conditionalFormatting>
  <conditionalFormatting sqref="AC12:AC24">
    <cfRule type="top10" dxfId="167" priority="56" rank="5"/>
    <cfRule type="top10" dxfId="166" priority="57" rank="5"/>
    <cfRule type="top10" dxfId="165" priority="58" bottom="1" rank="5"/>
    <cfRule type="top10" dxfId="164" priority="59" bottom="1" rank="5"/>
    <cfRule type="top10" dxfId="163" priority="60" rank="5"/>
  </conditionalFormatting>
  <conditionalFormatting sqref="AG12:AG24">
    <cfRule type="top10" dxfId="162" priority="53" bottom="1" rank="5"/>
    <cfRule type="top10" dxfId="161" priority="54" bottom="1" rank="5"/>
    <cfRule type="top10" dxfId="160" priority="55" rank="5"/>
  </conditionalFormatting>
  <conditionalFormatting sqref="AG22:AG24">
    <cfRule type="top10" dxfId="159" priority="50" bottom="1" rank="5"/>
    <cfRule type="top10" dxfId="158" priority="51" bottom="1" rank="5"/>
    <cfRule type="top10" dxfId="157" priority="52" rank="5"/>
  </conditionalFormatting>
  <conditionalFormatting sqref="AG12:AG24">
    <cfRule type="top10" dxfId="156" priority="45" rank="5"/>
    <cfRule type="top10" dxfId="155" priority="46" rank="5"/>
    <cfRule type="top10" dxfId="154" priority="47" bottom="1" rank="5"/>
    <cfRule type="top10" dxfId="153" priority="48" bottom="1" rank="5"/>
    <cfRule type="top10" dxfId="152" priority="49" rank="5"/>
  </conditionalFormatting>
  <conditionalFormatting sqref="M12:M21">
    <cfRule type="top10" dxfId="151" priority="9" bottom="1" rank="5"/>
    <cfRule type="top10" dxfId="150" priority="10" bottom="1" rank="5"/>
    <cfRule type="top10" dxfId="149" priority="11" rank="5"/>
  </conditionalFormatting>
  <conditionalFormatting sqref="I12:I21">
    <cfRule type="top10" dxfId="148" priority="20" bottom="1" rank="5"/>
    <cfRule type="top10" dxfId="147" priority="21" bottom="1" rank="5"/>
    <cfRule type="top10" dxfId="146" priority="22" rank="5"/>
  </conditionalFormatting>
  <conditionalFormatting sqref="I22:I24">
    <cfRule type="top10" dxfId="145" priority="17" bottom="1" rank="5"/>
    <cfRule type="top10" dxfId="144" priority="18" bottom="1" rank="5"/>
    <cfRule type="top10" dxfId="143" priority="19" rank="5"/>
  </conditionalFormatting>
  <conditionalFormatting sqref="I12:I24">
    <cfRule type="top10" dxfId="142" priority="12" rank="5"/>
    <cfRule type="top10" dxfId="141" priority="13" rank="5"/>
    <cfRule type="top10" dxfId="140" priority="14" bottom="1" rank="5"/>
    <cfRule type="top10" dxfId="139" priority="15" bottom="1" rank="5"/>
    <cfRule type="top10" dxfId="138" priority="16" rank="5"/>
  </conditionalFormatting>
  <conditionalFormatting sqref="M22:M24">
    <cfRule type="top10" dxfId="137" priority="6" bottom="1" rank="5"/>
    <cfRule type="top10" dxfId="136" priority="7" bottom="1" rank="5"/>
    <cfRule type="top10" dxfId="135" priority="8" rank="5"/>
  </conditionalFormatting>
  <conditionalFormatting sqref="M12:M24">
    <cfRule type="top10" dxfId="134" priority="1" rank="5"/>
    <cfRule type="top10" dxfId="133" priority="2" rank="5"/>
    <cfRule type="top10" dxfId="132" priority="3" bottom="1" rank="5"/>
    <cfRule type="top10" dxfId="131" priority="4" bottom="1" rank="5"/>
    <cfRule type="top10" dxfId="130" priority="5" rank="5"/>
  </conditionalFormatting>
  <hyperlinks>
    <hyperlink ref="H5" r:id="rId1" xr:uid="{9E11CCD5-55C8-7049-B29E-FEF17A5FE72F}"/>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2"/>
  <dimension ref="A1:J49"/>
  <sheetViews>
    <sheetView showGridLines="0" workbookViewId="0">
      <selection activeCell="E20" sqref="E20"/>
    </sheetView>
  </sheetViews>
  <sheetFormatPr defaultColWidth="8.6328125" defaultRowHeight="14.5"/>
  <cols>
    <col min="1" max="1" width="8.6328125" style="143"/>
    <col min="2" max="12" width="16.453125" style="3" customWidth="1"/>
    <col min="13" max="16384" width="8.6328125" style="3"/>
  </cols>
  <sheetData>
    <row r="1" spans="1:10">
      <c r="B1" s="170" t="s">
        <v>192</v>
      </c>
      <c r="C1" s="170"/>
      <c r="D1" s="170"/>
      <c r="E1" s="170"/>
      <c r="F1" s="170"/>
      <c r="G1" s="170"/>
      <c r="H1" s="170"/>
    </row>
    <row r="2" spans="1:10" s="74" customFormat="1" ht="27.5" customHeight="1">
      <c r="A2" s="134"/>
      <c r="C2" s="138" t="s">
        <v>185</v>
      </c>
      <c r="I2" s="134"/>
    </row>
    <row r="3" spans="1:10" s="74" customFormat="1" ht="27.5" customHeight="1">
      <c r="A3" s="134"/>
      <c r="B3" s="124"/>
      <c r="C3" s="125" t="s">
        <v>5</v>
      </c>
      <c r="D3" s="125" t="s">
        <v>151</v>
      </c>
      <c r="E3" s="125" t="s">
        <v>7</v>
      </c>
      <c r="F3" s="125" t="s">
        <v>8</v>
      </c>
      <c r="G3" s="125" t="s">
        <v>9</v>
      </c>
      <c r="H3" s="125" t="s">
        <v>30</v>
      </c>
      <c r="I3" s="125" t="s">
        <v>144</v>
      </c>
    </row>
    <row r="4" spans="1:10" ht="27.5" customHeight="1">
      <c r="A4" s="135" t="s">
        <v>1</v>
      </c>
      <c r="B4" s="126" t="s">
        <v>0</v>
      </c>
      <c r="C4" s="146" t="s">
        <v>13</v>
      </c>
      <c r="D4" s="146" t="s">
        <v>11</v>
      </c>
      <c r="E4" s="146"/>
      <c r="F4" s="146"/>
      <c r="G4" s="146"/>
      <c r="H4" s="146" t="s">
        <v>11</v>
      </c>
      <c r="I4" s="130"/>
    </row>
    <row r="5" spans="1:10" ht="27.5" customHeight="1">
      <c r="A5" s="136" t="s">
        <v>143</v>
      </c>
      <c r="B5" s="126" t="s">
        <v>2</v>
      </c>
      <c r="C5" s="130"/>
      <c r="D5" s="130"/>
      <c r="E5" s="130"/>
      <c r="F5" s="130"/>
      <c r="G5" s="130"/>
      <c r="H5" s="130"/>
      <c r="I5" s="130"/>
    </row>
    <row r="6" spans="1:10" ht="27.5" customHeight="1">
      <c r="A6" s="135" t="s">
        <v>40</v>
      </c>
      <c r="B6" s="126" t="s">
        <v>3</v>
      </c>
      <c r="C6" s="130"/>
      <c r="D6" s="130"/>
      <c r="E6" s="130"/>
      <c r="F6" s="130"/>
      <c r="G6" s="130"/>
      <c r="H6" s="130"/>
      <c r="I6" s="130"/>
    </row>
    <row r="7" spans="1:10" ht="27.5" customHeight="1">
      <c r="A7" s="136" t="s">
        <v>146</v>
      </c>
      <c r="B7" s="126" t="s">
        <v>4</v>
      </c>
      <c r="C7" s="130"/>
      <c r="D7" s="130"/>
      <c r="E7" s="130"/>
      <c r="F7" s="130"/>
      <c r="G7" s="130"/>
      <c r="H7" s="130"/>
      <c r="I7" s="130"/>
    </row>
    <row r="8" spans="1:10" ht="27.5" customHeight="1">
      <c r="A8" s="135" t="s">
        <v>44</v>
      </c>
      <c r="B8" s="126" t="s">
        <v>93</v>
      </c>
      <c r="C8" s="144"/>
      <c r="D8" s="146" t="s">
        <v>45</v>
      </c>
      <c r="E8" s="146"/>
      <c r="F8" s="146"/>
      <c r="G8" s="130"/>
      <c r="H8" s="130"/>
      <c r="I8" s="130"/>
    </row>
    <row r="9" spans="1:10" ht="27.5" customHeight="1">
      <c r="A9" s="135" t="s">
        <v>22</v>
      </c>
      <c r="B9" s="126" t="s">
        <v>94</v>
      </c>
      <c r="C9" s="130"/>
      <c r="D9" s="146" t="s">
        <v>25</v>
      </c>
      <c r="E9" s="146"/>
      <c r="F9" s="146" t="s">
        <v>24</v>
      </c>
      <c r="G9" s="130"/>
      <c r="H9" s="130"/>
      <c r="I9" s="130"/>
    </row>
    <row r="10" spans="1:10" ht="27.5" customHeight="1">
      <c r="A10" s="135" t="s">
        <v>29</v>
      </c>
      <c r="B10" s="126" t="s">
        <v>95</v>
      </c>
      <c r="C10" s="130"/>
      <c r="D10" s="130"/>
      <c r="E10" s="130"/>
      <c r="F10" s="130"/>
      <c r="G10" s="146" t="s">
        <v>32</v>
      </c>
      <c r="H10" s="146" t="s">
        <v>31</v>
      </c>
      <c r="I10" s="130"/>
    </row>
    <row r="11" spans="1:10" ht="27.5" customHeight="1">
      <c r="A11" s="136" t="s">
        <v>145</v>
      </c>
      <c r="B11" s="126" t="s">
        <v>152</v>
      </c>
      <c r="C11" s="130" t="s">
        <v>150</v>
      </c>
      <c r="D11" s="146" t="s">
        <v>52</v>
      </c>
      <c r="E11" s="130" t="s">
        <v>150</v>
      </c>
      <c r="F11" s="130" t="s">
        <v>150</v>
      </c>
      <c r="G11" s="130" t="s">
        <v>150</v>
      </c>
      <c r="H11" s="146" t="s">
        <v>51</v>
      </c>
      <c r="I11" s="130" t="s">
        <v>150</v>
      </c>
      <c r="J11" s="76" t="s">
        <v>186</v>
      </c>
    </row>
    <row r="12" spans="1:10" ht="27.5" customHeight="1">
      <c r="A12" s="136" t="s">
        <v>56</v>
      </c>
      <c r="B12" s="126" t="s">
        <v>153</v>
      </c>
      <c r="C12" s="130"/>
      <c r="D12" s="131" t="s">
        <v>61</v>
      </c>
      <c r="E12" s="146" t="s">
        <v>63</v>
      </c>
      <c r="F12" s="130"/>
      <c r="G12" s="146" t="s">
        <v>62</v>
      </c>
      <c r="H12" s="146" t="s">
        <v>60</v>
      </c>
      <c r="I12" s="130"/>
      <c r="J12" s="76" t="s">
        <v>187</v>
      </c>
    </row>
    <row r="13" spans="1:10" ht="27.5" customHeight="1">
      <c r="A13" s="134" t="s">
        <v>148</v>
      </c>
      <c r="B13" s="126" t="s">
        <v>64</v>
      </c>
      <c r="C13" s="130" t="s">
        <v>150</v>
      </c>
      <c r="D13" s="130" t="s">
        <v>150</v>
      </c>
      <c r="E13" s="130" t="s">
        <v>150</v>
      </c>
      <c r="F13" s="130" t="s">
        <v>150</v>
      </c>
      <c r="G13" s="130" t="s">
        <v>150</v>
      </c>
      <c r="H13" s="130" t="s">
        <v>150</v>
      </c>
      <c r="I13" s="130" t="s">
        <v>150</v>
      </c>
      <c r="J13" s="76" t="s">
        <v>186</v>
      </c>
    </row>
    <row r="14" spans="1:10" ht="27.5" customHeight="1">
      <c r="A14" s="135"/>
      <c r="B14" s="126" t="s">
        <v>154</v>
      </c>
      <c r="C14" s="145"/>
      <c r="D14" s="145"/>
      <c r="E14" s="147" t="s">
        <v>141</v>
      </c>
      <c r="F14" s="145"/>
      <c r="G14" s="145"/>
      <c r="H14" s="145"/>
      <c r="I14" s="145"/>
    </row>
    <row r="15" spans="1:10" ht="27.5" customHeight="1">
      <c r="A15" s="134" t="s">
        <v>158</v>
      </c>
      <c r="B15" s="132" t="s">
        <v>179</v>
      </c>
      <c r="C15" s="130"/>
      <c r="D15" s="130"/>
      <c r="E15" s="130"/>
      <c r="F15" s="130"/>
      <c r="G15" s="130"/>
      <c r="H15" s="130"/>
      <c r="I15" s="130"/>
    </row>
    <row r="16" spans="1:10" ht="27.5" customHeight="1">
      <c r="A16" s="134" t="s">
        <v>184</v>
      </c>
      <c r="B16" s="132" t="s">
        <v>178</v>
      </c>
      <c r="C16" s="130" t="s">
        <v>150</v>
      </c>
      <c r="D16" s="130" t="s">
        <v>150</v>
      </c>
      <c r="E16" s="130" t="s">
        <v>150</v>
      </c>
      <c r="F16" s="130" t="s">
        <v>150</v>
      </c>
      <c r="G16" s="130" t="s">
        <v>150</v>
      </c>
      <c r="H16" s="130" t="s">
        <v>150</v>
      </c>
      <c r="I16" s="130" t="s">
        <v>150</v>
      </c>
    </row>
    <row r="17" ht="27.5" customHeight="1"/>
    <row r="18" ht="27.5" customHeight="1"/>
    <row r="19" ht="27.5" customHeight="1"/>
    <row r="20" ht="27.5" customHeight="1"/>
    <row r="21" ht="27.5" customHeight="1"/>
    <row r="22" ht="27.5" customHeight="1"/>
    <row r="23" ht="27.5" customHeight="1"/>
    <row r="24" ht="27.5" customHeight="1"/>
    <row r="25" ht="27.5" customHeight="1"/>
    <row r="26" ht="27.5" customHeight="1"/>
    <row r="27" ht="27.5" customHeight="1"/>
    <row r="28" ht="27.5" customHeight="1"/>
    <row r="29" ht="27.5" customHeight="1"/>
    <row r="30" ht="27.5" customHeight="1"/>
    <row r="31" ht="27.5" customHeight="1"/>
    <row r="32" ht="27.5" customHeight="1"/>
    <row r="33" ht="27.5" customHeight="1"/>
    <row r="34" ht="27.5" customHeight="1"/>
    <row r="35" ht="27.5" customHeight="1"/>
    <row r="36" ht="27.5" customHeight="1"/>
    <row r="37" ht="27.5" customHeight="1"/>
    <row r="38" ht="27.5" customHeight="1"/>
    <row r="39" ht="27.5" customHeight="1"/>
    <row r="40" ht="27.5" customHeight="1"/>
    <row r="41" ht="27.5" customHeight="1"/>
    <row r="42" ht="27.5" customHeight="1"/>
    <row r="43" ht="27.5" customHeight="1"/>
    <row r="44" ht="27.5" customHeight="1"/>
    <row r="45" ht="27.5" customHeight="1"/>
    <row r="46" ht="27.5" customHeight="1"/>
    <row r="47" ht="27.5" customHeight="1"/>
    <row r="48" ht="27.5" customHeight="1"/>
    <row r="49" ht="27.5" customHeight="1"/>
  </sheetData>
  <mergeCells count="1">
    <mergeCell ref="B1:H1"/>
  </mergeCells>
  <hyperlinks>
    <hyperlink ref="D8" r:id="rId1" display="https://www.xtb.com/pl/oferta/dostepne-rynki/etf/iwda-uk" xr:uid="{00000000-0004-0000-0A00-000000000000}"/>
    <hyperlink ref="H12" r:id="rId2" display="https://www.xetra.com/xetra-en/instruments/etf-exchange-traded-funds/list-of-tradable-etfs/xetra/1102012!tradable" xr:uid="{00000000-0004-0000-0A00-000001000000}"/>
    <hyperlink ref="D12" r:id="rId3" display="https://www.xetra.com/xetra-en/instruments/etf-exchange-traded-funds/list-of-tradable-etfs/xetra/1130070!tradable" xr:uid="{00000000-0004-0000-0A00-000002000000}"/>
    <hyperlink ref="G12" r:id="rId4" display="https://www.xetra.com/xetra-en/instruments/etf-exchange-traded-funds/list-of-tradable-etfs/xetra/1102042!tradable" xr:uid="{00000000-0004-0000-0A00-000003000000}"/>
    <hyperlink ref="A4" r:id="rId5" xr:uid="{00000000-0004-0000-0A00-000004000000}"/>
    <hyperlink ref="A9" r:id="rId6" xr:uid="{00000000-0004-0000-0A00-000005000000}"/>
    <hyperlink ref="A10" r:id="rId7" xr:uid="{00000000-0004-0000-0A00-000006000000}"/>
    <hyperlink ref="A6" r:id="rId8" xr:uid="{00000000-0004-0000-0A00-000007000000}"/>
    <hyperlink ref="A8" r:id="rId9" location="etfs" display="https://www.xtb.com/pl/oferta/informacje-o-rachunku/specyfikacja-instrumentow - etfs" xr:uid="{00000000-0004-0000-0A00-000008000000}"/>
    <hyperlink ref="A12" r:id="rId10" xr:uid="{00000000-0004-0000-0A00-000009000000}"/>
    <hyperlink ref="A15" r:id="rId11" xr:uid="{00000000-0004-0000-0A00-00000A000000}"/>
    <hyperlink ref="A16" r:id="rId12" xr:uid="{00000000-0004-0000-0A00-00000B000000}"/>
  </hyperlinks>
  <pageMargins left="0.7" right="0.7" top="0.75" bottom="0.75" header="0.3" footer="0.3"/>
  <drawing r:id="rId13"/>
  <legacyDrawing r:id="rId1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3"/>
  <dimension ref="A1:H50"/>
  <sheetViews>
    <sheetView showGridLines="0" workbookViewId="0">
      <selection activeCell="D19" sqref="D19"/>
    </sheetView>
  </sheetViews>
  <sheetFormatPr defaultColWidth="8.6328125" defaultRowHeight="14.5"/>
  <cols>
    <col min="1" max="1" width="11.81640625" style="3" customWidth="1"/>
    <col min="2" max="11" width="16.453125" style="3" customWidth="1"/>
    <col min="12" max="16384" width="8.6328125" style="3"/>
  </cols>
  <sheetData>
    <row r="1" spans="1:8">
      <c r="A1" s="170" t="s">
        <v>192</v>
      </c>
      <c r="B1" s="170"/>
      <c r="C1" s="170"/>
      <c r="D1" s="170"/>
      <c r="E1" s="170"/>
      <c r="F1" s="170"/>
      <c r="G1" s="170"/>
    </row>
    <row r="2" spans="1:8" ht="27.5" customHeight="1">
      <c r="B2" s="154" t="s">
        <v>191</v>
      </c>
    </row>
    <row r="3" spans="1:8" ht="27.5" customHeight="1">
      <c r="A3" s="148"/>
      <c r="B3" s="124"/>
      <c r="C3" s="125" t="s">
        <v>6</v>
      </c>
      <c r="D3" s="125" t="s">
        <v>7</v>
      </c>
      <c r="E3" s="125" t="s">
        <v>8</v>
      </c>
      <c r="F3" s="125" t="s">
        <v>9</v>
      </c>
      <c r="G3" s="125" t="s">
        <v>15</v>
      </c>
    </row>
    <row r="4" spans="1:8" ht="27.5" customHeight="1">
      <c r="A4" s="139" t="s">
        <v>1</v>
      </c>
      <c r="B4" s="153" t="s">
        <v>0</v>
      </c>
      <c r="C4" s="146" t="s">
        <v>14</v>
      </c>
      <c r="D4" s="146" t="s">
        <v>17</v>
      </c>
      <c r="E4" s="146"/>
      <c r="F4" s="146"/>
      <c r="G4" s="146" t="s">
        <v>16</v>
      </c>
      <c r="H4" s="142"/>
    </row>
    <row r="5" spans="1:8" ht="27.5" customHeight="1">
      <c r="A5" s="140" t="s">
        <v>143</v>
      </c>
      <c r="B5" s="153" t="s">
        <v>2</v>
      </c>
      <c r="C5" s="146"/>
      <c r="D5" s="146"/>
      <c r="E5" s="146"/>
      <c r="F5" s="146"/>
      <c r="G5" s="146"/>
      <c r="H5" s="142"/>
    </row>
    <row r="6" spans="1:8" ht="27.5" customHeight="1">
      <c r="A6" s="139" t="s">
        <v>40</v>
      </c>
      <c r="B6" s="153" t="s">
        <v>3</v>
      </c>
      <c r="C6" s="146"/>
      <c r="D6" s="146"/>
      <c r="E6" s="146"/>
      <c r="F6" s="146"/>
      <c r="G6" s="146" t="s">
        <v>42</v>
      </c>
      <c r="H6" s="142"/>
    </row>
    <row r="7" spans="1:8" ht="27.5" customHeight="1">
      <c r="A7" s="140" t="s">
        <v>146</v>
      </c>
      <c r="B7" s="153" t="s">
        <v>4</v>
      </c>
      <c r="C7" s="146"/>
      <c r="D7" s="146"/>
      <c r="E7" s="146"/>
      <c r="F7" s="146"/>
      <c r="G7" s="146"/>
      <c r="H7" s="142"/>
    </row>
    <row r="8" spans="1:8" ht="27.5" customHeight="1">
      <c r="A8" s="139" t="s">
        <v>44</v>
      </c>
      <c r="B8" s="153" t="s">
        <v>93</v>
      </c>
      <c r="C8" s="131"/>
      <c r="D8" s="146"/>
      <c r="E8" s="146"/>
      <c r="F8" s="146" t="s">
        <v>48</v>
      </c>
      <c r="G8" s="146" t="s">
        <v>47</v>
      </c>
      <c r="H8" s="142"/>
    </row>
    <row r="9" spans="1:8" ht="27.5" customHeight="1">
      <c r="A9" s="139" t="s">
        <v>22</v>
      </c>
      <c r="B9" s="153" t="s">
        <v>94</v>
      </c>
      <c r="C9" s="146"/>
      <c r="D9" s="146"/>
      <c r="E9" s="146"/>
      <c r="F9" s="146"/>
      <c r="G9" s="146" t="s">
        <v>23</v>
      </c>
      <c r="H9" s="142"/>
    </row>
    <row r="10" spans="1:8" ht="27.5" customHeight="1">
      <c r="A10" s="139" t="s">
        <v>29</v>
      </c>
      <c r="B10" s="153" t="s">
        <v>95</v>
      </c>
      <c r="C10" s="130"/>
      <c r="D10" s="146" t="s">
        <v>33</v>
      </c>
      <c r="E10" s="130"/>
      <c r="F10" s="130"/>
      <c r="G10" s="146"/>
      <c r="H10" s="142"/>
    </row>
    <row r="11" spans="1:8" ht="27.5" customHeight="1">
      <c r="A11" s="140" t="s">
        <v>145</v>
      </c>
      <c r="B11" s="153" t="s">
        <v>152</v>
      </c>
      <c r="C11" s="130" t="s">
        <v>150</v>
      </c>
      <c r="D11" s="130" t="s">
        <v>150</v>
      </c>
      <c r="E11" s="130" t="s">
        <v>150</v>
      </c>
      <c r="F11" s="130" t="s">
        <v>150</v>
      </c>
      <c r="G11" s="130" t="s">
        <v>150</v>
      </c>
      <c r="H11" s="76" t="s">
        <v>186</v>
      </c>
    </row>
    <row r="12" spans="1:8" ht="27.5" customHeight="1">
      <c r="A12" s="140" t="s">
        <v>56</v>
      </c>
      <c r="B12" s="153" t="s">
        <v>153</v>
      </c>
      <c r="C12" s="1"/>
      <c r="D12" s="1"/>
      <c r="E12" s="1"/>
      <c r="F12" s="1"/>
      <c r="G12" s="1"/>
      <c r="H12" s="76" t="s">
        <v>187</v>
      </c>
    </row>
    <row r="13" spans="1:8" ht="27.5" customHeight="1">
      <c r="A13" s="141" t="s">
        <v>148</v>
      </c>
      <c r="B13" s="153" t="s">
        <v>64</v>
      </c>
      <c r="C13" s="130" t="s">
        <v>150</v>
      </c>
      <c r="D13" s="130" t="s">
        <v>150</v>
      </c>
      <c r="E13" s="130" t="s">
        <v>150</v>
      </c>
      <c r="F13" s="130" t="s">
        <v>150</v>
      </c>
      <c r="G13" s="130" t="s">
        <v>150</v>
      </c>
      <c r="H13" s="76" t="s">
        <v>186</v>
      </c>
    </row>
    <row r="14" spans="1:8" ht="27.5" customHeight="1">
      <c r="A14" s="139"/>
      <c r="B14" s="153" t="s">
        <v>154</v>
      </c>
      <c r="C14" s="145"/>
      <c r="D14" s="145"/>
      <c r="E14" s="147"/>
      <c r="F14" s="145"/>
      <c r="G14" s="145"/>
    </row>
    <row r="15" spans="1:8" ht="27.5" customHeight="1">
      <c r="A15" s="141" t="s">
        <v>158</v>
      </c>
      <c r="B15" s="132" t="s">
        <v>179</v>
      </c>
      <c r="C15" s="130"/>
      <c r="D15" s="130"/>
      <c r="E15" s="130"/>
      <c r="F15" s="130"/>
      <c r="G15" s="130"/>
    </row>
    <row r="16" spans="1:8" ht="27.5" customHeight="1">
      <c r="A16" s="141" t="s">
        <v>184</v>
      </c>
      <c r="B16" s="132" t="s">
        <v>178</v>
      </c>
      <c r="C16" s="130" t="s">
        <v>150</v>
      </c>
      <c r="D16" s="130" t="s">
        <v>150</v>
      </c>
      <c r="E16" s="130" t="s">
        <v>150</v>
      </c>
      <c r="F16" s="130" t="s">
        <v>150</v>
      </c>
      <c r="G16" s="130" t="s">
        <v>150</v>
      </c>
    </row>
    <row r="17" ht="27.5" customHeight="1"/>
    <row r="18" ht="27.5" customHeight="1"/>
    <row r="19" ht="27.5" customHeight="1"/>
    <row r="20" ht="27.5" customHeight="1"/>
    <row r="21" ht="27.5" customHeight="1"/>
    <row r="22" ht="27.5" customHeight="1"/>
    <row r="23" ht="27.5" customHeight="1"/>
    <row r="24" ht="27.5" customHeight="1"/>
    <row r="25" ht="27.5" customHeight="1"/>
    <row r="26" ht="27.5" customHeight="1"/>
    <row r="27" ht="27.5" customHeight="1"/>
    <row r="28" ht="27.5" customHeight="1"/>
    <row r="29" ht="27.5" customHeight="1"/>
    <row r="30" ht="27.5" customHeight="1"/>
    <row r="31" ht="27.5" customHeight="1"/>
    <row r="32" ht="27.5" customHeight="1"/>
    <row r="33" ht="27.5" customHeight="1"/>
    <row r="34" ht="27.5" customHeight="1"/>
    <row r="35" ht="27.5" customHeight="1"/>
    <row r="36" ht="27.5" customHeight="1"/>
    <row r="37" ht="27.5" customHeight="1"/>
    <row r="38" ht="27.5" customHeight="1"/>
    <row r="39" ht="27.5" customHeight="1"/>
    <row r="40" ht="27.5" customHeight="1"/>
    <row r="41" ht="27.5" customHeight="1"/>
    <row r="42" ht="27.5" customHeight="1"/>
    <row r="43" ht="27.5" customHeight="1"/>
    <row r="44" ht="27.5" customHeight="1"/>
    <row r="45" ht="27.5" customHeight="1"/>
    <row r="46" ht="27.5" customHeight="1"/>
    <row r="47" ht="27.5" customHeight="1"/>
    <row r="48" ht="27.5" customHeight="1"/>
    <row r="49" ht="27.5" customHeight="1"/>
    <row r="50" ht="27.5" customHeight="1"/>
  </sheetData>
  <mergeCells count="1">
    <mergeCell ref="A1:G1"/>
  </mergeCells>
  <hyperlinks>
    <hyperlink ref="G8" r:id="rId1" display="https://www.xtb.com/pl/oferta/dostepne-rynki/etf/amem-de" xr:uid="{00000000-0004-0000-0B00-000000000000}"/>
    <hyperlink ref="F8" r:id="rId2" display="https://www.xtb.com/pl/oferta/dostepne-rynki/etf/lem-fr" xr:uid="{00000000-0004-0000-0B00-000001000000}"/>
    <hyperlink ref="A4" r:id="rId3" xr:uid="{00000000-0004-0000-0B00-000002000000}"/>
    <hyperlink ref="A9" r:id="rId4" xr:uid="{00000000-0004-0000-0B00-000003000000}"/>
    <hyperlink ref="A10" r:id="rId5" xr:uid="{00000000-0004-0000-0B00-000004000000}"/>
    <hyperlink ref="A6" r:id="rId6" xr:uid="{00000000-0004-0000-0B00-000005000000}"/>
    <hyperlink ref="A8" r:id="rId7" location="etfs" display="https://www.xtb.com/pl/oferta/informacje-o-rachunku/specyfikacja-instrumentow - etfs" xr:uid="{00000000-0004-0000-0B00-000006000000}"/>
    <hyperlink ref="A12" r:id="rId8" xr:uid="{00000000-0004-0000-0B00-000007000000}"/>
    <hyperlink ref="A15" r:id="rId9" xr:uid="{00000000-0004-0000-0B00-000008000000}"/>
    <hyperlink ref="A16" r:id="rId10" xr:uid="{00000000-0004-0000-0B00-000009000000}"/>
  </hyperlinks>
  <pageMargins left="0.7" right="0.7" top="0.75" bottom="0.75" header="0.3" footer="0.3"/>
  <drawing r:id="rId1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
  <dimension ref="A1:J50"/>
  <sheetViews>
    <sheetView showGridLines="0" workbookViewId="0">
      <selection activeCell="E21" sqref="E21"/>
    </sheetView>
  </sheetViews>
  <sheetFormatPr defaultColWidth="8.6328125" defaultRowHeight="14.5"/>
  <cols>
    <col min="1" max="1" width="16.453125" style="134" customWidth="1"/>
    <col min="2" max="13" width="16.453125" style="74" customWidth="1"/>
    <col min="14" max="16384" width="8.6328125" style="74"/>
  </cols>
  <sheetData>
    <row r="1" spans="1:10" ht="27.5" customHeight="1">
      <c r="B1" s="170" t="s">
        <v>192</v>
      </c>
      <c r="C1" s="170"/>
      <c r="D1" s="170"/>
      <c r="E1" s="170"/>
      <c r="F1" s="170"/>
      <c r="G1" s="170"/>
      <c r="H1" s="170"/>
    </row>
    <row r="2" spans="1:10" ht="27.5" customHeight="1">
      <c r="C2" s="138" t="s">
        <v>147</v>
      </c>
    </row>
    <row r="3" spans="1:10" ht="27.5" customHeight="1">
      <c r="B3" s="124"/>
      <c r="C3" s="125" t="s">
        <v>5</v>
      </c>
      <c r="D3" s="125" t="s">
        <v>151</v>
      </c>
      <c r="E3" s="125" t="s">
        <v>7</v>
      </c>
      <c r="F3" s="125" t="s">
        <v>8</v>
      </c>
      <c r="G3" s="125" t="s">
        <v>9</v>
      </c>
      <c r="H3" s="125" t="s">
        <v>30</v>
      </c>
      <c r="I3" s="125" t="s">
        <v>144</v>
      </c>
    </row>
    <row r="4" spans="1:10" s="75" customFormat="1" ht="27.5" customHeight="1">
      <c r="A4" s="135" t="s">
        <v>1</v>
      </c>
      <c r="B4" s="126" t="s">
        <v>0</v>
      </c>
      <c r="C4" s="127" t="s">
        <v>12</v>
      </c>
      <c r="D4" s="127"/>
      <c r="E4" s="127" t="s">
        <v>10</v>
      </c>
      <c r="F4" s="128"/>
      <c r="G4" s="128"/>
      <c r="H4" s="128"/>
      <c r="I4" s="128"/>
    </row>
    <row r="5" spans="1:10" s="75" customFormat="1" ht="27.5" customHeight="1">
      <c r="A5" s="136" t="s">
        <v>143</v>
      </c>
      <c r="B5" s="126" t="s">
        <v>2</v>
      </c>
      <c r="C5" s="128"/>
      <c r="D5" s="128"/>
      <c r="E5" s="128"/>
      <c r="F5" s="128"/>
      <c r="G5" s="128"/>
      <c r="H5" s="128"/>
      <c r="I5" s="128"/>
    </row>
    <row r="6" spans="1:10" s="75" customFormat="1" ht="27.5" customHeight="1">
      <c r="A6" s="135" t="s">
        <v>40</v>
      </c>
      <c r="B6" s="126" t="s">
        <v>3</v>
      </c>
      <c r="C6" s="128"/>
      <c r="D6" s="128"/>
      <c r="E6" s="128"/>
      <c r="F6" s="128"/>
      <c r="G6" s="128"/>
      <c r="H6" s="128"/>
      <c r="I6" s="128"/>
    </row>
    <row r="7" spans="1:10" s="75" customFormat="1" ht="27.5" customHeight="1">
      <c r="A7" s="136" t="s">
        <v>146</v>
      </c>
      <c r="B7" s="126" t="s">
        <v>4</v>
      </c>
      <c r="C7" s="128"/>
      <c r="D7" s="128"/>
      <c r="E7" s="128"/>
      <c r="F7" s="128"/>
      <c r="G7" s="128"/>
      <c r="H7" s="128"/>
      <c r="I7" s="128"/>
    </row>
    <row r="8" spans="1:10" s="75" customFormat="1" ht="27.5" customHeight="1">
      <c r="A8" s="135" t="s">
        <v>44</v>
      </c>
      <c r="B8" s="126" t="s">
        <v>93</v>
      </c>
      <c r="C8" s="128"/>
      <c r="D8" s="129" t="s">
        <v>43</v>
      </c>
      <c r="E8" s="128"/>
      <c r="F8" s="128"/>
      <c r="G8" s="128"/>
      <c r="H8" s="128"/>
      <c r="I8" s="128"/>
    </row>
    <row r="9" spans="1:10" s="75" customFormat="1" ht="27.5" customHeight="1">
      <c r="A9" s="135" t="s">
        <v>22</v>
      </c>
      <c r="B9" s="126" t="s">
        <v>94</v>
      </c>
      <c r="C9" s="128"/>
      <c r="D9" s="128"/>
      <c r="E9" s="128"/>
      <c r="F9" s="128"/>
      <c r="G9" s="128"/>
      <c r="H9" s="128"/>
      <c r="I9" s="128"/>
    </row>
    <row r="10" spans="1:10" s="75" customFormat="1" ht="27.5" customHeight="1">
      <c r="A10" s="135" t="s">
        <v>29</v>
      </c>
      <c r="B10" s="126" t="s">
        <v>95</v>
      </c>
      <c r="C10" s="128"/>
      <c r="D10" s="128"/>
      <c r="E10" s="128"/>
      <c r="F10" s="128"/>
      <c r="G10" s="128"/>
      <c r="H10" s="128"/>
      <c r="I10" s="128"/>
    </row>
    <row r="11" spans="1:10" s="75" customFormat="1" ht="35.5" customHeight="1">
      <c r="A11" s="136" t="s">
        <v>145</v>
      </c>
      <c r="B11" s="126" t="s">
        <v>152</v>
      </c>
      <c r="C11" s="130" t="s">
        <v>150</v>
      </c>
      <c r="D11" s="130" t="s">
        <v>150</v>
      </c>
      <c r="E11" s="130" t="s">
        <v>150</v>
      </c>
      <c r="F11" s="130" t="s">
        <v>150</v>
      </c>
      <c r="G11" s="130" t="s">
        <v>150</v>
      </c>
      <c r="H11" s="130" t="s">
        <v>150</v>
      </c>
      <c r="I11" s="130" t="s">
        <v>150</v>
      </c>
      <c r="J11" s="76" t="s">
        <v>186</v>
      </c>
    </row>
    <row r="12" spans="1:10" s="75" customFormat="1" ht="27.5" customHeight="1">
      <c r="A12" s="137" t="s">
        <v>56</v>
      </c>
      <c r="B12" s="126" t="s">
        <v>153</v>
      </c>
      <c r="C12" s="128"/>
      <c r="D12" s="128"/>
      <c r="E12" s="128"/>
      <c r="F12" s="128"/>
      <c r="G12" s="128"/>
      <c r="H12" s="128"/>
      <c r="I12" s="128"/>
      <c r="J12" s="76" t="s">
        <v>187</v>
      </c>
    </row>
    <row r="13" spans="1:10" s="75" customFormat="1" ht="35.75" customHeight="1">
      <c r="A13" s="136" t="s">
        <v>148</v>
      </c>
      <c r="B13" s="126" t="s">
        <v>64</v>
      </c>
      <c r="C13" s="130" t="s">
        <v>150</v>
      </c>
      <c r="D13" s="127" t="s">
        <v>59</v>
      </c>
      <c r="E13" s="131" t="s">
        <v>10</v>
      </c>
      <c r="F13" s="130" t="s">
        <v>150</v>
      </c>
      <c r="G13" s="130" t="s">
        <v>150</v>
      </c>
      <c r="H13" s="130" t="s">
        <v>150</v>
      </c>
      <c r="I13" s="130" t="s">
        <v>150</v>
      </c>
      <c r="J13" s="76" t="s">
        <v>149</v>
      </c>
    </row>
    <row r="14" spans="1:10" s="75" customFormat="1" ht="27.5" customHeight="1">
      <c r="A14" s="134"/>
      <c r="B14" s="126" t="s">
        <v>154</v>
      </c>
      <c r="C14" s="128"/>
      <c r="D14" s="128"/>
      <c r="E14" s="128"/>
      <c r="F14" s="128"/>
      <c r="G14" s="128"/>
      <c r="H14" s="128"/>
      <c r="I14" s="128"/>
    </row>
    <row r="15" spans="1:10" ht="27.5" customHeight="1">
      <c r="A15" s="135" t="s">
        <v>158</v>
      </c>
      <c r="B15" s="132" t="s">
        <v>179</v>
      </c>
      <c r="C15" s="133"/>
      <c r="D15" s="133"/>
      <c r="E15" s="133"/>
      <c r="F15" s="133"/>
      <c r="G15" s="133"/>
      <c r="H15" s="133"/>
      <c r="I15" s="133"/>
    </row>
    <row r="16" spans="1:10" ht="27.5" customHeight="1">
      <c r="A16" s="134" t="s">
        <v>184</v>
      </c>
      <c r="B16" s="132" t="s">
        <v>178</v>
      </c>
      <c r="C16" s="130" t="s">
        <v>150</v>
      </c>
      <c r="D16" s="130" t="s">
        <v>150</v>
      </c>
      <c r="E16" s="130" t="s">
        <v>150</v>
      </c>
      <c r="F16" s="130" t="s">
        <v>150</v>
      </c>
      <c r="G16" s="130" t="s">
        <v>150</v>
      </c>
      <c r="H16" s="130" t="s">
        <v>150</v>
      </c>
      <c r="I16" s="130" t="s">
        <v>150</v>
      </c>
    </row>
    <row r="17" spans="1:1" ht="27.5" customHeight="1">
      <c r="A17" s="135"/>
    </row>
    <row r="18" spans="1:1" ht="27.5" customHeight="1"/>
    <row r="19" spans="1:1" ht="27.5" customHeight="1"/>
    <row r="20" spans="1:1" ht="27.5" customHeight="1"/>
    <row r="21" spans="1:1" ht="27.5" customHeight="1"/>
    <row r="22" spans="1:1" ht="27.5" customHeight="1"/>
    <row r="23" spans="1:1" ht="27.5" customHeight="1"/>
    <row r="24" spans="1:1" ht="27.5" customHeight="1"/>
    <row r="25" spans="1:1" ht="27.5" customHeight="1"/>
    <row r="26" spans="1:1" ht="27.5" customHeight="1"/>
    <row r="27" spans="1:1" ht="27.5" customHeight="1"/>
    <row r="28" spans="1:1" ht="27.5" customHeight="1"/>
    <row r="29" spans="1:1" ht="27.5" customHeight="1"/>
    <row r="30" spans="1:1" ht="27.5" customHeight="1"/>
    <row r="31" spans="1:1" ht="27.5" customHeight="1"/>
    <row r="32" spans="1:1" ht="27.5" customHeight="1"/>
    <row r="33" ht="27.5" customHeight="1"/>
    <row r="34" ht="27.5" customHeight="1"/>
    <row r="35" ht="27.5" customHeight="1"/>
    <row r="36" ht="27.5" customHeight="1"/>
    <row r="37" ht="27.5" customHeight="1"/>
    <row r="38" ht="27.5" customHeight="1"/>
    <row r="39" ht="27.5" customHeight="1"/>
    <row r="40" ht="27.5" customHeight="1"/>
    <row r="41" ht="27.5" customHeight="1"/>
    <row r="42" ht="27.5" customHeight="1"/>
    <row r="43" ht="27.5" customHeight="1"/>
    <row r="44" ht="27.5" customHeight="1"/>
    <row r="45" ht="27.5" customHeight="1"/>
    <row r="46" ht="27.5" customHeight="1"/>
    <row r="47" ht="27.5" customHeight="1"/>
    <row r="48" ht="27.5" customHeight="1"/>
    <row r="49" ht="27.5" customHeight="1"/>
    <row r="50" ht="27.5" customHeight="1"/>
  </sheetData>
  <mergeCells count="1">
    <mergeCell ref="B1:H1"/>
  </mergeCells>
  <hyperlinks>
    <hyperlink ref="A4" r:id="rId1" xr:uid="{00000000-0004-0000-0900-000000000000}"/>
    <hyperlink ref="A9" r:id="rId2" xr:uid="{00000000-0004-0000-0900-000001000000}"/>
    <hyperlink ref="A10" r:id="rId3" xr:uid="{00000000-0004-0000-0900-000002000000}"/>
    <hyperlink ref="A6" r:id="rId4" xr:uid="{00000000-0004-0000-0900-000003000000}"/>
    <hyperlink ref="D8" r:id="rId5" display="https://www.xtb.com/pl/oferta/dostepne-rynki/etf/isac-uk" xr:uid="{00000000-0004-0000-0900-000004000000}"/>
    <hyperlink ref="A8" r:id="rId6" location="etfs" display="https://www.xtb.com/pl/oferta/informacje-o-rachunku/specyfikacja-instrumentow - etfs" xr:uid="{00000000-0004-0000-0900-000005000000}"/>
    <hyperlink ref="A12" r:id="rId7" xr:uid="{00000000-0004-0000-0900-000006000000}"/>
    <hyperlink ref="E13" r:id="rId8" display="https://www.xetra.com/xetra-en/instruments/etf-exchange-traded-funds/list-of-tradable-etfs/xetra/1096960!tradable" xr:uid="{00000000-0004-0000-0900-000007000000}"/>
    <hyperlink ref="A15" r:id="rId9" xr:uid="{00000000-0004-0000-0900-000008000000}"/>
    <hyperlink ref="A16" r:id="rId10" xr:uid="{00000000-0004-0000-0900-000009000000}"/>
  </hyperlinks>
  <pageMargins left="0.7" right="0.7" top="0.75" bottom="0.75" header="0.3" footer="0.3"/>
  <pageSetup paperSize="9" orientation="portrait" verticalDpi="300" r:id="rId11"/>
  <drawing r:id="rId12"/>
  <legacyDrawing r:id="rId1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7"/>
  <dimension ref="A1:J50"/>
  <sheetViews>
    <sheetView showGridLines="0" workbookViewId="0">
      <selection activeCell="C20" sqref="C20"/>
    </sheetView>
  </sheetViews>
  <sheetFormatPr defaultColWidth="8.6328125" defaultRowHeight="14.5"/>
  <cols>
    <col min="1" max="1" width="8.6328125" style="3"/>
    <col min="2" max="2" width="20.453125" style="3" customWidth="1"/>
    <col min="3" max="3" width="23.81640625" style="3" customWidth="1"/>
    <col min="4" max="13" width="16.453125" style="3" customWidth="1"/>
    <col min="14" max="16384" width="8.6328125" style="3"/>
  </cols>
  <sheetData>
    <row r="1" spans="1:10">
      <c r="B1" s="170" t="s">
        <v>192</v>
      </c>
      <c r="C1" s="170"/>
      <c r="D1" s="170"/>
      <c r="E1" s="170"/>
      <c r="F1" s="170"/>
      <c r="G1" s="170"/>
      <c r="H1" s="170"/>
    </row>
    <row r="2" spans="1:10" ht="27.5" customHeight="1">
      <c r="C2" s="154" t="s">
        <v>190</v>
      </c>
    </row>
    <row r="3" spans="1:10" s="152" customFormat="1" ht="27.5" customHeight="1">
      <c r="A3" s="150"/>
      <c r="B3" s="151"/>
      <c r="C3" s="149" t="s">
        <v>5</v>
      </c>
      <c r="D3" s="149" t="s">
        <v>6</v>
      </c>
      <c r="E3" s="149" t="s">
        <v>7</v>
      </c>
      <c r="F3" s="149" t="s">
        <v>8</v>
      </c>
      <c r="G3" s="149" t="s">
        <v>9</v>
      </c>
      <c r="H3" s="149" t="s">
        <v>15</v>
      </c>
      <c r="I3" s="149" t="s">
        <v>30</v>
      </c>
    </row>
    <row r="4" spans="1:10" ht="47" customHeight="1">
      <c r="A4" s="139" t="s">
        <v>1</v>
      </c>
      <c r="B4" s="153" t="s">
        <v>0</v>
      </c>
      <c r="C4" s="155" t="s">
        <v>20</v>
      </c>
      <c r="D4" s="155" t="s">
        <v>18</v>
      </c>
      <c r="E4" s="155" t="s">
        <v>19</v>
      </c>
      <c r="F4" s="155"/>
      <c r="G4" s="155"/>
      <c r="H4" s="155"/>
      <c r="I4" s="155"/>
    </row>
    <row r="5" spans="1:10" ht="27.5" customHeight="1">
      <c r="A5" s="140" t="s">
        <v>143</v>
      </c>
      <c r="B5" s="153" t="s">
        <v>2</v>
      </c>
      <c r="C5" s="155"/>
      <c r="D5" s="155"/>
      <c r="E5" s="155"/>
      <c r="F5" s="155"/>
      <c r="G5" s="155"/>
      <c r="H5" s="155"/>
      <c r="I5" s="155"/>
    </row>
    <row r="6" spans="1:10" ht="27.5" customHeight="1">
      <c r="A6" s="139" t="s">
        <v>40</v>
      </c>
      <c r="B6" s="153" t="s">
        <v>3</v>
      </c>
      <c r="C6" s="155"/>
      <c r="D6" s="155" t="s">
        <v>41</v>
      </c>
      <c r="E6" s="155"/>
      <c r="F6" s="155"/>
      <c r="G6" s="155"/>
      <c r="H6" s="155"/>
      <c r="I6" s="155"/>
    </row>
    <row r="7" spans="1:10" ht="27.5" customHeight="1">
      <c r="A7" s="140" t="s">
        <v>146</v>
      </c>
      <c r="B7" s="153" t="s">
        <v>4</v>
      </c>
      <c r="C7" s="155"/>
      <c r="D7" s="155"/>
      <c r="E7" s="155"/>
      <c r="F7" s="155"/>
      <c r="G7" s="155"/>
      <c r="H7" s="155"/>
      <c r="I7" s="155"/>
    </row>
    <row r="8" spans="1:10" ht="27.5" customHeight="1">
      <c r="A8" s="139" t="s">
        <v>44</v>
      </c>
      <c r="B8" s="153" t="s">
        <v>93</v>
      </c>
      <c r="C8" s="155"/>
      <c r="D8" s="156" t="s">
        <v>46</v>
      </c>
      <c r="E8" s="155"/>
      <c r="F8" s="155"/>
      <c r="G8" s="155"/>
      <c r="H8" s="155"/>
      <c r="I8" s="155"/>
    </row>
    <row r="9" spans="1:10" ht="27.5" customHeight="1">
      <c r="A9" s="139" t="s">
        <v>22</v>
      </c>
      <c r="B9" s="153" t="s">
        <v>94</v>
      </c>
      <c r="C9" s="155" t="s">
        <v>28</v>
      </c>
      <c r="D9" s="155" t="s">
        <v>26</v>
      </c>
      <c r="E9" s="155"/>
      <c r="F9" s="155" t="s">
        <v>27</v>
      </c>
      <c r="G9" s="155"/>
      <c r="H9" s="155"/>
      <c r="I9" s="155"/>
    </row>
    <row r="10" spans="1:10" ht="27.5" customHeight="1">
      <c r="A10" s="139" t="s">
        <v>29</v>
      </c>
      <c r="B10" s="153" t="s">
        <v>95</v>
      </c>
      <c r="C10" s="155" t="s">
        <v>37</v>
      </c>
      <c r="D10" s="155"/>
      <c r="E10" s="155" t="s">
        <v>36</v>
      </c>
      <c r="F10" s="155"/>
      <c r="G10" s="155" t="s">
        <v>38</v>
      </c>
      <c r="H10" s="155" t="s">
        <v>34</v>
      </c>
      <c r="I10" s="155" t="s">
        <v>35</v>
      </c>
    </row>
    <row r="11" spans="1:10" ht="27.5" customHeight="1">
      <c r="A11" s="140" t="s">
        <v>145</v>
      </c>
      <c r="B11" s="153" t="s">
        <v>152</v>
      </c>
      <c r="C11" s="130" t="s">
        <v>150</v>
      </c>
      <c r="D11" s="130" t="s">
        <v>150</v>
      </c>
      <c r="E11" s="130" t="s">
        <v>150</v>
      </c>
      <c r="F11" s="130" t="s">
        <v>150</v>
      </c>
      <c r="G11" s="130" t="s">
        <v>150</v>
      </c>
      <c r="H11" s="130" t="s">
        <v>150</v>
      </c>
      <c r="I11" s="130" t="s">
        <v>150</v>
      </c>
      <c r="J11" s="76" t="s">
        <v>186</v>
      </c>
    </row>
    <row r="12" spans="1:10" ht="27.5" customHeight="1">
      <c r="A12" s="140" t="s">
        <v>56</v>
      </c>
      <c r="B12" s="153" t="s">
        <v>153</v>
      </c>
      <c r="C12" s="155" t="s">
        <v>57</v>
      </c>
      <c r="D12" s="155" t="s">
        <v>54</v>
      </c>
      <c r="E12" s="155"/>
      <c r="F12" s="155"/>
      <c r="G12" s="155" t="s">
        <v>55</v>
      </c>
      <c r="H12" s="155" t="s">
        <v>58</v>
      </c>
      <c r="I12" s="155" t="s">
        <v>53</v>
      </c>
      <c r="J12" s="76" t="s">
        <v>187</v>
      </c>
    </row>
    <row r="13" spans="1:10" ht="27.5" customHeight="1">
      <c r="A13" s="141" t="s">
        <v>148</v>
      </c>
      <c r="B13" s="153" t="s">
        <v>64</v>
      </c>
      <c r="C13" s="130" t="s">
        <v>150</v>
      </c>
      <c r="D13" s="156" t="s">
        <v>65</v>
      </c>
      <c r="E13" s="156" t="s">
        <v>66</v>
      </c>
      <c r="F13" s="130" t="s">
        <v>150</v>
      </c>
      <c r="G13" s="130" t="s">
        <v>150</v>
      </c>
      <c r="H13" s="130" t="s">
        <v>150</v>
      </c>
      <c r="I13" s="130" t="s">
        <v>150</v>
      </c>
      <c r="J13" s="76" t="s">
        <v>186</v>
      </c>
    </row>
    <row r="14" spans="1:10" ht="27.5" customHeight="1">
      <c r="A14" s="139"/>
      <c r="B14" s="153" t="s">
        <v>154</v>
      </c>
      <c r="C14" s="157"/>
      <c r="D14" s="155" t="s">
        <v>142</v>
      </c>
      <c r="E14" s="155"/>
      <c r="F14" s="157"/>
      <c r="G14" s="157"/>
      <c r="H14" s="157"/>
      <c r="I14" s="157"/>
    </row>
    <row r="15" spans="1:10" ht="27.5" customHeight="1">
      <c r="A15" s="141" t="s">
        <v>158</v>
      </c>
      <c r="B15" s="132" t="s">
        <v>179</v>
      </c>
      <c r="C15" s="157"/>
      <c r="D15" s="157"/>
      <c r="E15" s="157"/>
      <c r="F15" s="157"/>
      <c r="G15" s="157"/>
      <c r="H15" s="157"/>
      <c r="I15" s="157"/>
    </row>
    <row r="16" spans="1:10" ht="27.5" customHeight="1">
      <c r="A16" s="141" t="s">
        <v>184</v>
      </c>
      <c r="B16" s="132" t="s">
        <v>178</v>
      </c>
      <c r="C16" s="130" t="s">
        <v>150</v>
      </c>
      <c r="D16" s="130" t="s">
        <v>150</v>
      </c>
      <c r="E16" s="130" t="s">
        <v>150</v>
      </c>
      <c r="F16" s="130" t="s">
        <v>150</v>
      </c>
      <c r="G16" s="130" t="s">
        <v>150</v>
      </c>
      <c r="H16" s="130" t="s">
        <v>150</v>
      </c>
      <c r="I16" s="130" t="s">
        <v>150</v>
      </c>
    </row>
    <row r="17" ht="27.5" customHeight="1"/>
    <row r="18" ht="27.5" customHeight="1"/>
    <row r="19" ht="27.5" customHeight="1"/>
    <row r="20" ht="27.5" customHeight="1"/>
    <row r="21" ht="27.5" customHeight="1"/>
    <row r="22" ht="27.5" customHeight="1"/>
    <row r="23" ht="27.5" customHeight="1"/>
    <row r="24" ht="27.5" customHeight="1"/>
    <row r="25" ht="27.5" customHeight="1"/>
    <row r="26" ht="27.5" customHeight="1"/>
    <row r="27" ht="27.5" customHeight="1"/>
    <row r="28" ht="27.5" customHeight="1"/>
    <row r="29" ht="27.5" customHeight="1"/>
    <row r="30" ht="27.5" customHeight="1"/>
    <row r="31" ht="27.5" customHeight="1"/>
    <row r="32" ht="27.5" customHeight="1"/>
    <row r="33" ht="27.5" customHeight="1"/>
    <row r="34" ht="27.5" customHeight="1"/>
    <row r="35" ht="27.5" customHeight="1"/>
    <row r="36" ht="27.5" customHeight="1"/>
    <row r="37" ht="27.5" customHeight="1"/>
    <row r="38" ht="27.5" customHeight="1"/>
    <row r="39" ht="27.5" customHeight="1"/>
    <row r="40" ht="27.5" customHeight="1"/>
    <row r="41" ht="27.5" customHeight="1"/>
    <row r="42" ht="27.5" customHeight="1"/>
    <row r="43" ht="27.5" customHeight="1"/>
    <row r="44" ht="27.5" customHeight="1"/>
    <row r="45" ht="27.5" customHeight="1"/>
    <row r="46" ht="27.5" customHeight="1"/>
    <row r="47" ht="27.5" customHeight="1"/>
    <row r="48" ht="27.5" customHeight="1"/>
    <row r="49" ht="27.5" customHeight="1"/>
    <row r="50" ht="27.5" customHeight="1"/>
  </sheetData>
  <mergeCells count="1">
    <mergeCell ref="B1:H1"/>
  </mergeCells>
  <hyperlinks>
    <hyperlink ref="D8" r:id="rId1" display="https://www.xtb.com/pl/oferta/dostepne-rynki/etf/iusa-de" xr:uid="{00000000-0004-0000-0C00-000000000000}"/>
    <hyperlink ref="D13" r:id="rId2" display="https://www.xetra.com/xetra-en/instruments/etf-exchange-traded-funds/list-of-tradable-etfs/xetra/1130272!tradable" xr:uid="{00000000-0004-0000-0C00-000001000000}"/>
    <hyperlink ref="E13" r:id="rId3" display="https://www.xetra.com/xetra-en/instruments/etf-exchange-traded-funds/list-of-tradable-etfs/xetra/1092924!tradable" xr:uid="{00000000-0004-0000-0C00-000002000000}"/>
    <hyperlink ref="A4" r:id="rId4" xr:uid="{00000000-0004-0000-0C00-000003000000}"/>
    <hyperlink ref="A9" r:id="rId5" xr:uid="{00000000-0004-0000-0C00-000004000000}"/>
    <hyperlink ref="A10" r:id="rId6" xr:uid="{00000000-0004-0000-0C00-000005000000}"/>
    <hyperlink ref="A6" r:id="rId7" xr:uid="{00000000-0004-0000-0C00-000006000000}"/>
    <hyperlink ref="A8" r:id="rId8" location="etfs" display="https://www.xtb.com/pl/oferta/informacje-o-rachunku/specyfikacja-instrumentow - etfs" xr:uid="{00000000-0004-0000-0C00-000007000000}"/>
    <hyperlink ref="A12" r:id="rId9" xr:uid="{00000000-0004-0000-0C00-000008000000}"/>
    <hyperlink ref="A15" r:id="rId10" xr:uid="{00000000-0004-0000-0C00-000009000000}"/>
    <hyperlink ref="A16" r:id="rId11" xr:uid="{00000000-0004-0000-0C00-00000A000000}"/>
  </hyperlinks>
  <pageMargins left="0.7" right="0.7" top="0.75" bottom="0.75" header="0.3" footer="0.3"/>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F35"/>
  <sheetViews>
    <sheetView showGridLines="0" topLeftCell="A10" workbookViewId="0">
      <selection activeCell="B42" sqref="B42"/>
    </sheetView>
  </sheetViews>
  <sheetFormatPr defaultColWidth="8.81640625" defaultRowHeight="14.5"/>
  <cols>
    <col min="1" max="2" width="45.453125" customWidth="1"/>
    <col min="4" max="4" width="20.453125" customWidth="1"/>
  </cols>
  <sheetData>
    <row r="2" spans="1:6">
      <c r="A2" s="2" t="s">
        <v>171</v>
      </c>
    </row>
    <row r="3" spans="1:6">
      <c r="A3" t="s">
        <v>160</v>
      </c>
      <c r="B3">
        <v>1554</v>
      </c>
      <c r="D3" s="2" t="s">
        <v>172</v>
      </c>
    </row>
    <row r="4" spans="1:6">
      <c r="A4" t="s">
        <v>5</v>
      </c>
      <c r="B4">
        <v>1008</v>
      </c>
      <c r="D4" t="s">
        <v>166</v>
      </c>
      <c r="E4">
        <v>268</v>
      </c>
      <c r="F4" t="s">
        <v>165</v>
      </c>
    </row>
    <row r="5" spans="1:6">
      <c r="A5" t="s">
        <v>163</v>
      </c>
      <c r="B5">
        <v>640</v>
      </c>
      <c r="D5" t="s">
        <v>167</v>
      </c>
      <c r="E5">
        <v>182</v>
      </c>
      <c r="F5" t="s">
        <v>165</v>
      </c>
    </row>
    <row r="6" spans="1:6">
      <c r="A6" t="s">
        <v>161</v>
      </c>
      <c r="B6">
        <v>203</v>
      </c>
      <c r="D6" t="s">
        <v>168</v>
      </c>
      <c r="E6">
        <v>115</v>
      </c>
      <c r="F6" t="s">
        <v>165</v>
      </c>
    </row>
    <row r="7" spans="1:6">
      <c r="A7" t="s">
        <v>162</v>
      </c>
      <c r="B7">
        <v>142</v>
      </c>
      <c r="D7" t="s">
        <v>169</v>
      </c>
      <c r="E7">
        <v>114</v>
      </c>
      <c r="F7" t="s">
        <v>165</v>
      </c>
    </row>
    <row r="8" spans="1:6">
      <c r="A8" t="s">
        <v>164</v>
      </c>
      <c r="B8">
        <f>4000-SUM(B3:B7)</f>
        <v>453</v>
      </c>
      <c r="D8" t="s">
        <v>170</v>
      </c>
      <c r="E8">
        <v>75</v>
      </c>
      <c r="F8" t="s">
        <v>165</v>
      </c>
    </row>
    <row r="9" spans="1:6">
      <c r="B9">
        <f>SUM(B3:B7)</f>
        <v>3547</v>
      </c>
    </row>
    <row r="13" spans="1:6">
      <c r="A13" s="80"/>
      <c r="B13" s="80"/>
    </row>
    <row r="14" spans="1:6">
      <c r="A14" s="80"/>
      <c r="B14" s="80"/>
    </row>
    <row r="15" spans="1:6">
      <c r="A15" s="80"/>
      <c r="B15" s="80"/>
    </row>
    <row r="16" spans="1:6">
      <c r="A16" s="80"/>
      <c r="B16" s="80"/>
    </row>
    <row r="17" spans="1:2">
      <c r="A17" s="80"/>
      <c r="B17" s="80"/>
    </row>
    <row r="35" spans="1:3">
      <c r="A35" s="81" t="s">
        <v>173</v>
      </c>
      <c r="C35" s="81" t="s">
        <v>173</v>
      </c>
    </row>
  </sheetData>
  <pageMargins left="0.7" right="0.7" top="0.75" bottom="0.75" header="0.3" footer="0.3"/>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5"/>
  <dimension ref="A1:K28"/>
  <sheetViews>
    <sheetView showGridLines="0" topLeftCell="A16" zoomScaleNormal="100" workbookViewId="0">
      <selection activeCell="C18" sqref="C18"/>
    </sheetView>
  </sheetViews>
  <sheetFormatPr defaultColWidth="8.81640625" defaultRowHeight="14.5"/>
  <cols>
    <col min="1" max="1" width="4.453125" style="7" customWidth="1"/>
    <col min="2" max="2" width="7.453125" style="7" customWidth="1"/>
    <col min="3" max="3" width="24.453125" style="2" customWidth="1"/>
    <col min="4" max="4" width="42.81640625" style="7" customWidth="1"/>
    <col min="5" max="5" width="21.1796875" style="6" customWidth="1"/>
    <col min="6" max="6" width="50.453125" style="7" customWidth="1"/>
    <col min="7" max="7" width="30.453125" style="7" customWidth="1"/>
    <col min="8" max="8" width="19.453125" style="7" customWidth="1"/>
    <col min="9" max="10" width="19.36328125" style="7" customWidth="1"/>
    <col min="11" max="11" width="19.36328125" style="49" customWidth="1"/>
    <col min="12" max="16384" width="8.81640625" style="7"/>
  </cols>
  <sheetData>
    <row r="1" spans="1:11">
      <c r="C1" s="82" t="s">
        <v>67</v>
      </c>
      <c r="D1" s="82" t="s">
        <v>20</v>
      </c>
      <c r="E1" s="10"/>
      <c r="F1" s="7" t="s">
        <v>131</v>
      </c>
    </row>
    <row r="2" spans="1:11">
      <c r="C2" s="82" t="s">
        <v>68</v>
      </c>
      <c r="D2" s="82" t="s">
        <v>69</v>
      </c>
      <c r="E2" s="10"/>
    </row>
    <row r="3" spans="1:11">
      <c r="C3" s="10"/>
      <c r="D3" s="10"/>
      <c r="E3" s="10"/>
    </row>
    <row r="4" spans="1:11">
      <c r="C4" s="9" t="s">
        <v>70</v>
      </c>
      <c r="D4" s="9">
        <v>51</v>
      </c>
      <c r="E4" s="10" t="s">
        <v>71</v>
      </c>
      <c r="F4" s="7" t="s">
        <v>127</v>
      </c>
    </row>
    <row r="5" spans="1:11">
      <c r="C5" s="9" t="s">
        <v>109</v>
      </c>
      <c r="D5" s="11">
        <v>4.3735999999999997</v>
      </c>
      <c r="E5" s="10" t="s">
        <v>86</v>
      </c>
    </row>
    <row r="6" spans="1:11">
      <c r="C6" s="9" t="s">
        <v>73</v>
      </c>
      <c r="D6" s="9">
        <v>1</v>
      </c>
      <c r="E6" s="10" t="s">
        <v>85</v>
      </c>
    </row>
    <row r="7" spans="1:11" ht="18.5">
      <c r="C7" s="28" t="s">
        <v>87</v>
      </c>
      <c r="D7" s="28">
        <f>D4*D5*D6</f>
        <v>223.05359999999999</v>
      </c>
      <c r="E7" s="29" t="s">
        <v>86</v>
      </c>
    </row>
    <row r="8" spans="1:11">
      <c r="C8" s="9" t="s">
        <v>110</v>
      </c>
      <c r="D8" s="11">
        <v>4</v>
      </c>
      <c r="E8" s="10" t="s">
        <v>103</v>
      </c>
      <c r="F8" s="31"/>
      <c r="G8" s="31"/>
      <c r="H8" s="31"/>
      <c r="I8" s="31"/>
      <c r="J8" s="31"/>
      <c r="K8" s="50"/>
    </row>
    <row r="9" spans="1:11">
      <c r="C9" s="9" t="s">
        <v>111</v>
      </c>
      <c r="D9" s="30">
        <v>6.9999999999999999E-4</v>
      </c>
      <c r="E9" s="10" t="s">
        <v>112</v>
      </c>
      <c r="F9" s="31"/>
      <c r="G9" s="31"/>
      <c r="H9" s="31"/>
      <c r="I9" s="31"/>
      <c r="J9" s="31"/>
      <c r="K9" s="50"/>
    </row>
    <row r="10" spans="1:11">
      <c r="C10" s="4"/>
      <c r="D10" s="12"/>
      <c r="E10" s="13"/>
      <c r="F10" s="31"/>
      <c r="G10" s="31"/>
      <c r="H10" s="31"/>
      <c r="I10" s="31"/>
      <c r="J10" s="31"/>
      <c r="K10" s="50"/>
    </row>
    <row r="11" spans="1:11" ht="15" thickBot="1">
      <c r="C11" s="4"/>
      <c r="D11" s="12"/>
      <c r="E11" s="13"/>
      <c r="F11" s="31"/>
      <c r="G11" s="31"/>
      <c r="H11" s="31"/>
      <c r="I11" s="31"/>
      <c r="J11" s="31"/>
      <c r="K11" s="50"/>
    </row>
    <row r="12" spans="1:11" ht="15" thickBot="1">
      <c r="C12" s="165" t="s">
        <v>113</v>
      </c>
      <c r="D12" s="166"/>
      <c r="E12" s="167"/>
      <c r="F12" s="168" t="s">
        <v>114</v>
      </c>
      <c r="G12" s="169"/>
      <c r="H12" s="31"/>
      <c r="I12" s="31"/>
      <c r="J12" s="31"/>
      <c r="K12" s="50"/>
    </row>
    <row r="13" spans="1:11" s="5" customFormat="1" ht="73.5" customHeight="1" thickBot="1">
      <c r="B13" s="86" t="s">
        <v>89</v>
      </c>
      <c r="C13" s="87" t="s">
        <v>84</v>
      </c>
      <c r="D13" s="88" t="s">
        <v>81</v>
      </c>
      <c r="E13" s="89" t="s">
        <v>82</v>
      </c>
      <c r="F13" s="83" t="s">
        <v>88</v>
      </c>
      <c r="G13" s="84" t="s">
        <v>107</v>
      </c>
      <c r="H13" s="97" t="s">
        <v>83</v>
      </c>
      <c r="I13" s="98" t="s">
        <v>115</v>
      </c>
      <c r="J13" s="98" t="s">
        <v>116</v>
      </c>
      <c r="K13" s="99" t="s">
        <v>117</v>
      </c>
    </row>
    <row r="14" spans="1:11" ht="55.5" customHeight="1" thickBot="1">
      <c r="A14" s="7">
        <v>1</v>
      </c>
      <c r="B14" s="90" t="s">
        <v>72</v>
      </c>
      <c r="C14" s="32" t="s">
        <v>105</v>
      </c>
      <c r="D14" s="15" t="s">
        <v>90</v>
      </c>
      <c r="E14" s="33">
        <f>MAX($D$4*$D$5*0.29%*$D$6,9*$D$5)</f>
        <v>39.362399999999994</v>
      </c>
      <c r="F14" s="41" t="s">
        <v>108</v>
      </c>
      <c r="G14" s="33">
        <v>0</v>
      </c>
      <c r="H14" s="100">
        <f>E14+G14</f>
        <v>39.362399999999994</v>
      </c>
      <c r="I14" s="16">
        <f t="shared" ref="I14:I22" si="0">$D$4*$D$5*$D$6*0.07%</f>
        <v>0.15613752</v>
      </c>
      <c r="J14" s="16">
        <f>H14+I14</f>
        <v>39.518537519999995</v>
      </c>
      <c r="K14" s="101">
        <f>J14/$D$7</f>
        <v>0.17717058823529411</v>
      </c>
    </row>
    <row r="15" spans="1:11" ht="97" thickBot="1">
      <c r="A15" s="7">
        <v>2</v>
      </c>
      <c r="B15" s="90" t="s">
        <v>21</v>
      </c>
      <c r="C15" s="34" t="s">
        <v>2</v>
      </c>
      <c r="D15" s="14" t="s">
        <v>91</v>
      </c>
      <c r="E15" s="35">
        <f>MAX($D$4*$D$5*0.39%*$D$6,12*$D$5)</f>
        <v>52.483199999999997</v>
      </c>
      <c r="F15" s="42" t="s">
        <v>106</v>
      </c>
      <c r="G15" s="43">
        <f>$D$4*$D$5*$D$6*0.02%*12+6*11</f>
        <v>66.535328640000003</v>
      </c>
      <c r="H15" s="102">
        <f t="shared" ref="H15:H24" si="1">E15+G15</f>
        <v>119.01852864</v>
      </c>
      <c r="I15" s="17">
        <f t="shared" si="0"/>
        <v>0.15613752</v>
      </c>
      <c r="J15" s="17">
        <f t="shared" ref="J15:J24" si="2">H15+I15</f>
        <v>119.17466616</v>
      </c>
      <c r="K15" s="103">
        <f t="shared" ref="K15:K24" si="3">J15/$D$7</f>
        <v>0.53428712273641854</v>
      </c>
    </row>
    <row r="16" spans="1:11" ht="98" customHeight="1" thickBot="1">
      <c r="A16" s="7">
        <v>3</v>
      </c>
      <c r="B16" s="90" t="s">
        <v>39</v>
      </c>
      <c r="C16" s="32" t="s">
        <v>3</v>
      </c>
      <c r="D16" s="19" t="s">
        <v>101</v>
      </c>
      <c r="E16" s="35">
        <f>MAX($D$4*$D$5*0.29%*$D$6,9*$D$5)</f>
        <v>39.362399999999994</v>
      </c>
      <c r="F16" s="44" t="s">
        <v>119</v>
      </c>
      <c r="G16" s="35">
        <f>$D$4*$D$5*$D$6*0.15%+60</f>
        <v>60.3345804</v>
      </c>
      <c r="H16" s="104">
        <f t="shared" si="1"/>
        <v>99.696980400000001</v>
      </c>
      <c r="I16" s="21">
        <f t="shared" si="0"/>
        <v>0.15613752</v>
      </c>
      <c r="J16" s="21">
        <f t="shared" si="2"/>
        <v>99.853117920000003</v>
      </c>
      <c r="K16" s="105">
        <f t="shared" si="3"/>
        <v>0.44766422922562116</v>
      </c>
    </row>
    <row r="17" spans="1:11" ht="65.5" customHeight="1" thickBot="1">
      <c r="A17" s="7">
        <v>4</v>
      </c>
      <c r="B17" s="90" t="s">
        <v>49</v>
      </c>
      <c r="C17" s="32" t="s">
        <v>93</v>
      </c>
      <c r="D17" s="18" t="s">
        <v>195</v>
      </c>
      <c r="E17" s="35">
        <f>MAX($D$4*$D$5*0.12%*$D$6,10*$D$5)</f>
        <v>43.735999999999997</v>
      </c>
      <c r="F17" s="51" t="s">
        <v>121</v>
      </c>
      <c r="G17" s="38">
        <v>0</v>
      </c>
      <c r="H17" s="104">
        <f t="shared" si="1"/>
        <v>43.735999999999997</v>
      </c>
      <c r="I17" s="17">
        <f t="shared" si="0"/>
        <v>0.15613752</v>
      </c>
      <c r="J17" s="17">
        <f t="shared" si="2"/>
        <v>43.892137519999999</v>
      </c>
      <c r="K17" s="103">
        <f t="shared" si="3"/>
        <v>0.19677843137254902</v>
      </c>
    </row>
    <row r="18" spans="1:11" ht="69" customHeight="1" thickBot="1">
      <c r="A18" s="7">
        <v>5</v>
      </c>
      <c r="B18" s="90" t="s">
        <v>74</v>
      </c>
      <c r="C18" s="32" t="s">
        <v>194</v>
      </c>
      <c r="D18" s="18" t="s">
        <v>102</v>
      </c>
      <c r="E18" s="36">
        <f>MAX($D$4*$D$5*0.29%*$D$6,5*$D$5)</f>
        <v>21.867999999999999</v>
      </c>
      <c r="F18" s="45" t="s">
        <v>120</v>
      </c>
      <c r="G18" s="35">
        <v>50</v>
      </c>
      <c r="H18" s="104">
        <f t="shared" si="1"/>
        <v>71.867999999999995</v>
      </c>
      <c r="I18" s="23">
        <f t="shared" si="0"/>
        <v>0.15613752</v>
      </c>
      <c r="J18" s="23">
        <f t="shared" si="2"/>
        <v>72.024137519999996</v>
      </c>
      <c r="K18" s="106">
        <f t="shared" si="3"/>
        <v>0.32290058317821368</v>
      </c>
    </row>
    <row r="19" spans="1:11" ht="101" customHeight="1" thickBot="1">
      <c r="A19" s="7">
        <v>6</v>
      </c>
      <c r="B19" s="90" t="s">
        <v>76</v>
      </c>
      <c r="C19" s="37" t="s">
        <v>95</v>
      </c>
      <c r="D19" s="26" t="s">
        <v>75</v>
      </c>
      <c r="E19" s="38">
        <f>MAX($D$4*$D$5*0.5%*$D$6,30*$D$5)</f>
        <v>131.208</v>
      </c>
      <c r="F19" s="42" t="s">
        <v>140</v>
      </c>
      <c r="G19" s="38">
        <f>MAX($D$4*$D$5*$D$6*0.04%*3,2.5*D5*3)+0.15%*D7</f>
        <v>33.1365804</v>
      </c>
      <c r="H19" s="104">
        <f t="shared" si="1"/>
        <v>164.34458039999998</v>
      </c>
      <c r="I19" s="16">
        <f t="shared" si="0"/>
        <v>0.15613752</v>
      </c>
      <c r="J19" s="16">
        <f t="shared" si="2"/>
        <v>164.50071791999997</v>
      </c>
      <c r="K19" s="101">
        <f t="shared" si="3"/>
        <v>0.73749411764705874</v>
      </c>
    </row>
    <row r="20" spans="1:11" ht="46" customHeight="1" thickBot="1">
      <c r="A20" s="7">
        <v>7</v>
      </c>
      <c r="B20" s="90" t="s">
        <v>50</v>
      </c>
      <c r="C20" s="39" t="s">
        <v>96</v>
      </c>
      <c r="D20" s="24" t="s">
        <v>77</v>
      </c>
      <c r="E20" s="36">
        <f>($D$4*$D$5*$D$6*0.039%+2*$D$5)</f>
        <v>8.8341909039999997</v>
      </c>
      <c r="F20" s="42" t="s">
        <v>122</v>
      </c>
      <c r="G20" s="46">
        <f>2.5*$D$5</f>
        <v>10.933999999999999</v>
      </c>
      <c r="H20" s="104">
        <f t="shared" si="1"/>
        <v>19.768190904000001</v>
      </c>
      <c r="I20" s="21">
        <f t="shared" si="0"/>
        <v>0.15613752</v>
      </c>
      <c r="J20" s="21">
        <f t="shared" si="2"/>
        <v>19.924328424000002</v>
      </c>
      <c r="K20" s="105">
        <f t="shared" si="3"/>
        <v>8.9325294117647072E-2</v>
      </c>
    </row>
    <row r="21" spans="1:11" ht="66.5" customHeight="1" thickBot="1">
      <c r="A21" s="7">
        <v>8</v>
      </c>
      <c r="B21" s="90" t="s">
        <v>50</v>
      </c>
      <c r="C21" s="40" t="s">
        <v>97</v>
      </c>
      <c r="D21" s="20" t="s">
        <v>100</v>
      </c>
      <c r="E21" s="33">
        <v>0</v>
      </c>
      <c r="F21" s="42" t="s">
        <v>104</v>
      </c>
      <c r="G21" s="46">
        <f>2.5*$D$5</f>
        <v>10.933999999999999</v>
      </c>
      <c r="H21" s="104">
        <f t="shared" si="1"/>
        <v>10.933999999999999</v>
      </c>
      <c r="I21" s="16">
        <f t="shared" si="0"/>
        <v>0.15613752</v>
      </c>
      <c r="J21" s="21">
        <f t="shared" si="2"/>
        <v>11.090137519999999</v>
      </c>
      <c r="K21" s="105">
        <f t="shared" si="3"/>
        <v>4.9719607843137253E-2</v>
      </c>
    </row>
    <row r="22" spans="1:11" ht="37" thickBot="1">
      <c r="A22" s="7">
        <v>9</v>
      </c>
      <c r="B22" s="90" t="s">
        <v>118</v>
      </c>
      <c r="C22" s="37" t="s">
        <v>64</v>
      </c>
      <c r="D22" s="25" t="s">
        <v>125</v>
      </c>
      <c r="E22" s="35">
        <f>MIN(MAX($D$4*$D$5*0.12%*$D$6,6*$D$5),99*D5)</f>
        <v>26.241599999999998</v>
      </c>
      <c r="F22" s="42" t="s">
        <v>123</v>
      </c>
      <c r="G22" s="47">
        <f>IF($D$7&lt;2000*$D$8,12*$D$8,0)</f>
        <v>48</v>
      </c>
      <c r="H22" s="107">
        <f t="shared" si="1"/>
        <v>74.241600000000005</v>
      </c>
      <c r="I22" s="21">
        <f t="shared" si="0"/>
        <v>0.15613752</v>
      </c>
      <c r="J22" s="16">
        <f t="shared" si="2"/>
        <v>74.397737520000007</v>
      </c>
      <c r="K22" s="108">
        <f t="shared" si="3"/>
        <v>0.33354197161579108</v>
      </c>
    </row>
    <row r="23" spans="1:11" ht="66" thickBot="1">
      <c r="A23" s="7">
        <v>10</v>
      </c>
      <c r="B23" s="91" t="s">
        <v>92</v>
      </c>
      <c r="C23" s="39" t="s">
        <v>98</v>
      </c>
      <c r="D23" s="25" t="s">
        <v>182</v>
      </c>
      <c r="E23" s="38">
        <f>IF(D4*D5*D6&lt;1000*D5,1.2%*D4*D5*D6,0)</f>
        <v>2.6766431999999996</v>
      </c>
      <c r="F23" s="41" t="s">
        <v>78</v>
      </c>
      <c r="G23" s="38">
        <f>D4*D5*D6*1.2%</f>
        <v>2.6766432</v>
      </c>
      <c r="H23" s="102">
        <f t="shared" si="1"/>
        <v>5.3532864</v>
      </c>
      <c r="I23" s="22">
        <f>$D$4*$D$5*$D$6*0.2%</f>
        <v>0.44610719999999998</v>
      </c>
      <c r="J23" s="16">
        <f t="shared" si="2"/>
        <v>5.7993936000000001</v>
      </c>
      <c r="K23" s="108">
        <f t="shared" si="3"/>
        <v>2.6000000000000002E-2</v>
      </c>
    </row>
    <row r="24" spans="1:11" ht="66" thickBot="1">
      <c r="A24" s="7">
        <v>11</v>
      </c>
      <c r="B24" s="91" t="s">
        <v>92</v>
      </c>
      <c r="C24" s="39" t="s">
        <v>99</v>
      </c>
      <c r="D24" s="25" t="s">
        <v>188</v>
      </c>
      <c r="E24" s="38">
        <f>MAX($D$4*$D$5*0.5%*$D$6,50*$D$5)</f>
        <v>218.67999999999998</v>
      </c>
      <c r="F24" s="41" t="s">
        <v>80</v>
      </c>
      <c r="G24" s="38">
        <f>D5*D6*D4*0.6%</f>
        <v>1.3383216</v>
      </c>
      <c r="H24" s="102">
        <f t="shared" si="1"/>
        <v>220.01832159999998</v>
      </c>
      <c r="I24" s="22">
        <f>$D$4*$D$5*$D$6*0.2%</f>
        <v>0.44610719999999998</v>
      </c>
      <c r="J24" s="16">
        <f t="shared" si="2"/>
        <v>220.46442879999998</v>
      </c>
      <c r="K24" s="108">
        <f t="shared" si="3"/>
        <v>0.98839215686274506</v>
      </c>
    </row>
    <row r="25" spans="1:11" ht="70.5" customHeight="1" thickBot="1">
      <c r="A25" s="7">
        <v>12</v>
      </c>
      <c r="B25" s="91" t="s">
        <v>158</v>
      </c>
      <c r="C25" s="77" t="s">
        <v>155</v>
      </c>
      <c r="D25" s="25" t="s">
        <v>181</v>
      </c>
      <c r="E25" s="38" t="s">
        <v>156</v>
      </c>
      <c r="F25" s="78">
        <v>4.7999999999999996E-3</v>
      </c>
      <c r="G25" s="123" t="s">
        <v>157</v>
      </c>
      <c r="H25" s="102"/>
      <c r="I25" s="22"/>
      <c r="J25" s="16"/>
      <c r="K25" s="108"/>
    </row>
    <row r="26" spans="1:11" ht="98.5" customHeight="1" thickBot="1">
      <c r="A26" s="7">
        <v>13</v>
      </c>
      <c r="B26" s="92" t="s">
        <v>177</v>
      </c>
      <c r="C26" s="93" t="s">
        <v>174</v>
      </c>
      <c r="D26" s="94" t="s">
        <v>175</v>
      </c>
      <c r="E26" s="48">
        <f>MAX($D$7*0.1%,4*D5)</f>
        <v>17.494399999999999</v>
      </c>
      <c r="F26" s="95" t="s">
        <v>176</v>
      </c>
      <c r="G26" s="113">
        <f>9*20*D8</f>
        <v>720</v>
      </c>
      <c r="H26" s="109">
        <f t="shared" ref="H26" si="4">E26+G26</f>
        <v>737.49440000000004</v>
      </c>
      <c r="I26" s="110">
        <f t="shared" ref="I26" si="5">$D$4*$D$5*$D$6*0.2%</f>
        <v>0.44610719999999998</v>
      </c>
      <c r="J26" s="111">
        <f t="shared" ref="J26" si="6">H26+I26</f>
        <v>737.94050720000007</v>
      </c>
      <c r="K26" s="112">
        <f t="shared" ref="K26" si="7">J26/$D$7</f>
        <v>3.308355064432944</v>
      </c>
    </row>
    <row r="27" spans="1:11">
      <c r="B27" s="85"/>
    </row>
    <row r="28" spans="1:11">
      <c r="B28" s="85"/>
    </row>
  </sheetData>
  <mergeCells count="2">
    <mergeCell ref="C12:E12"/>
    <mergeCell ref="F12:G12"/>
  </mergeCells>
  <conditionalFormatting sqref="J14:J20">
    <cfRule type="top10" dxfId="129" priority="21" rank="3"/>
    <cfRule type="top10" dxfId="128" priority="22" bottom="1" rank="3"/>
    <cfRule type="top10" dxfId="127" priority="23" rank="5"/>
  </conditionalFormatting>
  <conditionalFormatting sqref="J22">
    <cfRule type="top10" dxfId="126" priority="18" rank="3"/>
    <cfRule type="top10" dxfId="125" priority="19" bottom="1" rank="3"/>
    <cfRule type="top10" dxfId="124" priority="20" rank="5"/>
  </conditionalFormatting>
  <conditionalFormatting sqref="J23">
    <cfRule type="top10" dxfId="123" priority="15" rank="3"/>
    <cfRule type="top10" dxfId="122" priority="16" bottom="1" rank="3"/>
    <cfRule type="top10" dxfId="121" priority="17" rank="5"/>
  </conditionalFormatting>
  <conditionalFormatting sqref="J21">
    <cfRule type="top10" dxfId="120" priority="12" rank="3"/>
    <cfRule type="top10" dxfId="119" priority="13" bottom="1" rank="3"/>
    <cfRule type="top10" dxfId="118" priority="14" rank="5"/>
  </conditionalFormatting>
  <conditionalFormatting sqref="J24:J26">
    <cfRule type="top10" dxfId="117" priority="9" rank="3"/>
    <cfRule type="top10" dxfId="116" priority="10" bottom="1" rank="3"/>
    <cfRule type="top10" dxfId="115" priority="11" rank="5"/>
  </conditionalFormatting>
  <conditionalFormatting sqref="J14:J26">
    <cfRule type="top10" dxfId="114" priority="1" bottom="1" rank="5"/>
    <cfRule type="top10" dxfId="113" priority="2" percent="1" rank="5"/>
  </conditionalFormatting>
  <hyperlinks>
    <hyperlink ref="B14" r:id="rId1" display="../../../../Downloads/Tabela op_at i prowizji maklerskich Domu Maklerskiego Banku Ochrony _rodowiska S.A. - rynek zagraniczny (4).pdf" xr:uid="{00000000-0004-0000-0100-000000000000}"/>
    <hyperlink ref="B15" r:id="rId2" xr:uid="{00000000-0004-0000-0100-000001000000}"/>
    <hyperlink ref="B16" r:id="rId3" location="/szczegoly-oferty/" display="https://www.bm.pkobp.pl/oferta/klient-indywidualny/rynki-zagraniczne/ - /szczegoly-oferty/" xr:uid="{00000000-0004-0000-0100-000002000000}"/>
    <hyperlink ref="B17" r:id="rId4" display="https://xtb.scdn5.secure.raxcdn.com/file/0043/33/Tabela op%C5%82at i prowizji_11062019_e30ada4dde.pdf" xr:uid="{00000000-0004-0000-0100-000003000000}"/>
    <hyperlink ref="B18" r:id="rId5" xr:uid="{00000000-0004-0000-0100-000004000000}"/>
    <hyperlink ref="B19" r:id="rId6" xr:uid="{00000000-0004-0000-0100-000005000000}"/>
    <hyperlink ref="B23" r:id="rId7" location="inbox/FMfcgxwDrldjpsjxPNnFLzPNBLRgVgCR?projector=1&amp;messagePartId=0.3" display="https://mail.google.com/mail/u/0/ - inbox/FMfcgxwDrldjpsjxPNnFLzPNBLRgVgCR?projector=1&amp;messagePartId=0.3" xr:uid="{00000000-0004-0000-0100-000006000000}"/>
    <hyperlink ref="B20" r:id="rId8" xr:uid="{00000000-0004-0000-0100-000007000000}"/>
    <hyperlink ref="B21" r:id="rId9" xr:uid="{00000000-0004-0000-0100-000008000000}"/>
    <hyperlink ref="B24" r:id="rId10" location="inbox/FMfcgxwDrldjpsjxPNnFLzPNBLRgVgCR?projector=1&amp;messagePartId=0.3" display="https://mail.google.com/mail/u/0/ - inbox/FMfcgxwDrldjpsjxPNnFLzPNBLRgVgCR?projector=1&amp;messagePartId=0.3" xr:uid="{00000000-0004-0000-0100-000009000000}"/>
    <hyperlink ref="B22" r:id="rId11" xr:uid="{00000000-0004-0000-0100-00000A000000}"/>
    <hyperlink ref="B25" r:id="rId12" xr:uid="{00000000-0004-0000-0100-00000B000000}"/>
    <hyperlink ref="B26" r:id="rId13" xr:uid="{00000000-0004-0000-0100-00000C000000}"/>
  </hyperlinks>
  <pageMargins left="0.7" right="0.7" top="0.75" bottom="0.75" header="0.3" footer="0.3"/>
  <pageSetup paperSize="9" orientation="portrait" verticalDpi="300" r:id="rId14"/>
  <drawing r:id="rId15"/>
  <legacyDrawing r:id="rId1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
  <sheetViews>
    <sheetView showGridLines="0" topLeftCell="A13" zoomScaleNormal="100" workbookViewId="0">
      <selection activeCell="C18" sqref="C18"/>
    </sheetView>
  </sheetViews>
  <sheetFormatPr defaultColWidth="8.81640625" defaultRowHeight="14.5"/>
  <cols>
    <col min="1" max="1" width="8.81640625" style="7"/>
    <col min="2" max="2" width="7.453125" style="7" customWidth="1"/>
    <col min="3" max="3" width="24.453125" style="2" customWidth="1"/>
    <col min="4" max="4" width="42.81640625" style="7" customWidth="1"/>
    <col min="5" max="5" width="21.1796875" style="6" customWidth="1"/>
    <col min="6" max="6" width="50.453125" style="7" customWidth="1"/>
    <col min="7" max="7" width="30.453125" style="7" customWidth="1"/>
    <col min="8" max="8" width="19.453125" style="7" customWidth="1"/>
    <col min="9" max="10" width="19.36328125" style="7" customWidth="1"/>
    <col min="11" max="11" width="19.36328125" style="49" customWidth="1"/>
    <col min="12" max="16384" width="8.81640625" style="7"/>
  </cols>
  <sheetData>
    <row r="1" spans="1:11">
      <c r="C1" s="27" t="s">
        <v>67</v>
      </c>
      <c r="D1" s="27" t="s">
        <v>20</v>
      </c>
      <c r="E1" s="10"/>
      <c r="F1" s="7" t="s">
        <v>131</v>
      </c>
    </row>
    <row r="2" spans="1:11">
      <c r="C2" s="27" t="s">
        <v>68</v>
      </c>
      <c r="D2" s="27" t="s">
        <v>69</v>
      </c>
      <c r="E2" s="10"/>
    </row>
    <row r="3" spans="1:11">
      <c r="C3" s="10"/>
      <c r="D3" s="10"/>
      <c r="E3" s="10"/>
    </row>
    <row r="4" spans="1:11">
      <c r="C4" s="9" t="s">
        <v>70</v>
      </c>
      <c r="D4" s="9">
        <v>51</v>
      </c>
      <c r="E4" s="10" t="s">
        <v>71</v>
      </c>
      <c r="F4" s="7" t="s">
        <v>127</v>
      </c>
    </row>
    <row r="5" spans="1:11">
      <c r="C5" s="9" t="s">
        <v>109</v>
      </c>
      <c r="D5" s="11">
        <v>4.3735999999999997</v>
      </c>
      <c r="E5" s="10" t="s">
        <v>86</v>
      </c>
    </row>
    <row r="6" spans="1:11">
      <c r="C6" s="9" t="s">
        <v>73</v>
      </c>
      <c r="D6" s="9">
        <v>5</v>
      </c>
      <c r="E6" s="10" t="s">
        <v>85</v>
      </c>
    </row>
    <row r="7" spans="1:11" ht="18.5">
      <c r="C7" s="28" t="s">
        <v>87</v>
      </c>
      <c r="D7" s="28">
        <f>D4*D5*D6</f>
        <v>1115.268</v>
      </c>
      <c r="E7" s="29" t="s">
        <v>86</v>
      </c>
    </row>
    <row r="8" spans="1:11">
      <c r="C8" s="9" t="s">
        <v>110</v>
      </c>
      <c r="D8" s="11">
        <v>4</v>
      </c>
      <c r="E8" s="10" t="s">
        <v>103</v>
      </c>
      <c r="F8" s="31"/>
      <c r="G8" s="31"/>
      <c r="H8" s="31"/>
      <c r="I8" s="31"/>
      <c r="J8" s="31"/>
      <c r="K8" s="50"/>
    </row>
    <row r="9" spans="1:11">
      <c r="C9" s="9" t="s">
        <v>111</v>
      </c>
      <c r="D9" s="30">
        <v>6.9999999999999999E-4</v>
      </c>
      <c r="E9" s="10" t="s">
        <v>112</v>
      </c>
      <c r="F9" s="31"/>
      <c r="G9" s="31"/>
      <c r="H9" s="31"/>
      <c r="I9" s="31"/>
      <c r="J9" s="31"/>
      <c r="K9" s="50"/>
    </row>
    <row r="10" spans="1:11">
      <c r="C10" s="4"/>
      <c r="D10" s="12"/>
      <c r="E10" s="13"/>
      <c r="F10" s="31"/>
      <c r="G10" s="31"/>
      <c r="H10" s="31"/>
      <c r="I10" s="31"/>
      <c r="J10" s="31"/>
      <c r="K10" s="50"/>
    </row>
    <row r="11" spans="1:11" ht="15" thickBot="1">
      <c r="C11" s="4"/>
      <c r="D11" s="12"/>
      <c r="E11" s="13"/>
      <c r="F11" s="31"/>
      <c r="G11" s="31"/>
      <c r="H11" s="31"/>
      <c r="I11" s="31"/>
      <c r="J11" s="31"/>
      <c r="K11" s="50"/>
    </row>
    <row r="12" spans="1:11" ht="15" thickBot="1">
      <c r="C12" s="165" t="s">
        <v>113</v>
      </c>
      <c r="D12" s="166"/>
      <c r="E12" s="167"/>
      <c r="F12" s="168" t="s">
        <v>114</v>
      </c>
      <c r="G12" s="169"/>
      <c r="H12" s="31"/>
      <c r="I12" s="31"/>
      <c r="J12" s="31"/>
      <c r="K12" s="50"/>
    </row>
    <row r="13" spans="1:11" s="5" customFormat="1" ht="73.5" customHeight="1" thickBot="1">
      <c r="B13" s="86" t="s">
        <v>89</v>
      </c>
      <c r="C13" s="87" t="s">
        <v>84</v>
      </c>
      <c r="D13" s="88" t="s">
        <v>81</v>
      </c>
      <c r="E13" s="89" t="s">
        <v>82</v>
      </c>
      <c r="F13" s="83" t="s">
        <v>88</v>
      </c>
      <c r="G13" s="84" t="s">
        <v>107</v>
      </c>
      <c r="H13" s="97" t="s">
        <v>83</v>
      </c>
      <c r="I13" s="98" t="s">
        <v>115</v>
      </c>
      <c r="J13" s="98" t="s">
        <v>116</v>
      </c>
      <c r="K13" s="99" t="s">
        <v>117</v>
      </c>
    </row>
    <row r="14" spans="1:11" ht="55.5" customHeight="1" thickBot="1">
      <c r="A14" s="7">
        <v>1</v>
      </c>
      <c r="B14" s="90" t="s">
        <v>72</v>
      </c>
      <c r="C14" s="32" t="s">
        <v>105</v>
      </c>
      <c r="D14" s="15" t="s">
        <v>90</v>
      </c>
      <c r="E14" s="33">
        <f>MAX($D$4*$D$5*0.29%*$D$6,9*$D$5)</f>
        <v>39.362399999999994</v>
      </c>
      <c r="F14" s="41" t="s">
        <v>108</v>
      </c>
      <c r="G14" s="33">
        <v>0</v>
      </c>
      <c r="H14" s="100">
        <f>E14+G14</f>
        <v>39.362399999999994</v>
      </c>
      <c r="I14" s="16">
        <f t="shared" ref="I14:I22" si="0">$D$4*$D$5*$D$6*0.07%</f>
        <v>0.78068760000000015</v>
      </c>
      <c r="J14" s="16">
        <f>H14+I14</f>
        <v>40.143087599999994</v>
      </c>
      <c r="K14" s="101">
        <f>J14/$D$7</f>
        <v>3.5994117647058815E-2</v>
      </c>
    </row>
    <row r="15" spans="1:11" ht="97" thickBot="1">
      <c r="A15" s="7">
        <v>2</v>
      </c>
      <c r="B15" s="90" t="s">
        <v>21</v>
      </c>
      <c r="C15" s="34" t="s">
        <v>2</v>
      </c>
      <c r="D15" s="14" t="s">
        <v>91</v>
      </c>
      <c r="E15" s="35">
        <f>MAX($D$4*$D$5*0.39%*$D$6,12*$D$5)</f>
        <v>52.483199999999997</v>
      </c>
      <c r="F15" s="42" t="s">
        <v>106</v>
      </c>
      <c r="G15" s="43">
        <f>$D$4*$D$5*$D$6*0.02%*12+6*11</f>
        <v>68.676643200000001</v>
      </c>
      <c r="H15" s="102">
        <f t="shared" ref="H15:H26" si="1">E15+G15</f>
        <v>121.1598432</v>
      </c>
      <c r="I15" s="17">
        <f t="shared" si="0"/>
        <v>0.78068760000000015</v>
      </c>
      <c r="J15" s="17">
        <f t="shared" ref="J15:J26" si="2">H15+I15</f>
        <v>121.94053079999999</v>
      </c>
      <c r="K15" s="103">
        <f t="shared" ref="K15:K26" si="3">J15/$D$7</f>
        <v>0.10933742454728369</v>
      </c>
    </row>
    <row r="16" spans="1:11" ht="98" customHeight="1" thickBot="1">
      <c r="A16" s="7">
        <v>3</v>
      </c>
      <c r="B16" s="90" t="s">
        <v>39</v>
      </c>
      <c r="C16" s="32" t="s">
        <v>3</v>
      </c>
      <c r="D16" s="19" t="s">
        <v>101</v>
      </c>
      <c r="E16" s="35">
        <f>MAX($D$4*$D$5*0.29%*$D$6,9*$D$5)</f>
        <v>39.362399999999994</v>
      </c>
      <c r="F16" s="44" t="s">
        <v>119</v>
      </c>
      <c r="G16" s="35">
        <f>$D$4*$D$5*$D$6*0.15%+60</f>
        <v>61.672902000000001</v>
      </c>
      <c r="H16" s="104">
        <f t="shared" si="1"/>
        <v>101.035302</v>
      </c>
      <c r="I16" s="21">
        <f t="shared" si="0"/>
        <v>0.78068760000000015</v>
      </c>
      <c r="J16" s="21">
        <f t="shared" si="2"/>
        <v>101.81598959999999</v>
      </c>
      <c r="K16" s="105">
        <f t="shared" si="3"/>
        <v>9.1292845845124218E-2</v>
      </c>
    </row>
    <row r="17" spans="1:12" ht="55.5" customHeight="1" thickBot="1">
      <c r="A17" s="7">
        <v>4</v>
      </c>
      <c r="B17" s="90" t="s">
        <v>49</v>
      </c>
      <c r="C17" s="32" t="s">
        <v>93</v>
      </c>
      <c r="D17" s="18" t="s">
        <v>196</v>
      </c>
      <c r="E17" s="35">
        <f>MAX($D$4*$D$5*0.12%*$D$6,10*$D$5)</f>
        <v>43.735999999999997</v>
      </c>
      <c r="F17" s="51" t="s">
        <v>121</v>
      </c>
      <c r="G17" s="38">
        <v>0</v>
      </c>
      <c r="H17" s="104">
        <f t="shared" si="1"/>
        <v>43.735999999999997</v>
      </c>
      <c r="I17" s="17">
        <f t="shared" si="0"/>
        <v>0.78068760000000015</v>
      </c>
      <c r="J17" s="17">
        <f t="shared" si="2"/>
        <v>44.516687599999997</v>
      </c>
      <c r="K17" s="103">
        <f t="shared" si="3"/>
        <v>3.9915686274509803E-2</v>
      </c>
    </row>
    <row r="18" spans="1:12" ht="55.5" customHeight="1" thickBot="1">
      <c r="A18" s="7">
        <v>5</v>
      </c>
      <c r="B18" s="90" t="s">
        <v>74</v>
      </c>
      <c r="C18" s="32" t="s">
        <v>194</v>
      </c>
      <c r="D18" s="18" t="s">
        <v>102</v>
      </c>
      <c r="E18" s="36">
        <f>MAX($D$4*$D$5*0.29%*$D$6,5*$D$5)</f>
        <v>21.867999999999999</v>
      </c>
      <c r="F18" s="45" t="s">
        <v>120</v>
      </c>
      <c r="G18" s="35">
        <v>50</v>
      </c>
      <c r="H18" s="104">
        <f t="shared" si="1"/>
        <v>71.867999999999995</v>
      </c>
      <c r="I18" s="23">
        <f t="shared" si="0"/>
        <v>0.78068760000000015</v>
      </c>
      <c r="J18" s="23">
        <f t="shared" si="2"/>
        <v>72.648687599999988</v>
      </c>
      <c r="K18" s="106">
        <f t="shared" si="3"/>
        <v>6.5140116635642717E-2</v>
      </c>
    </row>
    <row r="19" spans="1:12" ht="101" customHeight="1" thickBot="1">
      <c r="A19" s="7">
        <v>6</v>
      </c>
      <c r="B19" s="90" t="s">
        <v>76</v>
      </c>
      <c r="C19" s="37" t="s">
        <v>95</v>
      </c>
      <c r="D19" s="26" t="s">
        <v>75</v>
      </c>
      <c r="E19" s="38">
        <f>MAX($D$4*$D$5*0.5%*$D$6,30*$D$5)</f>
        <v>131.208</v>
      </c>
      <c r="F19" s="42" t="s">
        <v>140</v>
      </c>
      <c r="G19" s="38">
        <f>MAX($D$4*$D$5*$D$6*0.04%*3,2.5*D5*3)+0.15%*D7</f>
        <v>34.474902</v>
      </c>
      <c r="H19" s="104">
        <f t="shared" si="1"/>
        <v>165.68290200000001</v>
      </c>
      <c r="I19" s="16">
        <f t="shared" si="0"/>
        <v>0.78068760000000015</v>
      </c>
      <c r="J19" s="16">
        <f t="shared" si="2"/>
        <v>166.46358960000001</v>
      </c>
      <c r="K19" s="101">
        <f t="shared" si="3"/>
        <v>0.14925882352941178</v>
      </c>
    </row>
    <row r="20" spans="1:12" ht="39.5" customHeight="1" thickBot="1">
      <c r="A20" s="7">
        <v>7</v>
      </c>
      <c r="B20" s="90" t="s">
        <v>50</v>
      </c>
      <c r="C20" s="39" t="s">
        <v>96</v>
      </c>
      <c r="D20" s="24" t="s">
        <v>77</v>
      </c>
      <c r="E20" s="36">
        <f>($D$4*$D$5*$D$6*0.039%+2*$D$5)</f>
        <v>9.1821545199999992</v>
      </c>
      <c r="F20" s="42" t="s">
        <v>122</v>
      </c>
      <c r="G20" s="46">
        <f>2.5*$D$5</f>
        <v>10.933999999999999</v>
      </c>
      <c r="H20" s="104">
        <f t="shared" si="1"/>
        <v>20.116154519999998</v>
      </c>
      <c r="I20" s="21">
        <f t="shared" si="0"/>
        <v>0.78068760000000015</v>
      </c>
      <c r="J20" s="21">
        <f t="shared" si="2"/>
        <v>20.896842119999999</v>
      </c>
      <c r="K20" s="105">
        <f t="shared" si="3"/>
        <v>1.8737058823529409E-2</v>
      </c>
    </row>
    <row r="21" spans="1:12" ht="66.5" customHeight="1" thickBot="1">
      <c r="A21" s="7">
        <v>8</v>
      </c>
      <c r="B21" s="90" t="s">
        <v>50</v>
      </c>
      <c r="C21" s="40" t="s">
        <v>97</v>
      </c>
      <c r="D21" s="20" t="s">
        <v>100</v>
      </c>
      <c r="E21" s="33">
        <v>0</v>
      </c>
      <c r="F21" s="42" t="s">
        <v>104</v>
      </c>
      <c r="G21" s="46">
        <f>2.5*$D$5</f>
        <v>10.933999999999999</v>
      </c>
      <c r="H21" s="104">
        <f t="shared" si="1"/>
        <v>10.933999999999999</v>
      </c>
      <c r="I21" s="16">
        <f t="shared" si="0"/>
        <v>0.78068760000000015</v>
      </c>
      <c r="J21" s="21">
        <f t="shared" si="2"/>
        <v>11.7146876</v>
      </c>
      <c r="K21" s="105">
        <f t="shared" si="3"/>
        <v>1.050392156862745E-2</v>
      </c>
    </row>
    <row r="22" spans="1:12" ht="37" thickBot="1">
      <c r="A22" s="7">
        <v>9</v>
      </c>
      <c r="B22" s="90" t="s">
        <v>118</v>
      </c>
      <c r="C22" s="37" t="s">
        <v>64</v>
      </c>
      <c r="D22" s="25" t="s">
        <v>125</v>
      </c>
      <c r="E22" s="35">
        <f>MIN(MAX($D$4*$D$5*0.12%*$D$6,6*$D$5),99*D5)</f>
        <v>26.241599999999998</v>
      </c>
      <c r="F22" s="42" t="s">
        <v>123</v>
      </c>
      <c r="G22" s="47">
        <f>IF($D$7&lt;2000*$D$8,12*$D$8,0)</f>
        <v>48</v>
      </c>
      <c r="H22" s="107">
        <f t="shared" si="1"/>
        <v>74.241600000000005</v>
      </c>
      <c r="I22" s="21">
        <f t="shared" si="0"/>
        <v>0.78068760000000015</v>
      </c>
      <c r="J22" s="16">
        <f t="shared" si="2"/>
        <v>75.022287599999999</v>
      </c>
      <c r="K22" s="108">
        <f t="shared" si="3"/>
        <v>6.7268394323158204E-2</v>
      </c>
    </row>
    <row r="23" spans="1:12" ht="66" thickBot="1">
      <c r="A23" s="7">
        <v>10</v>
      </c>
      <c r="B23" s="91" t="s">
        <v>92</v>
      </c>
      <c r="C23" s="39" t="s">
        <v>98</v>
      </c>
      <c r="D23" s="25" t="s">
        <v>182</v>
      </c>
      <c r="E23" s="38">
        <f>IF(D4*D5*D6&lt;1000*D5,1.2%*D4*D5*D6,0)</f>
        <v>13.383215999999997</v>
      </c>
      <c r="F23" s="41" t="s">
        <v>78</v>
      </c>
      <c r="G23" s="38">
        <f>D4*D5*D6*1.2%</f>
        <v>13.383216000000001</v>
      </c>
      <c r="H23" s="102">
        <f t="shared" si="1"/>
        <v>26.766431999999998</v>
      </c>
      <c r="I23" s="22">
        <f>$D$4*$D$5*$D$6*0.2%</f>
        <v>2.2305360000000003</v>
      </c>
      <c r="J23" s="16">
        <f t="shared" si="2"/>
        <v>28.996967999999999</v>
      </c>
      <c r="K23" s="108">
        <f t="shared" si="3"/>
        <v>2.5999999999999999E-2</v>
      </c>
    </row>
    <row r="24" spans="1:12" ht="66" thickBot="1">
      <c r="A24" s="7">
        <v>11</v>
      </c>
      <c r="B24" s="91" t="s">
        <v>92</v>
      </c>
      <c r="C24" s="39" t="s">
        <v>99</v>
      </c>
      <c r="D24" s="25" t="s">
        <v>79</v>
      </c>
      <c r="E24" s="38">
        <f>MAX($D$4*$D$5*0.5%*$D$6,50*$D$5)</f>
        <v>218.67999999999998</v>
      </c>
      <c r="F24" s="41" t="s">
        <v>80</v>
      </c>
      <c r="G24" s="38">
        <f>D5*D6*D4*0.6%</f>
        <v>6.6916080000000004</v>
      </c>
      <c r="H24" s="102">
        <f t="shared" si="1"/>
        <v>225.37160799999998</v>
      </c>
      <c r="I24" s="22">
        <f>$D$4*$D$5*$D$6*0.2%</f>
        <v>2.2305360000000003</v>
      </c>
      <c r="J24" s="16">
        <f t="shared" si="2"/>
        <v>227.60214399999998</v>
      </c>
      <c r="K24" s="108">
        <f t="shared" si="3"/>
        <v>0.204078431372549</v>
      </c>
    </row>
    <row r="25" spans="1:12" ht="49" thickBot="1">
      <c r="A25" s="7">
        <v>12</v>
      </c>
      <c r="B25" s="91" t="s">
        <v>158</v>
      </c>
      <c r="C25" s="77" t="s">
        <v>179</v>
      </c>
      <c r="D25" s="25" t="s">
        <v>159</v>
      </c>
      <c r="E25" s="38">
        <v>0</v>
      </c>
      <c r="F25" s="78">
        <v>4.7999999999999996E-3</v>
      </c>
      <c r="G25" s="38">
        <f>D7*0.48%</f>
        <v>5.3532864</v>
      </c>
      <c r="H25" s="102">
        <f t="shared" si="1"/>
        <v>5.3532864</v>
      </c>
      <c r="I25" s="22">
        <f>$D$4*$D$5*$D$6*0.07%</f>
        <v>0.78068760000000015</v>
      </c>
      <c r="J25" s="16">
        <f t="shared" si="2"/>
        <v>6.1339740000000003</v>
      </c>
      <c r="K25" s="108">
        <f t="shared" si="3"/>
        <v>5.4999999999999997E-3</v>
      </c>
    </row>
    <row r="26" spans="1:12" s="12" customFormat="1" ht="97" thickBot="1">
      <c r="A26" s="7">
        <v>12</v>
      </c>
      <c r="B26" s="92" t="s">
        <v>177</v>
      </c>
      <c r="C26" s="93" t="s">
        <v>178</v>
      </c>
      <c r="D26" s="94" t="s">
        <v>175</v>
      </c>
      <c r="E26" s="48">
        <f>MAX($D$7*0.1%,4*D5)</f>
        <v>17.494399999999999</v>
      </c>
      <c r="F26" s="95" t="s">
        <v>176</v>
      </c>
      <c r="G26" s="113">
        <f>9*20*D8</f>
        <v>720</v>
      </c>
      <c r="H26" s="109">
        <f t="shared" si="1"/>
        <v>737.49440000000004</v>
      </c>
      <c r="I26" s="110">
        <f>$D$4*$D$5*$D$6*0.07%</f>
        <v>0.78068760000000015</v>
      </c>
      <c r="J26" s="111">
        <f t="shared" si="2"/>
        <v>738.27508760000001</v>
      </c>
      <c r="K26" s="112">
        <f t="shared" si="3"/>
        <v>0.66197101288658866</v>
      </c>
      <c r="L26" s="7"/>
    </row>
  </sheetData>
  <mergeCells count="2">
    <mergeCell ref="C12:E12"/>
    <mergeCell ref="F12:G12"/>
  </mergeCells>
  <conditionalFormatting sqref="J14:J20">
    <cfRule type="top10" dxfId="112" priority="15" rank="3"/>
    <cfRule type="top10" dxfId="111" priority="16" bottom="1" rank="3"/>
    <cfRule type="top10" dxfId="110" priority="17" rank="5"/>
  </conditionalFormatting>
  <conditionalFormatting sqref="J22">
    <cfRule type="top10" dxfId="109" priority="12" rank="3"/>
    <cfRule type="top10" dxfId="108" priority="13" bottom="1" rank="3"/>
    <cfRule type="top10" dxfId="107" priority="14" rank="5"/>
  </conditionalFormatting>
  <conditionalFormatting sqref="J23">
    <cfRule type="top10" dxfId="106" priority="9" rank="3"/>
    <cfRule type="top10" dxfId="105" priority="10" bottom="1" rank="3"/>
    <cfRule type="top10" dxfId="104" priority="11" rank="5"/>
  </conditionalFormatting>
  <conditionalFormatting sqref="J21">
    <cfRule type="top10" dxfId="103" priority="6" rank="3"/>
    <cfRule type="top10" dxfId="102" priority="7" bottom="1" rank="3"/>
    <cfRule type="top10" dxfId="101" priority="8" rank="5"/>
  </conditionalFormatting>
  <conditionalFormatting sqref="J24:J26">
    <cfRule type="top10" dxfId="100" priority="3" rank="3"/>
    <cfRule type="top10" dxfId="99" priority="4" bottom="1" rank="3"/>
    <cfRule type="top10" dxfId="98" priority="5" rank="5"/>
  </conditionalFormatting>
  <conditionalFormatting sqref="J14:J26">
    <cfRule type="top10" dxfId="97" priority="1" bottom="1" rank="5"/>
    <cfRule type="top10" dxfId="96" priority="2" percent="1" rank="5"/>
  </conditionalFormatting>
  <hyperlinks>
    <hyperlink ref="B14" r:id="rId1" display="../../../../Downloads/Tabela op_at i prowizji maklerskich Domu Maklerskiego Banku Ochrony _rodowiska S.A. - rynek zagraniczny (4).pdf" xr:uid="{00000000-0004-0000-0200-000000000000}"/>
    <hyperlink ref="B15" r:id="rId2" xr:uid="{00000000-0004-0000-0200-000001000000}"/>
    <hyperlink ref="B16" r:id="rId3" location="/szczegoly-oferty/" display="https://www.bm.pkobp.pl/oferta/klient-indywidualny/rynki-zagraniczne/ - /szczegoly-oferty/" xr:uid="{00000000-0004-0000-0200-000002000000}"/>
    <hyperlink ref="B17" r:id="rId4" display="https://xtb.scdn5.secure.raxcdn.com/file/0043/33/Tabela op%C5%82at i prowizji_11062019_e30ada4dde.pdf" xr:uid="{00000000-0004-0000-0200-000003000000}"/>
    <hyperlink ref="B18" r:id="rId5" xr:uid="{00000000-0004-0000-0200-000004000000}"/>
    <hyperlink ref="B19" r:id="rId6" xr:uid="{00000000-0004-0000-0200-000005000000}"/>
    <hyperlink ref="B23" r:id="rId7" location="inbox/FMfcgxwDrldjpsjxPNnFLzPNBLRgVgCR?projector=1&amp;messagePartId=0.3" display="https://mail.google.com/mail/u/0/ - inbox/FMfcgxwDrldjpsjxPNnFLzPNBLRgVgCR?projector=1&amp;messagePartId=0.3" xr:uid="{00000000-0004-0000-0200-000006000000}"/>
    <hyperlink ref="B20" r:id="rId8" xr:uid="{00000000-0004-0000-0200-000007000000}"/>
    <hyperlink ref="B21" r:id="rId9" xr:uid="{00000000-0004-0000-0200-000008000000}"/>
    <hyperlink ref="B24" r:id="rId10" location="inbox/FMfcgxwDrldjpsjxPNnFLzPNBLRgVgCR?projector=1&amp;messagePartId=0.3" display="https://mail.google.com/mail/u/0/ - inbox/FMfcgxwDrldjpsjxPNnFLzPNBLRgVgCR?projector=1&amp;messagePartId=0.3" xr:uid="{00000000-0004-0000-0200-000009000000}"/>
    <hyperlink ref="B22" r:id="rId11" xr:uid="{00000000-0004-0000-0200-00000A000000}"/>
    <hyperlink ref="B25" r:id="rId12" xr:uid="{00000000-0004-0000-0200-00000B000000}"/>
    <hyperlink ref="B26" r:id="rId13" xr:uid="{00000000-0004-0000-0200-00000C000000}"/>
  </hyperlinks>
  <pageMargins left="0.7" right="0.7" top="0.75" bottom="0.75" header="0.3" footer="0.3"/>
  <pageSetup paperSize="9" orientation="portrait" verticalDpi="300" r:id="rId14"/>
  <drawing r:id="rId15"/>
  <legacyDrawing r:id="rId1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6"/>
  <sheetViews>
    <sheetView showGridLines="0" topLeftCell="A13" zoomScaleNormal="100" workbookViewId="0">
      <selection activeCell="C18" sqref="C18"/>
    </sheetView>
  </sheetViews>
  <sheetFormatPr defaultColWidth="8.81640625" defaultRowHeight="14.5"/>
  <cols>
    <col min="1" max="1" width="8.81640625" style="7"/>
    <col min="2" max="2" width="7.453125" style="7" customWidth="1"/>
    <col min="3" max="3" width="24.453125" style="2" customWidth="1"/>
    <col min="4" max="4" width="42.81640625" style="7" customWidth="1"/>
    <col min="5" max="5" width="21.1796875" style="6" customWidth="1"/>
    <col min="6" max="6" width="50.453125" style="7" customWidth="1"/>
    <col min="7" max="7" width="30.453125" style="7" customWidth="1"/>
    <col min="8" max="8" width="19.453125" style="7" customWidth="1"/>
    <col min="9" max="10" width="19.36328125" style="7" customWidth="1"/>
    <col min="11" max="11" width="19.36328125" style="49" customWidth="1"/>
    <col min="12" max="16384" width="8.81640625" style="7"/>
  </cols>
  <sheetData>
    <row r="1" spans="1:11">
      <c r="C1" s="27" t="s">
        <v>67</v>
      </c>
      <c r="D1" s="27" t="s">
        <v>20</v>
      </c>
      <c r="E1" s="10"/>
      <c r="F1" s="7" t="s">
        <v>131</v>
      </c>
    </row>
    <row r="2" spans="1:11">
      <c r="C2" s="27" t="s">
        <v>68</v>
      </c>
      <c r="D2" s="27" t="s">
        <v>69</v>
      </c>
      <c r="E2" s="10"/>
    </row>
    <row r="3" spans="1:11">
      <c r="C3" s="10"/>
      <c r="D3" s="10"/>
      <c r="E3" s="10"/>
    </row>
    <row r="4" spans="1:11">
      <c r="C4" s="9" t="s">
        <v>70</v>
      </c>
      <c r="D4" s="9">
        <v>51</v>
      </c>
      <c r="E4" s="10" t="s">
        <v>71</v>
      </c>
      <c r="F4" s="7" t="s">
        <v>127</v>
      </c>
    </row>
    <row r="5" spans="1:11">
      <c r="C5" s="9" t="s">
        <v>109</v>
      </c>
      <c r="D5" s="11">
        <v>4.3735999999999997</v>
      </c>
      <c r="E5" s="10" t="s">
        <v>86</v>
      </c>
    </row>
    <row r="6" spans="1:11">
      <c r="C6" s="9" t="s">
        <v>73</v>
      </c>
      <c r="D6" s="9">
        <v>18</v>
      </c>
      <c r="E6" s="10" t="s">
        <v>85</v>
      </c>
    </row>
    <row r="7" spans="1:11" ht="18.5">
      <c r="C7" s="28" t="s">
        <v>87</v>
      </c>
      <c r="D7" s="28">
        <f>D4*D5*D6</f>
        <v>4014.9647999999997</v>
      </c>
      <c r="E7" s="29" t="s">
        <v>86</v>
      </c>
    </row>
    <row r="8" spans="1:11">
      <c r="C8" s="9" t="s">
        <v>110</v>
      </c>
      <c r="D8" s="11">
        <v>4</v>
      </c>
      <c r="E8" s="10" t="s">
        <v>103</v>
      </c>
      <c r="F8" s="31"/>
      <c r="G8" s="31"/>
      <c r="H8" s="31"/>
      <c r="I8" s="31"/>
      <c r="J8" s="31"/>
      <c r="K8" s="50"/>
    </row>
    <row r="9" spans="1:11">
      <c r="C9" s="9" t="s">
        <v>111</v>
      </c>
      <c r="D9" s="30">
        <v>6.9999999999999999E-4</v>
      </c>
      <c r="E9" s="10" t="s">
        <v>112</v>
      </c>
      <c r="F9" s="31"/>
      <c r="G9" s="31"/>
      <c r="H9" s="31"/>
      <c r="I9" s="31"/>
      <c r="J9" s="31"/>
      <c r="K9" s="50"/>
    </row>
    <row r="10" spans="1:11">
      <c r="C10" s="4"/>
      <c r="D10" s="12"/>
      <c r="E10" s="13"/>
      <c r="F10" s="31"/>
      <c r="G10" s="31"/>
      <c r="H10" s="31"/>
      <c r="I10" s="31"/>
      <c r="J10" s="31"/>
      <c r="K10" s="50"/>
    </row>
    <row r="11" spans="1:11" ht="15" thickBot="1">
      <c r="C11" s="4"/>
      <c r="D11" s="12"/>
      <c r="E11" s="13"/>
      <c r="F11" s="31"/>
      <c r="G11" s="31"/>
      <c r="H11" s="31"/>
      <c r="I11" s="31"/>
      <c r="J11" s="31"/>
      <c r="K11" s="50"/>
    </row>
    <row r="12" spans="1:11" ht="15" thickBot="1">
      <c r="C12" s="165" t="s">
        <v>113</v>
      </c>
      <c r="D12" s="166"/>
      <c r="E12" s="167"/>
      <c r="F12" s="168" t="s">
        <v>114</v>
      </c>
      <c r="G12" s="169"/>
      <c r="H12" s="31"/>
      <c r="I12" s="31"/>
      <c r="J12" s="31"/>
      <c r="K12" s="50"/>
    </row>
    <row r="13" spans="1:11" s="5" customFormat="1" ht="73.5" customHeight="1" thickBot="1">
      <c r="B13" s="86" t="s">
        <v>89</v>
      </c>
      <c r="C13" s="87" t="s">
        <v>84</v>
      </c>
      <c r="D13" s="88" t="s">
        <v>81</v>
      </c>
      <c r="E13" s="89" t="s">
        <v>82</v>
      </c>
      <c r="F13" s="83" t="s">
        <v>88</v>
      </c>
      <c r="G13" s="84" t="s">
        <v>107</v>
      </c>
      <c r="H13" s="97" t="s">
        <v>83</v>
      </c>
      <c r="I13" s="98" t="s">
        <v>115</v>
      </c>
      <c r="J13" s="98" t="s">
        <v>116</v>
      </c>
      <c r="K13" s="99" t="s">
        <v>117</v>
      </c>
    </row>
    <row r="14" spans="1:11" ht="55.5" customHeight="1" thickBot="1">
      <c r="A14" s="7">
        <v>1</v>
      </c>
      <c r="B14" s="90" t="s">
        <v>72</v>
      </c>
      <c r="C14" s="32" t="s">
        <v>105</v>
      </c>
      <c r="D14" s="15" t="s">
        <v>90</v>
      </c>
      <c r="E14" s="33">
        <f>MAX($D$4*$D$5*0.29%*$D$6,9*$D$5)</f>
        <v>39.362399999999994</v>
      </c>
      <c r="F14" s="41" t="s">
        <v>108</v>
      </c>
      <c r="G14" s="33">
        <v>0</v>
      </c>
      <c r="H14" s="100">
        <f>E14+G14</f>
        <v>39.362399999999994</v>
      </c>
      <c r="I14" s="16">
        <f t="shared" ref="I14:I22" si="0">$D$4*$D$5*$D$6*0.07%</f>
        <v>2.8104753600000003</v>
      </c>
      <c r="J14" s="16">
        <f>H14+I14</f>
        <v>42.172875359999992</v>
      </c>
      <c r="K14" s="101">
        <f>J14/$D$7</f>
        <v>1.050392156862745E-2</v>
      </c>
    </row>
    <row r="15" spans="1:11" ht="97" thickBot="1">
      <c r="A15" s="7">
        <v>2</v>
      </c>
      <c r="B15" s="90" t="s">
        <v>21</v>
      </c>
      <c r="C15" s="34" t="s">
        <v>2</v>
      </c>
      <c r="D15" s="14" t="s">
        <v>91</v>
      </c>
      <c r="E15" s="35">
        <f>MAX($D$4*$D$5*0.39%*$D$6,12*$D$5)</f>
        <v>52.483199999999997</v>
      </c>
      <c r="F15" s="42" t="s">
        <v>106</v>
      </c>
      <c r="G15" s="43">
        <f>$D$4*$D$5*$D$6*0.02%*12+6*11</f>
        <v>75.635915519999998</v>
      </c>
      <c r="H15" s="102">
        <f t="shared" ref="H15:H24" si="1">E15+G15</f>
        <v>128.11911551999998</v>
      </c>
      <c r="I15" s="17">
        <f t="shared" si="0"/>
        <v>2.8104753600000003</v>
      </c>
      <c r="J15" s="17">
        <f t="shared" ref="J15:J24" si="2">H15+I15</f>
        <v>130.92959087999998</v>
      </c>
      <c r="K15" s="103">
        <f t="shared" ref="K15:K24" si="3">J15/$D$7</f>
        <v>3.2610395707578801E-2</v>
      </c>
    </row>
    <row r="16" spans="1:11" ht="98" customHeight="1" thickBot="1">
      <c r="A16" s="7">
        <v>3</v>
      </c>
      <c r="B16" s="90" t="s">
        <v>39</v>
      </c>
      <c r="C16" s="32" t="s">
        <v>3</v>
      </c>
      <c r="D16" s="19" t="s">
        <v>101</v>
      </c>
      <c r="E16" s="35">
        <f>MAX($D$4*$D$5*0.29%*$D$6,9*$D$5)</f>
        <v>39.362399999999994</v>
      </c>
      <c r="F16" s="44" t="s">
        <v>119</v>
      </c>
      <c r="G16" s="35">
        <f>$D$4*$D$5*$D$6*0.15%+60</f>
        <v>66.022447200000002</v>
      </c>
      <c r="H16" s="104">
        <f t="shared" si="1"/>
        <v>105.3848472</v>
      </c>
      <c r="I16" s="21">
        <f t="shared" si="0"/>
        <v>2.8104753600000003</v>
      </c>
      <c r="J16" s="21">
        <f t="shared" si="2"/>
        <v>108.19532255999999</v>
      </c>
      <c r="K16" s="105">
        <f t="shared" si="3"/>
        <v>2.6948012734756728E-2</v>
      </c>
    </row>
    <row r="17" spans="1:12" ht="55.5" customHeight="1" thickBot="1">
      <c r="A17" s="7">
        <v>4</v>
      </c>
      <c r="B17" s="90" t="s">
        <v>49</v>
      </c>
      <c r="C17" s="32" t="s">
        <v>93</v>
      </c>
      <c r="D17" s="18" t="s">
        <v>196</v>
      </c>
      <c r="E17" s="35">
        <f>MAX($D$4*$D$5*0.12%*$D$6,10*$D$5)</f>
        <v>43.735999999999997</v>
      </c>
      <c r="F17" s="51" t="s">
        <v>121</v>
      </c>
      <c r="G17" s="38">
        <v>0</v>
      </c>
      <c r="H17" s="104">
        <f t="shared" si="1"/>
        <v>43.735999999999997</v>
      </c>
      <c r="I17" s="17">
        <f t="shared" si="0"/>
        <v>2.8104753600000003</v>
      </c>
      <c r="J17" s="17">
        <f t="shared" si="2"/>
        <v>46.546475359999995</v>
      </c>
      <c r="K17" s="103">
        <f t="shared" si="3"/>
        <v>1.1593246187363834E-2</v>
      </c>
    </row>
    <row r="18" spans="1:12" ht="55.5" customHeight="1" thickBot="1">
      <c r="A18" s="7">
        <v>5</v>
      </c>
      <c r="B18" s="90" t="s">
        <v>74</v>
      </c>
      <c r="C18" s="32" t="s">
        <v>194</v>
      </c>
      <c r="D18" s="18" t="s">
        <v>102</v>
      </c>
      <c r="E18" s="36">
        <f>MAX($D$4*$D$5*0.29%*$D$6,5*$D$5)</f>
        <v>21.867999999999999</v>
      </c>
      <c r="F18" s="45" t="s">
        <v>120</v>
      </c>
      <c r="G18" s="35">
        <v>50</v>
      </c>
      <c r="H18" s="104">
        <f t="shared" si="1"/>
        <v>71.867999999999995</v>
      </c>
      <c r="I18" s="23">
        <f t="shared" si="0"/>
        <v>2.8104753600000003</v>
      </c>
      <c r="J18" s="23">
        <f t="shared" si="2"/>
        <v>74.678475359999993</v>
      </c>
      <c r="K18" s="106">
        <f t="shared" si="3"/>
        <v>1.8600032398789646E-2</v>
      </c>
    </row>
    <row r="19" spans="1:12" ht="101" customHeight="1" thickBot="1">
      <c r="A19" s="7">
        <v>6</v>
      </c>
      <c r="B19" s="90" t="s">
        <v>76</v>
      </c>
      <c r="C19" s="37" t="s">
        <v>95</v>
      </c>
      <c r="D19" s="26" t="s">
        <v>75</v>
      </c>
      <c r="E19" s="38">
        <f>MAX($D$4*$D$5*0.5%*$D$6,30*$D$5)</f>
        <v>131.208</v>
      </c>
      <c r="F19" s="42" t="s">
        <v>140</v>
      </c>
      <c r="G19" s="38">
        <f>MAX($D$4*$D$5*$D$6*0.04%*3,2.5*D5*3)+0.15%*D7</f>
        <v>38.824447200000002</v>
      </c>
      <c r="H19" s="104">
        <f t="shared" si="1"/>
        <v>170.03244720000001</v>
      </c>
      <c r="I19" s="16">
        <f t="shared" si="0"/>
        <v>2.8104753600000003</v>
      </c>
      <c r="J19" s="16">
        <f t="shared" si="2"/>
        <v>172.84292256000001</v>
      </c>
      <c r="K19" s="101">
        <f t="shared" si="3"/>
        <v>4.304967320261438E-2</v>
      </c>
    </row>
    <row r="20" spans="1:12" ht="39.5" customHeight="1" thickBot="1">
      <c r="A20" s="7">
        <v>7</v>
      </c>
      <c r="B20" s="90" t="s">
        <v>50</v>
      </c>
      <c r="C20" s="39" t="s">
        <v>96</v>
      </c>
      <c r="D20" s="24" t="s">
        <v>77</v>
      </c>
      <c r="E20" s="36">
        <f>($D$4*$D$5*$D$6*0.039%+2*$D$5)</f>
        <v>10.313036272</v>
      </c>
      <c r="F20" s="42" t="s">
        <v>122</v>
      </c>
      <c r="G20" s="46">
        <f>2.5*$D$5</f>
        <v>10.933999999999999</v>
      </c>
      <c r="H20" s="104">
        <f t="shared" si="1"/>
        <v>21.247036271999999</v>
      </c>
      <c r="I20" s="21">
        <f t="shared" si="0"/>
        <v>2.8104753600000003</v>
      </c>
      <c r="J20" s="21">
        <f t="shared" si="2"/>
        <v>24.057511632000001</v>
      </c>
      <c r="K20" s="105">
        <f t="shared" si="3"/>
        <v>5.9919607843137261E-3</v>
      </c>
    </row>
    <row r="21" spans="1:12" ht="66.5" customHeight="1" thickBot="1">
      <c r="A21" s="7">
        <v>8</v>
      </c>
      <c r="B21" s="90" t="s">
        <v>50</v>
      </c>
      <c r="C21" s="40" t="s">
        <v>97</v>
      </c>
      <c r="D21" s="20" t="s">
        <v>100</v>
      </c>
      <c r="E21" s="33">
        <v>0</v>
      </c>
      <c r="F21" s="42" t="s">
        <v>104</v>
      </c>
      <c r="G21" s="46">
        <f>2.5*$D$5</f>
        <v>10.933999999999999</v>
      </c>
      <c r="H21" s="104">
        <f t="shared" si="1"/>
        <v>10.933999999999999</v>
      </c>
      <c r="I21" s="16">
        <f t="shared" si="0"/>
        <v>2.8104753600000003</v>
      </c>
      <c r="J21" s="21">
        <f t="shared" si="2"/>
        <v>13.744475359999999</v>
      </c>
      <c r="K21" s="105">
        <f t="shared" si="3"/>
        <v>3.4233115468409584E-3</v>
      </c>
    </row>
    <row r="22" spans="1:12" ht="37" thickBot="1">
      <c r="A22" s="7">
        <v>9</v>
      </c>
      <c r="B22" s="90" t="s">
        <v>118</v>
      </c>
      <c r="C22" s="37" t="s">
        <v>64</v>
      </c>
      <c r="D22" s="25" t="s">
        <v>125</v>
      </c>
      <c r="E22" s="35">
        <f>MIN(MAX($D$4*$D$5*0.12%*$D$6,6*$D$5),99*D5)</f>
        <v>26.241599999999998</v>
      </c>
      <c r="F22" s="42" t="s">
        <v>123</v>
      </c>
      <c r="G22" s="47">
        <f>IF($D$7&lt;2000*$D$8,12*$D$8,0)</f>
        <v>48</v>
      </c>
      <c r="H22" s="107">
        <f t="shared" si="1"/>
        <v>74.241600000000005</v>
      </c>
      <c r="I22" s="21">
        <f t="shared" si="0"/>
        <v>2.8104753600000003</v>
      </c>
      <c r="J22" s="16">
        <f t="shared" si="2"/>
        <v>77.052075360000003</v>
      </c>
      <c r="K22" s="108">
        <f t="shared" si="3"/>
        <v>1.9191220645321725E-2</v>
      </c>
    </row>
    <row r="23" spans="1:12" ht="66" thickBot="1">
      <c r="A23" s="7">
        <v>10</v>
      </c>
      <c r="B23" s="91" t="s">
        <v>92</v>
      </c>
      <c r="C23" s="39" t="s">
        <v>98</v>
      </c>
      <c r="D23" s="25" t="s">
        <v>182</v>
      </c>
      <c r="E23" s="38">
        <f>IF(D4*D5*D6&lt;1000*D5,1.2%*D4*D5*D6,0)</f>
        <v>48.179577599999995</v>
      </c>
      <c r="F23" s="41" t="s">
        <v>78</v>
      </c>
      <c r="G23" s="38">
        <f>D4*D5*D6*1.2%</f>
        <v>48.179577599999995</v>
      </c>
      <c r="H23" s="102">
        <f t="shared" si="1"/>
        <v>96.359155199999989</v>
      </c>
      <c r="I23" s="22">
        <f>$D$4*$D$5*$D$6*0.2%</f>
        <v>8.0299295999999991</v>
      </c>
      <c r="J23" s="16">
        <f t="shared" si="2"/>
        <v>104.38908479999999</v>
      </c>
      <c r="K23" s="108">
        <f t="shared" si="3"/>
        <v>2.5999999999999999E-2</v>
      </c>
    </row>
    <row r="24" spans="1:12" ht="66" thickBot="1">
      <c r="A24" s="7">
        <v>11</v>
      </c>
      <c r="B24" s="91" t="s">
        <v>92</v>
      </c>
      <c r="C24" s="39" t="s">
        <v>99</v>
      </c>
      <c r="D24" s="25" t="s">
        <v>79</v>
      </c>
      <c r="E24" s="38">
        <f>MAX($D$4*$D$5*0.5%*$D$6,50*$D$5)</f>
        <v>218.67999999999998</v>
      </c>
      <c r="F24" s="41" t="s">
        <v>80</v>
      </c>
      <c r="G24" s="38">
        <f>D5*D6*D4*0.6%</f>
        <v>24.089788799999997</v>
      </c>
      <c r="H24" s="102">
        <f t="shared" si="1"/>
        <v>242.76978879999999</v>
      </c>
      <c r="I24" s="22">
        <f>$D$4*$D$5*$D$6*0.2%</f>
        <v>8.0299295999999991</v>
      </c>
      <c r="J24" s="16">
        <f t="shared" si="2"/>
        <v>250.79971839999999</v>
      </c>
      <c r="K24" s="108">
        <f t="shared" si="3"/>
        <v>6.2466230936819175E-2</v>
      </c>
    </row>
    <row r="25" spans="1:12" ht="49" thickBot="1">
      <c r="A25" s="7">
        <v>12</v>
      </c>
      <c r="B25" s="91" t="s">
        <v>158</v>
      </c>
      <c r="C25" s="77" t="s">
        <v>179</v>
      </c>
      <c r="D25" s="25" t="s">
        <v>159</v>
      </c>
      <c r="E25" s="38">
        <v>0</v>
      </c>
      <c r="F25" s="78">
        <v>4.7999999999999996E-3</v>
      </c>
      <c r="G25" s="79">
        <f>D7*0.48%</f>
        <v>19.271831039999999</v>
      </c>
      <c r="H25" s="102">
        <f t="shared" ref="H25" si="4">E25+G25</f>
        <v>19.271831039999999</v>
      </c>
      <c r="I25" s="22">
        <f>$D$4*$D$5*$D$6*0.07%</f>
        <v>2.8104753600000003</v>
      </c>
      <c r="J25" s="16">
        <f t="shared" ref="J25" si="5">H25+I25</f>
        <v>22.0823064</v>
      </c>
      <c r="K25" s="108">
        <f t="shared" ref="K25" si="6">J25/$D$7</f>
        <v>5.5000000000000005E-3</v>
      </c>
    </row>
    <row r="26" spans="1:12" s="12" customFormat="1" ht="97" thickBot="1">
      <c r="A26" s="7">
        <v>12</v>
      </c>
      <c r="B26" s="92" t="s">
        <v>177</v>
      </c>
      <c r="C26" s="93" t="s">
        <v>178</v>
      </c>
      <c r="D26" s="94" t="s">
        <v>175</v>
      </c>
      <c r="E26" s="48">
        <f>MAX($D$7*0.1%,4*D5)</f>
        <v>17.494399999999999</v>
      </c>
      <c r="F26" s="95" t="s">
        <v>176</v>
      </c>
      <c r="G26" s="96">
        <f>9*20*D8</f>
        <v>720</v>
      </c>
      <c r="H26" s="109">
        <f t="shared" ref="H26" si="7">E26+G26</f>
        <v>737.49440000000004</v>
      </c>
      <c r="I26" s="110">
        <f>$D$4*$D$5*$D$6*0.07%</f>
        <v>2.8104753600000003</v>
      </c>
      <c r="J26" s="111">
        <f t="shared" ref="J26" si="8">H26+I26</f>
        <v>740.3048753600001</v>
      </c>
      <c r="K26" s="112">
        <f t="shared" ref="K26" si="9">J26/$D$7</f>
        <v>0.18438639246849689</v>
      </c>
      <c r="L26" s="7"/>
    </row>
  </sheetData>
  <mergeCells count="2">
    <mergeCell ref="C12:E12"/>
    <mergeCell ref="F12:G12"/>
  </mergeCells>
  <conditionalFormatting sqref="J14:J20">
    <cfRule type="top10" dxfId="95" priority="15" rank="3"/>
    <cfRule type="top10" dxfId="94" priority="16" bottom="1" rank="3"/>
    <cfRule type="top10" dxfId="93" priority="17" rank="5"/>
  </conditionalFormatting>
  <conditionalFormatting sqref="J22">
    <cfRule type="top10" dxfId="92" priority="12" rank="3"/>
    <cfRule type="top10" dxfId="91" priority="13" bottom="1" rank="3"/>
    <cfRule type="top10" dxfId="90" priority="14" rank="5"/>
  </conditionalFormatting>
  <conditionalFormatting sqref="J23">
    <cfRule type="top10" dxfId="89" priority="9" rank="3"/>
    <cfRule type="top10" dxfId="88" priority="10" bottom="1" rank="3"/>
    <cfRule type="top10" dxfId="87" priority="11" rank="5"/>
  </conditionalFormatting>
  <conditionalFormatting sqref="J21">
    <cfRule type="top10" dxfId="86" priority="6" rank="3"/>
    <cfRule type="top10" dxfId="85" priority="7" bottom="1" rank="3"/>
    <cfRule type="top10" dxfId="84" priority="8" rank="5"/>
  </conditionalFormatting>
  <conditionalFormatting sqref="J24:J26">
    <cfRule type="top10" dxfId="83" priority="3" rank="3"/>
    <cfRule type="top10" dxfId="82" priority="4" bottom="1" rank="3"/>
    <cfRule type="top10" dxfId="81" priority="5" rank="5"/>
  </conditionalFormatting>
  <conditionalFormatting sqref="J14:J26">
    <cfRule type="top10" dxfId="80" priority="1" bottom="1" rank="5"/>
    <cfRule type="top10" dxfId="79" priority="2" percent="1" rank="5"/>
  </conditionalFormatting>
  <hyperlinks>
    <hyperlink ref="B14" r:id="rId1" display="../../../../Downloads/Tabela op_at i prowizji maklerskich Domu Maklerskiego Banku Ochrony _rodowiska S.A. - rynek zagraniczny (4).pdf" xr:uid="{00000000-0004-0000-0300-000000000000}"/>
    <hyperlink ref="B15" r:id="rId2" xr:uid="{00000000-0004-0000-0300-000001000000}"/>
    <hyperlink ref="B16" r:id="rId3" location="/szczegoly-oferty/" display="https://www.bm.pkobp.pl/oferta/klient-indywidualny/rynki-zagraniczne/ - /szczegoly-oferty/" xr:uid="{00000000-0004-0000-0300-000002000000}"/>
    <hyperlink ref="B17" r:id="rId4" display="https://xtb.scdn5.secure.raxcdn.com/file/0043/33/Tabela op%C5%82at i prowizji_11062019_e30ada4dde.pdf" xr:uid="{00000000-0004-0000-0300-000003000000}"/>
    <hyperlink ref="B18" r:id="rId5" xr:uid="{00000000-0004-0000-0300-000004000000}"/>
    <hyperlink ref="B19" r:id="rId6" xr:uid="{00000000-0004-0000-0300-000005000000}"/>
    <hyperlink ref="B23" r:id="rId7" location="inbox/FMfcgxwDrldjpsjxPNnFLzPNBLRgVgCR?projector=1&amp;messagePartId=0.3" display="https://mail.google.com/mail/u/0/ - inbox/FMfcgxwDrldjpsjxPNnFLzPNBLRgVgCR?projector=1&amp;messagePartId=0.3" xr:uid="{00000000-0004-0000-0300-000006000000}"/>
    <hyperlink ref="B20" r:id="rId8" xr:uid="{00000000-0004-0000-0300-000007000000}"/>
    <hyperlink ref="B21" r:id="rId9" xr:uid="{00000000-0004-0000-0300-000008000000}"/>
    <hyperlink ref="B24" r:id="rId10" location="inbox/FMfcgxwDrldjpsjxPNnFLzPNBLRgVgCR?projector=1&amp;messagePartId=0.3" display="https://mail.google.com/mail/u/0/ - inbox/FMfcgxwDrldjpsjxPNnFLzPNBLRgVgCR?projector=1&amp;messagePartId=0.3" xr:uid="{00000000-0004-0000-0300-000009000000}"/>
    <hyperlink ref="B22" r:id="rId11" xr:uid="{00000000-0004-0000-0300-00000A000000}"/>
    <hyperlink ref="B25" r:id="rId12" xr:uid="{00000000-0004-0000-0300-00000B000000}"/>
    <hyperlink ref="B26" r:id="rId13" xr:uid="{00000000-0004-0000-0300-00000C000000}"/>
  </hyperlinks>
  <pageMargins left="0.7" right="0.7" top="0.75" bottom="0.75" header="0.3" footer="0.3"/>
  <pageSetup paperSize="9" orientation="portrait" verticalDpi="300" r:id="rId14"/>
  <drawing r:id="rId15"/>
  <legacyDrawing r:id="rId1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6"/>
  <sheetViews>
    <sheetView showGridLines="0" topLeftCell="A13" zoomScaleNormal="100" workbookViewId="0">
      <selection activeCell="C18" sqref="C18"/>
    </sheetView>
  </sheetViews>
  <sheetFormatPr defaultColWidth="8.81640625" defaultRowHeight="14.5"/>
  <cols>
    <col min="1" max="1" width="2.36328125" style="53" customWidth="1"/>
    <col min="2" max="2" width="7.453125" style="7" customWidth="1"/>
    <col min="3" max="3" width="24.453125" style="2" customWidth="1"/>
    <col min="4" max="4" width="34.453125" style="7" customWidth="1"/>
    <col min="5" max="5" width="21.1796875" style="6" customWidth="1"/>
    <col min="6" max="6" width="50.453125" style="7" customWidth="1"/>
    <col min="7" max="7" width="30.453125" style="7" customWidth="1"/>
    <col min="8" max="8" width="19.453125" style="7" customWidth="1"/>
    <col min="9" max="10" width="19.36328125" style="7" customWidth="1"/>
    <col min="11" max="11" width="19.36328125" style="49" customWidth="1"/>
    <col min="12" max="16384" width="8.81640625" style="7"/>
  </cols>
  <sheetData>
    <row r="1" spans="1:11">
      <c r="C1" s="27" t="s">
        <v>67</v>
      </c>
      <c r="D1" s="27" t="s">
        <v>20</v>
      </c>
      <c r="E1" s="10"/>
      <c r="F1" s="7" t="s">
        <v>131</v>
      </c>
    </row>
    <row r="2" spans="1:11">
      <c r="C2" s="27" t="s">
        <v>68</v>
      </c>
      <c r="D2" s="27" t="s">
        <v>69</v>
      </c>
      <c r="E2" s="10"/>
    </row>
    <row r="3" spans="1:11">
      <c r="C3" s="10"/>
      <c r="D3" s="10"/>
      <c r="E3" s="10"/>
    </row>
    <row r="4" spans="1:11">
      <c r="C4" s="9" t="s">
        <v>70</v>
      </c>
      <c r="D4" s="9">
        <v>51</v>
      </c>
      <c r="E4" s="10" t="s">
        <v>71</v>
      </c>
      <c r="F4" s="7" t="s">
        <v>127</v>
      </c>
    </row>
    <row r="5" spans="1:11">
      <c r="C5" s="9" t="s">
        <v>109</v>
      </c>
      <c r="D5" s="11">
        <v>4.3735999999999997</v>
      </c>
      <c r="E5" s="10" t="s">
        <v>86</v>
      </c>
    </row>
    <row r="6" spans="1:11">
      <c r="C6" s="9" t="s">
        <v>73</v>
      </c>
      <c r="D6" s="9">
        <v>45</v>
      </c>
      <c r="E6" s="10" t="s">
        <v>85</v>
      </c>
    </row>
    <row r="7" spans="1:11" ht="18.5">
      <c r="C7" s="28" t="s">
        <v>87</v>
      </c>
      <c r="D7" s="52">
        <f>D4*D5*D6</f>
        <v>10037.412</v>
      </c>
      <c r="E7" s="29" t="s">
        <v>86</v>
      </c>
    </row>
    <row r="8" spans="1:11">
      <c r="C8" s="9" t="s">
        <v>110</v>
      </c>
      <c r="D8" s="11">
        <v>4</v>
      </c>
      <c r="E8" s="10" t="s">
        <v>103</v>
      </c>
      <c r="F8" s="31"/>
      <c r="G8" s="31"/>
      <c r="H8" s="31"/>
      <c r="I8" s="31"/>
      <c r="J8" s="31"/>
      <c r="K8" s="50"/>
    </row>
    <row r="9" spans="1:11">
      <c r="C9" s="9" t="s">
        <v>111</v>
      </c>
      <c r="D9" s="30">
        <v>6.9999999999999999E-4</v>
      </c>
      <c r="E9" s="10" t="s">
        <v>112</v>
      </c>
      <c r="F9" s="31"/>
      <c r="G9" s="31"/>
      <c r="H9" s="31"/>
      <c r="I9" s="31"/>
      <c r="J9" s="31"/>
      <c r="K9" s="50"/>
    </row>
    <row r="10" spans="1:11">
      <c r="C10" s="4"/>
      <c r="D10" s="12"/>
      <c r="E10" s="13"/>
      <c r="F10" s="31"/>
      <c r="G10" s="31"/>
      <c r="H10" s="31"/>
      <c r="I10" s="31"/>
      <c r="J10" s="31"/>
      <c r="K10" s="50"/>
    </row>
    <row r="11" spans="1:11" ht="15" thickBot="1">
      <c r="C11" s="4"/>
      <c r="D11" s="12"/>
      <c r="E11" s="13"/>
      <c r="F11" s="31"/>
      <c r="G11" s="31"/>
      <c r="H11" s="31"/>
      <c r="I11" s="31"/>
      <c r="J11" s="31"/>
      <c r="K11" s="50"/>
    </row>
    <row r="12" spans="1:11" ht="15" thickBot="1">
      <c r="C12" s="165" t="s">
        <v>113</v>
      </c>
      <c r="D12" s="166"/>
      <c r="E12" s="167"/>
      <c r="F12" s="168" t="s">
        <v>114</v>
      </c>
      <c r="G12" s="169"/>
      <c r="H12" s="31"/>
      <c r="I12" s="31"/>
      <c r="J12" s="31"/>
      <c r="K12" s="50"/>
    </row>
    <row r="13" spans="1:11" s="5" customFormat="1" ht="73.5" customHeight="1" thickBot="1">
      <c r="A13" s="54"/>
      <c r="B13" s="86" t="s">
        <v>89</v>
      </c>
      <c r="C13" s="87" t="s">
        <v>84</v>
      </c>
      <c r="D13" s="88" t="s">
        <v>81</v>
      </c>
      <c r="E13" s="89" t="s">
        <v>82</v>
      </c>
      <c r="F13" s="83" t="s">
        <v>88</v>
      </c>
      <c r="G13" s="84" t="s">
        <v>107</v>
      </c>
      <c r="H13" s="97" t="s">
        <v>83</v>
      </c>
      <c r="I13" s="98" t="s">
        <v>115</v>
      </c>
      <c r="J13" s="98" t="s">
        <v>116</v>
      </c>
      <c r="K13" s="99" t="s">
        <v>117</v>
      </c>
    </row>
    <row r="14" spans="1:11" ht="55.5" customHeight="1" thickBot="1">
      <c r="A14" s="53">
        <v>1</v>
      </c>
      <c r="B14" s="90" t="s">
        <v>72</v>
      </c>
      <c r="C14" s="32" t="s">
        <v>105</v>
      </c>
      <c r="D14" s="15" t="s">
        <v>90</v>
      </c>
      <c r="E14" s="33">
        <f>MAX($D$4*$D$5*0.29%*$D$6,9*$D$5)</f>
        <v>39.362399999999994</v>
      </c>
      <c r="F14" s="41" t="s">
        <v>108</v>
      </c>
      <c r="G14" s="33">
        <v>0</v>
      </c>
      <c r="H14" s="100">
        <f>E14+G14</f>
        <v>39.362399999999994</v>
      </c>
      <c r="I14" s="16">
        <f t="shared" ref="I14:I22" si="0">$D$4*$D$5*$D$6*0.07%</f>
        <v>7.0261884000000014</v>
      </c>
      <c r="J14" s="16">
        <f>H14+I14</f>
        <v>46.388588399999996</v>
      </c>
      <c r="K14" s="101">
        <f>J14/$D$7</f>
        <v>4.6215686274509796E-3</v>
      </c>
    </row>
    <row r="15" spans="1:11" ht="97" thickBot="1">
      <c r="A15" s="53">
        <v>2</v>
      </c>
      <c r="B15" s="90" t="s">
        <v>21</v>
      </c>
      <c r="C15" s="34" t="s">
        <v>2</v>
      </c>
      <c r="D15" s="14" t="s">
        <v>91</v>
      </c>
      <c r="E15" s="35">
        <f>MAX($D$4*$D$5*0.39%*$D$6,12*$D$5)</f>
        <v>52.483199999999997</v>
      </c>
      <c r="F15" s="42" t="s">
        <v>106</v>
      </c>
      <c r="G15" s="43">
        <f>$D$4*$D$5*$D$6*0.02%*12+6*11</f>
        <v>90.089788800000008</v>
      </c>
      <c r="H15" s="102">
        <f t="shared" ref="H15:H26" si="1">E15+G15</f>
        <v>142.57298880000002</v>
      </c>
      <c r="I15" s="17">
        <f t="shared" si="0"/>
        <v>7.0261884000000014</v>
      </c>
      <c r="J15" s="17">
        <f t="shared" ref="J15:J26" si="2">H15+I15</f>
        <v>149.59917720000001</v>
      </c>
      <c r="K15" s="103">
        <f t="shared" ref="K15:K26" si="3">J15/$D$7</f>
        <v>1.4904158283031524E-2</v>
      </c>
    </row>
    <row r="16" spans="1:11" ht="98" customHeight="1" thickBot="1">
      <c r="A16" s="53">
        <v>3</v>
      </c>
      <c r="B16" s="90" t="s">
        <v>39</v>
      </c>
      <c r="C16" s="32" t="s">
        <v>3</v>
      </c>
      <c r="D16" s="19" t="s">
        <v>101</v>
      </c>
      <c r="E16" s="35">
        <f>MAX($D$4*$D$5*0.29%*$D$6,9*$D$5)</f>
        <v>39.362399999999994</v>
      </c>
      <c r="F16" s="44" t="s">
        <v>119</v>
      </c>
      <c r="G16" s="35">
        <f>$D$4*$D$5*$D$6*0.15%+60</f>
        <v>75.056117999999998</v>
      </c>
      <c r="H16" s="104">
        <f t="shared" si="1"/>
        <v>114.41851799999999</v>
      </c>
      <c r="I16" s="21">
        <f t="shared" si="0"/>
        <v>7.0261884000000014</v>
      </c>
      <c r="J16" s="21">
        <f t="shared" si="2"/>
        <v>121.44470639999999</v>
      </c>
      <c r="K16" s="105">
        <f t="shared" si="3"/>
        <v>1.2099205093902689E-2</v>
      </c>
    </row>
    <row r="17" spans="1:12" ht="55.5" customHeight="1" thickBot="1">
      <c r="A17" s="53">
        <v>4</v>
      </c>
      <c r="B17" s="90" t="s">
        <v>49</v>
      </c>
      <c r="C17" s="32" t="s">
        <v>93</v>
      </c>
      <c r="D17" s="18" t="s">
        <v>196</v>
      </c>
      <c r="E17" s="35">
        <f>MAX($D$4*$D$5*0.12%*$D$6,10*$D$5)</f>
        <v>43.735999999999997</v>
      </c>
      <c r="F17" s="51" t="s">
        <v>121</v>
      </c>
      <c r="G17" s="38">
        <v>0</v>
      </c>
      <c r="H17" s="104">
        <f t="shared" si="1"/>
        <v>43.735999999999997</v>
      </c>
      <c r="I17" s="17">
        <f t="shared" si="0"/>
        <v>7.0261884000000014</v>
      </c>
      <c r="J17" s="17">
        <f t="shared" si="2"/>
        <v>50.762188399999999</v>
      </c>
      <c r="K17" s="103">
        <f t="shared" si="3"/>
        <v>5.0572984749455334E-3</v>
      </c>
    </row>
    <row r="18" spans="1:12" ht="55.5" customHeight="1" thickBot="1">
      <c r="A18" s="53">
        <v>5</v>
      </c>
      <c r="B18" s="90" t="s">
        <v>74</v>
      </c>
      <c r="C18" s="32" t="s">
        <v>194</v>
      </c>
      <c r="D18" s="18" t="s">
        <v>102</v>
      </c>
      <c r="E18" s="36">
        <f>MAX($D$4*$D$5*0.29%*$D$6,5*$D$5)</f>
        <v>29.108494799999999</v>
      </c>
      <c r="F18" s="45" t="s">
        <v>120</v>
      </c>
      <c r="G18" s="35">
        <v>50</v>
      </c>
      <c r="H18" s="104">
        <f t="shared" si="1"/>
        <v>79.108494800000003</v>
      </c>
      <c r="I18" s="23">
        <f t="shared" si="0"/>
        <v>7.0261884000000014</v>
      </c>
      <c r="J18" s="23">
        <f t="shared" si="2"/>
        <v>86.134683199999998</v>
      </c>
      <c r="K18" s="106">
        <f t="shared" si="3"/>
        <v>8.5813637220430918E-3</v>
      </c>
    </row>
    <row r="19" spans="1:12" ht="101" customHeight="1" thickBot="1">
      <c r="A19" s="53">
        <v>6</v>
      </c>
      <c r="B19" s="90" t="s">
        <v>76</v>
      </c>
      <c r="C19" s="37" t="s">
        <v>95</v>
      </c>
      <c r="D19" s="26" t="s">
        <v>75</v>
      </c>
      <c r="E19" s="38">
        <f>MAX($D$4*$D$5*0.5%*$D$6,30*$D$5)</f>
        <v>131.208</v>
      </c>
      <c r="F19" s="42" t="s">
        <v>140</v>
      </c>
      <c r="G19" s="38">
        <f>MAX($D$4*$D$5*$D$6*0.04%*3,2.5*D5*3)+0.15%*D7</f>
        <v>47.858118000000005</v>
      </c>
      <c r="H19" s="104">
        <f t="shared" si="1"/>
        <v>179.06611800000002</v>
      </c>
      <c r="I19" s="16">
        <f t="shared" si="0"/>
        <v>7.0261884000000014</v>
      </c>
      <c r="J19" s="16">
        <f t="shared" si="2"/>
        <v>186.09230640000001</v>
      </c>
      <c r="K19" s="101">
        <f t="shared" si="3"/>
        <v>1.8539869281045753E-2</v>
      </c>
    </row>
    <row r="20" spans="1:12" ht="52" customHeight="1" thickBot="1">
      <c r="A20" s="53">
        <v>7</v>
      </c>
      <c r="B20" s="90" t="s">
        <v>50</v>
      </c>
      <c r="C20" s="39" t="s">
        <v>96</v>
      </c>
      <c r="D20" s="24" t="s">
        <v>77</v>
      </c>
      <c r="E20" s="36">
        <f>($D$4*$D$5*$D$6*0.039%+2*$D$5)</f>
        <v>12.661790679999999</v>
      </c>
      <c r="F20" s="42" t="s">
        <v>122</v>
      </c>
      <c r="G20" s="46">
        <f>2.5*$D$5</f>
        <v>10.933999999999999</v>
      </c>
      <c r="H20" s="104">
        <f t="shared" si="1"/>
        <v>23.59579068</v>
      </c>
      <c r="I20" s="21">
        <f t="shared" si="0"/>
        <v>7.0261884000000014</v>
      </c>
      <c r="J20" s="21">
        <f t="shared" si="2"/>
        <v>30.621979080000003</v>
      </c>
      <c r="K20" s="105">
        <f t="shared" si="3"/>
        <v>3.0507843137254904E-3</v>
      </c>
    </row>
    <row r="21" spans="1:12" ht="66.5" customHeight="1" thickBot="1">
      <c r="A21" s="53">
        <v>8</v>
      </c>
      <c r="B21" s="90" t="s">
        <v>50</v>
      </c>
      <c r="C21" s="40" t="s">
        <v>97</v>
      </c>
      <c r="D21" s="20" t="s">
        <v>100</v>
      </c>
      <c r="E21" s="33">
        <v>0</v>
      </c>
      <c r="F21" s="42" t="s">
        <v>104</v>
      </c>
      <c r="G21" s="46">
        <f>2.5*$D$5</f>
        <v>10.933999999999999</v>
      </c>
      <c r="H21" s="104">
        <f t="shared" si="1"/>
        <v>10.933999999999999</v>
      </c>
      <c r="I21" s="16">
        <f t="shared" si="0"/>
        <v>7.0261884000000014</v>
      </c>
      <c r="J21" s="21">
        <f t="shared" si="2"/>
        <v>17.9601884</v>
      </c>
      <c r="K21" s="105">
        <f t="shared" si="3"/>
        <v>1.7893246187363834E-3</v>
      </c>
    </row>
    <row r="22" spans="1:12" ht="37" thickBot="1">
      <c r="A22" s="53">
        <v>9</v>
      </c>
      <c r="B22" s="90" t="s">
        <v>118</v>
      </c>
      <c r="C22" s="37" t="s">
        <v>64</v>
      </c>
      <c r="D22" s="25" t="s">
        <v>125</v>
      </c>
      <c r="E22" s="35">
        <f>MIN(MAX($D$4*$D$5*0.12%*$D$6,6*$D$5),99*D5)</f>
        <v>26.241599999999998</v>
      </c>
      <c r="F22" s="42" t="s">
        <v>123</v>
      </c>
      <c r="G22" s="47">
        <f>IF($D$7&lt;2000*$D$8,12*$D$8,0)</f>
        <v>0</v>
      </c>
      <c r="H22" s="107">
        <f t="shared" si="1"/>
        <v>26.241599999999998</v>
      </c>
      <c r="I22" s="21">
        <f t="shared" si="0"/>
        <v>7.0261884000000014</v>
      </c>
      <c r="J22" s="16">
        <f t="shared" si="2"/>
        <v>33.267788400000001</v>
      </c>
      <c r="K22" s="108">
        <f t="shared" si="3"/>
        <v>3.3143790849673202E-3</v>
      </c>
    </row>
    <row r="23" spans="1:12" ht="66" thickBot="1">
      <c r="A23" s="53">
        <v>10</v>
      </c>
      <c r="B23" s="91" t="s">
        <v>92</v>
      </c>
      <c r="C23" s="39" t="s">
        <v>98</v>
      </c>
      <c r="D23" s="25" t="s">
        <v>182</v>
      </c>
      <c r="E23" s="38">
        <f>IF(D4*D5*D6&lt;1000*D5,1.2%*D4*D5*D6,0)</f>
        <v>0</v>
      </c>
      <c r="F23" s="41" t="s">
        <v>78</v>
      </c>
      <c r="G23" s="38">
        <f>D4*D5*D6*1.2%</f>
        <v>120.44894400000001</v>
      </c>
      <c r="H23" s="102">
        <f t="shared" si="1"/>
        <v>120.44894400000001</v>
      </c>
      <c r="I23" s="22">
        <f>$D$4*$D$5*$D$6*0.2%</f>
        <v>20.074824</v>
      </c>
      <c r="J23" s="16">
        <f t="shared" si="2"/>
        <v>140.52376800000002</v>
      </c>
      <c r="K23" s="108">
        <f t="shared" si="3"/>
        <v>1.4000000000000002E-2</v>
      </c>
    </row>
    <row r="24" spans="1:12" ht="66" thickBot="1">
      <c r="A24" s="53">
        <v>11</v>
      </c>
      <c r="B24" s="91" t="s">
        <v>92</v>
      </c>
      <c r="C24" s="39" t="s">
        <v>99</v>
      </c>
      <c r="D24" s="25" t="s">
        <v>79</v>
      </c>
      <c r="E24" s="38">
        <f>MAX($D$4*$D$5*0.5%*$D$6,50*$D$5)</f>
        <v>218.67999999999998</v>
      </c>
      <c r="F24" s="41" t="s">
        <v>80</v>
      </c>
      <c r="G24" s="38">
        <f>D5*D6*D4*0.6%</f>
        <v>60.224471999999992</v>
      </c>
      <c r="H24" s="102">
        <f t="shared" si="1"/>
        <v>278.90447199999994</v>
      </c>
      <c r="I24" s="22">
        <f>$D$4*$D$5*$D$6*0.2%</f>
        <v>20.074824</v>
      </c>
      <c r="J24" s="16">
        <f t="shared" si="2"/>
        <v>298.97929599999992</v>
      </c>
      <c r="K24" s="108">
        <f t="shared" si="3"/>
        <v>2.978649237472766E-2</v>
      </c>
    </row>
    <row r="25" spans="1:12" s="12" customFormat="1" ht="73" thickBot="1">
      <c r="A25" s="7">
        <v>12</v>
      </c>
      <c r="B25" s="91" t="s">
        <v>158</v>
      </c>
      <c r="C25" s="77" t="s">
        <v>179</v>
      </c>
      <c r="D25" s="25" t="s">
        <v>159</v>
      </c>
      <c r="E25" s="38">
        <v>0</v>
      </c>
      <c r="F25" s="78">
        <v>4.7999999999999996E-3</v>
      </c>
      <c r="G25" s="79">
        <f>D7*0.48%</f>
        <v>48.179577599999995</v>
      </c>
      <c r="H25" s="102">
        <f t="shared" si="1"/>
        <v>48.179577599999995</v>
      </c>
      <c r="I25" s="22">
        <f>$D$4*$D$5*$D$6*0.07%</f>
        <v>7.0261884000000014</v>
      </c>
      <c r="J25" s="16">
        <f t="shared" si="2"/>
        <v>55.205765999999997</v>
      </c>
      <c r="K25" s="108">
        <f t="shared" si="3"/>
        <v>5.4999999999999997E-3</v>
      </c>
      <c r="L25" s="7"/>
    </row>
    <row r="26" spans="1:12" s="12" customFormat="1" ht="97" thickBot="1">
      <c r="A26" s="7">
        <v>12</v>
      </c>
      <c r="B26" s="92" t="s">
        <v>177</v>
      </c>
      <c r="C26" s="93" t="s">
        <v>178</v>
      </c>
      <c r="D26" s="94" t="s">
        <v>175</v>
      </c>
      <c r="E26" s="48">
        <f>MAX($D$7*0.1%,4*D5)</f>
        <v>17.494399999999999</v>
      </c>
      <c r="F26" s="95" t="s">
        <v>176</v>
      </c>
      <c r="G26" s="96">
        <f>9*10*D8</f>
        <v>360</v>
      </c>
      <c r="H26" s="109">
        <f t="shared" si="1"/>
        <v>377.49439999999998</v>
      </c>
      <c r="I26" s="110">
        <f>$D$4*$D$5*$D$6*0.07%</f>
        <v>7.0261884000000014</v>
      </c>
      <c r="J26" s="111">
        <f t="shared" si="2"/>
        <v>384.52058840000001</v>
      </c>
      <c r="K26" s="112">
        <f t="shared" si="3"/>
        <v>3.8308738188688476E-2</v>
      </c>
      <c r="L26" s="7"/>
    </row>
  </sheetData>
  <mergeCells count="2">
    <mergeCell ref="C12:E12"/>
    <mergeCell ref="F12:G12"/>
  </mergeCells>
  <conditionalFormatting sqref="J14:J20">
    <cfRule type="top10" dxfId="78" priority="15" rank="3"/>
    <cfRule type="top10" dxfId="77" priority="16" bottom="1" rank="3"/>
    <cfRule type="top10" dxfId="76" priority="17" rank="5"/>
  </conditionalFormatting>
  <conditionalFormatting sqref="J22">
    <cfRule type="top10" dxfId="75" priority="12" rank="3"/>
    <cfRule type="top10" dxfId="74" priority="13" bottom="1" rank="3"/>
    <cfRule type="top10" dxfId="73" priority="14" rank="5"/>
  </conditionalFormatting>
  <conditionalFormatting sqref="J23">
    <cfRule type="top10" dxfId="72" priority="9" rank="3"/>
    <cfRule type="top10" dxfId="71" priority="10" bottom="1" rank="3"/>
    <cfRule type="top10" dxfId="70" priority="11" rank="5"/>
  </conditionalFormatting>
  <conditionalFormatting sqref="J21">
    <cfRule type="top10" dxfId="69" priority="6" rank="3"/>
    <cfRule type="top10" dxfId="68" priority="7" bottom="1" rank="3"/>
    <cfRule type="top10" dxfId="67" priority="8" rank="5"/>
  </conditionalFormatting>
  <conditionalFormatting sqref="J24:J26">
    <cfRule type="top10" dxfId="66" priority="3" rank="3"/>
    <cfRule type="top10" dxfId="65" priority="4" bottom="1" rank="3"/>
    <cfRule type="top10" dxfId="64" priority="5" rank="5"/>
  </conditionalFormatting>
  <conditionalFormatting sqref="J14:J26">
    <cfRule type="top10" dxfId="63" priority="1" bottom="1" rank="5"/>
    <cfRule type="top10" dxfId="62" priority="2" percent="1" rank="5"/>
  </conditionalFormatting>
  <hyperlinks>
    <hyperlink ref="B14" r:id="rId1" display="../../../../Downloads/Tabela op_at i prowizji maklerskich Domu Maklerskiego Banku Ochrony _rodowiska S.A. - rynek zagraniczny (4).pdf" xr:uid="{00000000-0004-0000-0400-000000000000}"/>
    <hyperlink ref="B15" r:id="rId2" xr:uid="{00000000-0004-0000-0400-000001000000}"/>
    <hyperlink ref="B16" r:id="rId3" location="/szczegoly-oferty/" display="https://www.bm.pkobp.pl/oferta/klient-indywidualny/rynki-zagraniczne/ - /szczegoly-oferty/" xr:uid="{00000000-0004-0000-0400-000002000000}"/>
    <hyperlink ref="B17" r:id="rId4" display="https://xtb.scdn5.secure.raxcdn.com/file/0043/33/Tabela op%C5%82at i prowizji_11062019_e30ada4dde.pdf" xr:uid="{00000000-0004-0000-0400-000003000000}"/>
    <hyperlink ref="B18" r:id="rId5" xr:uid="{00000000-0004-0000-0400-000004000000}"/>
    <hyperlink ref="B19" r:id="rId6" xr:uid="{00000000-0004-0000-0400-000005000000}"/>
    <hyperlink ref="B23" r:id="rId7" location="inbox/FMfcgxwDrldjpsjxPNnFLzPNBLRgVgCR?projector=1&amp;messagePartId=0.3" display="https://mail.google.com/mail/u/0/ - inbox/FMfcgxwDrldjpsjxPNnFLzPNBLRgVgCR?projector=1&amp;messagePartId=0.3" xr:uid="{00000000-0004-0000-0400-000006000000}"/>
    <hyperlink ref="B20" r:id="rId8" xr:uid="{00000000-0004-0000-0400-000007000000}"/>
    <hyperlink ref="B21" r:id="rId9" xr:uid="{00000000-0004-0000-0400-000008000000}"/>
    <hyperlink ref="B24" r:id="rId10" location="inbox/FMfcgxwDrldjpsjxPNnFLzPNBLRgVgCR?projector=1&amp;messagePartId=0.3" display="https://mail.google.com/mail/u/0/ - inbox/FMfcgxwDrldjpsjxPNnFLzPNBLRgVgCR?projector=1&amp;messagePartId=0.3" xr:uid="{00000000-0004-0000-0400-000009000000}"/>
    <hyperlink ref="B22" r:id="rId11" xr:uid="{00000000-0004-0000-0400-00000A000000}"/>
    <hyperlink ref="B25" r:id="rId12" xr:uid="{00000000-0004-0000-0400-00000B000000}"/>
    <hyperlink ref="B26" r:id="rId13" xr:uid="{00000000-0004-0000-0400-00000C000000}"/>
  </hyperlinks>
  <pageMargins left="0.7" right="0.7" top="0.75" bottom="0.75" header="0.3" footer="0.3"/>
  <pageSetup paperSize="9" orientation="portrait" verticalDpi="300" r:id="rId14"/>
  <drawing r:id="rId15"/>
  <legacyDrawing r:id="rId1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6"/>
  <sheetViews>
    <sheetView showGridLines="0" topLeftCell="A11" zoomScaleNormal="100" workbookViewId="0">
      <selection activeCell="C18" sqref="C18"/>
    </sheetView>
  </sheetViews>
  <sheetFormatPr defaultColWidth="8.81640625" defaultRowHeight="14.5"/>
  <cols>
    <col min="1" max="1" width="2.36328125" style="53" customWidth="1"/>
    <col min="2" max="2" width="7.453125" style="7" customWidth="1"/>
    <col min="3" max="3" width="24.453125" style="2" customWidth="1"/>
    <col min="4" max="4" width="34.453125" style="7" customWidth="1"/>
    <col min="5" max="5" width="21.1796875" style="6" customWidth="1"/>
    <col min="6" max="6" width="50.453125" style="7" customWidth="1"/>
    <col min="7" max="7" width="30.453125" style="7" customWidth="1"/>
    <col min="8" max="8" width="19.453125" style="7" customWidth="1"/>
    <col min="9" max="10" width="19.36328125" style="7" customWidth="1"/>
    <col min="11" max="11" width="19.36328125" style="49" customWidth="1"/>
    <col min="12" max="16384" width="8.81640625" style="7"/>
  </cols>
  <sheetData>
    <row r="1" spans="1:11">
      <c r="C1" s="27" t="s">
        <v>67</v>
      </c>
      <c r="D1" s="27" t="s">
        <v>20</v>
      </c>
      <c r="E1" s="10"/>
      <c r="F1" s="7" t="s">
        <v>131</v>
      </c>
    </row>
    <row r="2" spans="1:11">
      <c r="C2" s="27" t="s">
        <v>68</v>
      </c>
      <c r="D2" s="27" t="s">
        <v>69</v>
      </c>
      <c r="E2" s="10"/>
    </row>
    <row r="3" spans="1:11">
      <c r="C3" s="10"/>
      <c r="D3" s="10"/>
      <c r="E3" s="10"/>
    </row>
    <row r="4" spans="1:11">
      <c r="C4" s="9" t="s">
        <v>70</v>
      </c>
      <c r="D4" s="9">
        <v>51</v>
      </c>
      <c r="E4" s="10" t="s">
        <v>71</v>
      </c>
      <c r="F4" s="7" t="s">
        <v>127</v>
      </c>
    </row>
    <row r="5" spans="1:11">
      <c r="C5" s="9" t="s">
        <v>109</v>
      </c>
      <c r="D5" s="11">
        <v>4.3735999999999997</v>
      </c>
      <c r="E5" s="10" t="s">
        <v>86</v>
      </c>
    </row>
    <row r="6" spans="1:11">
      <c r="C6" s="9" t="s">
        <v>73</v>
      </c>
      <c r="D6" s="9">
        <v>90</v>
      </c>
      <c r="E6" s="10" t="s">
        <v>85</v>
      </c>
    </row>
    <row r="7" spans="1:11" ht="18.5">
      <c r="C7" s="28" t="s">
        <v>87</v>
      </c>
      <c r="D7" s="52">
        <f>D4*D5*D6</f>
        <v>20074.824000000001</v>
      </c>
      <c r="E7" s="29" t="s">
        <v>86</v>
      </c>
    </row>
    <row r="8" spans="1:11">
      <c r="C8" s="9" t="s">
        <v>110</v>
      </c>
      <c r="D8" s="11">
        <v>4</v>
      </c>
      <c r="E8" s="10" t="s">
        <v>103</v>
      </c>
      <c r="F8" s="31"/>
      <c r="G8" s="31"/>
      <c r="H8" s="31"/>
      <c r="I8" s="31"/>
      <c r="J8" s="31"/>
      <c r="K8" s="50"/>
    </row>
    <row r="9" spans="1:11">
      <c r="C9" s="9" t="s">
        <v>111</v>
      </c>
      <c r="D9" s="30">
        <v>6.9999999999999999E-4</v>
      </c>
      <c r="E9" s="10" t="s">
        <v>112</v>
      </c>
      <c r="F9" s="31"/>
      <c r="G9" s="31"/>
      <c r="H9" s="31"/>
      <c r="I9" s="31"/>
      <c r="J9" s="31"/>
      <c r="K9" s="50"/>
    </row>
    <row r="10" spans="1:11">
      <c r="C10" s="4"/>
      <c r="D10" s="12"/>
      <c r="E10" s="13"/>
      <c r="F10" s="31"/>
      <c r="G10" s="31"/>
      <c r="H10" s="31"/>
      <c r="I10" s="31"/>
      <c r="J10" s="31"/>
      <c r="K10" s="50"/>
    </row>
    <row r="11" spans="1:11" ht="15" thickBot="1">
      <c r="C11" s="4"/>
      <c r="D11" s="12"/>
      <c r="E11" s="13"/>
      <c r="F11" s="31"/>
      <c r="G11" s="31"/>
      <c r="H11" s="31"/>
      <c r="I11" s="31"/>
      <c r="J11" s="31"/>
      <c r="K11" s="50"/>
    </row>
    <row r="12" spans="1:11" ht="15" thickBot="1">
      <c r="C12" s="165" t="s">
        <v>113</v>
      </c>
      <c r="D12" s="166"/>
      <c r="E12" s="167"/>
      <c r="F12" s="168" t="s">
        <v>114</v>
      </c>
      <c r="G12" s="169"/>
      <c r="H12" s="31"/>
      <c r="I12" s="31"/>
      <c r="J12" s="31"/>
      <c r="K12" s="50"/>
    </row>
    <row r="13" spans="1:11" s="5" customFormat="1" ht="73.5" customHeight="1" thickBot="1">
      <c r="A13" s="54"/>
      <c r="B13" s="86" t="s">
        <v>89</v>
      </c>
      <c r="C13" s="87" t="s">
        <v>84</v>
      </c>
      <c r="D13" s="88" t="s">
        <v>81</v>
      </c>
      <c r="E13" s="89" t="s">
        <v>82</v>
      </c>
      <c r="F13" s="83" t="s">
        <v>126</v>
      </c>
      <c r="G13" s="84" t="s">
        <v>107</v>
      </c>
      <c r="H13" s="97" t="s">
        <v>83</v>
      </c>
      <c r="I13" s="98" t="s">
        <v>115</v>
      </c>
      <c r="J13" s="98" t="s">
        <v>116</v>
      </c>
      <c r="K13" s="99" t="s">
        <v>117</v>
      </c>
    </row>
    <row r="14" spans="1:11" ht="55.5" customHeight="1" thickBot="1">
      <c r="A14" s="53">
        <v>1</v>
      </c>
      <c r="B14" s="90" t="s">
        <v>72</v>
      </c>
      <c r="C14" s="32" t="s">
        <v>105</v>
      </c>
      <c r="D14" s="15" t="s">
        <v>90</v>
      </c>
      <c r="E14" s="33">
        <f>MAX($D$4*$D$5*0.29%*$D$6,9*$D$5)</f>
        <v>58.216989599999998</v>
      </c>
      <c r="F14" s="41" t="s">
        <v>108</v>
      </c>
      <c r="G14" s="33">
        <v>0</v>
      </c>
      <c r="H14" s="100">
        <f>E14+G14</f>
        <v>58.216989599999998</v>
      </c>
      <c r="I14" s="16">
        <f t="shared" ref="I14:I22" si="0">$D$4*$D$5*$D$6*0.07%</f>
        <v>14.052376800000003</v>
      </c>
      <c r="J14" s="16">
        <f>H14+I14</f>
        <v>72.269366399999996</v>
      </c>
      <c r="K14" s="101">
        <f>J14/$D$7</f>
        <v>3.5999999999999999E-3</v>
      </c>
    </row>
    <row r="15" spans="1:11" ht="97" thickBot="1">
      <c r="A15" s="53">
        <v>2</v>
      </c>
      <c r="B15" s="90" t="s">
        <v>21</v>
      </c>
      <c r="C15" s="34" t="s">
        <v>2</v>
      </c>
      <c r="D15" s="14" t="s">
        <v>91</v>
      </c>
      <c r="E15" s="35">
        <f>MAX($D$4*$D$5*0.39%*$D$6,12*$D$5)</f>
        <v>78.291813599999998</v>
      </c>
      <c r="F15" s="42" t="s">
        <v>106</v>
      </c>
      <c r="G15" s="43">
        <f>$D$4*$D$5*$D$6*0.02%*12+6*11</f>
        <v>114.1795776</v>
      </c>
      <c r="H15" s="102">
        <f t="shared" ref="H15:H26" si="1">E15+G15</f>
        <v>192.4713912</v>
      </c>
      <c r="I15" s="17">
        <f t="shared" si="0"/>
        <v>14.052376800000003</v>
      </c>
      <c r="J15" s="17">
        <f t="shared" ref="J15:J26" si="2">H15+I15</f>
        <v>206.52376799999999</v>
      </c>
      <c r="K15" s="103">
        <f t="shared" ref="K15:K26" si="3">J15/$D$7</f>
        <v>1.028770005654844E-2</v>
      </c>
    </row>
    <row r="16" spans="1:11" ht="98" customHeight="1" thickBot="1">
      <c r="A16" s="53">
        <v>3</v>
      </c>
      <c r="B16" s="90" t="s">
        <v>39</v>
      </c>
      <c r="C16" s="32" t="s">
        <v>3</v>
      </c>
      <c r="D16" s="19" t="s">
        <v>101</v>
      </c>
      <c r="E16" s="35">
        <f>MAX($D$4*$D$5*0.29%*$D$6,9*$D$5)</f>
        <v>58.216989599999998</v>
      </c>
      <c r="F16" s="44" t="s">
        <v>119</v>
      </c>
      <c r="G16" s="35">
        <f>$D$4*$D$5*$D$6*0.15%+60</f>
        <v>90.112235999999996</v>
      </c>
      <c r="H16" s="104">
        <f t="shared" si="1"/>
        <v>148.3292256</v>
      </c>
      <c r="I16" s="21">
        <f t="shared" si="0"/>
        <v>14.052376800000003</v>
      </c>
      <c r="J16" s="21">
        <f t="shared" si="2"/>
        <v>162.38160239999999</v>
      </c>
      <c r="K16" s="105">
        <f t="shared" si="3"/>
        <v>8.0888182332258547E-3</v>
      </c>
    </row>
    <row r="17" spans="1:12" ht="55.5" customHeight="1" thickBot="1">
      <c r="A17" s="53">
        <v>4</v>
      </c>
      <c r="B17" s="90" t="s">
        <v>49</v>
      </c>
      <c r="C17" s="32" t="s">
        <v>93</v>
      </c>
      <c r="D17" s="18" t="s">
        <v>196</v>
      </c>
      <c r="E17" s="35">
        <f>MAX($D$4*$D$5*0.12%*$D$6,10*$D$5)</f>
        <v>43.735999999999997</v>
      </c>
      <c r="F17" s="51" t="s">
        <v>121</v>
      </c>
      <c r="G17" s="38">
        <v>0</v>
      </c>
      <c r="H17" s="104">
        <f t="shared" si="1"/>
        <v>43.735999999999997</v>
      </c>
      <c r="I17" s="17">
        <f t="shared" si="0"/>
        <v>14.052376800000003</v>
      </c>
      <c r="J17" s="17">
        <f t="shared" si="2"/>
        <v>57.788376800000002</v>
      </c>
      <c r="K17" s="103">
        <f t="shared" si="3"/>
        <v>2.8786492374727668E-3</v>
      </c>
    </row>
    <row r="18" spans="1:12" ht="76.5" customHeight="1" thickBot="1">
      <c r="A18" s="53">
        <v>5</v>
      </c>
      <c r="B18" s="90" t="s">
        <v>74</v>
      </c>
      <c r="C18" s="32" t="s">
        <v>194</v>
      </c>
      <c r="D18" s="18" t="s">
        <v>102</v>
      </c>
      <c r="E18" s="36">
        <f>MAX($D$4*$D$5*0.29%*$D$6,5*$D$5)</f>
        <v>58.216989599999998</v>
      </c>
      <c r="F18" s="45" t="s">
        <v>120</v>
      </c>
      <c r="G18" s="35">
        <v>50</v>
      </c>
      <c r="H18" s="104">
        <f t="shared" si="1"/>
        <v>108.21698960000001</v>
      </c>
      <c r="I18" s="23">
        <f t="shared" si="0"/>
        <v>14.052376800000003</v>
      </c>
      <c r="J18" s="23">
        <f t="shared" si="2"/>
        <v>122.26936640000001</v>
      </c>
      <c r="K18" s="106">
        <f t="shared" si="3"/>
        <v>6.0906818610215463E-3</v>
      </c>
      <c r="L18" s="115"/>
    </row>
    <row r="19" spans="1:12" ht="82.5" customHeight="1" thickBot="1">
      <c r="A19" s="53">
        <v>6</v>
      </c>
      <c r="B19" s="90" t="s">
        <v>76</v>
      </c>
      <c r="C19" s="37" t="s">
        <v>95</v>
      </c>
      <c r="D19" s="26" t="s">
        <v>75</v>
      </c>
      <c r="E19" s="38">
        <f>MAX($D$4*$D$5*0.5%*$D$6,30*$D$5)</f>
        <v>131.208</v>
      </c>
      <c r="F19" s="42" t="s">
        <v>140</v>
      </c>
      <c r="G19" s="38">
        <f>MAX($D$4*$D$5*$D$6*0.04%*3,2.5*D5*3)+0.15%*D7</f>
        <v>62.914236000000002</v>
      </c>
      <c r="H19" s="104">
        <f t="shared" si="1"/>
        <v>194.12223599999999</v>
      </c>
      <c r="I19" s="16">
        <f t="shared" si="0"/>
        <v>14.052376800000003</v>
      </c>
      <c r="J19" s="16">
        <f t="shared" si="2"/>
        <v>208.17461279999998</v>
      </c>
      <c r="K19" s="101">
        <f t="shared" si="3"/>
        <v>1.0369934640522875E-2</v>
      </c>
    </row>
    <row r="20" spans="1:12" ht="52" customHeight="1" thickBot="1">
      <c r="A20" s="53">
        <v>7</v>
      </c>
      <c r="B20" s="90" t="s">
        <v>50</v>
      </c>
      <c r="C20" s="39" t="s">
        <v>96</v>
      </c>
      <c r="D20" s="24" t="s">
        <v>77</v>
      </c>
      <c r="E20" s="36">
        <f>($D$4*$D$5*$D$6*0.039%+2*$D$5)</f>
        <v>16.576381359999999</v>
      </c>
      <c r="F20" s="42" t="s">
        <v>122</v>
      </c>
      <c r="G20" s="46">
        <f>2.5*$D$5</f>
        <v>10.933999999999999</v>
      </c>
      <c r="H20" s="104">
        <f t="shared" si="1"/>
        <v>27.510381359999997</v>
      </c>
      <c r="I20" s="21">
        <f t="shared" si="0"/>
        <v>14.052376800000003</v>
      </c>
      <c r="J20" s="21">
        <f t="shared" si="2"/>
        <v>41.562758160000001</v>
      </c>
      <c r="K20" s="105">
        <f t="shared" si="3"/>
        <v>2.0703921568627449E-3</v>
      </c>
    </row>
    <row r="21" spans="1:12" ht="79" customHeight="1" thickBot="1">
      <c r="A21" s="53">
        <v>8</v>
      </c>
      <c r="B21" s="90" t="s">
        <v>50</v>
      </c>
      <c r="C21" s="40" t="s">
        <v>97</v>
      </c>
      <c r="D21" s="20" t="s">
        <v>100</v>
      </c>
      <c r="E21" s="33">
        <v>0</v>
      </c>
      <c r="F21" s="42" t="s">
        <v>104</v>
      </c>
      <c r="G21" s="46">
        <f>2.5*$D$5</f>
        <v>10.933999999999999</v>
      </c>
      <c r="H21" s="104">
        <f t="shared" si="1"/>
        <v>10.933999999999999</v>
      </c>
      <c r="I21" s="16">
        <f t="shared" si="0"/>
        <v>14.052376800000003</v>
      </c>
      <c r="J21" s="21">
        <f t="shared" si="2"/>
        <v>24.986376800000002</v>
      </c>
      <c r="K21" s="105">
        <f t="shared" si="3"/>
        <v>1.2446623093681918E-3</v>
      </c>
    </row>
    <row r="22" spans="1:12" ht="37" thickBot="1">
      <c r="A22" s="53">
        <v>9</v>
      </c>
      <c r="B22" s="90" t="s">
        <v>118</v>
      </c>
      <c r="C22" s="37" t="s">
        <v>64</v>
      </c>
      <c r="D22" s="25" t="s">
        <v>125</v>
      </c>
      <c r="E22" s="35">
        <f>MIN(MAX($D$4*$D$5*0.12%*$D$6,6*$D$5),99*D5)</f>
        <v>26.241599999999998</v>
      </c>
      <c r="F22" s="42" t="s">
        <v>123</v>
      </c>
      <c r="G22" s="47">
        <f>IF($D$7&lt;2000*$D$8,12*$D$8,0)</f>
        <v>0</v>
      </c>
      <c r="H22" s="107">
        <f t="shared" si="1"/>
        <v>26.241599999999998</v>
      </c>
      <c r="I22" s="21">
        <f t="shared" si="0"/>
        <v>14.052376800000003</v>
      </c>
      <c r="J22" s="16">
        <f t="shared" si="2"/>
        <v>40.293976800000003</v>
      </c>
      <c r="K22" s="108">
        <f t="shared" si="3"/>
        <v>2.0071895424836604E-3</v>
      </c>
    </row>
    <row r="23" spans="1:12" ht="66" thickBot="1">
      <c r="A23" s="53">
        <v>10</v>
      </c>
      <c r="B23" s="91" t="s">
        <v>92</v>
      </c>
      <c r="C23" s="39" t="s">
        <v>98</v>
      </c>
      <c r="D23" s="25" t="s">
        <v>183</v>
      </c>
      <c r="E23" s="38">
        <f>IF(D4*D5*D6&lt;1000*D5,1.2%*D4*D5*D6,0)</f>
        <v>0</v>
      </c>
      <c r="F23" s="41" t="s">
        <v>78</v>
      </c>
      <c r="G23" s="38">
        <f>D4*D5*D6*1.2%</f>
        <v>240.89788800000002</v>
      </c>
      <c r="H23" s="102">
        <f t="shared" si="1"/>
        <v>240.89788800000002</v>
      </c>
      <c r="I23" s="22">
        <f>$D$4*$D$5*$D$6*0.2%</f>
        <v>40.149647999999999</v>
      </c>
      <c r="J23" s="16">
        <f t="shared" si="2"/>
        <v>281.04753600000004</v>
      </c>
      <c r="K23" s="108">
        <f t="shared" si="3"/>
        <v>1.4000000000000002E-2</v>
      </c>
    </row>
    <row r="24" spans="1:12" ht="73" thickBot="1">
      <c r="A24" s="53">
        <v>11</v>
      </c>
      <c r="B24" s="91" t="s">
        <v>92</v>
      </c>
      <c r="C24" s="39" t="s">
        <v>99</v>
      </c>
      <c r="D24" s="25" t="s">
        <v>181</v>
      </c>
      <c r="E24" s="38">
        <f>MAX($D$4*$D$5*0.5%*$D$6,50*$D$5)</f>
        <v>218.67999999999998</v>
      </c>
      <c r="F24" s="41" t="s">
        <v>80</v>
      </c>
      <c r="G24" s="38">
        <f>D5*D6*D4*0.6%</f>
        <v>120.44894399999998</v>
      </c>
      <c r="H24" s="102">
        <f t="shared" si="1"/>
        <v>339.12894399999993</v>
      </c>
      <c r="I24" s="22">
        <f>$D$4*$D$5*$D$6*0.2%</f>
        <v>40.149647999999999</v>
      </c>
      <c r="J24" s="16">
        <f t="shared" si="2"/>
        <v>379.27859199999995</v>
      </c>
      <c r="K24" s="108">
        <f t="shared" si="3"/>
        <v>1.8893246187363832E-2</v>
      </c>
    </row>
    <row r="25" spans="1:12" s="12" customFormat="1" ht="73" thickBot="1">
      <c r="A25" s="7">
        <v>12</v>
      </c>
      <c r="B25" s="91" t="s">
        <v>158</v>
      </c>
      <c r="C25" s="77" t="s">
        <v>179</v>
      </c>
      <c r="D25" s="25" t="s">
        <v>159</v>
      </c>
      <c r="E25" s="38">
        <v>0</v>
      </c>
      <c r="F25" s="78">
        <v>4.7999999999999996E-3</v>
      </c>
      <c r="G25" s="114">
        <f>D7*0.48%</f>
        <v>96.359155199999989</v>
      </c>
      <c r="H25" s="102">
        <f t="shared" si="1"/>
        <v>96.359155199999989</v>
      </c>
      <c r="I25" s="22">
        <f>$D$4*$D$5*$D$6*0.07%</f>
        <v>14.052376800000003</v>
      </c>
      <c r="J25" s="16">
        <f t="shared" si="2"/>
        <v>110.41153199999999</v>
      </c>
      <c r="K25" s="108">
        <f t="shared" si="3"/>
        <v>5.4999999999999997E-3</v>
      </c>
    </row>
    <row r="26" spans="1:12" s="12" customFormat="1" ht="97" thickBot="1">
      <c r="A26" s="7">
        <v>12</v>
      </c>
      <c r="B26" s="92" t="s">
        <v>177</v>
      </c>
      <c r="C26" s="93" t="s">
        <v>178</v>
      </c>
      <c r="D26" s="94" t="s">
        <v>175</v>
      </c>
      <c r="E26" s="48">
        <f>MAX($D$7*0.1%,4*D5)</f>
        <v>20.074824</v>
      </c>
      <c r="F26" s="95" t="s">
        <v>176</v>
      </c>
      <c r="G26" s="113">
        <f>9*10*D8</f>
        <v>360</v>
      </c>
      <c r="H26" s="109">
        <f t="shared" si="1"/>
        <v>380.07482399999998</v>
      </c>
      <c r="I26" s="110">
        <f>$D$4*$D$5*$D$6*0.07%</f>
        <v>14.052376800000003</v>
      </c>
      <c r="J26" s="111">
        <f t="shared" si="2"/>
        <v>394.12720079999997</v>
      </c>
      <c r="K26" s="112">
        <f t="shared" si="3"/>
        <v>1.9632909399355129E-2</v>
      </c>
    </row>
  </sheetData>
  <mergeCells count="2">
    <mergeCell ref="C12:E12"/>
    <mergeCell ref="F12:G12"/>
  </mergeCells>
  <conditionalFormatting sqref="J14:J20">
    <cfRule type="top10" dxfId="61" priority="15" rank="3"/>
    <cfRule type="top10" dxfId="60" priority="16" bottom="1" rank="3"/>
    <cfRule type="top10" dxfId="59" priority="17" rank="5"/>
  </conditionalFormatting>
  <conditionalFormatting sqref="J22">
    <cfRule type="top10" dxfId="58" priority="12" rank="3"/>
    <cfRule type="top10" dxfId="57" priority="13" bottom="1" rank="3"/>
    <cfRule type="top10" dxfId="56" priority="14" rank="5"/>
  </conditionalFormatting>
  <conditionalFormatting sqref="J23">
    <cfRule type="top10" dxfId="55" priority="9" rank="3"/>
    <cfRule type="top10" dxfId="54" priority="10" bottom="1" rank="3"/>
    <cfRule type="top10" dxfId="53" priority="11" rank="5"/>
  </conditionalFormatting>
  <conditionalFormatting sqref="J21">
    <cfRule type="top10" dxfId="52" priority="6" rank="3"/>
    <cfRule type="top10" dxfId="51" priority="7" bottom="1" rank="3"/>
    <cfRule type="top10" dxfId="50" priority="8" rank="5"/>
  </conditionalFormatting>
  <conditionalFormatting sqref="J24:J26">
    <cfRule type="top10" dxfId="49" priority="3" rank="3"/>
    <cfRule type="top10" dxfId="48" priority="4" bottom="1" rank="3"/>
    <cfRule type="top10" dxfId="47" priority="5" rank="5"/>
  </conditionalFormatting>
  <conditionalFormatting sqref="J14:J26">
    <cfRule type="top10" dxfId="46" priority="1" bottom="1" rank="5"/>
    <cfRule type="top10" dxfId="45" priority="2" percent="1" rank="5"/>
  </conditionalFormatting>
  <hyperlinks>
    <hyperlink ref="B14" r:id="rId1" display="../../../../Downloads/Tabela op_at i prowizji maklerskich Domu Maklerskiego Banku Ochrony _rodowiska S.A. - rynek zagraniczny (4).pdf" xr:uid="{00000000-0004-0000-0500-000000000000}"/>
    <hyperlink ref="B15" r:id="rId2" xr:uid="{00000000-0004-0000-0500-000001000000}"/>
    <hyperlink ref="B16" r:id="rId3" location="/szczegoly-oferty/" display="https://www.bm.pkobp.pl/oferta/klient-indywidualny/rynki-zagraniczne/ - /szczegoly-oferty/" xr:uid="{00000000-0004-0000-0500-000002000000}"/>
    <hyperlink ref="B17" r:id="rId4" display="https://xtb.scdn5.secure.raxcdn.com/file/0043/33/Tabela op%C5%82at i prowizji_11062019_e30ada4dde.pdf" xr:uid="{00000000-0004-0000-0500-000003000000}"/>
    <hyperlink ref="B18" r:id="rId5" xr:uid="{00000000-0004-0000-0500-000004000000}"/>
    <hyperlink ref="B19" r:id="rId6" xr:uid="{00000000-0004-0000-0500-000005000000}"/>
    <hyperlink ref="B23" r:id="rId7" location="inbox/FMfcgxwDrldjpsjxPNnFLzPNBLRgVgCR?projector=1&amp;messagePartId=0.3" display="https://mail.google.com/mail/u/0/ - inbox/FMfcgxwDrldjpsjxPNnFLzPNBLRgVgCR?projector=1&amp;messagePartId=0.3" xr:uid="{00000000-0004-0000-0500-000006000000}"/>
    <hyperlink ref="B20" r:id="rId8" xr:uid="{00000000-0004-0000-0500-000007000000}"/>
    <hyperlink ref="B21" r:id="rId9" xr:uid="{00000000-0004-0000-0500-000008000000}"/>
    <hyperlink ref="B24" r:id="rId10" location="inbox/FMfcgxwDrldjpsjxPNnFLzPNBLRgVgCR?projector=1&amp;messagePartId=0.3" display="https://mail.google.com/mail/u/0/ - inbox/FMfcgxwDrldjpsjxPNnFLzPNBLRgVgCR?projector=1&amp;messagePartId=0.3" xr:uid="{00000000-0004-0000-0500-000009000000}"/>
    <hyperlink ref="B22" r:id="rId11" xr:uid="{00000000-0004-0000-0500-00000A000000}"/>
    <hyperlink ref="B25" r:id="rId12" xr:uid="{00000000-0004-0000-0500-00000B000000}"/>
    <hyperlink ref="B26" r:id="rId13" xr:uid="{00000000-0004-0000-0500-00000C000000}"/>
  </hyperlinks>
  <pageMargins left="0.7" right="0.7" top="0.75" bottom="0.75" header="0.3" footer="0.3"/>
  <pageSetup paperSize="9" orientation="portrait" verticalDpi="300" r:id="rId14"/>
  <drawing r:id="rId15"/>
  <legacyDrawing r:id="rId1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5"/>
  <sheetViews>
    <sheetView showGridLines="0" topLeftCell="A10" zoomScaleNormal="100" workbookViewId="0">
      <selection activeCell="C17" sqref="C17"/>
    </sheetView>
  </sheetViews>
  <sheetFormatPr defaultColWidth="8.81640625" defaultRowHeight="14.5"/>
  <cols>
    <col min="1" max="1" width="2.36328125" style="53" customWidth="1"/>
    <col min="2" max="2" width="7.453125" style="7" customWidth="1"/>
    <col min="3" max="3" width="24.453125" style="2" customWidth="1"/>
    <col min="4" max="4" width="34.453125" style="7" customWidth="1"/>
    <col min="5" max="5" width="21.1796875" style="6" customWidth="1"/>
    <col min="6" max="6" width="50.453125" style="7" customWidth="1"/>
    <col min="7" max="7" width="30.453125" style="7" customWidth="1"/>
    <col min="8" max="8" width="19.453125" style="7" customWidth="1"/>
    <col min="9" max="10" width="19.36328125" style="7" customWidth="1"/>
    <col min="11" max="11" width="19.36328125" style="49" customWidth="1"/>
    <col min="12" max="16384" width="8.81640625" style="7"/>
  </cols>
  <sheetData>
    <row r="1" spans="1:11">
      <c r="C1" s="27" t="s">
        <v>67</v>
      </c>
      <c r="D1" s="27" t="s">
        <v>20</v>
      </c>
      <c r="E1" s="10"/>
      <c r="F1" s="7" t="s">
        <v>131</v>
      </c>
    </row>
    <row r="2" spans="1:11">
      <c r="C2" s="27" t="s">
        <v>68</v>
      </c>
      <c r="D2" s="27" t="s">
        <v>69</v>
      </c>
      <c r="E2" s="10"/>
    </row>
    <row r="3" spans="1:11">
      <c r="C3" s="10"/>
      <c r="D3" s="10"/>
      <c r="E3" s="10"/>
    </row>
    <row r="4" spans="1:11">
      <c r="C4" s="9" t="s">
        <v>70</v>
      </c>
      <c r="D4" s="9">
        <v>51</v>
      </c>
      <c r="E4" s="10" t="s">
        <v>71</v>
      </c>
      <c r="F4" s="7" t="s">
        <v>127</v>
      </c>
    </row>
    <row r="5" spans="1:11">
      <c r="C5" s="9" t="s">
        <v>109</v>
      </c>
      <c r="D5" s="11">
        <v>4.3735999999999997</v>
      </c>
      <c r="E5" s="10" t="s">
        <v>86</v>
      </c>
    </row>
    <row r="6" spans="1:11">
      <c r="C6" s="9" t="s">
        <v>73</v>
      </c>
      <c r="D6" s="9">
        <v>225</v>
      </c>
      <c r="E6" s="10" t="s">
        <v>85</v>
      </c>
    </row>
    <row r="7" spans="1:11" ht="18.5">
      <c r="C7" s="28" t="s">
        <v>87</v>
      </c>
      <c r="D7" s="52">
        <f>D4*D5*D6</f>
        <v>50187.06</v>
      </c>
      <c r="E7" s="29" t="s">
        <v>86</v>
      </c>
    </row>
    <row r="8" spans="1:11">
      <c r="C8" s="9" t="s">
        <v>110</v>
      </c>
      <c r="D8" s="11">
        <v>4</v>
      </c>
      <c r="E8" s="10" t="s">
        <v>103</v>
      </c>
      <c r="F8" s="31"/>
      <c r="G8" s="31"/>
      <c r="H8" s="31"/>
      <c r="I8" s="31"/>
      <c r="J8" s="31"/>
      <c r="K8" s="50"/>
    </row>
    <row r="9" spans="1:11">
      <c r="C9" s="9" t="s">
        <v>111</v>
      </c>
      <c r="D9" s="30">
        <v>6.9999999999999999E-4</v>
      </c>
      <c r="E9" s="10" t="s">
        <v>112</v>
      </c>
      <c r="F9" s="31"/>
      <c r="G9" s="31"/>
      <c r="H9" s="31"/>
      <c r="I9" s="31"/>
      <c r="J9" s="31"/>
      <c r="K9" s="50"/>
    </row>
    <row r="10" spans="1:11" ht="15" thickBot="1">
      <c r="C10" s="4"/>
      <c r="D10" s="12"/>
      <c r="E10" s="13"/>
      <c r="F10" s="31"/>
      <c r="G10" s="31"/>
      <c r="H10" s="31"/>
      <c r="I10" s="31"/>
      <c r="J10" s="31"/>
      <c r="K10" s="50"/>
    </row>
    <row r="11" spans="1:11" ht="15" thickBot="1">
      <c r="C11" s="165" t="s">
        <v>113</v>
      </c>
      <c r="D11" s="166"/>
      <c r="E11" s="167"/>
      <c r="F11" s="168" t="s">
        <v>114</v>
      </c>
      <c r="G11" s="169"/>
      <c r="H11" s="31"/>
      <c r="I11" s="31"/>
      <c r="J11" s="31"/>
      <c r="K11" s="50"/>
    </row>
    <row r="12" spans="1:11" s="5" customFormat="1" ht="73.5" customHeight="1" thickBot="1">
      <c r="A12" s="54"/>
      <c r="B12" s="86" t="s">
        <v>89</v>
      </c>
      <c r="C12" s="87" t="s">
        <v>84</v>
      </c>
      <c r="D12" s="88" t="s">
        <v>81</v>
      </c>
      <c r="E12" s="89" t="s">
        <v>82</v>
      </c>
      <c r="F12" s="83" t="s">
        <v>126</v>
      </c>
      <c r="G12" s="84" t="s">
        <v>107</v>
      </c>
      <c r="H12" s="97" t="s">
        <v>83</v>
      </c>
      <c r="I12" s="98" t="s">
        <v>115</v>
      </c>
      <c r="J12" s="98" t="s">
        <v>116</v>
      </c>
      <c r="K12" s="99" t="s">
        <v>117</v>
      </c>
    </row>
    <row r="13" spans="1:11" ht="55.5" customHeight="1" thickBot="1">
      <c r="A13" s="53">
        <v>1</v>
      </c>
      <c r="B13" s="90" t="s">
        <v>72</v>
      </c>
      <c r="C13" s="32" t="s">
        <v>105</v>
      </c>
      <c r="D13" s="15" t="s">
        <v>90</v>
      </c>
      <c r="E13" s="33">
        <f>MAX($D$4*$D$5*0.29%*$D$6,9*$D$5)</f>
        <v>145.542474</v>
      </c>
      <c r="F13" s="41" t="s">
        <v>108</v>
      </c>
      <c r="G13" s="33">
        <v>0</v>
      </c>
      <c r="H13" s="100">
        <f>E13+G13</f>
        <v>145.542474</v>
      </c>
      <c r="I13" s="16">
        <f t="shared" ref="I13:I21" si="0">$D$4*$D$5*$D$6*0.07%</f>
        <v>35.130942000000005</v>
      </c>
      <c r="J13" s="16">
        <f>H13+I13</f>
        <v>180.673416</v>
      </c>
      <c r="K13" s="101">
        <f>J13/$D$7</f>
        <v>3.6000000000000003E-3</v>
      </c>
    </row>
    <row r="14" spans="1:11" ht="97" thickBot="1">
      <c r="A14" s="53">
        <v>2</v>
      </c>
      <c r="B14" s="90" t="s">
        <v>21</v>
      </c>
      <c r="C14" s="34" t="s">
        <v>2</v>
      </c>
      <c r="D14" s="14" t="s">
        <v>91</v>
      </c>
      <c r="E14" s="35">
        <f>MAX($D$4*$D$5*0.39%*$D$6,12*$D$5)</f>
        <v>195.729534</v>
      </c>
      <c r="F14" s="42" t="s">
        <v>106</v>
      </c>
      <c r="G14" s="43">
        <f>$D$4*$D$5*$D$6*0.02%*12+6*11</f>
        <v>186.44894399999998</v>
      </c>
      <c r="H14" s="102">
        <f t="shared" ref="H14:H25" si="1">E14+G14</f>
        <v>382.17847799999998</v>
      </c>
      <c r="I14" s="17">
        <f t="shared" si="0"/>
        <v>35.130942000000005</v>
      </c>
      <c r="J14" s="17">
        <f t="shared" ref="J14:J25" si="2">H14+I14</f>
        <v>417.30941999999999</v>
      </c>
      <c r="K14" s="103">
        <f t="shared" ref="K14:K25" si="3">J14/$D$7</f>
        <v>8.3150800226193759E-3</v>
      </c>
    </row>
    <row r="15" spans="1:11" ht="98" customHeight="1" thickBot="1">
      <c r="A15" s="53">
        <v>3</v>
      </c>
      <c r="B15" s="90" t="s">
        <v>39</v>
      </c>
      <c r="C15" s="32" t="s">
        <v>3</v>
      </c>
      <c r="D15" s="19" t="s">
        <v>101</v>
      </c>
      <c r="E15" s="35">
        <f>MAX($D$4*$D$5*0.29%*$D$6,9*$D$5)</f>
        <v>145.542474</v>
      </c>
      <c r="F15" s="44" t="s">
        <v>119</v>
      </c>
      <c r="G15" s="35">
        <f>$D$4*$D$5*$D$6*0.15%+60</f>
        <v>135.28059000000002</v>
      </c>
      <c r="H15" s="104">
        <f t="shared" si="1"/>
        <v>280.82306400000004</v>
      </c>
      <c r="I15" s="21">
        <f t="shared" si="0"/>
        <v>35.130942000000005</v>
      </c>
      <c r="J15" s="21">
        <f t="shared" si="2"/>
        <v>315.95400600000005</v>
      </c>
      <c r="K15" s="105">
        <f t="shared" si="3"/>
        <v>6.2955272932903438E-3</v>
      </c>
    </row>
    <row r="16" spans="1:11" ht="55.5" customHeight="1" thickBot="1">
      <c r="A16" s="53">
        <v>4</v>
      </c>
      <c r="B16" s="90" t="s">
        <v>49</v>
      </c>
      <c r="C16" s="32" t="s">
        <v>93</v>
      </c>
      <c r="D16" s="18" t="s">
        <v>196</v>
      </c>
      <c r="E16" s="35">
        <f>MAX($D$4*$D$5*0.12%*$D$6,10*$D$5)</f>
        <v>60.224471999999992</v>
      </c>
      <c r="F16" s="51" t="s">
        <v>121</v>
      </c>
      <c r="G16" s="38">
        <v>0</v>
      </c>
      <c r="H16" s="104">
        <f t="shared" si="1"/>
        <v>60.224471999999992</v>
      </c>
      <c r="I16" s="17">
        <f t="shared" si="0"/>
        <v>35.130942000000005</v>
      </c>
      <c r="J16" s="17">
        <f t="shared" si="2"/>
        <v>95.355413999999996</v>
      </c>
      <c r="K16" s="103">
        <f t="shared" si="3"/>
        <v>1.9E-3</v>
      </c>
    </row>
    <row r="17" spans="1:11" ht="55.5" customHeight="1" thickBot="1">
      <c r="A17" s="53">
        <v>5</v>
      </c>
      <c r="B17" s="90" t="s">
        <v>74</v>
      </c>
      <c r="C17" s="32" t="s">
        <v>194</v>
      </c>
      <c r="D17" s="18" t="s">
        <v>102</v>
      </c>
      <c r="E17" s="36">
        <f>MAX($D$4*$D$5*0.29%*$D$6,5*$D$5)</f>
        <v>145.542474</v>
      </c>
      <c r="F17" s="45" t="s">
        <v>120</v>
      </c>
      <c r="G17" s="35">
        <v>50</v>
      </c>
      <c r="H17" s="104">
        <f t="shared" si="1"/>
        <v>195.542474</v>
      </c>
      <c r="I17" s="23">
        <f t="shared" si="0"/>
        <v>35.130942000000005</v>
      </c>
      <c r="J17" s="23">
        <f t="shared" si="2"/>
        <v>230.673416</v>
      </c>
      <c r="K17" s="106">
        <f t="shared" si="3"/>
        <v>4.5962727444086192E-3</v>
      </c>
    </row>
    <row r="18" spans="1:11" ht="101" customHeight="1" thickBot="1">
      <c r="A18" s="53">
        <v>6</v>
      </c>
      <c r="B18" s="90" t="s">
        <v>76</v>
      </c>
      <c r="C18" s="37" t="s">
        <v>95</v>
      </c>
      <c r="D18" s="26" t="s">
        <v>75</v>
      </c>
      <c r="E18" s="38">
        <f>MAX($D$4*$D$5*0.5%*$D$6,30*$D$5)</f>
        <v>250.93529999999998</v>
      </c>
      <c r="F18" s="42" t="s">
        <v>140</v>
      </c>
      <c r="G18" s="38">
        <f>MAX($D$4*$D$5*$D$6*0.04%*3,2.5*D5*3)+0.15%*D7</f>
        <v>135.50506200000001</v>
      </c>
      <c r="H18" s="104">
        <f t="shared" si="1"/>
        <v>386.44036199999999</v>
      </c>
      <c r="I18" s="16">
        <f t="shared" si="0"/>
        <v>35.130942000000005</v>
      </c>
      <c r="J18" s="16">
        <f t="shared" si="2"/>
        <v>421.571304</v>
      </c>
      <c r="K18" s="101">
        <f t="shared" si="3"/>
        <v>8.3999999999999995E-3</v>
      </c>
    </row>
    <row r="19" spans="1:11" ht="52" customHeight="1" thickBot="1">
      <c r="A19" s="53">
        <v>7</v>
      </c>
      <c r="B19" s="90" t="s">
        <v>50</v>
      </c>
      <c r="C19" s="39" t="s">
        <v>96</v>
      </c>
      <c r="D19" s="24" t="s">
        <v>77</v>
      </c>
      <c r="E19" s="36">
        <f>($D$4*$D$5*$D$6*0.039%+2*$D$5)</f>
        <v>28.320153399999999</v>
      </c>
      <c r="F19" s="42" t="s">
        <v>122</v>
      </c>
      <c r="G19" s="46">
        <f>2.5*$D$5</f>
        <v>10.933999999999999</v>
      </c>
      <c r="H19" s="104">
        <f t="shared" si="1"/>
        <v>39.2541534</v>
      </c>
      <c r="I19" s="21">
        <f t="shared" si="0"/>
        <v>35.130942000000005</v>
      </c>
      <c r="J19" s="21">
        <f t="shared" si="2"/>
        <v>74.385095400000012</v>
      </c>
      <c r="K19" s="105">
        <f t="shared" si="3"/>
        <v>1.4821568627450983E-3</v>
      </c>
    </row>
    <row r="20" spans="1:11" ht="79" customHeight="1" thickBot="1">
      <c r="A20" s="53">
        <v>8</v>
      </c>
      <c r="B20" s="90" t="s">
        <v>50</v>
      </c>
      <c r="C20" s="40" t="s">
        <v>97</v>
      </c>
      <c r="D20" s="20" t="s">
        <v>100</v>
      </c>
      <c r="E20" s="33">
        <v>0</v>
      </c>
      <c r="F20" s="42" t="s">
        <v>104</v>
      </c>
      <c r="G20" s="46">
        <f>2.5*$D$5</f>
        <v>10.933999999999999</v>
      </c>
      <c r="H20" s="104">
        <f t="shared" si="1"/>
        <v>10.933999999999999</v>
      </c>
      <c r="I20" s="16">
        <f t="shared" si="0"/>
        <v>35.130942000000005</v>
      </c>
      <c r="J20" s="21">
        <f t="shared" si="2"/>
        <v>46.064942000000002</v>
      </c>
      <c r="K20" s="105">
        <f t="shared" si="3"/>
        <v>9.1786492374727681E-4</v>
      </c>
    </row>
    <row r="21" spans="1:11" ht="37" thickBot="1">
      <c r="A21" s="53">
        <v>9</v>
      </c>
      <c r="B21" s="90" t="s">
        <v>118</v>
      </c>
      <c r="C21" s="37" t="s">
        <v>64</v>
      </c>
      <c r="D21" s="25" t="s">
        <v>125</v>
      </c>
      <c r="E21" s="35">
        <f>MIN(MAX($D$4*$D$5*0.12%*$D$6,6*$D$5),99*D5)</f>
        <v>60.224471999999992</v>
      </c>
      <c r="F21" s="42" t="s">
        <v>123</v>
      </c>
      <c r="G21" s="47">
        <f>IF($D$7&lt;2000*$D$8,12*$D$8,0)</f>
        <v>0</v>
      </c>
      <c r="H21" s="107">
        <f t="shared" si="1"/>
        <v>60.224471999999992</v>
      </c>
      <c r="I21" s="21">
        <f t="shared" si="0"/>
        <v>35.130942000000005</v>
      </c>
      <c r="J21" s="16">
        <f t="shared" si="2"/>
        <v>95.355413999999996</v>
      </c>
      <c r="K21" s="108">
        <f t="shared" si="3"/>
        <v>1.9E-3</v>
      </c>
    </row>
    <row r="22" spans="1:11" ht="66" thickBot="1">
      <c r="A22" s="53">
        <v>10</v>
      </c>
      <c r="B22" s="91" t="s">
        <v>92</v>
      </c>
      <c r="C22" s="39" t="s">
        <v>98</v>
      </c>
      <c r="D22" s="25" t="s">
        <v>182</v>
      </c>
      <c r="E22" s="38">
        <f>IF(D4*D5*D6&lt;1000*D5,1.2%*D4*D5*D6,0)</f>
        <v>0</v>
      </c>
      <c r="F22" s="41" t="s">
        <v>78</v>
      </c>
      <c r="G22" s="38">
        <f>D4*D5*D6*1.2%</f>
        <v>602.24472000000003</v>
      </c>
      <c r="H22" s="102">
        <f t="shared" si="1"/>
        <v>602.24472000000003</v>
      </c>
      <c r="I22" s="22">
        <f>$D$4*$D$5*$D$6*0.2%</f>
        <v>100.37411999999999</v>
      </c>
      <c r="J22" s="16">
        <f t="shared" si="2"/>
        <v>702.61883999999998</v>
      </c>
      <c r="K22" s="108">
        <f t="shared" si="3"/>
        <v>1.4E-2</v>
      </c>
    </row>
    <row r="23" spans="1:11" ht="66" thickBot="1">
      <c r="A23" s="53">
        <v>11</v>
      </c>
      <c r="B23" s="91" t="s">
        <v>92</v>
      </c>
      <c r="C23" s="39" t="s">
        <v>99</v>
      </c>
      <c r="D23" s="25" t="s">
        <v>79</v>
      </c>
      <c r="E23" s="38">
        <f>MAX($D$4*$D$5*0.5%*$D$6,50*$D$5)</f>
        <v>250.93529999999998</v>
      </c>
      <c r="F23" s="41" t="s">
        <v>80</v>
      </c>
      <c r="G23" s="38">
        <f>D5*D6*D4*0.6%</f>
        <v>301.12236000000001</v>
      </c>
      <c r="H23" s="102">
        <f t="shared" si="1"/>
        <v>552.05765999999994</v>
      </c>
      <c r="I23" s="22">
        <f>$D$4*$D$5*$D$6*0.2%</f>
        <v>100.37411999999999</v>
      </c>
      <c r="J23" s="16">
        <f t="shared" si="2"/>
        <v>652.43177999999989</v>
      </c>
      <c r="K23" s="108">
        <f t="shared" si="3"/>
        <v>1.2999999999999998E-2</v>
      </c>
    </row>
    <row r="24" spans="1:11" s="12" customFormat="1" ht="73" thickBot="1">
      <c r="A24" s="7">
        <v>12</v>
      </c>
      <c r="B24" s="91" t="s">
        <v>158</v>
      </c>
      <c r="C24" s="77" t="s">
        <v>179</v>
      </c>
      <c r="D24" s="25" t="s">
        <v>159</v>
      </c>
      <c r="E24" s="38">
        <v>0</v>
      </c>
      <c r="F24" s="78">
        <v>4.7999999999999996E-3</v>
      </c>
      <c r="G24" s="114">
        <f>D7*0.48%</f>
        <v>240.89788799999997</v>
      </c>
      <c r="H24" s="102">
        <f t="shared" si="1"/>
        <v>240.89788799999997</v>
      </c>
      <c r="I24" s="22">
        <f>$D$4*$D$5*$D$6*0.07%</f>
        <v>35.130942000000005</v>
      </c>
      <c r="J24" s="16">
        <f t="shared" si="2"/>
        <v>276.02882999999997</v>
      </c>
      <c r="K24" s="108">
        <f t="shared" si="3"/>
        <v>5.4999999999999997E-3</v>
      </c>
    </row>
    <row r="25" spans="1:11" ht="97" thickBot="1">
      <c r="A25" s="7">
        <v>12</v>
      </c>
      <c r="B25" s="92" t="s">
        <v>177</v>
      </c>
      <c r="C25" s="93" t="s">
        <v>178</v>
      </c>
      <c r="D25" s="94" t="s">
        <v>175</v>
      </c>
      <c r="E25" s="48">
        <f>MAX($D$7*0.1%,4*D5)</f>
        <v>50.187059999999995</v>
      </c>
      <c r="F25" s="95" t="s">
        <v>176</v>
      </c>
      <c r="G25" s="113">
        <f>9*10*$D$8</f>
        <v>360</v>
      </c>
      <c r="H25" s="109">
        <f t="shared" si="1"/>
        <v>410.18705999999997</v>
      </c>
      <c r="I25" s="110">
        <f>$D$4*$D$5*$D$6*0.07%</f>
        <v>35.130942000000005</v>
      </c>
      <c r="J25" s="111">
        <f t="shared" si="2"/>
        <v>445.31800199999998</v>
      </c>
      <c r="K25" s="112">
        <f t="shared" si="3"/>
        <v>8.8731637597420539E-3</v>
      </c>
    </row>
  </sheetData>
  <mergeCells count="2">
    <mergeCell ref="C11:E11"/>
    <mergeCell ref="F11:G11"/>
  </mergeCells>
  <conditionalFormatting sqref="J21">
    <cfRule type="top10" dxfId="44" priority="10" rank="3"/>
    <cfRule type="top10" dxfId="43" priority="11" bottom="1" rank="3"/>
    <cfRule type="top10" dxfId="42" priority="12" rank="5"/>
  </conditionalFormatting>
  <conditionalFormatting sqref="J13:J19">
    <cfRule type="top10" dxfId="41" priority="13" rank="3"/>
    <cfRule type="top10" dxfId="40" priority="14" bottom="1" rank="3"/>
    <cfRule type="top10" dxfId="39" priority="15" rank="5"/>
  </conditionalFormatting>
  <conditionalFormatting sqref="J22">
    <cfRule type="top10" dxfId="38" priority="7" rank="3"/>
    <cfRule type="top10" dxfId="37" priority="8" bottom="1" rank="3"/>
    <cfRule type="top10" dxfId="36" priority="9" rank="5"/>
  </conditionalFormatting>
  <conditionalFormatting sqref="J20">
    <cfRule type="top10" dxfId="35" priority="4" rank="3"/>
    <cfRule type="top10" dxfId="34" priority="5" bottom="1" rank="3"/>
    <cfRule type="top10" dxfId="33" priority="6" rank="5"/>
  </conditionalFormatting>
  <conditionalFormatting sqref="J23:J25">
    <cfRule type="top10" dxfId="32" priority="1" rank="3"/>
    <cfRule type="top10" dxfId="31" priority="2" bottom="1" rank="3"/>
    <cfRule type="top10" dxfId="30" priority="3" rank="5"/>
  </conditionalFormatting>
  <hyperlinks>
    <hyperlink ref="B13" r:id="rId1" display="../../../../Downloads/Tabela op_at i prowizji maklerskich Domu Maklerskiego Banku Ochrony _rodowiska S.A. - rynek zagraniczny (4).pdf" xr:uid="{00000000-0004-0000-0600-000000000000}"/>
    <hyperlink ref="B14" r:id="rId2" xr:uid="{00000000-0004-0000-0600-000001000000}"/>
    <hyperlink ref="B15" r:id="rId3" location="/szczegoly-oferty/" display="https://www.bm.pkobp.pl/oferta/klient-indywidualny/rynki-zagraniczne/ - /szczegoly-oferty/" xr:uid="{00000000-0004-0000-0600-000002000000}"/>
    <hyperlink ref="B16" r:id="rId4" display="https://xtb.scdn5.secure.raxcdn.com/file/0043/33/Tabela op%C5%82at i prowizji_11062019_e30ada4dde.pdf" xr:uid="{00000000-0004-0000-0600-000003000000}"/>
    <hyperlink ref="B17" r:id="rId5" xr:uid="{00000000-0004-0000-0600-000004000000}"/>
    <hyperlink ref="B18" r:id="rId6" xr:uid="{00000000-0004-0000-0600-000005000000}"/>
    <hyperlink ref="B22" r:id="rId7" location="inbox/FMfcgxwDrldjpsjxPNnFLzPNBLRgVgCR?projector=1&amp;messagePartId=0.3" display="https://mail.google.com/mail/u/0/ - inbox/FMfcgxwDrldjpsjxPNnFLzPNBLRgVgCR?projector=1&amp;messagePartId=0.3" xr:uid="{00000000-0004-0000-0600-000006000000}"/>
    <hyperlink ref="B19" r:id="rId8" xr:uid="{00000000-0004-0000-0600-000007000000}"/>
    <hyperlink ref="B20" r:id="rId9" xr:uid="{00000000-0004-0000-0600-000008000000}"/>
    <hyperlink ref="B23" r:id="rId10" location="inbox/FMfcgxwDrldjpsjxPNnFLzPNBLRgVgCR?projector=1&amp;messagePartId=0.3" display="https://mail.google.com/mail/u/0/ - inbox/FMfcgxwDrldjpsjxPNnFLzPNBLRgVgCR?projector=1&amp;messagePartId=0.3" xr:uid="{00000000-0004-0000-0600-000009000000}"/>
    <hyperlink ref="B21" r:id="rId11" xr:uid="{00000000-0004-0000-0600-00000A000000}"/>
    <hyperlink ref="B24" r:id="rId12" xr:uid="{00000000-0004-0000-0600-00000B000000}"/>
    <hyperlink ref="B25" r:id="rId13" xr:uid="{00000000-0004-0000-0600-00000C000000}"/>
  </hyperlinks>
  <pageMargins left="0.7" right="0.7" top="0.75" bottom="0.75" header="0.3" footer="0.3"/>
  <pageSetup paperSize="9" orientation="portrait" verticalDpi="300" r:id="rId14"/>
  <drawing r:id="rId15"/>
  <legacyDrawing r:id="rId1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6"/>
  <sheetViews>
    <sheetView showGridLines="0" topLeftCell="A10" zoomScaleNormal="100" workbookViewId="0">
      <selection activeCell="C18" sqref="C18"/>
    </sheetView>
  </sheetViews>
  <sheetFormatPr defaultColWidth="8.81640625" defaultRowHeight="14.5"/>
  <cols>
    <col min="1" max="1" width="2.36328125" style="53" customWidth="1"/>
    <col min="2" max="2" width="7.453125" style="7" customWidth="1"/>
    <col min="3" max="3" width="24.453125" style="2" customWidth="1"/>
    <col min="4" max="4" width="34.453125" style="7" customWidth="1"/>
    <col min="5" max="5" width="21.1796875" style="6" customWidth="1"/>
    <col min="6" max="6" width="50.453125" style="7" customWidth="1"/>
    <col min="7" max="7" width="30.453125" style="7" customWidth="1"/>
    <col min="8" max="8" width="19.453125" style="7" customWidth="1"/>
    <col min="9" max="10" width="19.36328125" style="7" customWidth="1"/>
    <col min="11" max="11" width="19.36328125" style="49" customWidth="1"/>
    <col min="12" max="16384" width="8.81640625" style="7"/>
  </cols>
  <sheetData>
    <row r="1" spans="1:11">
      <c r="C1" s="27" t="s">
        <v>67</v>
      </c>
      <c r="D1" s="27" t="s">
        <v>20</v>
      </c>
      <c r="E1" s="10"/>
      <c r="F1" s="7" t="s">
        <v>131</v>
      </c>
    </row>
    <row r="2" spans="1:11">
      <c r="C2" s="27" t="s">
        <v>68</v>
      </c>
      <c r="D2" s="27" t="s">
        <v>69</v>
      </c>
      <c r="E2" s="10"/>
    </row>
    <row r="3" spans="1:11">
      <c r="C3" s="10"/>
      <c r="D3" s="10"/>
      <c r="E3" s="10"/>
    </row>
    <row r="4" spans="1:11">
      <c r="C4" s="9" t="s">
        <v>70</v>
      </c>
      <c r="D4" s="9">
        <v>51</v>
      </c>
      <c r="E4" s="10" t="s">
        <v>71</v>
      </c>
      <c r="F4" s="7" t="s">
        <v>127</v>
      </c>
    </row>
    <row r="5" spans="1:11">
      <c r="C5" s="9" t="s">
        <v>109</v>
      </c>
      <c r="D5" s="11">
        <v>4.3735999999999997</v>
      </c>
      <c r="E5" s="10" t="s">
        <v>86</v>
      </c>
    </row>
    <row r="6" spans="1:11">
      <c r="C6" s="9" t="s">
        <v>73</v>
      </c>
      <c r="D6" s="9">
        <v>449</v>
      </c>
      <c r="E6" s="10" t="s">
        <v>85</v>
      </c>
    </row>
    <row r="7" spans="1:11" ht="18.5">
      <c r="C7" s="28" t="s">
        <v>87</v>
      </c>
      <c r="D7" s="52">
        <f>D4*D5*D6</f>
        <v>100151.0664</v>
      </c>
      <c r="E7" s="29" t="s">
        <v>86</v>
      </c>
    </row>
    <row r="8" spans="1:11">
      <c r="C8" s="9" t="s">
        <v>110</v>
      </c>
      <c r="D8" s="11">
        <v>4</v>
      </c>
      <c r="E8" s="10" t="s">
        <v>103</v>
      </c>
      <c r="F8" s="31"/>
      <c r="G8" s="31"/>
      <c r="H8" s="31"/>
      <c r="I8" s="31"/>
      <c r="J8" s="31"/>
      <c r="K8" s="50"/>
    </row>
    <row r="9" spans="1:11">
      <c r="C9" s="9" t="s">
        <v>111</v>
      </c>
      <c r="D9" s="30">
        <v>6.9999999999999999E-4</v>
      </c>
      <c r="E9" s="10" t="s">
        <v>112</v>
      </c>
      <c r="F9" s="31"/>
      <c r="G9" s="31"/>
      <c r="H9" s="31"/>
      <c r="I9" s="31"/>
      <c r="J9" s="31"/>
      <c r="K9" s="50"/>
    </row>
    <row r="10" spans="1:11">
      <c r="C10" s="4"/>
      <c r="D10" s="12"/>
      <c r="E10" s="13"/>
      <c r="F10" s="31"/>
      <c r="G10" s="31"/>
      <c r="H10" s="31"/>
      <c r="I10" s="31"/>
      <c r="J10" s="31"/>
      <c r="K10" s="50"/>
    </row>
    <row r="11" spans="1:11" ht="15" thickBot="1">
      <c r="C11" s="4"/>
      <c r="D11" s="12"/>
      <c r="E11" s="13"/>
      <c r="F11" s="31"/>
      <c r="G11" s="31"/>
      <c r="H11" s="31"/>
      <c r="I11" s="31"/>
      <c r="J11" s="31"/>
      <c r="K11" s="50"/>
    </row>
    <row r="12" spans="1:11" ht="15" thickBot="1">
      <c r="C12" s="165" t="s">
        <v>113</v>
      </c>
      <c r="D12" s="166"/>
      <c r="E12" s="167"/>
      <c r="F12" s="168" t="s">
        <v>114</v>
      </c>
      <c r="G12" s="169"/>
      <c r="H12" s="31"/>
      <c r="I12" s="31"/>
      <c r="J12" s="31"/>
      <c r="K12" s="50"/>
    </row>
    <row r="13" spans="1:11" s="5" customFormat="1" ht="73.5" customHeight="1" thickBot="1">
      <c r="A13" s="54"/>
      <c r="B13" s="86" t="s">
        <v>89</v>
      </c>
      <c r="C13" s="87" t="s">
        <v>84</v>
      </c>
      <c r="D13" s="88" t="s">
        <v>81</v>
      </c>
      <c r="E13" s="89" t="s">
        <v>82</v>
      </c>
      <c r="F13" s="83" t="s">
        <v>126</v>
      </c>
      <c r="G13" s="84" t="s">
        <v>107</v>
      </c>
      <c r="H13" s="97" t="s">
        <v>83</v>
      </c>
      <c r="I13" s="98" t="s">
        <v>115</v>
      </c>
      <c r="J13" s="98" t="s">
        <v>116</v>
      </c>
      <c r="K13" s="99" t="s">
        <v>117</v>
      </c>
    </row>
    <row r="14" spans="1:11" ht="55.5" customHeight="1" thickBot="1">
      <c r="A14" s="53">
        <v>1</v>
      </c>
      <c r="B14" s="90" t="s">
        <v>72</v>
      </c>
      <c r="C14" s="32" t="s">
        <v>105</v>
      </c>
      <c r="D14" s="15" t="s">
        <v>90</v>
      </c>
      <c r="E14" s="33">
        <f>MAX($D$4*$D$5*0.29%*$D$6,9*$D$5)</f>
        <v>290.43809255999997</v>
      </c>
      <c r="F14" s="41" t="s">
        <v>108</v>
      </c>
      <c r="G14" s="33">
        <v>0</v>
      </c>
      <c r="H14" s="100">
        <f>E14+G14</f>
        <v>290.43809255999997</v>
      </c>
      <c r="I14" s="16">
        <f t="shared" ref="I14:I22" si="0">$D$4*$D$5*$D$6*0.07%</f>
        <v>70.105746480000008</v>
      </c>
      <c r="J14" s="16">
        <f>H14+I14</f>
        <v>360.54383903999997</v>
      </c>
      <c r="K14" s="101">
        <f>J14/$D$7</f>
        <v>3.5999999999999999E-3</v>
      </c>
    </row>
    <row r="15" spans="1:11" ht="97" thickBot="1">
      <c r="A15" s="53">
        <v>2</v>
      </c>
      <c r="B15" s="90" t="s">
        <v>21</v>
      </c>
      <c r="C15" s="34" t="s">
        <v>2</v>
      </c>
      <c r="D15" s="14" t="s">
        <v>91</v>
      </c>
      <c r="E15" s="35">
        <f>MAX($D$4*$D$5*0.39%*$D$6,12*$D$5)</f>
        <v>390.58915896000002</v>
      </c>
      <c r="F15" s="42" t="s">
        <v>106</v>
      </c>
      <c r="G15" s="43">
        <f>$D$4*$D$5*$D$6*0.02%*12+6*1</f>
        <v>246.36255936000003</v>
      </c>
      <c r="H15" s="102">
        <f t="shared" ref="H15:H26" si="1">E15+G15</f>
        <v>636.95171832000005</v>
      </c>
      <c r="I15" s="17">
        <f t="shared" si="0"/>
        <v>70.105746480000008</v>
      </c>
      <c r="J15" s="17">
        <f t="shared" ref="J15:J26" si="2">H15+I15</f>
        <v>707.05746480000005</v>
      </c>
      <c r="K15" s="103">
        <f t="shared" ref="K15:K26" si="3">J15/$D$7</f>
        <v>7.059909496879806E-3</v>
      </c>
    </row>
    <row r="16" spans="1:11" ht="98" customHeight="1" thickBot="1">
      <c r="A16" s="53">
        <v>3</v>
      </c>
      <c r="B16" s="90" t="s">
        <v>39</v>
      </c>
      <c r="C16" s="32" t="s">
        <v>3</v>
      </c>
      <c r="D16" s="19" t="s">
        <v>101</v>
      </c>
      <c r="E16" s="35">
        <f>MAX($D$4*$D$5*0.29%*$D$6,9*$D$5)</f>
        <v>290.43809255999997</v>
      </c>
      <c r="F16" s="44" t="s">
        <v>119</v>
      </c>
      <c r="G16" s="35">
        <f>$D$4*$D$5*$D$6*0.15%+60</f>
        <v>210.22659959999999</v>
      </c>
      <c r="H16" s="104">
        <f t="shared" si="1"/>
        <v>500.66469215999996</v>
      </c>
      <c r="I16" s="21">
        <f t="shared" si="0"/>
        <v>70.105746480000008</v>
      </c>
      <c r="J16" s="21">
        <f t="shared" si="2"/>
        <v>570.77043863999995</v>
      </c>
      <c r="K16" s="105">
        <f t="shared" si="3"/>
        <v>5.6990949687980557E-3</v>
      </c>
    </row>
    <row r="17" spans="1:11" ht="55.5" customHeight="1" thickBot="1">
      <c r="A17" s="53">
        <v>4</v>
      </c>
      <c r="B17" s="90" t="s">
        <v>49</v>
      </c>
      <c r="C17" s="32" t="s">
        <v>93</v>
      </c>
      <c r="D17" s="18" t="s">
        <v>197</v>
      </c>
      <c r="E17" s="35">
        <f>MAX($D$4*$D$5*0.12%*$D$6,10*$D$5)</f>
        <v>120.18127967999997</v>
      </c>
      <c r="F17" s="51" t="s">
        <v>121</v>
      </c>
      <c r="G17" s="38">
        <v>0</v>
      </c>
      <c r="H17" s="104">
        <f t="shared" si="1"/>
        <v>120.18127967999997</v>
      </c>
      <c r="I17" s="17">
        <f t="shared" si="0"/>
        <v>70.105746480000008</v>
      </c>
      <c r="J17" s="17">
        <f t="shared" si="2"/>
        <v>190.28702615999998</v>
      </c>
      <c r="K17" s="103">
        <f t="shared" si="3"/>
        <v>1.9E-3</v>
      </c>
    </row>
    <row r="18" spans="1:11" ht="55.5" customHeight="1" thickBot="1">
      <c r="A18" s="53">
        <v>5</v>
      </c>
      <c r="B18" s="90" t="s">
        <v>74</v>
      </c>
      <c r="C18" s="32" t="s">
        <v>194</v>
      </c>
      <c r="D18" s="18" t="s">
        <v>102</v>
      </c>
      <c r="E18" s="36">
        <f>MAX($D$4*$D$5*0.29%*$D$6,5*$D$5)</f>
        <v>290.43809255999997</v>
      </c>
      <c r="F18" s="45" t="s">
        <v>120</v>
      </c>
      <c r="G18" s="35">
        <v>50</v>
      </c>
      <c r="H18" s="104">
        <f t="shared" si="1"/>
        <v>340.43809255999997</v>
      </c>
      <c r="I18" s="23">
        <f t="shared" si="0"/>
        <v>70.105746480000008</v>
      </c>
      <c r="J18" s="23">
        <f t="shared" si="2"/>
        <v>410.54383903999997</v>
      </c>
      <c r="K18" s="106">
        <f t="shared" si="3"/>
        <v>4.0992458073317133E-3</v>
      </c>
    </row>
    <row r="19" spans="1:11" ht="101" customHeight="1" thickBot="1">
      <c r="A19" s="53">
        <v>6</v>
      </c>
      <c r="B19" s="90" t="s">
        <v>76</v>
      </c>
      <c r="C19" s="37" t="s">
        <v>95</v>
      </c>
      <c r="D19" s="26" t="s">
        <v>75</v>
      </c>
      <c r="E19" s="38">
        <f>MAX($D$4*$D$5*0.5%*$D$6,30*$D$5)</f>
        <v>500.75533199999995</v>
      </c>
      <c r="F19" s="42" t="s">
        <v>140</v>
      </c>
      <c r="G19" s="38">
        <f>MAX($D$4*$D$5*$D$6*0.04%*3,2.5*D5*3)+0.15%*D7</f>
        <v>270.40787927999997</v>
      </c>
      <c r="H19" s="104">
        <f t="shared" si="1"/>
        <v>771.16321127999993</v>
      </c>
      <c r="I19" s="16">
        <f t="shared" si="0"/>
        <v>70.105746480000008</v>
      </c>
      <c r="J19" s="16">
        <f t="shared" si="2"/>
        <v>841.26895775999992</v>
      </c>
      <c r="K19" s="101">
        <f t="shared" si="3"/>
        <v>8.3999999999999995E-3</v>
      </c>
    </row>
    <row r="20" spans="1:11" ht="52" customHeight="1" thickBot="1">
      <c r="A20" s="53">
        <v>7</v>
      </c>
      <c r="B20" s="90" t="s">
        <v>50</v>
      </c>
      <c r="C20" s="39" t="s">
        <v>96</v>
      </c>
      <c r="D20" s="24" t="s">
        <v>77</v>
      </c>
      <c r="E20" s="36">
        <f>($D$4*$D$5*$D$6*0.039%+2*$D$5)</f>
        <v>47.806115895999994</v>
      </c>
      <c r="F20" s="42" t="s">
        <v>122</v>
      </c>
      <c r="G20" s="46">
        <f>2.5*$D$5</f>
        <v>10.933999999999999</v>
      </c>
      <c r="H20" s="104">
        <f t="shared" si="1"/>
        <v>58.740115895999992</v>
      </c>
      <c r="I20" s="21">
        <f t="shared" si="0"/>
        <v>70.105746480000008</v>
      </c>
      <c r="J20" s="21">
        <f t="shared" si="2"/>
        <v>128.84586237600001</v>
      </c>
      <c r="K20" s="105">
        <f t="shared" si="3"/>
        <v>1.2865151316651384E-3</v>
      </c>
    </row>
    <row r="21" spans="1:11" ht="79" customHeight="1" thickBot="1">
      <c r="A21" s="53">
        <v>8</v>
      </c>
      <c r="B21" s="90" t="s">
        <v>50</v>
      </c>
      <c r="C21" s="40" t="s">
        <v>97</v>
      </c>
      <c r="D21" s="20" t="s">
        <v>100</v>
      </c>
      <c r="E21" s="33">
        <v>0</v>
      </c>
      <c r="F21" s="42" t="s">
        <v>104</v>
      </c>
      <c r="G21" s="46">
        <f>2.5*$D$5</f>
        <v>10.933999999999999</v>
      </c>
      <c r="H21" s="104">
        <f t="shared" si="1"/>
        <v>10.933999999999999</v>
      </c>
      <c r="I21" s="16">
        <f t="shared" si="0"/>
        <v>70.105746480000008</v>
      </c>
      <c r="J21" s="21">
        <f t="shared" si="2"/>
        <v>81.039746480000005</v>
      </c>
      <c r="K21" s="105">
        <f t="shared" si="3"/>
        <v>8.0917507314729907E-4</v>
      </c>
    </row>
    <row r="22" spans="1:11" ht="37" thickBot="1">
      <c r="A22" s="53">
        <v>9</v>
      </c>
      <c r="B22" s="90" t="s">
        <v>118</v>
      </c>
      <c r="C22" s="37" t="s">
        <v>64</v>
      </c>
      <c r="D22" s="25" t="s">
        <v>125</v>
      </c>
      <c r="E22" s="35">
        <f>MIN(MAX($D$4*$D$5*0.12%*$D$6,6*$D$5),99*D5)</f>
        <v>120.18127967999997</v>
      </c>
      <c r="F22" s="42" t="s">
        <v>123</v>
      </c>
      <c r="G22" s="47">
        <f>IF($D$7&lt;2000*$D$8,12*$D$8,0)</f>
        <v>0</v>
      </c>
      <c r="H22" s="107">
        <f t="shared" si="1"/>
        <v>120.18127967999997</v>
      </c>
      <c r="I22" s="21">
        <f t="shared" si="0"/>
        <v>70.105746480000008</v>
      </c>
      <c r="J22" s="16">
        <f t="shared" si="2"/>
        <v>190.28702615999998</v>
      </c>
      <c r="K22" s="108">
        <f t="shared" si="3"/>
        <v>1.9E-3</v>
      </c>
    </row>
    <row r="23" spans="1:11" ht="66" thickBot="1">
      <c r="A23" s="53">
        <v>10</v>
      </c>
      <c r="B23" s="91" t="s">
        <v>92</v>
      </c>
      <c r="C23" s="39" t="s">
        <v>98</v>
      </c>
      <c r="D23" s="25" t="s">
        <v>182</v>
      </c>
      <c r="E23" s="38">
        <f>IF(D4*D5*D6&lt;1000*D5,1.2%*D4*D5*D6,0)</f>
        <v>0</v>
      </c>
      <c r="F23" s="41" t="s">
        <v>78</v>
      </c>
      <c r="G23" s="38">
        <f>D4*D5*D6*1.2%</f>
        <v>1201.8127967999999</v>
      </c>
      <c r="H23" s="102">
        <f t="shared" si="1"/>
        <v>1201.8127967999999</v>
      </c>
      <c r="I23" s="22">
        <f>$D$4*$D$5*$D$6*0.2%</f>
        <v>200.30213280000001</v>
      </c>
      <c r="J23" s="16">
        <f t="shared" si="2"/>
        <v>1402.1149295999999</v>
      </c>
      <c r="K23" s="108">
        <f t="shared" si="3"/>
        <v>1.3999999999999999E-2</v>
      </c>
    </row>
    <row r="24" spans="1:11" ht="66" thickBot="1">
      <c r="A24" s="53">
        <v>11</v>
      </c>
      <c r="B24" s="91" t="s">
        <v>92</v>
      </c>
      <c r="C24" s="39" t="s">
        <v>99</v>
      </c>
      <c r="D24" s="25" t="s">
        <v>79</v>
      </c>
      <c r="E24" s="38">
        <f>MAX($D$4*$D$5*0.5%*$D$6,50*$D$5)</f>
        <v>500.75533199999995</v>
      </c>
      <c r="F24" s="41" t="s">
        <v>80</v>
      </c>
      <c r="G24" s="38">
        <f>D5*D6*D4*0.6%</f>
        <v>600.90639839999994</v>
      </c>
      <c r="H24" s="102">
        <f t="shared" si="1"/>
        <v>1101.6617303999999</v>
      </c>
      <c r="I24" s="22">
        <f>$D$4*$D$5*$D$6*0.2%</f>
        <v>200.30213280000001</v>
      </c>
      <c r="J24" s="16">
        <f t="shared" si="2"/>
        <v>1301.9638631999999</v>
      </c>
      <c r="K24" s="108">
        <f t="shared" si="3"/>
        <v>1.2999999999999999E-2</v>
      </c>
    </row>
    <row r="25" spans="1:11" s="12" customFormat="1" ht="73" thickBot="1">
      <c r="A25" s="7">
        <v>12</v>
      </c>
      <c r="B25" s="91" t="s">
        <v>158</v>
      </c>
      <c r="C25" s="77" t="s">
        <v>179</v>
      </c>
      <c r="D25" s="25" t="s">
        <v>159</v>
      </c>
      <c r="E25" s="38">
        <v>0</v>
      </c>
      <c r="F25" s="78">
        <v>4.7999999999999996E-3</v>
      </c>
      <c r="G25" s="114">
        <f>D7*0.48%</f>
        <v>480.72511871999995</v>
      </c>
      <c r="H25" s="102">
        <f t="shared" si="1"/>
        <v>480.72511871999995</v>
      </c>
      <c r="I25" s="22">
        <f>$D$4*$D$5*$D$6*0.07%</f>
        <v>70.105746480000008</v>
      </c>
      <c r="J25" s="16">
        <f t="shared" si="2"/>
        <v>550.83086519999995</v>
      </c>
      <c r="K25" s="108">
        <f t="shared" si="3"/>
        <v>5.4999999999999997E-3</v>
      </c>
    </row>
    <row r="26" spans="1:11" s="12" customFormat="1" ht="97" thickBot="1">
      <c r="A26" s="7">
        <v>12</v>
      </c>
      <c r="B26" s="92" t="s">
        <v>177</v>
      </c>
      <c r="C26" s="93" t="s">
        <v>178</v>
      </c>
      <c r="D26" s="94" t="s">
        <v>175</v>
      </c>
      <c r="E26" s="48">
        <f>MAX($D$7*0.1%,4*D5)</f>
        <v>100.1510664</v>
      </c>
      <c r="F26" s="95" t="s">
        <v>176</v>
      </c>
      <c r="G26" s="113">
        <f>9*10*D8</f>
        <v>360</v>
      </c>
      <c r="H26" s="109">
        <f t="shared" si="1"/>
        <v>460.15106639999999</v>
      </c>
      <c r="I26" s="110">
        <f>$D$4*$D$5*$D$6*0.07%</f>
        <v>70.105746480000008</v>
      </c>
      <c r="J26" s="111">
        <f t="shared" si="2"/>
        <v>530.25681287999998</v>
      </c>
      <c r="K26" s="112">
        <f t="shared" si="3"/>
        <v>5.2945698127883339E-3</v>
      </c>
    </row>
  </sheetData>
  <mergeCells count="2">
    <mergeCell ref="C12:E12"/>
    <mergeCell ref="F12:G12"/>
  </mergeCells>
  <conditionalFormatting sqref="J14:J20">
    <cfRule type="top10" dxfId="29" priority="13" rank="3"/>
    <cfRule type="top10" dxfId="28" priority="14" bottom="1" rank="3"/>
    <cfRule type="top10" dxfId="27" priority="15" rank="5"/>
  </conditionalFormatting>
  <conditionalFormatting sqref="J22">
    <cfRule type="top10" dxfId="26" priority="10" rank="3"/>
    <cfRule type="top10" dxfId="25" priority="11" bottom="1" rank="3"/>
    <cfRule type="top10" dxfId="24" priority="12" rank="5"/>
  </conditionalFormatting>
  <conditionalFormatting sqref="J23">
    <cfRule type="top10" dxfId="23" priority="7" rank="3"/>
    <cfRule type="top10" dxfId="22" priority="8" bottom="1" rank="3"/>
    <cfRule type="top10" dxfId="21" priority="9" rank="5"/>
  </conditionalFormatting>
  <conditionalFormatting sqref="J21">
    <cfRule type="top10" dxfId="20" priority="4" rank="3"/>
    <cfRule type="top10" dxfId="19" priority="5" bottom="1" rank="3"/>
    <cfRule type="top10" dxfId="18" priority="6" rank="5"/>
  </conditionalFormatting>
  <conditionalFormatting sqref="J24:J26">
    <cfRule type="top10" dxfId="17" priority="1" rank="3"/>
    <cfRule type="top10" dxfId="16" priority="2" bottom="1" rank="3"/>
    <cfRule type="top10" dxfId="15" priority="3" rank="5"/>
  </conditionalFormatting>
  <hyperlinks>
    <hyperlink ref="B14" r:id="rId1" display="../../../../Downloads/Tabela op_at i prowizji maklerskich Domu Maklerskiego Banku Ochrony _rodowiska S.A. - rynek zagraniczny (4).pdf" xr:uid="{00000000-0004-0000-0700-000000000000}"/>
    <hyperlink ref="B15" r:id="rId2" xr:uid="{00000000-0004-0000-0700-000001000000}"/>
    <hyperlink ref="B16" r:id="rId3" location="/szczegoly-oferty/" display="https://www.bm.pkobp.pl/oferta/klient-indywidualny/rynki-zagraniczne/ - /szczegoly-oferty/" xr:uid="{00000000-0004-0000-0700-000002000000}"/>
    <hyperlink ref="B17" r:id="rId4" display="https://xtb.scdn5.secure.raxcdn.com/file/0043/33/Tabela op%C5%82at i prowizji_11062019_e30ada4dde.pdf" xr:uid="{00000000-0004-0000-0700-000003000000}"/>
    <hyperlink ref="B18" r:id="rId5" xr:uid="{00000000-0004-0000-0700-000004000000}"/>
    <hyperlink ref="B19" r:id="rId6" xr:uid="{00000000-0004-0000-0700-000005000000}"/>
    <hyperlink ref="B23" r:id="rId7" location="inbox/FMfcgxwDrldjpsjxPNnFLzPNBLRgVgCR?projector=1&amp;messagePartId=0.3" display="https://mail.google.com/mail/u/0/ - inbox/FMfcgxwDrldjpsjxPNnFLzPNBLRgVgCR?projector=1&amp;messagePartId=0.3" xr:uid="{00000000-0004-0000-0700-000006000000}"/>
    <hyperlink ref="B20" r:id="rId8" xr:uid="{00000000-0004-0000-0700-000007000000}"/>
    <hyperlink ref="B21" r:id="rId9" xr:uid="{00000000-0004-0000-0700-000008000000}"/>
    <hyperlink ref="B24" r:id="rId10" location="inbox/FMfcgxwDrldjpsjxPNnFLzPNBLRgVgCR?projector=1&amp;messagePartId=0.3" display="https://mail.google.com/mail/u/0/ - inbox/FMfcgxwDrldjpsjxPNnFLzPNBLRgVgCR?projector=1&amp;messagePartId=0.3" xr:uid="{00000000-0004-0000-0700-000009000000}"/>
    <hyperlink ref="B22" r:id="rId11" xr:uid="{00000000-0004-0000-0700-00000A000000}"/>
    <hyperlink ref="B25" r:id="rId12" xr:uid="{00000000-0004-0000-0700-00000B000000}"/>
    <hyperlink ref="B26" r:id="rId13" xr:uid="{00000000-0004-0000-0700-00000C000000}"/>
  </hyperlinks>
  <pageMargins left="0.7" right="0.7" top="0.75" bottom="0.75" header="0.3" footer="0.3"/>
  <pageSetup paperSize="9" orientation="portrait" verticalDpi="300" r:id="rId14"/>
  <drawing r:id="rId15"/>
  <legacyDrawing r:id="rId1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6"/>
  <sheetViews>
    <sheetView showGridLines="0" topLeftCell="A4" zoomScaleNormal="100" workbookViewId="0">
      <selection activeCell="G16" sqref="G16"/>
    </sheetView>
  </sheetViews>
  <sheetFormatPr defaultColWidth="8.81640625" defaultRowHeight="14.5"/>
  <cols>
    <col min="1" max="1" width="2.36328125" style="53" customWidth="1"/>
    <col min="2" max="2" width="7.453125" style="7" customWidth="1"/>
    <col min="3" max="3" width="24.453125" style="2" customWidth="1"/>
    <col min="4" max="4" width="34.453125" style="7" customWidth="1"/>
    <col min="5" max="5" width="21.1796875" style="6" customWidth="1"/>
    <col min="6" max="6" width="50.453125" style="7" customWidth="1"/>
    <col min="7" max="7" width="30.453125" style="7" customWidth="1"/>
    <col min="8" max="8" width="19.453125" style="7" customWidth="1"/>
    <col min="9" max="10" width="19.36328125" style="7" customWidth="1"/>
    <col min="11" max="11" width="19.36328125" style="49" customWidth="1"/>
    <col min="12" max="16384" width="8.81640625" style="7"/>
  </cols>
  <sheetData>
    <row r="1" spans="1:11">
      <c r="C1" s="27" t="s">
        <v>67</v>
      </c>
      <c r="D1" s="27" t="s">
        <v>20</v>
      </c>
      <c r="E1" s="10"/>
      <c r="F1" s="7" t="s">
        <v>131</v>
      </c>
    </row>
    <row r="2" spans="1:11">
      <c r="C2" s="27" t="s">
        <v>68</v>
      </c>
      <c r="D2" s="27" t="s">
        <v>69</v>
      </c>
      <c r="E2" s="10"/>
    </row>
    <row r="3" spans="1:11">
      <c r="C3" s="10"/>
      <c r="D3" s="10"/>
      <c r="E3" s="10"/>
    </row>
    <row r="4" spans="1:11">
      <c r="C4" s="9" t="s">
        <v>70</v>
      </c>
      <c r="D4" s="9">
        <v>51</v>
      </c>
      <c r="E4" s="10" t="s">
        <v>71</v>
      </c>
      <c r="F4" s="7" t="s">
        <v>127</v>
      </c>
    </row>
    <row r="5" spans="1:11">
      <c r="C5" s="9" t="s">
        <v>109</v>
      </c>
      <c r="D5" s="11">
        <v>4.3735999999999997</v>
      </c>
      <c r="E5" s="10" t="s">
        <v>86</v>
      </c>
    </row>
    <row r="6" spans="1:11">
      <c r="C6" s="9" t="s">
        <v>73</v>
      </c>
      <c r="D6" s="9">
        <v>897</v>
      </c>
      <c r="E6" s="10" t="s">
        <v>85</v>
      </c>
    </row>
    <row r="7" spans="1:11" ht="18.5">
      <c r="C7" s="28" t="s">
        <v>87</v>
      </c>
      <c r="D7" s="52">
        <f>D4*D5*D6</f>
        <v>200079.07919999998</v>
      </c>
      <c r="E7" s="29" t="s">
        <v>86</v>
      </c>
    </row>
    <row r="8" spans="1:11">
      <c r="C8" s="9" t="s">
        <v>110</v>
      </c>
      <c r="D8" s="11">
        <v>4</v>
      </c>
      <c r="E8" s="10" t="s">
        <v>103</v>
      </c>
      <c r="F8" s="31"/>
      <c r="G8" s="31"/>
      <c r="H8" s="31"/>
      <c r="I8" s="31"/>
      <c r="J8" s="31"/>
      <c r="K8" s="50"/>
    </row>
    <row r="9" spans="1:11">
      <c r="C9" s="9" t="s">
        <v>111</v>
      </c>
      <c r="D9" s="30">
        <v>6.9999999999999999E-4</v>
      </c>
      <c r="E9" s="10" t="s">
        <v>112</v>
      </c>
      <c r="F9" s="31"/>
      <c r="G9" s="31"/>
      <c r="H9" s="31"/>
      <c r="I9" s="31"/>
      <c r="J9" s="31"/>
      <c r="K9" s="50"/>
    </row>
    <row r="10" spans="1:11">
      <c r="C10" s="4"/>
      <c r="D10" s="12"/>
      <c r="E10" s="13"/>
      <c r="F10" s="31"/>
      <c r="G10" s="31"/>
      <c r="H10" s="31"/>
      <c r="I10" s="31"/>
      <c r="J10" s="31"/>
      <c r="K10" s="50"/>
    </row>
    <row r="11" spans="1:11" ht="15" thickBot="1">
      <c r="C11" s="4"/>
      <c r="D11" s="12"/>
      <c r="E11" s="13"/>
      <c r="F11" s="31"/>
      <c r="G11" s="31"/>
      <c r="H11" s="31"/>
      <c r="I11" s="31"/>
      <c r="J11" s="31"/>
      <c r="K11" s="50"/>
    </row>
    <row r="12" spans="1:11" ht="15" thickBot="1">
      <c r="C12" s="165" t="s">
        <v>113</v>
      </c>
      <c r="D12" s="166"/>
      <c r="E12" s="167"/>
      <c r="F12" s="168" t="s">
        <v>114</v>
      </c>
      <c r="G12" s="169"/>
      <c r="H12" s="31"/>
      <c r="I12" s="31"/>
      <c r="J12" s="31"/>
      <c r="K12" s="50"/>
    </row>
    <row r="13" spans="1:11" s="5" customFormat="1" ht="73.5" customHeight="1" thickBot="1">
      <c r="A13" s="54"/>
      <c r="B13" s="86" t="s">
        <v>89</v>
      </c>
      <c r="C13" s="87" t="s">
        <v>84</v>
      </c>
      <c r="D13" s="88" t="s">
        <v>81</v>
      </c>
      <c r="E13" s="89" t="s">
        <v>82</v>
      </c>
      <c r="F13" s="83" t="s">
        <v>126</v>
      </c>
      <c r="G13" s="84" t="s">
        <v>107</v>
      </c>
      <c r="H13" s="97" t="s">
        <v>83</v>
      </c>
      <c r="I13" s="98" t="s">
        <v>115</v>
      </c>
      <c r="J13" s="98" t="s">
        <v>116</v>
      </c>
      <c r="K13" s="99" t="s">
        <v>117</v>
      </c>
    </row>
    <row r="14" spans="1:11" ht="55.5" customHeight="1" thickBot="1">
      <c r="A14" s="53">
        <v>1</v>
      </c>
      <c r="B14" s="90" t="s">
        <v>72</v>
      </c>
      <c r="C14" s="32" t="s">
        <v>105</v>
      </c>
      <c r="D14" s="15" t="s">
        <v>90</v>
      </c>
      <c r="E14" s="33">
        <f>MAX($D$4*$D$5*0.29%*$D$6,9*$D$5)</f>
        <v>580.22932967999998</v>
      </c>
      <c r="F14" s="41" t="s">
        <v>108</v>
      </c>
      <c r="G14" s="33">
        <v>0</v>
      </c>
      <c r="H14" s="100">
        <f>E14+G14</f>
        <v>580.22932967999998</v>
      </c>
      <c r="I14" s="16">
        <f t="shared" ref="I14:I22" si="0">$D$4*$D$5*$D$6*0.07%</f>
        <v>140.05535544</v>
      </c>
      <c r="J14" s="16">
        <f>H14+I14</f>
        <v>720.28468511999995</v>
      </c>
      <c r="K14" s="101">
        <f>J14/$D$7</f>
        <v>3.6000000000000003E-3</v>
      </c>
    </row>
    <row r="15" spans="1:11" ht="97" thickBot="1">
      <c r="A15" s="53">
        <v>2</v>
      </c>
      <c r="B15" s="90" t="s">
        <v>21</v>
      </c>
      <c r="C15" s="34" t="s">
        <v>2</v>
      </c>
      <c r="D15" s="14" t="s">
        <v>91</v>
      </c>
      <c r="E15" s="35">
        <f>MAX($D$4*$D$5*0.39%*$D$6,12*$D$5)</f>
        <v>780.30840888</v>
      </c>
      <c r="F15" s="42" t="s">
        <v>106</v>
      </c>
      <c r="G15" s="43">
        <f>$D$4*$D$5*$D$6*0.02%*11+6*12</f>
        <v>512.17397424000001</v>
      </c>
      <c r="H15" s="102">
        <f t="shared" ref="H15:H26" si="1">E15+G15</f>
        <v>1292.4823831200001</v>
      </c>
      <c r="I15" s="17">
        <f t="shared" si="0"/>
        <v>140.05535544</v>
      </c>
      <c r="J15" s="17">
        <f t="shared" ref="J15:J26" si="2">H15+I15</f>
        <v>1432.5377385600002</v>
      </c>
      <c r="K15" s="103">
        <f t="shared" ref="K15:K23" si="3">J15/$D$7</f>
        <v>7.1598577136994359E-3</v>
      </c>
    </row>
    <row r="16" spans="1:11" ht="98" customHeight="1" thickBot="1">
      <c r="A16" s="53">
        <v>3</v>
      </c>
      <c r="B16" s="90" t="s">
        <v>39</v>
      </c>
      <c r="C16" s="32" t="s">
        <v>3</v>
      </c>
      <c r="D16" s="19" t="s">
        <v>101</v>
      </c>
      <c r="E16" s="35">
        <f>MAX($D$4*$D$5*0.29%*$D$6,9*$D$5)</f>
        <v>580.22932967999998</v>
      </c>
      <c r="F16" s="44" t="s">
        <v>119</v>
      </c>
      <c r="G16" s="35">
        <f>$D$4*$D$5*$D$6*0.15%+60</f>
        <v>360.11861879999998</v>
      </c>
      <c r="H16" s="104">
        <f t="shared" si="1"/>
        <v>940.34794848000001</v>
      </c>
      <c r="I16" s="21">
        <f t="shared" si="0"/>
        <v>140.05535544</v>
      </c>
      <c r="J16" s="21">
        <f t="shared" si="2"/>
        <v>1080.4033039200001</v>
      </c>
      <c r="K16" s="105">
        <f t="shared" si="3"/>
        <v>5.399881428082863E-3</v>
      </c>
    </row>
    <row r="17" spans="1:11" ht="55.5" customHeight="1" thickBot="1">
      <c r="A17" s="53">
        <v>4</v>
      </c>
      <c r="B17" s="90" t="s">
        <v>49</v>
      </c>
      <c r="C17" s="32" t="s">
        <v>93</v>
      </c>
      <c r="D17" s="18" t="s">
        <v>196</v>
      </c>
      <c r="E17" s="35">
        <f>MAX($D$4*$D$5*0.12%*$D$6,10*$D$5)</f>
        <v>240.09489503999995</v>
      </c>
      <c r="F17" s="51" t="s">
        <v>121</v>
      </c>
      <c r="G17" s="38">
        <v>0</v>
      </c>
      <c r="H17" s="104">
        <f t="shared" si="1"/>
        <v>240.09489503999995</v>
      </c>
      <c r="I17" s="17">
        <f t="shared" si="0"/>
        <v>140.05535544</v>
      </c>
      <c r="J17" s="17">
        <f t="shared" si="2"/>
        <v>380.15025047999995</v>
      </c>
      <c r="K17" s="103">
        <f t="shared" si="3"/>
        <v>1.9E-3</v>
      </c>
    </row>
    <row r="18" spans="1:11" ht="70" customHeight="1" thickBot="1">
      <c r="A18" s="53">
        <v>5</v>
      </c>
      <c r="B18" s="90" t="s">
        <v>74</v>
      </c>
      <c r="C18" s="32" t="s">
        <v>194</v>
      </c>
      <c r="D18" s="18" t="s">
        <v>102</v>
      </c>
      <c r="E18" s="36">
        <f>MAX($D$4*$D$5*0.29%*$D$6,5*$D$5)</f>
        <v>580.22932967999998</v>
      </c>
      <c r="F18" s="45" t="s">
        <v>120</v>
      </c>
      <c r="G18" s="35">
        <v>50</v>
      </c>
      <c r="H18" s="104">
        <f>E18+G18</f>
        <v>630.22932967999998</v>
      </c>
      <c r="I18" s="23">
        <f t="shared" si="0"/>
        <v>140.05535544</v>
      </c>
      <c r="J18" s="23">
        <f t="shared" si="2"/>
        <v>770.28468511999995</v>
      </c>
      <c r="K18" s="106">
        <f t="shared" si="3"/>
        <v>3.8499011900690518E-3</v>
      </c>
    </row>
    <row r="19" spans="1:11" ht="101" customHeight="1" thickBot="1">
      <c r="A19" s="53">
        <v>6</v>
      </c>
      <c r="B19" s="90" t="s">
        <v>76</v>
      </c>
      <c r="C19" s="37" t="s">
        <v>95</v>
      </c>
      <c r="D19" s="26" t="s">
        <v>75</v>
      </c>
      <c r="E19" s="38">
        <f>MAX($D$4*$D$5*0.5%*$D$6,30*$D$5)</f>
        <v>1000.3953959999999</v>
      </c>
      <c r="F19" s="42" t="s">
        <v>140</v>
      </c>
      <c r="G19" s="38">
        <f>MAX($D$4*$D$5*$D$6*0.04%*3,2.5*D5*3)+0.15%*D7</f>
        <v>540.21351383999991</v>
      </c>
      <c r="H19" s="104">
        <f t="shared" si="1"/>
        <v>1540.6089098399998</v>
      </c>
      <c r="I19" s="16">
        <f t="shared" si="0"/>
        <v>140.05535544</v>
      </c>
      <c r="J19" s="16">
        <f t="shared" si="2"/>
        <v>1680.6642652799999</v>
      </c>
      <c r="K19" s="101">
        <f t="shared" si="3"/>
        <v>8.3999999999999995E-3</v>
      </c>
    </row>
    <row r="20" spans="1:11" ht="52" customHeight="1" thickBot="1">
      <c r="A20" s="53">
        <v>7</v>
      </c>
      <c r="B20" s="90" t="s">
        <v>50</v>
      </c>
      <c r="C20" s="39" t="s">
        <v>96</v>
      </c>
      <c r="D20" s="24" t="s">
        <v>77</v>
      </c>
      <c r="E20" s="36">
        <f>($D$4*$D$5*$D$6*0.039%+2*$D$5)</f>
        <v>86.778040887999992</v>
      </c>
      <c r="F20" s="42" t="s">
        <v>122</v>
      </c>
      <c r="G20" s="46">
        <f>2.5*$D$5</f>
        <v>10.933999999999999</v>
      </c>
      <c r="H20" s="104">
        <f t="shared" si="1"/>
        <v>97.71204088799999</v>
      </c>
      <c r="I20" s="21">
        <f t="shared" si="0"/>
        <v>140.05535544</v>
      </c>
      <c r="J20" s="21">
        <f t="shared" si="2"/>
        <v>237.76739632799999</v>
      </c>
      <c r="K20" s="105">
        <f t="shared" si="3"/>
        <v>1.1883671060397404E-3</v>
      </c>
    </row>
    <row r="21" spans="1:11" ht="79" customHeight="1" thickBot="1">
      <c r="A21" s="53">
        <v>8</v>
      </c>
      <c r="B21" s="90" t="s">
        <v>50</v>
      </c>
      <c r="C21" s="40" t="s">
        <v>97</v>
      </c>
      <c r="D21" s="20" t="s">
        <v>100</v>
      </c>
      <c r="E21" s="33">
        <v>0</v>
      </c>
      <c r="F21" s="42" t="s">
        <v>104</v>
      </c>
      <c r="G21" s="46">
        <f>2.5*$D$5</f>
        <v>10.933999999999999</v>
      </c>
      <c r="H21" s="104">
        <f t="shared" si="1"/>
        <v>10.933999999999999</v>
      </c>
      <c r="I21" s="16">
        <f t="shared" si="0"/>
        <v>140.05535544</v>
      </c>
      <c r="J21" s="21">
        <f t="shared" si="2"/>
        <v>150.98935544</v>
      </c>
      <c r="K21" s="105">
        <f t="shared" si="3"/>
        <v>7.5464839224430021E-4</v>
      </c>
    </row>
    <row r="22" spans="1:11" ht="37" thickBot="1">
      <c r="A22" s="53">
        <v>9</v>
      </c>
      <c r="B22" s="90" t="s">
        <v>118</v>
      </c>
      <c r="C22" s="37" t="s">
        <v>64</v>
      </c>
      <c r="D22" s="25" t="s">
        <v>125</v>
      </c>
      <c r="E22" s="35">
        <f>MIN(MAX($D$4*$D$5*0.12%*$D$6,6*$D$5),99*D5)</f>
        <v>240.09489503999995</v>
      </c>
      <c r="F22" s="42" t="s">
        <v>123</v>
      </c>
      <c r="G22" s="47">
        <f>IF($D$7&lt;2000*$D$8,12*$D$8,0)</f>
        <v>0</v>
      </c>
      <c r="H22" s="107">
        <f t="shared" si="1"/>
        <v>240.09489503999995</v>
      </c>
      <c r="I22" s="21">
        <f t="shared" si="0"/>
        <v>140.05535544</v>
      </c>
      <c r="J22" s="16">
        <f t="shared" si="2"/>
        <v>380.15025047999995</v>
      </c>
      <c r="K22" s="108">
        <f t="shared" si="3"/>
        <v>1.9E-3</v>
      </c>
    </row>
    <row r="23" spans="1:11" ht="66" thickBot="1">
      <c r="A23" s="53">
        <v>10</v>
      </c>
      <c r="B23" s="91" t="s">
        <v>92</v>
      </c>
      <c r="C23" s="39" t="s">
        <v>98</v>
      </c>
      <c r="D23" s="25" t="s">
        <v>124</v>
      </c>
      <c r="E23" s="38">
        <f>IF(D4*D5*D6&lt;1000*D5,1.2%*D4*D5*D6,0)</f>
        <v>0</v>
      </c>
      <c r="F23" s="41" t="s">
        <v>78</v>
      </c>
      <c r="G23" s="38">
        <f>D4*D5*D6*1.2%</f>
        <v>2400.9489503999998</v>
      </c>
      <c r="H23" s="102">
        <f t="shared" si="1"/>
        <v>2400.9489503999998</v>
      </c>
      <c r="I23" s="22">
        <f>$D$4*$D$5*$D$6*0.2%</f>
        <v>400.15815839999999</v>
      </c>
      <c r="J23" s="16">
        <f t="shared" si="2"/>
        <v>2801.1071087999999</v>
      </c>
      <c r="K23" s="108">
        <f t="shared" si="3"/>
        <v>1.4E-2</v>
      </c>
    </row>
    <row r="24" spans="1:11" ht="66" thickBot="1">
      <c r="A24" s="53">
        <v>11</v>
      </c>
      <c r="B24" s="91" t="s">
        <v>92</v>
      </c>
      <c r="C24" s="39" t="s">
        <v>99</v>
      </c>
      <c r="D24" s="25" t="s">
        <v>79</v>
      </c>
      <c r="E24" s="38">
        <f>MAX($D$4*$D$5*0.5%*$D$6,50*$D$5)</f>
        <v>1000.3953959999999</v>
      </c>
      <c r="F24" s="41" t="s">
        <v>80</v>
      </c>
      <c r="G24" s="38">
        <f>D5*D6*D4*0.6%</f>
        <v>1200.4744751999999</v>
      </c>
      <c r="H24" s="102">
        <f t="shared" si="1"/>
        <v>2200.8698711999996</v>
      </c>
      <c r="I24" s="22">
        <f>$D$4*$D$5*$D$6*0.2%</f>
        <v>400.15815839999999</v>
      </c>
      <c r="J24" s="16">
        <f t="shared" si="2"/>
        <v>2601.0280295999996</v>
      </c>
      <c r="K24" s="108">
        <f>J24/$D$7</f>
        <v>1.2999999999999999E-2</v>
      </c>
    </row>
    <row r="25" spans="1:11" s="12" customFormat="1" ht="73" thickBot="1">
      <c r="A25" s="7">
        <v>12</v>
      </c>
      <c r="B25" s="91" t="s">
        <v>158</v>
      </c>
      <c r="C25" s="77" t="s">
        <v>179</v>
      </c>
      <c r="D25" s="25" t="s">
        <v>159</v>
      </c>
      <c r="E25" s="38">
        <v>0</v>
      </c>
      <c r="F25" s="78">
        <v>4.7999999999999996E-3</v>
      </c>
      <c r="G25" s="114">
        <f>D7*0.48%</f>
        <v>960.37958015999982</v>
      </c>
      <c r="H25" s="102">
        <f t="shared" si="1"/>
        <v>960.37958015999982</v>
      </c>
      <c r="I25" s="22">
        <f>$D$4*$D$5*$D$6*0.07%</f>
        <v>140.05535544</v>
      </c>
      <c r="J25" s="16">
        <f t="shared" si="2"/>
        <v>1100.4349355999998</v>
      </c>
      <c r="K25" s="108">
        <f t="shared" ref="K25:K26" si="4">J25/$D$7</f>
        <v>5.4999999999999997E-3</v>
      </c>
    </row>
    <row r="26" spans="1:11" s="12" customFormat="1" ht="97" thickBot="1">
      <c r="A26" s="7">
        <v>12</v>
      </c>
      <c r="B26" s="92" t="s">
        <v>177</v>
      </c>
      <c r="C26" s="93" t="s">
        <v>178</v>
      </c>
      <c r="D26" s="94" t="s">
        <v>175</v>
      </c>
      <c r="E26" s="48">
        <f>MAX($D$7*0.1%,4*D5)</f>
        <v>200.0790792</v>
      </c>
      <c r="F26" s="95" t="s">
        <v>176</v>
      </c>
      <c r="G26" s="113">
        <f>9*10*D8</f>
        <v>360</v>
      </c>
      <c r="H26" s="109">
        <f t="shared" si="1"/>
        <v>560.07907920000002</v>
      </c>
      <c r="I26" s="110">
        <f>$D$4*$D$5*$D$6*0.07%</f>
        <v>140.05535544</v>
      </c>
      <c r="J26" s="111">
        <f t="shared" si="2"/>
        <v>700.13443463999999</v>
      </c>
      <c r="K26" s="112">
        <f t="shared" si="4"/>
        <v>3.4992885684971709E-3</v>
      </c>
    </row>
  </sheetData>
  <mergeCells count="2">
    <mergeCell ref="C12:E12"/>
    <mergeCell ref="F12:G12"/>
  </mergeCells>
  <conditionalFormatting sqref="J14:J20">
    <cfRule type="top10" dxfId="14" priority="13" rank="3"/>
    <cfRule type="top10" dxfId="13" priority="14" bottom="1" rank="3"/>
    <cfRule type="top10" dxfId="12" priority="15" rank="5"/>
  </conditionalFormatting>
  <conditionalFormatting sqref="J22">
    <cfRule type="top10" dxfId="11" priority="10" rank="3"/>
    <cfRule type="top10" dxfId="10" priority="11" bottom="1" rank="3"/>
    <cfRule type="top10" dxfId="9" priority="12" rank="5"/>
  </conditionalFormatting>
  <conditionalFormatting sqref="J23">
    <cfRule type="top10" dxfId="8" priority="7" rank="3"/>
    <cfRule type="top10" dxfId="7" priority="8" bottom="1" rank="3"/>
    <cfRule type="top10" dxfId="6" priority="9" rank="5"/>
  </conditionalFormatting>
  <conditionalFormatting sqref="J21">
    <cfRule type="top10" dxfId="5" priority="4" rank="3"/>
    <cfRule type="top10" dxfId="4" priority="5" bottom="1" rank="3"/>
    <cfRule type="top10" dxfId="3" priority="6" rank="5"/>
  </conditionalFormatting>
  <conditionalFormatting sqref="J24:J26">
    <cfRule type="top10" dxfId="2" priority="1" rank="3"/>
    <cfRule type="top10" dxfId="1" priority="2" bottom="1" rank="3"/>
    <cfRule type="top10" dxfId="0" priority="3" rank="5"/>
  </conditionalFormatting>
  <hyperlinks>
    <hyperlink ref="B14" r:id="rId1" display="../../../../Downloads/Tabela op_at i prowizji maklerskich Domu Maklerskiego Banku Ochrony _rodowiska S.A. - rynek zagraniczny (4).pdf" xr:uid="{00000000-0004-0000-0800-000000000000}"/>
    <hyperlink ref="B15" r:id="rId2" xr:uid="{00000000-0004-0000-0800-000001000000}"/>
    <hyperlink ref="B16" r:id="rId3" location="/szczegoly-oferty/" display="https://www.bm.pkobp.pl/oferta/klient-indywidualny/rynki-zagraniczne/ - /szczegoly-oferty/" xr:uid="{00000000-0004-0000-0800-000002000000}"/>
    <hyperlink ref="B17" r:id="rId4" display="https://xtb.scdn5.secure.raxcdn.com/file/0043/33/Tabela op%C5%82at i prowizji_11062019_e30ada4dde.pdf" xr:uid="{00000000-0004-0000-0800-000003000000}"/>
    <hyperlink ref="B18" r:id="rId5" xr:uid="{00000000-0004-0000-0800-000004000000}"/>
    <hyperlink ref="B19" r:id="rId6" xr:uid="{00000000-0004-0000-0800-000005000000}"/>
    <hyperlink ref="B23" r:id="rId7" location="inbox/FMfcgxwDrldjpsjxPNnFLzPNBLRgVgCR?projector=1&amp;messagePartId=0.3" display="https://mail.google.com/mail/u/0/ - inbox/FMfcgxwDrldjpsjxPNnFLzPNBLRgVgCR?projector=1&amp;messagePartId=0.3" xr:uid="{00000000-0004-0000-0800-000006000000}"/>
    <hyperlink ref="B20" r:id="rId8" xr:uid="{00000000-0004-0000-0800-000007000000}"/>
    <hyperlink ref="B21" r:id="rId9" xr:uid="{00000000-0004-0000-0800-000008000000}"/>
    <hyperlink ref="B24" r:id="rId10" location="inbox/FMfcgxwDrldjpsjxPNnFLzPNBLRgVgCR?projector=1&amp;messagePartId=0.3" display="https://mail.google.com/mail/u/0/ - inbox/FMfcgxwDrldjpsjxPNnFLzPNBLRgVgCR?projector=1&amp;messagePartId=0.3" xr:uid="{00000000-0004-0000-0800-000009000000}"/>
    <hyperlink ref="B22" r:id="rId11" xr:uid="{00000000-0004-0000-0800-00000A000000}"/>
    <hyperlink ref="B25" r:id="rId12" xr:uid="{00000000-0004-0000-0800-00000B000000}"/>
    <hyperlink ref="B26" r:id="rId13" xr:uid="{00000000-0004-0000-0800-00000C000000}"/>
  </hyperlinks>
  <pageMargins left="0.7" right="0.7" top="0.75" bottom="0.75" header="0.3" footer="0.3"/>
  <pageSetup paperSize="9" orientation="portrait" verticalDpi="300" r:id="rId14"/>
  <drawing r:id="rId15"/>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14</vt:i4>
      </vt:variant>
    </vt:vector>
  </HeadingPairs>
  <TitlesOfParts>
    <vt:vector size="14" baseType="lpstr">
      <vt:lpstr>PORÓWNANIE</vt:lpstr>
      <vt:lpstr>Opłaty obliczenia 200 ZŁ</vt:lpstr>
      <vt:lpstr>Opłaty obliczenia 1000 ZŁ</vt:lpstr>
      <vt:lpstr>Opłaty obliczenia 4000 ZŁ</vt:lpstr>
      <vt:lpstr>Opłaty obliczenia 10000 ZŁ</vt:lpstr>
      <vt:lpstr>Opłaty obliczenia 20000 ZŁ </vt:lpstr>
      <vt:lpstr>Opłaty obliczenia 50000 ZŁ </vt:lpstr>
      <vt:lpstr>Opłaty obliczenia 100000 ZŁ </vt:lpstr>
      <vt:lpstr>Opłaty obliczenia 200000 ZŁ</vt:lpstr>
      <vt:lpstr>WORLD</vt:lpstr>
      <vt:lpstr>EMERGING M</vt:lpstr>
      <vt:lpstr>ACWI</vt:lpstr>
      <vt:lpstr>S&amp;P 500</vt:lpstr>
      <vt:lpstr>Największe ETF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2019-11-12T15:28:43Z</dcterms:modified>
</cp:coreProperties>
</file>