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flyingoffice/Desktop/Qarson/"/>
    </mc:Choice>
  </mc:AlternateContent>
  <bookViews>
    <workbookView xWindow="0" yWindow="460" windowWidth="38400" windowHeight="21140"/>
  </bookViews>
  <sheets>
    <sheet name="Samochód na abonament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E51" i="2"/>
  <c r="F7" i="2"/>
  <c r="F50" i="2"/>
  <c r="E7" i="2"/>
  <c r="E50" i="2"/>
  <c r="G7" i="2"/>
  <c r="G50" i="2"/>
  <c r="H7" i="2"/>
  <c r="H50" i="2"/>
  <c r="D7" i="2"/>
  <c r="D50" i="2"/>
  <c r="L75" i="2"/>
  <c r="N75" i="2"/>
  <c r="L74" i="2"/>
  <c r="N74" i="2"/>
  <c r="E40" i="2"/>
  <c r="E54" i="2"/>
  <c r="F40" i="2"/>
  <c r="G40" i="2"/>
  <c r="G54" i="2"/>
  <c r="D40" i="2"/>
  <c r="D54" i="2"/>
  <c r="D15" i="2"/>
  <c r="F54" i="2"/>
  <c r="F51" i="2"/>
  <c r="H49" i="2"/>
  <c r="G49" i="2"/>
  <c r="F49" i="2"/>
  <c r="E49" i="2"/>
  <c r="D49" i="2"/>
  <c r="C49" i="2"/>
  <c r="H40" i="2"/>
  <c r="H54" i="2"/>
  <c r="F37" i="2"/>
  <c r="F53" i="2"/>
  <c r="C16" i="2"/>
  <c r="F16" i="2"/>
  <c r="F52" i="2"/>
  <c r="F45" i="2"/>
  <c r="F46" i="2"/>
  <c r="F55" i="2"/>
  <c r="R22" i="2"/>
  <c r="S22" i="2"/>
  <c r="S23" i="2"/>
  <c r="S24" i="2"/>
  <c r="S25" i="2"/>
  <c r="S26" i="2"/>
  <c r="S27" i="2"/>
  <c r="S28" i="2"/>
  <c r="S29" i="2"/>
  <c r="S30" i="2"/>
  <c r="S31" i="2"/>
  <c r="S32" i="2"/>
  <c r="S33" i="2"/>
  <c r="R34" i="2"/>
  <c r="S34" i="2"/>
  <c r="S35" i="2"/>
  <c r="S36" i="2"/>
  <c r="S37" i="2"/>
  <c r="S38" i="2"/>
  <c r="S39" i="2"/>
  <c r="S40" i="2"/>
  <c r="S41" i="2"/>
  <c r="S42" i="2"/>
  <c r="S43" i="2"/>
  <c r="S44" i="2"/>
  <c r="S45" i="2"/>
  <c r="R46" i="2"/>
  <c r="S46" i="2"/>
  <c r="S47" i="2"/>
  <c r="S48" i="2"/>
  <c r="S49" i="2"/>
  <c r="S50" i="2"/>
  <c r="S51" i="2"/>
  <c r="S52" i="2"/>
  <c r="S53" i="2"/>
  <c r="S54" i="2"/>
  <c r="S55" i="2"/>
  <c r="S56" i="2"/>
  <c r="S57" i="2"/>
  <c r="R58" i="2"/>
  <c r="S58" i="2"/>
  <c r="S59" i="2"/>
  <c r="S60" i="2"/>
  <c r="S61" i="2"/>
  <c r="S62" i="2"/>
  <c r="S63" i="2"/>
  <c r="S64" i="2"/>
  <c r="S65" i="2"/>
  <c r="S66" i="2"/>
  <c r="S67" i="2"/>
  <c r="S68" i="2"/>
  <c r="S69" i="2"/>
  <c r="S11" i="2"/>
  <c r="S12" i="2"/>
  <c r="S13" i="2"/>
  <c r="S14" i="2"/>
  <c r="S15" i="2"/>
  <c r="S16" i="2"/>
  <c r="S17" i="2"/>
  <c r="S18" i="2"/>
  <c r="S19" i="2"/>
  <c r="S20" i="2"/>
  <c r="S21" i="2"/>
  <c r="S10" i="2"/>
  <c r="R10" i="2"/>
  <c r="Q10" i="2"/>
  <c r="T10" i="2"/>
  <c r="U10" i="2"/>
  <c r="V10" i="2"/>
  <c r="Q11" i="2"/>
  <c r="T11" i="2"/>
  <c r="U11" i="2"/>
  <c r="V11" i="2"/>
  <c r="Q12" i="2"/>
  <c r="T12" i="2"/>
  <c r="U12" i="2"/>
  <c r="V12" i="2"/>
  <c r="Q13" i="2"/>
  <c r="T13" i="2"/>
  <c r="U13" i="2"/>
  <c r="V13" i="2"/>
  <c r="Q14" i="2"/>
  <c r="T14" i="2"/>
  <c r="U14" i="2"/>
  <c r="V14" i="2"/>
  <c r="Q15" i="2"/>
  <c r="T15" i="2"/>
  <c r="U15" i="2"/>
  <c r="V15" i="2"/>
  <c r="Q16" i="2"/>
  <c r="T16" i="2"/>
  <c r="K15" i="2"/>
  <c r="L53" i="2"/>
  <c r="L54" i="2"/>
  <c r="L48" i="2"/>
  <c r="L49" i="2"/>
  <c r="L50" i="2"/>
  <c r="L51" i="2"/>
  <c r="L52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23" i="2"/>
  <c r="H15" i="2"/>
  <c r="G15" i="2"/>
  <c r="K25" i="2"/>
  <c r="K26" i="2"/>
  <c r="U16" i="2"/>
  <c r="L55" i="2"/>
  <c r="V16" i="2"/>
  <c r="Q17" i="2"/>
  <c r="T17" i="2"/>
  <c r="U17" i="2"/>
  <c r="L56" i="2"/>
  <c r="H37" i="2"/>
  <c r="H53" i="2"/>
  <c r="G37" i="2"/>
  <c r="G53" i="2"/>
  <c r="V17" i="2"/>
  <c r="Q18" i="2"/>
  <c r="T18" i="2"/>
  <c r="U18" i="2"/>
  <c r="V18" i="2"/>
  <c r="Q19" i="2"/>
  <c r="T19" i="2"/>
  <c r="L57" i="2"/>
  <c r="D37" i="2"/>
  <c r="D53" i="2"/>
  <c r="D16" i="2"/>
  <c r="D52" i="2"/>
  <c r="C3" i="2"/>
  <c r="U19" i="2"/>
  <c r="V19" i="2"/>
  <c r="Q20" i="2"/>
  <c r="T20" i="2"/>
  <c r="L58" i="2"/>
  <c r="E37" i="2"/>
  <c r="E53" i="2"/>
  <c r="E16" i="2"/>
  <c r="C37" i="2"/>
  <c r="C53" i="2"/>
  <c r="C50" i="2"/>
  <c r="C54" i="2"/>
  <c r="H16" i="2"/>
  <c r="H52" i="2"/>
  <c r="G16" i="2"/>
  <c r="G52" i="2"/>
  <c r="C52" i="2"/>
  <c r="C11" i="2"/>
  <c r="C51" i="2"/>
  <c r="G11" i="2"/>
  <c r="D11" i="2"/>
  <c r="E52" i="2"/>
  <c r="E45" i="2"/>
  <c r="E46" i="2"/>
  <c r="G51" i="2"/>
  <c r="G45" i="2"/>
  <c r="D51" i="2"/>
  <c r="D45" i="2"/>
  <c r="D46" i="2"/>
  <c r="U20" i="2"/>
  <c r="V20" i="2"/>
  <c r="Q21" i="2"/>
  <c r="T21" i="2"/>
  <c r="L59" i="2"/>
  <c r="H11" i="2"/>
  <c r="C45" i="2"/>
  <c r="C46" i="2"/>
  <c r="F47" i="2"/>
  <c r="C55" i="2"/>
  <c r="F56" i="2"/>
  <c r="D55" i="2"/>
  <c r="E55" i="2"/>
  <c r="G55" i="2"/>
  <c r="G46" i="2"/>
  <c r="H51" i="2"/>
  <c r="H45" i="2"/>
  <c r="H46" i="2"/>
  <c r="H47" i="2"/>
  <c r="U21" i="2"/>
  <c r="V21" i="2"/>
  <c r="Q22" i="2"/>
  <c r="T22" i="2"/>
  <c r="U22" i="2"/>
  <c r="V22" i="2"/>
  <c r="Q23" i="2"/>
  <c r="T23" i="2"/>
  <c r="U23" i="2"/>
  <c r="V23" i="2"/>
  <c r="Q24" i="2"/>
  <c r="T24" i="2"/>
  <c r="U24" i="2"/>
  <c r="V24" i="2"/>
  <c r="Q25" i="2"/>
  <c r="T25" i="2"/>
  <c r="U25" i="2"/>
  <c r="V25" i="2"/>
  <c r="Q26" i="2"/>
  <c r="T26" i="2"/>
  <c r="L60" i="2"/>
  <c r="H55" i="2"/>
  <c r="H56" i="2"/>
  <c r="G56" i="2"/>
  <c r="E56" i="2"/>
  <c r="D56" i="2"/>
  <c r="E47" i="2"/>
  <c r="G47" i="2"/>
  <c r="D47" i="2"/>
  <c r="U26" i="2"/>
  <c r="V26" i="2"/>
  <c r="Q27" i="2"/>
  <c r="T27" i="2"/>
  <c r="L61" i="2"/>
  <c r="U27" i="2"/>
  <c r="V27" i="2"/>
  <c r="Q28" i="2"/>
  <c r="T28" i="2"/>
  <c r="L62" i="2"/>
  <c r="K55" i="2"/>
  <c r="M55" i="2"/>
  <c r="N55" i="2"/>
  <c r="U28" i="2"/>
  <c r="V28" i="2"/>
  <c r="Q29" i="2"/>
  <c r="T29" i="2"/>
  <c r="U29" i="2"/>
  <c r="V29" i="2"/>
  <c r="Q30" i="2"/>
  <c r="T30" i="2"/>
  <c r="U30" i="2"/>
  <c r="V30" i="2"/>
  <c r="Q31" i="2"/>
  <c r="T31" i="2"/>
  <c r="K36" i="2"/>
  <c r="M36" i="2"/>
  <c r="N36" i="2"/>
  <c r="K35" i="2"/>
  <c r="M35" i="2"/>
  <c r="N35" i="2"/>
  <c r="K53" i="2"/>
  <c r="M53" i="2"/>
  <c r="N53" i="2"/>
  <c r="K33" i="2"/>
  <c r="M33" i="2"/>
  <c r="N33" i="2"/>
  <c r="K47" i="2"/>
  <c r="M47" i="2"/>
  <c r="N47" i="2"/>
  <c r="K34" i="2"/>
  <c r="M34" i="2"/>
  <c r="N34" i="2"/>
  <c r="K37" i="2"/>
  <c r="M37" i="2"/>
  <c r="N37" i="2"/>
  <c r="K62" i="2"/>
  <c r="M62" i="2"/>
  <c r="N62" i="2"/>
  <c r="K45" i="2"/>
  <c r="M45" i="2"/>
  <c r="N45" i="2"/>
  <c r="K23" i="2"/>
  <c r="M23" i="2"/>
  <c r="N23" i="2"/>
  <c r="K30" i="2"/>
  <c r="M30" i="2"/>
  <c r="N30" i="2"/>
  <c r="K60" i="2"/>
  <c r="M60" i="2"/>
  <c r="N60" i="2"/>
  <c r="K58" i="2"/>
  <c r="M58" i="2"/>
  <c r="N58" i="2"/>
  <c r="K59" i="2"/>
  <c r="M59" i="2"/>
  <c r="N59" i="2"/>
  <c r="K28" i="2"/>
  <c r="M28" i="2"/>
  <c r="N28" i="2"/>
  <c r="K43" i="2"/>
  <c r="M43" i="2"/>
  <c r="N43" i="2"/>
  <c r="K31" i="2"/>
  <c r="M31" i="2"/>
  <c r="N31" i="2"/>
  <c r="K57" i="2"/>
  <c r="M57" i="2"/>
  <c r="N57" i="2"/>
  <c r="M26" i="2"/>
  <c r="N26" i="2"/>
  <c r="K56" i="2"/>
  <c r="M56" i="2"/>
  <c r="N56" i="2"/>
  <c r="K42" i="2"/>
  <c r="M42" i="2"/>
  <c r="N42" i="2"/>
  <c r="K27" i="2"/>
  <c r="M27" i="2"/>
  <c r="N27" i="2"/>
  <c r="K44" i="2"/>
  <c r="M44" i="2"/>
  <c r="N44" i="2"/>
  <c r="K40" i="2"/>
  <c r="M40" i="2"/>
  <c r="N40" i="2"/>
  <c r="K51" i="2"/>
  <c r="M51" i="2"/>
  <c r="N51" i="2"/>
  <c r="M25" i="2"/>
  <c r="N25" i="2"/>
  <c r="K54" i="2"/>
  <c r="M54" i="2"/>
  <c r="N54" i="2"/>
  <c r="K52" i="2"/>
  <c r="M52" i="2"/>
  <c r="N52" i="2"/>
  <c r="K32" i="2"/>
  <c r="M32" i="2"/>
  <c r="N32" i="2"/>
  <c r="K24" i="2"/>
  <c r="M24" i="2"/>
  <c r="N24" i="2"/>
  <c r="K50" i="2"/>
  <c r="M50" i="2"/>
  <c r="N50" i="2"/>
  <c r="K48" i="2"/>
  <c r="M48" i="2"/>
  <c r="N48" i="2"/>
  <c r="K49" i="2"/>
  <c r="M49" i="2"/>
  <c r="N49" i="2"/>
  <c r="K38" i="2"/>
  <c r="M38" i="2"/>
  <c r="N38" i="2"/>
  <c r="K39" i="2"/>
  <c r="M39" i="2"/>
  <c r="N39" i="2"/>
  <c r="K46" i="2"/>
  <c r="M46" i="2"/>
  <c r="N46" i="2"/>
  <c r="K29" i="2"/>
  <c r="M29" i="2"/>
  <c r="N29" i="2"/>
  <c r="K61" i="2"/>
  <c r="M61" i="2"/>
  <c r="N61" i="2"/>
  <c r="K41" i="2"/>
  <c r="M41" i="2"/>
  <c r="N41" i="2"/>
  <c r="U31" i="2"/>
  <c r="V31" i="2"/>
  <c r="Q32" i="2"/>
  <c r="T32" i="2"/>
  <c r="U32" i="2"/>
  <c r="V32" i="2"/>
  <c r="Q33" i="2"/>
  <c r="T33" i="2"/>
  <c r="U33" i="2"/>
  <c r="V33" i="2"/>
  <c r="Q34" i="2"/>
  <c r="T34" i="2"/>
  <c r="U34" i="2"/>
  <c r="V34" i="2"/>
  <c r="Q35" i="2"/>
  <c r="T35" i="2"/>
  <c r="U35" i="2"/>
  <c r="V35" i="2"/>
  <c r="Q36" i="2"/>
  <c r="T36" i="2"/>
  <c r="U36" i="2"/>
  <c r="V36" i="2"/>
  <c r="Q37" i="2"/>
  <c r="T37" i="2"/>
  <c r="U37" i="2"/>
  <c r="V37" i="2"/>
  <c r="Q38" i="2"/>
  <c r="T38" i="2"/>
  <c r="U38" i="2"/>
  <c r="V38" i="2"/>
  <c r="Q39" i="2"/>
  <c r="T39" i="2"/>
  <c r="U39" i="2"/>
  <c r="V39" i="2"/>
  <c r="Q40" i="2"/>
  <c r="T40" i="2"/>
  <c r="U40" i="2"/>
  <c r="V40" i="2"/>
  <c r="Q41" i="2"/>
  <c r="T41" i="2"/>
  <c r="U41" i="2"/>
  <c r="V41" i="2"/>
  <c r="Q42" i="2"/>
  <c r="T42" i="2"/>
  <c r="U42" i="2"/>
  <c r="V42" i="2"/>
  <c r="Q43" i="2"/>
  <c r="T43" i="2"/>
  <c r="U43" i="2"/>
  <c r="V43" i="2"/>
  <c r="Q44" i="2"/>
  <c r="T44" i="2"/>
  <c r="U44" i="2"/>
  <c r="V44" i="2"/>
  <c r="Q45" i="2"/>
  <c r="T45" i="2"/>
  <c r="U45" i="2"/>
  <c r="V45" i="2"/>
  <c r="Q46" i="2"/>
  <c r="T46" i="2"/>
  <c r="T4" i="2"/>
  <c r="U4" i="2"/>
  <c r="U46" i="2"/>
  <c r="V46" i="2"/>
  <c r="Q47" i="2"/>
  <c r="T47" i="2"/>
  <c r="U47" i="2"/>
  <c r="V47" i="2"/>
  <c r="Q48" i="2"/>
  <c r="T48" i="2"/>
  <c r="U48" i="2"/>
  <c r="V48" i="2"/>
  <c r="Q49" i="2"/>
  <c r="T49" i="2"/>
  <c r="U49" i="2"/>
  <c r="V49" i="2"/>
  <c r="Q50" i="2"/>
  <c r="T50" i="2"/>
  <c r="U50" i="2"/>
  <c r="V50" i="2"/>
  <c r="Q51" i="2"/>
  <c r="T51" i="2"/>
  <c r="U51" i="2"/>
  <c r="V51" i="2"/>
  <c r="Q52" i="2"/>
  <c r="T52" i="2"/>
  <c r="U52" i="2"/>
  <c r="V52" i="2"/>
  <c r="Q53" i="2"/>
  <c r="T53" i="2"/>
  <c r="U53" i="2"/>
  <c r="V53" i="2"/>
  <c r="Q54" i="2"/>
  <c r="T54" i="2"/>
  <c r="U54" i="2"/>
  <c r="V54" i="2"/>
  <c r="Q55" i="2"/>
  <c r="T55" i="2"/>
  <c r="U55" i="2"/>
  <c r="V55" i="2"/>
  <c r="Q56" i="2"/>
  <c r="T56" i="2"/>
  <c r="U56" i="2"/>
  <c r="V56" i="2"/>
  <c r="Q57" i="2"/>
  <c r="T57" i="2"/>
  <c r="U57" i="2"/>
  <c r="V57" i="2"/>
  <c r="Q58" i="2"/>
  <c r="T58" i="2"/>
  <c r="U58" i="2"/>
  <c r="V58" i="2"/>
  <c r="Q59" i="2"/>
  <c r="T59" i="2"/>
  <c r="U59" i="2"/>
  <c r="V59" i="2"/>
  <c r="Q60" i="2"/>
  <c r="T60" i="2"/>
  <c r="U60" i="2"/>
  <c r="V60" i="2"/>
  <c r="Q61" i="2"/>
  <c r="T61" i="2"/>
  <c r="U61" i="2"/>
  <c r="V61" i="2"/>
  <c r="Q62" i="2"/>
  <c r="T62" i="2"/>
  <c r="U62" i="2"/>
  <c r="V62" i="2"/>
  <c r="Q63" i="2"/>
  <c r="T63" i="2"/>
  <c r="U63" i="2"/>
  <c r="V63" i="2"/>
  <c r="Q64" i="2"/>
  <c r="T64" i="2"/>
  <c r="U64" i="2"/>
  <c r="V64" i="2"/>
  <c r="Q65" i="2"/>
  <c r="T65" i="2"/>
  <c r="U65" i="2"/>
  <c r="V65" i="2"/>
  <c r="Q66" i="2"/>
  <c r="T66" i="2"/>
  <c r="U66" i="2"/>
  <c r="V66" i="2"/>
  <c r="Q67" i="2"/>
  <c r="T67" i="2"/>
  <c r="U67" i="2"/>
  <c r="V67" i="2"/>
  <c r="Q68" i="2"/>
  <c r="T68" i="2"/>
  <c r="U68" i="2"/>
  <c r="V68" i="2"/>
  <c r="Q69" i="2"/>
  <c r="T69" i="2"/>
  <c r="U69" i="2"/>
  <c r="T5" i="2"/>
  <c r="U5" i="2"/>
  <c r="V69" i="2"/>
</calcChain>
</file>

<file path=xl/sharedStrings.xml><?xml version="1.0" encoding="utf-8"?>
<sst xmlns="http://schemas.openxmlformats.org/spreadsheetml/2006/main" count="174" uniqueCount="94">
  <si>
    <t>Qarson</t>
  </si>
  <si>
    <t>Używane 3 letnie (2016, 45.000 km)</t>
  </si>
  <si>
    <t>Używane 5 letnie (2013, 75.000 km)</t>
  </si>
  <si>
    <t>-</t>
  </si>
  <si>
    <t>Cena zakupu</t>
  </si>
  <si>
    <t>kredyt, roczna stopa procentowa</t>
  </si>
  <si>
    <t>prowizja banku</t>
  </si>
  <si>
    <t>wpłata własna klienta</t>
  </si>
  <si>
    <t>Koszt ubezpieczenia jednorazowo (OC/AC/NW)</t>
  </si>
  <si>
    <t>Koszt ubezpieczenia (OC/AC/NW) w 12 ratach</t>
  </si>
  <si>
    <t>Koszt auta przez 5 lat</t>
  </si>
  <si>
    <t>Średni miesięczny koszt</t>
  </si>
  <si>
    <t>rata stała finansowanie 5 lat</t>
  </si>
  <si>
    <t>w ujęciu miesięcznym:</t>
  </si>
  <si>
    <t>utrata wartości</t>
  </si>
  <si>
    <t>finansowanie</t>
  </si>
  <si>
    <t>serwis</t>
  </si>
  <si>
    <t>ubezpieczenie</t>
  </si>
  <si>
    <t>opony</t>
  </si>
  <si>
    <t>RAZEM</t>
  </si>
  <si>
    <t xml:space="preserve">opony całoroczne </t>
  </si>
  <si>
    <t>koszt wymiany opon (2 razy w roku)</t>
  </si>
  <si>
    <t>Koszty użytkowania</t>
  </si>
  <si>
    <t>Opłata startowa</t>
  </si>
  <si>
    <t>Dodatkowy limit kilometrów</t>
  </si>
  <si>
    <t>Utrata wartości</t>
  </si>
  <si>
    <t>przeglądy okresowe - 1 rok</t>
  </si>
  <si>
    <t>przeglądy okresowe - 2 rok</t>
  </si>
  <si>
    <t>przeglądy okresowe - 3 rok</t>
  </si>
  <si>
    <t>przeglądy okresowe - 4 rok</t>
  </si>
  <si>
    <t>przeglądy okresowe - 5 rok</t>
  </si>
  <si>
    <t>badania techniczne - 1 rok</t>
  </si>
  <si>
    <t>badania techniczne - 2 rok</t>
  </si>
  <si>
    <t>badania techniczne - 3 rok</t>
  </si>
  <si>
    <t>badania techniczne - 4 rok</t>
  </si>
  <si>
    <t>badania techniczne - 5 rok</t>
  </si>
  <si>
    <t>materiały eksploatacyjne - 1 rok</t>
  </si>
  <si>
    <t>materiały eksploatacyjne - 2 rok</t>
  </si>
  <si>
    <t>materiały eksploatacyjne - 3 rok</t>
  </si>
  <si>
    <t>materiały eksploatacyjne - 4 rok</t>
  </si>
  <si>
    <t>materiały eksploatacyjne - 5 rok</t>
  </si>
  <si>
    <t>Koszt napraw - 1 rok</t>
  </si>
  <si>
    <t>Koszt napraw - 2 rok</t>
  </si>
  <si>
    <t>Koszt napraw - 3 rok</t>
  </si>
  <si>
    <t>Koszt napraw - 4 rok</t>
  </si>
  <si>
    <t>Koszt napraw - 5 rok</t>
  </si>
  <si>
    <t>Serwis</t>
  </si>
  <si>
    <t xml:space="preserve">opony zimowe </t>
  </si>
  <si>
    <t>opony letnie</t>
  </si>
  <si>
    <t>Opłata miesięczna (limit 10000km)</t>
  </si>
  <si>
    <t>Finasowanie (odsetki + prowizja)</t>
  </si>
  <si>
    <t>każdy kolejny kilometr</t>
  </si>
  <si>
    <t>koszty w skali roku</t>
  </si>
  <si>
    <t>cena paliwa</t>
  </si>
  <si>
    <t>spalanie  l/100km</t>
  </si>
  <si>
    <t>paliwo</t>
  </si>
  <si>
    <t>Koszty najmu</t>
  </si>
  <si>
    <t>Inne koszty (miesięcznie)</t>
  </si>
  <si>
    <t>myjnia, płyn do szyb, opłaty parkingowe itd.</t>
  </si>
  <si>
    <t>Opłata startowa (jednorazowa)</t>
  </si>
  <si>
    <t>Opłata miesięczna (limit 10000km) / mc</t>
  </si>
  <si>
    <t>Zwiększenie limitu kilometrów do 15000km / mc</t>
  </si>
  <si>
    <t>Zwiększenie limitu kilometrów do 20000km / mc</t>
  </si>
  <si>
    <t>Zwiększenie limitu kilometrów do 25000km / mc</t>
  </si>
  <si>
    <t>Suma</t>
  </si>
  <si>
    <t>łącznie</t>
  </si>
  <si>
    <t>per km</t>
  </si>
  <si>
    <t>przejechane kilometry</t>
  </si>
  <si>
    <t>Paliwo (miesięcznie)</t>
  </si>
  <si>
    <t>gotówka</t>
  </si>
  <si>
    <t>opłata startowa</t>
  </si>
  <si>
    <t>opłata miesięczna</t>
  </si>
  <si>
    <t>miesiąc</t>
  </si>
  <si>
    <t>początek miesiąca</t>
  </si>
  <si>
    <t>saldo</t>
  </si>
  <si>
    <t>odsetki</t>
  </si>
  <si>
    <t>koniec miesiąca</t>
  </si>
  <si>
    <t>oprocentowanie
netto</t>
  </si>
  <si>
    <t>Cena sprzedaży po 5 latach (wg Eurotaxu) dane Qarson</t>
  </si>
  <si>
    <t>Cena sprzedaży przyjęta do obliczeń</t>
  </si>
  <si>
    <t>5 lat</t>
  </si>
  <si>
    <t>3 lata</t>
  </si>
  <si>
    <t>Nowe
kredyt
5 lat</t>
  </si>
  <si>
    <t>Nowe
gotówka
3 lata</t>
  </si>
  <si>
    <t>Nowe
gotówka
5 lat</t>
  </si>
  <si>
    <t>Ubezpieczenie</t>
  </si>
  <si>
    <t>suma odsetek</t>
  </si>
  <si>
    <t>na miesiąc</t>
  </si>
  <si>
    <t>odsetki z kapitału</t>
  </si>
  <si>
    <t>Opony</t>
  </si>
  <si>
    <t>różnica</t>
  </si>
  <si>
    <t xml:space="preserve">Pełny artykuł znajdziesz na blogu Finanse Bardzo Osobiste: </t>
  </si>
  <si>
    <t>https://marciniwuc.com/samochod-na-abonament/</t>
  </si>
  <si>
    <t>Qarson - odsetki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</si>
</sst>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#,##0_ ;[Red]\-#,##0\ "/>
    <numFmt numFmtId="167" formatCode="#,##0.00\ &quot;zł&quot;"/>
    <numFmt numFmtId="168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9" fontId="9" fillId="0" borderId="0" xfId="3" applyFont="1"/>
    <xf numFmtId="0" fontId="10" fillId="0" borderId="1" xfId="0" applyFont="1" applyBorder="1"/>
    <xf numFmtId="165" fontId="0" fillId="0" borderId="1" xfId="0" applyNumberFormat="1" applyBorder="1"/>
    <xf numFmtId="0" fontId="11" fillId="3" borderId="1" xfId="0" applyFont="1" applyFill="1" applyBorder="1" applyAlignment="1">
      <alignment horizontal="left" vertical="center"/>
    </xf>
    <xf numFmtId="165" fontId="11" fillId="3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5" fontId="2" fillId="4" borderId="1" xfId="2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4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6" fillId="5" borderId="1" xfId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6" borderId="1" xfId="0" applyFill="1" applyBorder="1"/>
    <xf numFmtId="0" fontId="0" fillId="7" borderId="1" xfId="0" applyFill="1" applyBorder="1"/>
    <xf numFmtId="3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Border="1"/>
    <xf numFmtId="3" fontId="0" fillId="8" borderId="1" xfId="0" applyNumberFormat="1" applyFill="1" applyBorder="1"/>
    <xf numFmtId="168" fontId="0" fillId="8" borderId="1" xfId="0" applyNumberFormat="1" applyFill="1" applyBorder="1"/>
    <xf numFmtId="167" fontId="0" fillId="8" borderId="1" xfId="0" applyNumberFormat="1" applyFill="1" applyBorder="1"/>
    <xf numFmtId="167" fontId="2" fillId="0" borderId="1" xfId="0" applyNumberFormat="1" applyFont="1" applyBorder="1" applyAlignment="1">
      <alignment horizontal="right" vertical="center" wrapText="1"/>
    </xf>
    <xf numFmtId="167" fontId="1" fillId="7" borderId="1" xfId="0" applyNumberFormat="1" applyFont="1" applyFill="1" applyBorder="1"/>
    <xf numFmtId="0" fontId="0" fillId="9" borderId="1" xfId="0" applyFill="1" applyBorder="1"/>
    <xf numFmtId="0" fontId="0" fillId="8" borderId="1" xfId="0" applyFill="1" applyBorder="1"/>
    <xf numFmtId="3" fontId="0" fillId="5" borderId="1" xfId="0" applyNumberFormat="1" applyFill="1" applyBorder="1"/>
    <xf numFmtId="168" fontId="0" fillId="5" borderId="1" xfId="0" applyNumberFormat="1" applyFill="1" applyBorder="1"/>
    <xf numFmtId="167" fontId="0" fillId="5" borderId="1" xfId="0" applyNumberFormat="1" applyFill="1" applyBorder="1"/>
    <xf numFmtId="0" fontId="12" fillId="11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right" vertical="center" wrapText="1"/>
    </xf>
    <xf numFmtId="0" fontId="6" fillId="12" borderId="1" xfId="1" applyFill="1" applyBorder="1" applyAlignment="1">
      <alignment vertical="center"/>
    </xf>
    <xf numFmtId="0" fontId="0" fillId="10" borderId="1" xfId="0" applyFill="1" applyBorder="1"/>
    <xf numFmtId="167" fontId="0" fillId="10" borderId="1" xfId="0" applyNumberForma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 wrapText="1"/>
    </xf>
    <xf numFmtId="0" fontId="14" fillId="13" borderId="0" xfId="0" applyFont="1" applyFill="1"/>
    <xf numFmtId="0" fontId="6" fillId="0" borderId="0" xfId="1" applyFill="1"/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left"/>
    </xf>
    <xf numFmtId="10" fontId="0" fillId="0" borderId="2" xfId="0" applyNumberFormat="1" applyBorder="1" applyAlignment="1">
      <alignment horizontal="right" vertical="center"/>
    </xf>
    <xf numFmtId="10" fontId="0" fillId="0" borderId="3" xfId="0" applyNumberFormat="1" applyBorder="1" applyAlignment="1">
      <alignment horizontal="right" vertical="center"/>
    </xf>
  </cellXfs>
  <cellStyles count="4">
    <cellStyle name="Dziesiętny" xfId="2" builtinId="3"/>
    <cellStyle name="Hiperlink" xfId="1" builtinId="8"/>
    <cellStyle name="Norm." xfId="0" builtinId="0"/>
    <cellStyle name="Procentowy" xfId="3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marciniwuc.com/samochod-na-abonament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435428</xdr:colOff>
      <xdr:row>2</xdr:row>
      <xdr:rowOff>108856</xdr:rowOff>
    </xdr:from>
    <xdr:to>
      <xdr:col>15</xdr:col>
      <xdr:colOff>59619</xdr:colOff>
      <xdr:row>5</xdr:row>
      <xdr:rowOff>118332</xdr:rowOff>
    </xdr:to>
    <xdr:pic>
      <xdr:nvPicPr>
        <xdr:cNvPr id="2" name="image1.png" title="https://marciniwuc.com">
          <a:hlinkClick xmlns:r="http://schemas.openxmlformats.org/officeDocument/2006/relationships" r:id="rId1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8823" y="790893"/>
          <a:ext cx="2485611" cy="57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ceneo.pl/Opony_letnie;017P0-1046064-1046157-1046121-1046101-1046114-1046091-1046093-1046086-1046125-1046061-1046074P1-1045917P2-1045959P3-1045978;0020-30-0-0-1;0112-0.htm" TargetMode="External"/><Relationship Id="rId20" Type="http://schemas.openxmlformats.org/officeDocument/2006/relationships/drawing" Target="../drawings/drawing1.xml"/><Relationship Id="rId10" Type="http://schemas.openxmlformats.org/officeDocument/2006/relationships/hyperlink" Target="https://www.ceneo.pl/Opony_zimowe/Profil:55/Szerokosc:195/Srednica:16;0020-30-0-0-2;0112-0.htm" TargetMode="External"/><Relationship Id="rId11" Type="http://schemas.openxmlformats.org/officeDocument/2006/relationships/hyperlink" Target="https://www.otomoto.pl/osobowe/renault/clio/od-2018/?search%5Bfilter_float_year%3Ato%5D=2018&amp;search%5Bfilter_float_mileage%3Ato%5D=20&amp;search%5Bfilter_float_engine_power%3Afrom%5D=90&amp;search%5Bfilter_enum_fuel_type%5D%5B0%5D=petrol&amp;search%5Border%5D=filter_" TargetMode="External"/><Relationship Id="rId12" Type="http://schemas.openxmlformats.org/officeDocument/2006/relationships/hyperlink" Target="https://www.otomoto.pl/osobowe/renault/clio/od-2016/?search%5Bfilter_float_year%3Ato%5D=2016&amp;search%5Bfilter_float_mileage%3Ato%5D=50000&amp;search%5Bfilter_float_engine_power%3Afrom%5D=80&amp;search%5Bfilter_enum_fuel_type%5D%5B0%5D=petrol&amp;search%5Bfilter_enum_c" TargetMode="External"/><Relationship Id="rId13" Type="http://schemas.openxmlformats.org/officeDocument/2006/relationships/hyperlink" Target="https://www.otomoto.pl/osobowe/renault/clio/od-2014/?search%5Bfilter_float_year%3Ato%5D=2014&amp;search%5Bfilter_float_mileage%3Ato%5D=100000&amp;search%5Bfilter_enum_fuel_type%5D%5B0%5D=petrol&amp;search%5Bfilter_enum_country_origin%5D%5B0%5D=pl&amp;search%5Border%5D=fi" TargetMode="External"/><Relationship Id="rId14" Type="http://schemas.openxmlformats.org/officeDocument/2006/relationships/hyperlink" Target="https://www.otomoto.pl/osobowe/renault/clio/od-2014/?search%5Bfilter_float_year%3Ato%5D=2014&amp;search%5Bfilter_float_mileage%3Ato%5D=100000&amp;search%5Bfilter_enum_fuel_type%5D%5B0%5D=petrol&amp;search%5Bfilter_enum_country_origin%5D%5B0%5D=pl&amp;search%5Border%5D=fi" TargetMode="External"/><Relationship Id="rId15" Type="http://schemas.openxmlformats.org/officeDocument/2006/relationships/hyperlink" Target="https://www.ceneo.pl/Opony_caloroczne/Profil:55/Szerokosc:195/Srednica:16;0112-0.htm" TargetMode="External"/><Relationship Id="rId16" Type="http://schemas.openxmlformats.org/officeDocument/2006/relationships/hyperlink" Target="https://www.ceneo.pl/Opony_letnie;017P0-1046064-1046157-1046121-1046101-1046114-1046091-1046093-1046086-1046125-1046061-1046074P1-1045917P2-1045959P3-1045978;0020-30-0-0-1;0112-0.htm" TargetMode="External"/><Relationship Id="rId17" Type="http://schemas.openxmlformats.org/officeDocument/2006/relationships/hyperlink" Target="https://www.ceneo.pl/Opony_zimowe/Profil:55/Szerokosc:195/Srednica:16;0020-30-0-0-2;0112-0.htm" TargetMode="External"/><Relationship Id="rId18" Type="http://schemas.openxmlformats.org/officeDocument/2006/relationships/hyperlink" Target="https://marciniwuc.com/samochod-na-abonament/" TargetMode="External"/><Relationship Id="rId19" Type="http://schemas.openxmlformats.org/officeDocument/2006/relationships/printerSettings" Target="../printerSettings/printerSettings1.bin"/><Relationship Id="rId1" Type="http://schemas.openxmlformats.org/officeDocument/2006/relationships/hyperlink" Target="https://www.otomoto.pl/osobowe/renault/clio/od-2016/?search%5Bfilter_float_year%3Ato%5D=2016&amp;search%5Bfilter_float_mileage%3Ato%5D=50000&amp;search%5Bfilter_float_engine_power%3Afrom%5D=80&amp;search%5Bfilter_enum_fuel_type%5D%5B0%5D=petrol&amp;search%5Bfilter_enum_c" TargetMode="External"/><Relationship Id="rId2" Type="http://schemas.openxmlformats.org/officeDocument/2006/relationships/hyperlink" Target="https://www.otomoto.pl/osobowe/renault/clio/od-2014/?search%5Bfilter_float_year%3Ato%5D=2014&amp;search%5Bfilter_float_mileage%3Ato%5D=100000&amp;search%5Bfilter_enum_fuel_type%5D%5B0%5D=petrol&amp;search%5Bfilter_enum_country_origin%5D%5B0%5D=pl&amp;search%5Border%5D=fi" TargetMode="External"/><Relationship Id="rId3" Type="http://schemas.openxmlformats.org/officeDocument/2006/relationships/hyperlink" Target="https://www.ceneo.pl/Opony_caloroczne/Profil:55/Szerokosc:195/Srednica:16;0112-0.htm" TargetMode="External"/><Relationship Id="rId4" Type="http://schemas.openxmlformats.org/officeDocument/2006/relationships/hyperlink" Target="https://www.ceneo.pl/Opony_letnie;017P0-1046064-1046157-1046121-1046101-1046114-1046091-1046093-1046086-1046125-1046061-1046074P1-1045917P2-1045959P3-1045978;0020-30-0-0-1;0112-0.htm" TargetMode="External"/><Relationship Id="rId5" Type="http://schemas.openxmlformats.org/officeDocument/2006/relationships/hyperlink" Target="https://www.ceneo.pl/Opony_zimowe/Profil:55/Szerokosc:195/Srednica:16;0020-30-0-0-2;0112-0.htm" TargetMode="External"/><Relationship Id="rId6" Type="http://schemas.openxmlformats.org/officeDocument/2006/relationships/hyperlink" Target="https://www.otomoto.pl/osobowe/renault/clio/od-2018/?search%5Bfilter_float_year%3Ato%5D=2018&amp;search%5Bfilter_float_mileage%3Ato%5D=20&amp;search%5Bfilter_float_engine_power%3Afrom%5D=90&amp;search%5Bfilter_enum_fuel_type%5D%5B0%5D=petrol&amp;search%5Border%5D=filter_" TargetMode="External"/><Relationship Id="rId7" Type="http://schemas.openxmlformats.org/officeDocument/2006/relationships/hyperlink" Target="https://www.otomoto.pl/osobowe/renault/clio/od-2018/?search%5Bfilter_float_year%3Ato%5D=2018&amp;search%5Bfilter_float_mileage%3Ato%5D=20&amp;search%5Bfilter_float_engine_power%3Afrom%5D=90&amp;search%5Bfilter_enum_fuel_type%5D%5B0%5D=petrol&amp;search%5Border%5D=filter_" TargetMode="External"/><Relationship Id="rId8" Type="http://schemas.openxmlformats.org/officeDocument/2006/relationships/hyperlink" Target="https://www.ceneo.pl/Opony_caloroczne/Profil:55/Szerokosc:195/Srednica:16;0112-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5"/>
  <sheetViews>
    <sheetView showGridLines="0" tabSelected="1" zoomScale="135" zoomScaleNormal="44" zoomScalePageLayoutView="44" workbookViewId="0">
      <selection activeCell="A14" sqref="A14"/>
    </sheetView>
  </sheetViews>
  <sheetFormatPr baseColWidth="10" defaultColWidth="8.83203125" defaultRowHeight="15" customHeight="1" outlineLevelRow="1" x14ac:dyDescent="0.2"/>
  <cols>
    <col min="2" max="2" width="50.5" bestFit="1" customWidth="1"/>
    <col min="4" max="6" width="11.1640625" customWidth="1"/>
    <col min="7" max="7" width="16.5" customWidth="1"/>
    <col min="8" max="8" width="16.6640625" customWidth="1"/>
    <col min="10" max="10" width="41.6640625" bestFit="1" customWidth="1"/>
    <col min="11" max="11" width="23.83203125" bestFit="1" customWidth="1"/>
    <col min="13" max="13" width="11" bestFit="1" customWidth="1"/>
    <col min="16" max="16" width="7.6640625" bestFit="1" customWidth="1"/>
    <col min="17" max="17" width="17.5" bestFit="1" customWidth="1"/>
    <col min="18" max="18" width="15" bestFit="1" customWidth="1"/>
    <col min="19" max="19" width="17" bestFit="1" customWidth="1"/>
    <col min="20" max="20" width="15.5" customWidth="1"/>
    <col min="21" max="21" width="13.6640625" bestFit="1" customWidth="1"/>
    <col min="22" max="22" width="15.33203125" bestFit="1" customWidth="1"/>
  </cols>
  <sheetData>
    <row r="2" spans="2:22" s="2" customFormat="1" ht="39" x14ac:dyDescent="0.2">
      <c r="B2" s="48"/>
      <c r="C2" s="47" t="s">
        <v>0</v>
      </c>
      <c r="D2" s="47" t="s">
        <v>82</v>
      </c>
      <c r="E2" s="47" t="s">
        <v>84</v>
      </c>
      <c r="F2" s="47" t="s">
        <v>83</v>
      </c>
      <c r="G2" s="47" t="s">
        <v>1</v>
      </c>
      <c r="H2" s="47" t="s">
        <v>2</v>
      </c>
      <c r="J2"/>
      <c r="K2"/>
      <c r="L2"/>
      <c r="M2"/>
      <c r="N2"/>
      <c r="O2"/>
      <c r="P2"/>
      <c r="Q2"/>
    </row>
    <row r="3" spans="2:22" ht="15" customHeight="1" x14ac:dyDescent="0.2">
      <c r="B3" s="8" t="s">
        <v>22</v>
      </c>
      <c r="C3" s="13">
        <f>(C4+12*C5+12*C6)*5</f>
        <v>40275</v>
      </c>
      <c r="D3" s="14"/>
      <c r="E3" s="14"/>
      <c r="F3" s="14"/>
      <c r="G3" s="14"/>
      <c r="H3" s="14"/>
      <c r="J3" s="30" t="s">
        <v>56</v>
      </c>
      <c r="K3" s="30"/>
      <c r="Q3" s="40" t="s">
        <v>69</v>
      </c>
      <c r="R3" s="9">
        <v>51000</v>
      </c>
      <c r="S3" s="51"/>
      <c r="T3" s="51" t="s">
        <v>86</v>
      </c>
      <c r="U3" s="51" t="s">
        <v>87</v>
      </c>
    </row>
    <row r="4" spans="2:22" ht="15" customHeight="1" x14ac:dyDescent="0.2">
      <c r="B4" s="10" t="s">
        <v>23</v>
      </c>
      <c r="C4" s="15">
        <v>999</v>
      </c>
      <c r="D4" s="15" t="s">
        <v>3</v>
      </c>
      <c r="E4" s="15" t="s">
        <v>3</v>
      </c>
      <c r="F4" s="15" t="s">
        <v>3</v>
      </c>
      <c r="G4" s="15" t="s">
        <v>3</v>
      </c>
      <c r="H4" s="15" t="s">
        <v>3</v>
      </c>
      <c r="J4" s="10" t="s">
        <v>59</v>
      </c>
      <c r="K4" s="38">
        <v>999</v>
      </c>
      <c r="Q4" s="40" t="s">
        <v>70</v>
      </c>
      <c r="R4" s="9">
        <v>999</v>
      </c>
      <c r="S4" s="51" t="s">
        <v>81</v>
      </c>
      <c r="T4" s="52">
        <f>SUM(U10:U45)</f>
        <v>2977.6100000000006</v>
      </c>
      <c r="U4" s="52">
        <f>T4/36</f>
        <v>82.711388888888905</v>
      </c>
    </row>
    <row r="5" spans="2:22" ht="15" customHeight="1" x14ac:dyDescent="0.2">
      <c r="B5" s="10" t="s">
        <v>49</v>
      </c>
      <c r="C5" s="15">
        <v>499</v>
      </c>
      <c r="D5" s="15" t="s">
        <v>3</v>
      </c>
      <c r="E5" s="15" t="s">
        <v>3</v>
      </c>
      <c r="F5" s="15" t="s">
        <v>3</v>
      </c>
      <c r="G5" s="15" t="s">
        <v>3</v>
      </c>
      <c r="H5" s="15" t="s">
        <v>3</v>
      </c>
      <c r="J5" s="10" t="s">
        <v>60</v>
      </c>
      <c r="K5" s="38">
        <v>499</v>
      </c>
      <c r="L5" s="2"/>
      <c r="N5" s="2"/>
      <c r="O5" s="2"/>
      <c r="P5" s="2"/>
      <c r="Q5" s="40" t="s">
        <v>71</v>
      </c>
      <c r="R5" s="9">
        <v>588</v>
      </c>
      <c r="S5" s="51" t="s">
        <v>80</v>
      </c>
      <c r="T5" s="52">
        <f>SUM(U10:U69)</f>
        <v>4054.6600000000003</v>
      </c>
      <c r="U5" s="52">
        <f>T5/60</f>
        <v>67.577666666666673</v>
      </c>
    </row>
    <row r="6" spans="2:22" ht="15" customHeight="1" x14ac:dyDescent="0.2">
      <c r="B6" s="10" t="s">
        <v>24</v>
      </c>
      <c r="C6" s="15">
        <v>89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J6" s="10" t="s">
        <v>61</v>
      </c>
      <c r="K6" s="38">
        <v>89</v>
      </c>
      <c r="Q6" s="58" t="s">
        <v>77</v>
      </c>
      <c r="R6" s="60">
        <v>2.5000000000000001E-2</v>
      </c>
    </row>
    <row r="7" spans="2:22" ht="15" customHeight="1" x14ac:dyDescent="0.2">
      <c r="B7" s="8" t="s">
        <v>25</v>
      </c>
      <c r="C7" s="16"/>
      <c r="D7" s="13">
        <f>D8-D10</f>
        <v>21300</v>
      </c>
      <c r="E7" s="13">
        <f t="shared" ref="E7:H7" si="0">E8-E10</f>
        <v>21300</v>
      </c>
      <c r="F7" s="13">
        <f t="shared" si="0"/>
        <v>15450</v>
      </c>
      <c r="G7" s="13">
        <f t="shared" si="0"/>
        <v>24800</v>
      </c>
      <c r="H7" s="13">
        <f t="shared" si="0"/>
        <v>22100</v>
      </c>
      <c r="J7" s="10" t="s">
        <v>62</v>
      </c>
      <c r="K7" s="34">
        <v>189</v>
      </c>
      <c r="Q7" s="59"/>
      <c r="R7" s="61"/>
    </row>
    <row r="8" spans="2:22" ht="15" customHeight="1" x14ac:dyDescent="0.2">
      <c r="B8" s="10" t="s">
        <v>4</v>
      </c>
      <c r="C8" s="17"/>
      <c r="D8" s="26">
        <v>51000</v>
      </c>
      <c r="E8" s="26">
        <v>51000</v>
      </c>
      <c r="F8" s="26">
        <v>51000</v>
      </c>
      <c r="G8" s="18">
        <v>39500</v>
      </c>
      <c r="H8" s="18">
        <v>33000</v>
      </c>
      <c r="J8" s="10" t="s">
        <v>63</v>
      </c>
      <c r="K8" s="34">
        <v>289</v>
      </c>
    </row>
    <row r="9" spans="2:22" ht="15" customHeight="1" x14ac:dyDescent="0.2">
      <c r="B9" s="10" t="s">
        <v>78</v>
      </c>
      <c r="C9" s="17"/>
      <c r="D9" s="15">
        <v>22300</v>
      </c>
      <c r="E9" s="15">
        <v>22300</v>
      </c>
      <c r="F9" s="15"/>
      <c r="G9" s="15">
        <v>14700</v>
      </c>
      <c r="H9" s="15">
        <v>10900</v>
      </c>
      <c r="J9" s="27" t="s">
        <v>51</v>
      </c>
      <c r="K9" s="34">
        <v>0.24</v>
      </c>
      <c r="P9" s="30" t="s">
        <v>72</v>
      </c>
      <c r="Q9" s="30" t="s">
        <v>73</v>
      </c>
      <c r="R9" s="30" t="s">
        <v>70</v>
      </c>
      <c r="S9" s="30" t="s">
        <v>71</v>
      </c>
      <c r="T9" s="30" t="s">
        <v>74</v>
      </c>
      <c r="U9" s="30" t="s">
        <v>75</v>
      </c>
      <c r="V9" s="30" t="s">
        <v>76</v>
      </c>
    </row>
    <row r="10" spans="2:22" ht="15" customHeight="1" x14ac:dyDescent="0.2">
      <c r="B10" s="10" t="s">
        <v>79</v>
      </c>
      <c r="C10" s="17"/>
      <c r="D10" s="26">
        <v>29700</v>
      </c>
      <c r="E10" s="26">
        <v>29700</v>
      </c>
      <c r="F10" s="26">
        <v>35550</v>
      </c>
      <c r="G10" s="15">
        <v>14700</v>
      </c>
      <c r="H10" s="15">
        <v>10900</v>
      </c>
      <c r="P10" s="9">
        <v>1</v>
      </c>
      <c r="Q10" s="34">
        <f>R3</f>
        <v>51000</v>
      </c>
      <c r="R10" s="34">
        <f>$R$4</f>
        <v>999</v>
      </c>
      <c r="S10" s="34">
        <f t="shared" ref="S10:S41" si="1">$R$5</f>
        <v>588</v>
      </c>
      <c r="T10" s="34">
        <f>Q10-R10-S10</f>
        <v>49413</v>
      </c>
      <c r="U10" s="34">
        <f t="shared" ref="U10:U41" si="2">ROUND(T10*$R$6/12,2)</f>
        <v>102.94</v>
      </c>
      <c r="V10" s="34">
        <f>T10+U10</f>
        <v>49515.94</v>
      </c>
    </row>
    <row r="11" spans="2:22" ht="15" customHeight="1" x14ac:dyDescent="0.2">
      <c r="B11" s="8" t="s">
        <v>50</v>
      </c>
      <c r="C11" s="13">
        <f>C15*60-C8-C14+C13*(C8-C14)</f>
        <v>0</v>
      </c>
      <c r="D11" s="13">
        <f>D15*60-(D8-D14)+D13*(D8-D14)</f>
        <v>9389.6303784817865</v>
      </c>
      <c r="E11" s="13"/>
      <c r="F11" s="13"/>
      <c r="G11" s="13">
        <f>G15*60-(G8-G14)+G13*(G8-G14)</f>
        <v>7230.0585828668845</v>
      </c>
      <c r="H11" s="13">
        <f>H15*60-(H8-H14)+H13*(H8-H14)</f>
        <v>6009.4310462149879</v>
      </c>
      <c r="J11" s="30" t="s">
        <v>57</v>
      </c>
      <c r="K11" s="30"/>
      <c r="P11" s="9">
        <v>2</v>
      </c>
      <c r="Q11" s="34">
        <f>V10</f>
        <v>49515.94</v>
      </c>
      <c r="R11" s="34"/>
      <c r="S11" s="34">
        <f t="shared" si="1"/>
        <v>588</v>
      </c>
      <c r="T11" s="34">
        <f t="shared" ref="T11:T69" si="3">Q11-R11-S11</f>
        <v>48927.94</v>
      </c>
      <c r="U11" s="34">
        <f t="shared" si="2"/>
        <v>101.93</v>
      </c>
      <c r="V11" s="34">
        <f t="shared" ref="V11:V69" si="4">T11+U11</f>
        <v>49029.87</v>
      </c>
    </row>
    <row r="12" spans="2:22" ht="15" customHeight="1" x14ac:dyDescent="0.2">
      <c r="B12" s="10" t="s">
        <v>5</v>
      </c>
      <c r="C12" s="9"/>
      <c r="D12" s="19">
        <v>6.9900000000000004E-2</v>
      </c>
      <c r="E12" s="19"/>
      <c r="F12" s="19"/>
      <c r="G12" s="19">
        <v>6.9900000000000004E-2</v>
      </c>
      <c r="H12" s="19">
        <v>6.9900000000000004E-2</v>
      </c>
      <c r="J12" s="9" t="s">
        <v>18</v>
      </c>
      <c r="K12" s="34">
        <v>49</v>
      </c>
      <c r="P12" s="9">
        <v>3</v>
      </c>
      <c r="Q12" s="34">
        <f t="shared" ref="Q12:Q69" si="5">V11</f>
        <v>49029.87</v>
      </c>
      <c r="R12" s="34"/>
      <c r="S12" s="34">
        <f t="shared" si="1"/>
        <v>588</v>
      </c>
      <c r="T12" s="34">
        <f t="shared" si="3"/>
        <v>48441.87</v>
      </c>
      <c r="U12" s="34">
        <f t="shared" si="2"/>
        <v>100.92</v>
      </c>
      <c r="V12" s="34">
        <f t="shared" si="4"/>
        <v>48542.79</v>
      </c>
    </row>
    <row r="13" spans="2:22" ht="15" customHeight="1" x14ac:dyDescent="0.2">
      <c r="B13" s="10" t="s">
        <v>6</v>
      </c>
      <c r="C13" s="9"/>
      <c r="D13" s="20">
        <v>0</v>
      </c>
      <c r="E13" s="20"/>
      <c r="F13" s="20"/>
      <c r="G13" s="20">
        <v>0</v>
      </c>
      <c r="H13" s="20">
        <v>0</v>
      </c>
      <c r="J13" s="9" t="s">
        <v>17</v>
      </c>
      <c r="K13" s="34">
        <v>184</v>
      </c>
      <c r="P13" s="9">
        <v>4</v>
      </c>
      <c r="Q13" s="34">
        <f t="shared" si="5"/>
        <v>48542.79</v>
      </c>
      <c r="R13" s="34"/>
      <c r="S13" s="34">
        <f t="shared" si="1"/>
        <v>588</v>
      </c>
      <c r="T13" s="34">
        <f t="shared" si="3"/>
        <v>47954.79</v>
      </c>
      <c r="U13" s="34">
        <f t="shared" si="2"/>
        <v>99.91</v>
      </c>
      <c r="V13" s="34">
        <f t="shared" si="4"/>
        <v>48054.700000000004</v>
      </c>
    </row>
    <row r="14" spans="2:22" ht="15" customHeight="1" x14ac:dyDescent="0.2">
      <c r="B14" s="10" t="s">
        <v>7</v>
      </c>
      <c r="C14" s="9"/>
      <c r="D14" s="15">
        <v>999</v>
      </c>
      <c r="E14" s="15"/>
      <c r="F14" s="15"/>
      <c r="G14" s="15">
        <v>999</v>
      </c>
      <c r="H14" s="15">
        <v>999</v>
      </c>
      <c r="J14" s="9" t="s">
        <v>58</v>
      </c>
      <c r="K14" s="34">
        <v>50</v>
      </c>
      <c r="P14" s="9">
        <v>5</v>
      </c>
      <c r="Q14" s="34">
        <f t="shared" si="5"/>
        <v>48054.700000000004</v>
      </c>
      <c r="R14" s="34"/>
      <c r="S14" s="34">
        <f t="shared" si="1"/>
        <v>588</v>
      </c>
      <c r="T14" s="34">
        <f t="shared" si="3"/>
        <v>47466.700000000004</v>
      </c>
      <c r="U14" s="34">
        <f t="shared" si="2"/>
        <v>98.89</v>
      </c>
      <c r="V14" s="34">
        <f t="shared" si="4"/>
        <v>47565.590000000004</v>
      </c>
    </row>
    <row r="15" spans="2:22" ht="15" customHeight="1" x14ac:dyDescent="0.2">
      <c r="B15" s="10" t="s">
        <v>12</v>
      </c>
      <c r="C15" s="9"/>
      <c r="D15" s="21">
        <f>-PMT(D12/12,60,D8-D14,0,0)</f>
        <v>989.84383964136305</v>
      </c>
      <c r="E15" s="21"/>
      <c r="F15" s="21"/>
      <c r="G15" s="21">
        <f>-PMT(G12/12,60,G8-G14,0,0)</f>
        <v>762.18430971444809</v>
      </c>
      <c r="H15" s="21">
        <f>-PMT(H12/12,60,H8-H14,0,0)</f>
        <v>633.50718410358309</v>
      </c>
      <c r="J15" s="31" t="s">
        <v>64</v>
      </c>
      <c r="K15" s="39">
        <f>SUM(K12:K14)</f>
        <v>283</v>
      </c>
      <c r="P15" s="9">
        <v>6</v>
      </c>
      <c r="Q15" s="34">
        <f t="shared" si="5"/>
        <v>47565.590000000004</v>
      </c>
      <c r="R15" s="34"/>
      <c r="S15" s="34">
        <f t="shared" si="1"/>
        <v>588</v>
      </c>
      <c r="T15" s="34">
        <f t="shared" si="3"/>
        <v>46977.590000000004</v>
      </c>
      <c r="U15" s="34">
        <f t="shared" si="2"/>
        <v>97.87</v>
      </c>
      <c r="V15" s="34">
        <f t="shared" si="4"/>
        <v>47075.460000000006</v>
      </c>
    </row>
    <row r="16" spans="2:22" ht="15" customHeight="1" outlineLevel="1" x14ac:dyDescent="0.2">
      <c r="B16" s="8" t="s">
        <v>46</v>
      </c>
      <c r="C16" s="13">
        <f t="shared" ref="C16:H16" si="6">SUM(C17:C36)</f>
        <v>0</v>
      </c>
      <c r="D16" s="13">
        <f t="shared" si="6"/>
        <v>8103</v>
      </c>
      <c r="E16" s="13">
        <f t="shared" si="6"/>
        <v>8103</v>
      </c>
      <c r="F16" s="13">
        <f t="shared" si="6"/>
        <v>3303</v>
      </c>
      <c r="G16" s="13">
        <f t="shared" si="6"/>
        <v>12460</v>
      </c>
      <c r="H16" s="13">
        <f t="shared" si="6"/>
        <v>15945</v>
      </c>
      <c r="P16" s="9">
        <v>7</v>
      </c>
      <c r="Q16" s="34">
        <f t="shared" si="5"/>
        <v>47075.460000000006</v>
      </c>
      <c r="R16" s="34"/>
      <c r="S16" s="34">
        <f t="shared" si="1"/>
        <v>588</v>
      </c>
      <c r="T16" s="34">
        <f t="shared" si="3"/>
        <v>46487.460000000006</v>
      </c>
      <c r="U16" s="34">
        <f t="shared" si="2"/>
        <v>96.85</v>
      </c>
      <c r="V16" s="34">
        <f t="shared" si="4"/>
        <v>46584.310000000005</v>
      </c>
    </row>
    <row r="17" spans="2:22" ht="15" customHeight="1" outlineLevel="1" x14ac:dyDescent="0.2">
      <c r="B17" s="10" t="s">
        <v>26</v>
      </c>
      <c r="C17" s="11" t="s">
        <v>3</v>
      </c>
      <c r="D17" s="11">
        <v>500</v>
      </c>
      <c r="E17" s="11">
        <v>500</v>
      </c>
      <c r="F17" s="11">
        <v>500</v>
      </c>
      <c r="G17" s="11">
        <v>840</v>
      </c>
      <c r="H17" s="11">
        <v>1650</v>
      </c>
      <c r="J17" s="30" t="s">
        <v>68</v>
      </c>
      <c r="K17" s="30"/>
      <c r="P17" s="9">
        <v>8</v>
      </c>
      <c r="Q17" s="34">
        <f t="shared" si="5"/>
        <v>46584.310000000005</v>
      </c>
      <c r="R17" s="34"/>
      <c r="S17" s="34">
        <f t="shared" si="1"/>
        <v>588</v>
      </c>
      <c r="T17" s="34">
        <f t="shared" si="3"/>
        <v>45996.310000000005</v>
      </c>
      <c r="U17" s="34">
        <f t="shared" si="2"/>
        <v>95.83</v>
      </c>
      <c r="V17" s="34">
        <f t="shared" si="4"/>
        <v>46092.140000000007</v>
      </c>
    </row>
    <row r="18" spans="2:22" ht="15" customHeight="1" outlineLevel="1" x14ac:dyDescent="0.2">
      <c r="B18" s="10" t="s">
        <v>27</v>
      </c>
      <c r="C18" s="11" t="s">
        <v>3</v>
      </c>
      <c r="D18" s="11">
        <v>840</v>
      </c>
      <c r="E18" s="11">
        <v>840</v>
      </c>
      <c r="F18" s="11">
        <v>840</v>
      </c>
      <c r="G18" s="11">
        <v>1225</v>
      </c>
      <c r="H18" s="11">
        <v>1800</v>
      </c>
      <c r="J18" s="9" t="s">
        <v>53</v>
      </c>
      <c r="K18" s="34">
        <v>4.8499999999999996</v>
      </c>
      <c r="P18" s="9">
        <v>9</v>
      </c>
      <c r="Q18" s="34">
        <f t="shared" si="5"/>
        <v>46092.140000000007</v>
      </c>
      <c r="R18" s="34"/>
      <c r="S18" s="34">
        <f t="shared" si="1"/>
        <v>588</v>
      </c>
      <c r="T18" s="34">
        <f t="shared" si="3"/>
        <v>45504.140000000007</v>
      </c>
      <c r="U18" s="34">
        <f t="shared" si="2"/>
        <v>94.8</v>
      </c>
      <c r="V18" s="34">
        <f t="shared" si="4"/>
        <v>45598.94000000001</v>
      </c>
    </row>
    <row r="19" spans="2:22" ht="15" customHeight="1" outlineLevel="1" x14ac:dyDescent="0.2">
      <c r="B19" s="10" t="s">
        <v>28</v>
      </c>
      <c r="C19" s="11" t="s">
        <v>3</v>
      </c>
      <c r="D19" s="11">
        <v>1225</v>
      </c>
      <c r="E19" s="11">
        <v>1225</v>
      </c>
      <c r="F19" s="11">
        <v>1225</v>
      </c>
      <c r="G19" s="11">
        <v>1650</v>
      </c>
      <c r="H19" s="11">
        <v>1800</v>
      </c>
      <c r="J19" s="9" t="s">
        <v>54</v>
      </c>
      <c r="K19" s="9">
        <v>6.2</v>
      </c>
      <c r="P19" s="9">
        <v>10</v>
      </c>
      <c r="Q19" s="34">
        <f t="shared" si="5"/>
        <v>45598.94000000001</v>
      </c>
      <c r="R19" s="34"/>
      <c r="S19" s="34">
        <f t="shared" si="1"/>
        <v>588</v>
      </c>
      <c r="T19" s="34">
        <f t="shared" si="3"/>
        <v>45010.94000000001</v>
      </c>
      <c r="U19" s="34">
        <f t="shared" si="2"/>
        <v>93.77</v>
      </c>
      <c r="V19" s="34">
        <f t="shared" si="4"/>
        <v>45104.710000000006</v>
      </c>
    </row>
    <row r="20" spans="2:22" ht="15" customHeight="1" outlineLevel="1" x14ac:dyDescent="0.2">
      <c r="B20" s="10" t="s">
        <v>29</v>
      </c>
      <c r="C20" s="11" t="s">
        <v>3</v>
      </c>
      <c r="D20" s="11">
        <v>1650</v>
      </c>
      <c r="E20" s="11">
        <v>1650</v>
      </c>
      <c r="F20" s="11" t="s">
        <v>3</v>
      </c>
      <c r="G20" s="11">
        <v>1800</v>
      </c>
      <c r="H20" s="11">
        <v>1800</v>
      </c>
      <c r="P20" s="9">
        <v>11</v>
      </c>
      <c r="Q20" s="34">
        <f t="shared" si="5"/>
        <v>45104.710000000006</v>
      </c>
      <c r="R20" s="34"/>
      <c r="S20" s="34">
        <f t="shared" si="1"/>
        <v>588</v>
      </c>
      <c r="T20" s="34">
        <f t="shared" si="3"/>
        <v>44516.710000000006</v>
      </c>
      <c r="U20" s="34">
        <f t="shared" si="2"/>
        <v>92.74</v>
      </c>
      <c r="V20" s="34">
        <f t="shared" si="4"/>
        <v>44609.450000000004</v>
      </c>
    </row>
    <row r="21" spans="2:22" ht="15" customHeight="1" outlineLevel="1" x14ac:dyDescent="0.2">
      <c r="B21" s="10" t="s">
        <v>30</v>
      </c>
      <c r="C21" s="11" t="s">
        <v>3</v>
      </c>
      <c r="D21" s="11">
        <v>1800</v>
      </c>
      <c r="E21" s="11">
        <v>1800</v>
      </c>
      <c r="F21" s="11" t="s">
        <v>3</v>
      </c>
      <c r="G21" s="11">
        <v>1800</v>
      </c>
      <c r="H21" s="11">
        <v>1800</v>
      </c>
      <c r="J21" s="28"/>
      <c r="K21" s="29"/>
      <c r="P21" s="41">
        <v>12</v>
      </c>
      <c r="Q21" s="37">
        <f t="shared" si="5"/>
        <v>44609.450000000004</v>
      </c>
      <c r="R21" s="37"/>
      <c r="S21" s="37">
        <f t="shared" si="1"/>
        <v>588</v>
      </c>
      <c r="T21" s="37">
        <f t="shared" si="3"/>
        <v>44021.450000000004</v>
      </c>
      <c r="U21" s="37">
        <f t="shared" si="2"/>
        <v>91.71</v>
      </c>
      <c r="V21" s="37">
        <f t="shared" si="4"/>
        <v>44113.16</v>
      </c>
    </row>
    <row r="22" spans="2:22" ht="15" customHeight="1" outlineLevel="1" x14ac:dyDescent="0.2">
      <c r="B22" s="10" t="s">
        <v>31</v>
      </c>
      <c r="C22" s="11" t="s">
        <v>3</v>
      </c>
      <c r="D22" s="11" t="s">
        <v>3</v>
      </c>
      <c r="E22" s="11" t="s">
        <v>3</v>
      </c>
      <c r="F22" s="11" t="s">
        <v>3</v>
      </c>
      <c r="G22" s="11">
        <v>99</v>
      </c>
      <c r="H22" s="11">
        <v>99</v>
      </c>
      <c r="J22" s="30" t="s">
        <v>67</v>
      </c>
      <c r="K22" s="30" t="s">
        <v>52</v>
      </c>
      <c r="L22" s="30" t="s">
        <v>55</v>
      </c>
      <c r="M22" s="30" t="s">
        <v>65</v>
      </c>
      <c r="N22" s="30" t="s">
        <v>66</v>
      </c>
      <c r="P22" s="9">
        <v>13</v>
      </c>
      <c r="Q22" s="34">
        <f t="shared" si="5"/>
        <v>44113.16</v>
      </c>
      <c r="R22" s="34">
        <f>$R$4</f>
        <v>999</v>
      </c>
      <c r="S22" s="34">
        <f t="shared" si="1"/>
        <v>588</v>
      </c>
      <c r="T22" s="34">
        <f t="shared" si="3"/>
        <v>42526.16</v>
      </c>
      <c r="U22" s="34">
        <f t="shared" si="2"/>
        <v>88.6</v>
      </c>
      <c r="V22" s="34">
        <f t="shared" si="4"/>
        <v>42614.76</v>
      </c>
    </row>
    <row r="23" spans="2:22" ht="15" customHeight="1" outlineLevel="1" x14ac:dyDescent="0.2">
      <c r="B23" s="10" t="s">
        <v>32</v>
      </c>
      <c r="C23" s="11" t="s">
        <v>3</v>
      </c>
      <c r="D23" s="11" t="s">
        <v>3</v>
      </c>
      <c r="E23" s="11" t="s">
        <v>3</v>
      </c>
      <c r="F23" s="11" t="s">
        <v>3</v>
      </c>
      <c r="G23" s="11">
        <v>99</v>
      </c>
      <c r="H23" s="11">
        <v>99</v>
      </c>
      <c r="J23" s="32">
        <v>1000</v>
      </c>
      <c r="K23" s="33">
        <f t="shared" ref="K23:K32" si="7">$K$4+12*$K$5+12*$K$15</f>
        <v>10383</v>
      </c>
      <c r="L23" s="33">
        <f t="shared" ref="L23:L62" si="8">$K$18*$K$19*J23/100</f>
        <v>300.7</v>
      </c>
      <c r="M23" s="33">
        <f>K23+L23</f>
        <v>10683.7</v>
      </c>
      <c r="N23" s="34">
        <f>M23/J23</f>
        <v>10.6837</v>
      </c>
      <c r="P23" s="9">
        <v>14</v>
      </c>
      <c r="Q23" s="34">
        <f t="shared" si="5"/>
        <v>42614.76</v>
      </c>
      <c r="R23" s="34"/>
      <c r="S23" s="34">
        <f t="shared" si="1"/>
        <v>588</v>
      </c>
      <c r="T23" s="34">
        <f t="shared" si="3"/>
        <v>42026.76</v>
      </c>
      <c r="U23" s="34">
        <f t="shared" si="2"/>
        <v>87.56</v>
      </c>
      <c r="V23" s="34">
        <f t="shared" si="4"/>
        <v>42114.32</v>
      </c>
    </row>
    <row r="24" spans="2:22" ht="15" customHeight="1" outlineLevel="1" x14ac:dyDescent="0.2">
      <c r="B24" s="10" t="s">
        <v>33</v>
      </c>
      <c r="C24" s="11" t="s">
        <v>3</v>
      </c>
      <c r="D24" s="11" t="s">
        <v>3</v>
      </c>
      <c r="E24" s="11" t="s">
        <v>3</v>
      </c>
      <c r="F24" s="11" t="s">
        <v>3</v>
      </c>
      <c r="G24" s="11">
        <v>99</v>
      </c>
      <c r="H24" s="11">
        <v>99</v>
      </c>
      <c r="J24" s="32">
        <v>2000</v>
      </c>
      <c r="K24" s="33">
        <f t="shared" si="7"/>
        <v>10383</v>
      </c>
      <c r="L24" s="33">
        <f t="shared" si="8"/>
        <v>601.4</v>
      </c>
      <c r="M24" s="33">
        <f t="shared" ref="M24:M52" si="9">K24+L24</f>
        <v>10984.4</v>
      </c>
      <c r="N24" s="34">
        <f t="shared" ref="N24:N52" si="10">M24/J24</f>
        <v>5.4921999999999995</v>
      </c>
      <c r="P24" s="9">
        <v>15</v>
      </c>
      <c r="Q24" s="34">
        <f t="shared" si="5"/>
        <v>42114.32</v>
      </c>
      <c r="R24" s="34"/>
      <c r="S24" s="34">
        <f t="shared" si="1"/>
        <v>588</v>
      </c>
      <c r="T24" s="34">
        <f t="shared" si="3"/>
        <v>41526.32</v>
      </c>
      <c r="U24" s="34">
        <f t="shared" si="2"/>
        <v>86.51</v>
      </c>
      <c r="V24" s="34">
        <f t="shared" si="4"/>
        <v>41612.83</v>
      </c>
    </row>
    <row r="25" spans="2:22" ht="15" customHeight="1" outlineLevel="1" x14ac:dyDescent="0.2">
      <c r="B25" s="10" t="s">
        <v>34</v>
      </c>
      <c r="C25" s="11" t="s">
        <v>3</v>
      </c>
      <c r="D25" s="11">
        <v>99</v>
      </c>
      <c r="E25" s="11">
        <v>99</v>
      </c>
      <c r="F25" s="11">
        <v>99</v>
      </c>
      <c r="G25" s="11">
        <v>99</v>
      </c>
      <c r="H25" s="11">
        <v>99</v>
      </c>
      <c r="J25" s="32">
        <v>3000</v>
      </c>
      <c r="K25" s="33">
        <f>$K$4+12*$K$5+12*$K$15</f>
        <v>10383</v>
      </c>
      <c r="L25" s="33">
        <f t="shared" si="8"/>
        <v>902.1</v>
      </c>
      <c r="M25" s="33">
        <f t="shared" si="9"/>
        <v>11285.1</v>
      </c>
      <c r="N25" s="34">
        <f t="shared" si="10"/>
        <v>3.7617000000000003</v>
      </c>
      <c r="P25" s="9">
        <v>16</v>
      </c>
      <c r="Q25" s="34">
        <f t="shared" si="5"/>
        <v>41612.83</v>
      </c>
      <c r="R25" s="34"/>
      <c r="S25" s="34">
        <f t="shared" si="1"/>
        <v>588</v>
      </c>
      <c r="T25" s="34">
        <f t="shared" si="3"/>
        <v>41024.83</v>
      </c>
      <c r="U25" s="34">
        <f t="shared" si="2"/>
        <v>85.47</v>
      </c>
      <c r="V25" s="34">
        <f t="shared" si="4"/>
        <v>41110.300000000003</v>
      </c>
    </row>
    <row r="26" spans="2:22" ht="15" customHeight="1" outlineLevel="1" x14ac:dyDescent="0.2">
      <c r="B26" s="10" t="s">
        <v>35</v>
      </c>
      <c r="C26" s="11" t="s">
        <v>3</v>
      </c>
      <c r="D26" s="11">
        <v>99</v>
      </c>
      <c r="E26" s="11">
        <v>99</v>
      </c>
      <c r="F26" s="11">
        <v>99</v>
      </c>
      <c r="G26" s="11">
        <v>99</v>
      </c>
      <c r="H26" s="11">
        <v>99</v>
      </c>
      <c r="J26" s="32">
        <v>4000</v>
      </c>
      <c r="K26" s="33">
        <f>$K$4+12*$K$5+12*$K$15</f>
        <v>10383</v>
      </c>
      <c r="L26" s="33">
        <f t="shared" si="8"/>
        <v>1202.8</v>
      </c>
      <c r="M26" s="33">
        <f t="shared" si="9"/>
        <v>11585.8</v>
      </c>
      <c r="N26" s="34">
        <f t="shared" si="10"/>
        <v>2.8964499999999997</v>
      </c>
      <c r="P26" s="9">
        <v>17</v>
      </c>
      <c r="Q26" s="34">
        <f t="shared" si="5"/>
        <v>41110.300000000003</v>
      </c>
      <c r="R26" s="34"/>
      <c r="S26" s="34">
        <f t="shared" si="1"/>
        <v>588</v>
      </c>
      <c r="T26" s="34">
        <f t="shared" si="3"/>
        <v>40522.300000000003</v>
      </c>
      <c r="U26" s="34">
        <f t="shared" si="2"/>
        <v>84.42</v>
      </c>
      <c r="V26" s="34">
        <f t="shared" si="4"/>
        <v>40606.720000000001</v>
      </c>
    </row>
    <row r="27" spans="2:22" ht="15" customHeight="1" outlineLevel="1" x14ac:dyDescent="0.2">
      <c r="B27" s="10" t="s">
        <v>36</v>
      </c>
      <c r="C27" s="11" t="s">
        <v>3</v>
      </c>
      <c r="D27" s="11">
        <v>180</v>
      </c>
      <c r="E27" s="11">
        <v>180</v>
      </c>
      <c r="F27" s="11">
        <v>180</v>
      </c>
      <c r="G27" s="11" t="s">
        <v>3</v>
      </c>
      <c r="H27" s="11" t="s">
        <v>3</v>
      </c>
      <c r="J27" s="35">
        <v>5000</v>
      </c>
      <c r="K27" s="36">
        <f t="shared" si="7"/>
        <v>10383</v>
      </c>
      <c r="L27" s="36">
        <f t="shared" si="8"/>
        <v>1503.5</v>
      </c>
      <c r="M27" s="36">
        <f t="shared" si="9"/>
        <v>11886.5</v>
      </c>
      <c r="N27" s="37">
        <f t="shared" si="10"/>
        <v>2.3773</v>
      </c>
      <c r="P27" s="9">
        <v>18</v>
      </c>
      <c r="Q27" s="34">
        <f t="shared" si="5"/>
        <v>40606.720000000001</v>
      </c>
      <c r="R27" s="34"/>
      <c r="S27" s="34">
        <f t="shared" si="1"/>
        <v>588</v>
      </c>
      <c r="T27" s="34">
        <f t="shared" si="3"/>
        <v>40018.720000000001</v>
      </c>
      <c r="U27" s="34">
        <f t="shared" si="2"/>
        <v>83.37</v>
      </c>
      <c r="V27" s="34">
        <f t="shared" si="4"/>
        <v>40102.090000000004</v>
      </c>
    </row>
    <row r="28" spans="2:22" ht="15" customHeight="1" outlineLevel="1" x14ac:dyDescent="0.2">
      <c r="B28" s="10" t="s">
        <v>37</v>
      </c>
      <c r="C28" s="11" t="s">
        <v>3</v>
      </c>
      <c r="D28" s="11">
        <v>180</v>
      </c>
      <c r="E28" s="11">
        <v>180</v>
      </c>
      <c r="F28" s="11">
        <v>180</v>
      </c>
      <c r="G28" s="11" t="s">
        <v>3</v>
      </c>
      <c r="H28" s="11" t="s">
        <v>3</v>
      </c>
      <c r="J28" s="32">
        <v>6000</v>
      </c>
      <c r="K28" s="33">
        <f t="shared" si="7"/>
        <v>10383</v>
      </c>
      <c r="L28" s="33">
        <f t="shared" si="8"/>
        <v>1804.2</v>
      </c>
      <c r="M28" s="33">
        <f t="shared" si="9"/>
        <v>12187.2</v>
      </c>
      <c r="N28" s="34">
        <f t="shared" si="10"/>
        <v>2.0312000000000001</v>
      </c>
      <c r="P28" s="9">
        <v>19</v>
      </c>
      <c r="Q28" s="34">
        <f t="shared" si="5"/>
        <v>40102.090000000004</v>
      </c>
      <c r="R28" s="34"/>
      <c r="S28" s="34">
        <f t="shared" si="1"/>
        <v>588</v>
      </c>
      <c r="T28" s="34">
        <f t="shared" si="3"/>
        <v>39514.090000000004</v>
      </c>
      <c r="U28" s="34">
        <f t="shared" si="2"/>
        <v>82.32</v>
      </c>
      <c r="V28" s="34">
        <f t="shared" si="4"/>
        <v>39596.410000000003</v>
      </c>
    </row>
    <row r="29" spans="2:22" ht="15" customHeight="1" outlineLevel="1" x14ac:dyDescent="0.2">
      <c r="B29" s="10" t="s">
        <v>38</v>
      </c>
      <c r="C29" s="11" t="s">
        <v>3</v>
      </c>
      <c r="D29" s="11">
        <v>180</v>
      </c>
      <c r="E29" s="11">
        <v>180</v>
      </c>
      <c r="F29" s="11">
        <v>180</v>
      </c>
      <c r="G29" s="11" t="s">
        <v>3</v>
      </c>
      <c r="H29" s="11" t="s">
        <v>3</v>
      </c>
      <c r="J29" s="32">
        <v>7000</v>
      </c>
      <c r="K29" s="33">
        <f t="shared" si="7"/>
        <v>10383</v>
      </c>
      <c r="L29" s="33">
        <f t="shared" si="8"/>
        <v>2104.9</v>
      </c>
      <c r="M29" s="33">
        <f t="shared" si="9"/>
        <v>12487.9</v>
      </c>
      <c r="N29" s="34">
        <f t="shared" si="10"/>
        <v>1.7839857142857143</v>
      </c>
      <c r="P29" s="9">
        <v>20</v>
      </c>
      <c r="Q29" s="34">
        <f t="shared" si="5"/>
        <v>39596.410000000003</v>
      </c>
      <c r="R29" s="34"/>
      <c r="S29" s="34">
        <f t="shared" si="1"/>
        <v>588</v>
      </c>
      <c r="T29" s="34">
        <f t="shared" si="3"/>
        <v>39008.410000000003</v>
      </c>
      <c r="U29" s="34">
        <f t="shared" si="2"/>
        <v>81.27</v>
      </c>
      <c r="V29" s="34">
        <f t="shared" si="4"/>
        <v>39089.68</v>
      </c>
    </row>
    <row r="30" spans="2:22" ht="15" customHeight="1" outlineLevel="1" x14ac:dyDescent="0.2">
      <c r="B30" s="10" t="s">
        <v>39</v>
      </c>
      <c r="C30" s="11" t="s">
        <v>3</v>
      </c>
      <c r="D30" s="11" t="s">
        <v>3</v>
      </c>
      <c r="E30" s="11" t="s">
        <v>3</v>
      </c>
      <c r="F30" s="11" t="s">
        <v>3</v>
      </c>
      <c r="G30" s="11" t="s">
        <v>3</v>
      </c>
      <c r="H30" s="11" t="s">
        <v>3</v>
      </c>
      <c r="J30" s="32">
        <v>8000</v>
      </c>
      <c r="K30" s="33">
        <f t="shared" si="7"/>
        <v>10383</v>
      </c>
      <c r="L30" s="33">
        <f t="shared" si="8"/>
        <v>2405.6</v>
      </c>
      <c r="M30" s="33">
        <f t="shared" si="9"/>
        <v>12788.6</v>
      </c>
      <c r="N30" s="34">
        <f t="shared" si="10"/>
        <v>1.5985750000000001</v>
      </c>
      <c r="P30" s="9">
        <v>21</v>
      </c>
      <c r="Q30" s="34">
        <f t="shared" si="5"/>
        <v>39089.68</v>
      </c>
      <c r="R30" s="34"/>
      <c r="S30" s="34">
        <f t="shared" si="1"/>
        <v>588</v>
      </c>
      <c r="T30" s="34">
        <f t="shared" si="3"/>
        <v>38501.68</v>
      </c>
      <c r="U30" s="34">
        <f t="shared" si="2"/>
        <v>80.209999999999994</v>
      </c>
      <c r="V30" s="34">
        <f t="shared" si="4"/>
        <v>38581.89</v>
      </c>
    </row>
    <row r="31" spans="2:22" ht="15" customHeight="1" outlineLevel="1" x14ac:dyDescent="0.2">
      <c r="B31" s="10" t="s">
        <v>40</v>
      </c>
      <c r="C31" s="11" t="s">
        <v>3</v>
      </c>
      <c r="D31" s="11" t="s">
        <v>3</v>
      </c>
      <c r="E31" s="11" t="s">
        <v>3</v>
      </c>
      <c r="F31" s="11" t="s">
        <v>3</v>
      </c>
      <c r="G31" s="11" t="s">
        <v>3</v>
      </c>
      <c r="H31" s="11" t="s">
        <v>3</v>
      </c>
      <c r="J31" s="32">
        <v>9000</v>
      </c>
      <c r="K31" s="33">
        <f t="shared" si="7"/>
        <v>10383</v>
      </c>
      <c r="L31" s="33">
        <f t="shared" si="8"/>
        <v>2706.3</v>
      </c>
      <c r="M31" s="33">
        <f t="shared" si="9"/>
        <v>13089.3</v>
      </c>
      <c r="N31" s="34">
        <f t="shared" si="10"/>
        <v>1.4543666666666666</v>
      </c>
      <c r="P31" s="9">
        <v>22</v>
      </c>
      <c r="Q31" s="34">
        <f t="shared" si="5"/>
        <v>38581.89</v>
      </c>
      <c r="R31" s="34"/>
      <c r="S31" s="34">
        <f t="shared" si="1"/>
        <v>588</v>
      </c>
      <c r="T31" s="34">
        <f t="shared" si="3"/>
        <v>37993.89</v>
      </c>
      <c r="U31" s="34">
        <f t="shared" si="2"/>
        <v>79.150000000000006</v>
      </c>
      <c r="V31" s="34">
        <f t="shared" si="4"/>
        <v>38073.040000000001</v>
      </c>
    </row>
    <row r="32" spans="2:22" ht="15" customHeight="1" outlineLevel="1" x14ac:dyDescent="0.2">
      <c r="B32" s="12" t="s">
        <v>41</v>
      </c>
      <c r="C32" s="11" t="s">
        <v>3</v>
      </c>
      <c r="D32" s="11" t="s">
        <v>3</v>
      </c>
      <c r="E32" s="11" t="s">
        <v>3</v>
      </c>
      <c r="F32" s="11" t="s">
        <v>3</v>
      </c>
      <c r="G32" s="11">
        <v>600</v>
      </c>
      <c r="H32" s="11">
        <v>900</v>
      </c>
      <c r="J32" s="35">
        <v>10000</v>
      </c>
      <c r="K32" s="36">
        <f t="shared" si="7"/>
        <v>10383</v>
      </c>
      <c r="L32" s="36">
        <f t="shared" si="8"/>
        <v>3007</v>
      </c>
      <c r="M32" s="36">
        <f t="shared" si="9"/>
        <v>13390</v>
      </c>
      <c r="N32" s="37">
        <f t="shared" si="10"/>
        <v>1.339</v>
      </c>
      <c r="P32" s="9">
        <v>23</v>
      </c>
      <c r="Q32" s="34">
        <f t="shared" si="5"/>
        <v>38073.040000000001</v>
      </c>
      <c r="R32" s="34"/>
      <c r="S32" s="34">
        <f t="shared" si="1"/>
        <v>588</v>
      </c>
      <c r="T32" s="34">
        <f t="shared" si="3"/>
        <v>37485.040000000001</v>
      </c>
      <c r="U32" s="34">
        <f t="shared" si="2"/>
        <v>78.09</v>
      </c>
      <c r="V32" s="34">
        <f t="shared" si="4"/>
        <v>37563.129999999997</v>
      </c>
    </row>
    <row r="33" spans="2:22" ht="15" customHeight="1" outlineLevel="1" x14ac:dyDescent="0.2">
      <c r="B33" s="12" t="s">
        <v>42</v>
      </c>
      <c r="C33" s="11" t="s">
        <v>3</v>
      </c>
      <c r="D33" s="11" t="s">
        <v>3</v>
      </c>
      <c r="E33" s="11" t="s">
        <v>3</v>
      </c>
      <c r="F33" s="11" t="s">
        <v>3</v>
      </c>
      <c r="G33" s="11">
        <v>750</v>
      </c>
      <c r="H33" s="11">
        <v>1100</v>
      </c>
      <c r="J33" s="32">
        <v>11000</v>
      </c>
      <c r="K33" s="33">
        <f>$K$4+12*$K$5+12*$K$15+12*$K$6</f>
        <v>11451</v>
      </c>
      <c r="L33" s="33">
        <f t="shared" si="8"/>
        <v>3307.7</v>
      </c>
      <c r="M33" s="33">
        <f t="shared" si="9"/>
        <v>14758.7</v>
      </c>
      <c r="N33" s="34">
        <f t="shared" si="10"/>
        <v>1.3417000000000001</v>
      </c>
      <c r="P33" s="41">
        <v>24</v>
      </c>
      <c r="Q33" s="37">
        <f t="shared" si="5"/>
        <v>37563.129999999997</v>
      </c>
      <c r="R33" s="37"/>
      <c r="S33" s="37">
        <f t="shared" si="1"/>
        <v>588</v>
      </c>
      <c r="T33" s="37">
        <f t="shared" si="3"/>
        <v>36975.129999999997</v>
      </c>
      <c r="U33" s="37">
        <f t="shared" si="2"/>
        <v>77.03</v>
      </c>
      <c r="V33" s="37">
        <f t="shared" si="4"/>
        <v>37052.159999999996</v>
      </c>
    </row>
    <row r="34" spans="2:22" ht="15" customHeight="1" outlineLevel="1" x14ac:dyDescent="0.2">
      <c r="B34" s="12" t="s">
        <v>43</v>
      </c>
      <c r="C34" s="11" t="s">
        <v>3</v>
      </c>
      <c r="D34" s="11" t="s">
        <v>3</v>
      </c>
      <c r="E34" s="11" t="s">
        <v>3</v>
      </c>
      <c r="F34" s="11" t="s">
        <v>3</v>
      </c>
      <c r="G34" s="11">
        <v>900</v>
      </c>
      <c r="H34" s="11">
        <v>1300</v>
      </c>
      <c r="J34" s="32">
        <v>12000</v>
      </c>
      <c r="K34" s="33">
        <f>$K$4+12*$K$5+12*$K$15+12*$K$6</f>
        <v>11451</v>
      </c>
      <c r="L34" s="33">
        <f t="shared" si="8"/>
        <v>3608.4</v>
      </c>
      <c r="M34" s="33">
        <f t="shared" si="9"/>
        <v>15059.4</v>
      </c>
      <c r="N34" s="34">
        <f t="shared" si="10"/>
        <v>1.25495</v>
      </c>
      <c r="P34" s="9">
        <v>25</v>
      </c>
      <c r="Q34" s="34">
        <f t="shared" si="5"/>
        <v>37052.159999999996</v>
      </c>
      <c r="R34" s="34">
        <f>$R$4</f>
        <v>999</v>
      </c>
      <c r="S34" s="34">
        <f t="shared" si="1"/>
        <v>588</v>
      </c>
      <c r="T34" s="34">
        <f t="shared" si="3"/>
        <v>35465.159999999996</v>
      </c>
      <c r="U34" s="34">
        <f t="shared" si="2"/>
        <v>73.89</v>
      </c>
      <c r="V34" s="34">
        <f t="shared" si="4"/>
        <v>35539.049999999996</v>
      </c>
    </row>
    <row r="35" spans="2:22" ht="15" customHeight="1" outlineLevel="1" x14ac:dyDescent="0.2">
      <c r="B35" s="12" t="s">
        <v>44</v>
      </c>
      <c r="C35" s="11" t="s">
        <v>3</v>
      </c>
      <c r="D35" s="11">
        <v>600</v>
      </c>
      <c r="E35" s="11">
        <v>600</v>
      </c>
      <c r="F35" s="11" t="s">
        <v>3</v>
      </c>
      <c r="G35" s="11">
        <v>1100</v>
      </c>
      <c r="H35" s="11">
        <v>1500</v>
      </c>
      <c r="J35" s="32">
        <v>13000</v>
      </c>
      <c r="K35" s="33">
        <f>$K$4+12*$K$5+12*$K$15+12*$K$6</f>
        <v>11451</v>
      </c>
      <c r="L35" s="33">
        <f t="shared" si="8"/>
        <v>3909.1</v>
      </c>
      <c r="M35" s="33">
        <f t="shared" si="9"/>
        <v>15360.1</v>
      </c>
      <c r="N35" s="34">
        <f t="shared" si="10"/>
        <v>1.1815461538461538</v>
      </c>
      <c r="P35" s="9">
        <v>26</v>
      </c>
      <c r="Q35" s="34">
        <f t="shared" si="5"/>
        <v>35539.049999999996</v>
      </c>
      <c r="R35" s="34"/>
      <c r="S35" s="34">
        <f t="shared" si="1"/>
        <v>588</v>
      </c>
      <c r="T35" s="34">
        <f t="shared" si="3"/>
        <v>34951.049999999996</v>
      </c>
      <c r="U35" s="34">
        <f t="shared" si="2"/>
        <v>72.81</v>
      </c>
      <c r="V35" s="34">
        <f t="shared" si="4"/>
        <v>35023.859999999993</v>
      </c>
    </row>
    <row r="36" spans="2:22" ht="15" customHeight="1" x14ac:dyDescent="0.2">
      <c r="B36" s="12" t="s">
        <v>45</v>
      </c>
      <c r="C36" s="11" t="s">
        <v>3</v>
      </c>
      <c r="D36" s="11">
        <v>750</v>
      </c>
      <c r="E36" s="11">
        <v>750</v>
      </c>
      <c r="F36" s="11" t="s">
        <v>3</v>
      </c>
      <c r="G36" s="11">
        <v>1300</v>
      </c>
      <c r="H36" s="11">
        <v>1800</v>
      </c>
      <c r="J36" s="32">
        <v>14000</v>
      </c>
      <c r="K36" s="33">
        <f>$K$4+12*$K$5+12*$K$15+12*$K$6</f>
        <v>11451</v>
      </c>
      <c r="L36" s="33">
        <f t="shared" si="8"/>
        <v>4209.8</v>
      </c>
      <c r="M36" s="33">
        <f t="shared" si="9"/>
        <v>15660.8</v>
      </c>
      <c r="N36" s="34">
        <f t="shared" si="10"/>
        <v>1.1186285714285713</v>
      </c>
      <c r="P36" s="9">
        <v>27</v>
      </c>
      <c r="Q36" s="34">
        <f t="shared" si="5"/>
        <v>35023.859999999993</v>
      </c>
      <c r="R36" s="34"/>
      <c r="S36" s="34">
        <f t="shared" si="1"/>
        <v>588</v>
      </c>
      <c r="T36" s="34">
        <f t="shared" si="3"/>
        <v>34435.859999999993</v>
      </c>
      <c r="U36" s="34">
        <f t="shared" si="2"/>
        <v>71.739999999999995</v>
      </c>
      <c r="V36" s="34">
        <f t="shared" si="4"/>
        <v>34507.599999999991</v>
      </c>
    </row>
    <row r="37" spans="2:22" ht="15" customHeight="1" x14ac:dyDescent="0.2">
      <c r="B37" s="8" t="s">
        <v>85</v>
      </c>
      <c r="C37" s="13">
        <f>C39*60</f>
        <v>11100</v>
      </c>
      <c r="D37" s="13">
        <f>D38*5</f>
        <v>11250</v>
      </c>
      <c r="E37" s="13">
        <f>E38*5</f>
        <v>11250</v>
      </c>
      <c r="F37" s="13">
        <f>F38*3</f>
        <v>6750</v>
      </c>
      <c r="G37" s="13">
        <f t="shared" ref="G37:H37" si="11">G38*5</f>
        <v>11050</v>
      </c>
      <c r="H37" s="13">
        <f t="shared" si="11"/>
        <v>10125</v>
      </c>
      <c r="J37" s="42">
        <v>15000</v>
      </c>
      <c r="K37" s="43">
        <f>$K$4+12*$K$5+12*$K$15+12*$K$6</f>
        <v>11451</v>
      </c>
      <c r="L37" s="43">
        <f t="shared" si="8"/>
        <v>4510.5</v>
      </c>
      <c r="M37" s="43">
        <f t="shared" si="9"/>
        <v>15961.5</v>
      </c>
      <c r="N37" s="44">
        <f t="shared" si="10"/>
        <v>1.0641</v>
      </c>
      <c r="P37" s="9">
        <v>28</v>
      </c>
      <c r="Q37" s="34">
        <f t="shared" si="5"/>
        <v>34507.599999999991</v>
      </c>
      <c r="R37" s="34"/>
      <c r="S37" s="34">
        <f t="shared" si="1"/>
        <v>588</v>
      </c>
      <c r="T37" s="34">
        <f t="shared" si="3"/>
        <v>33919.599999999991</v>
      </c>
      <c r="U37" s="34">
        <f t="shared" si="2"/>
        <v>70.67</v>
      </c>
      <c r="V37" s="34">
        <f t="shared" si="4"/>
        <v>33990.26999999999</v>
      </c>
    </row>
    <row r="38" spans="2:22" ht="15" customHeight="1" x14ac:dyDescent="0.2">
      <c r="B38" s="10" t="s">
        <v>8</v>
      </c>
      <c r="C38" s="17"/>
      <c r="D38" s="15">
        <v>2250</v>
      </c>
      <c r="E38" s="15">
        <v>2250</v>
      </c>
      <c r="F38" s="15">
        <v>2250</v>
      </c>
      <c r="G38" s="15">
        <v>2210</v>
      </c>
      <c r="H38" s="15">
        <v>2025</v>
      </c>
      <c r="J38" s="32">
        <v>16000</v>
      </c>
      <c r="K38" s="33">
        <f>$K$4+12*$K$5+12*$K$15+12*$K$7</f>
        <v>12651</v>
      </c>
      <c r="L38" s="33">
        <f t="shared" si="8"/>
        <v>4811.2</v>
      </c>
      <c r="M38" s="33">
        <f t="shared" si="9"/>
        <v>17462.2</v>
      </c>
      <c r="N38" s="34">
        <f t="shared" si="10"/>
        <v>1.0913875</v>
      </c>
      <c r="P38" s="9">
        <v>29</v>
      </c>
      <c r="Q38" s="34">
        <f t="shared" si="5"/>
        <v>33990.26999999999</v>
      </c>
      <c r="R38" s="34"/>
      <c r="S38" s="34">
        <f t="shared" si="1"/>
        <v>588</v>
      </c>
      <c r="T38" s="34">
        <f t="shared" si="3"/>
        <v>33402.26999999999</v>
      </c>
      <c r="U38" s="34">
        <f t="shared" si="2"/>
        <v>69.59</v>
      </c>
      <c r="V38" s="34">
        <f t="shared" si="4"/>
        <v>33471.859999999986</v>
      </c>
    </row>
    <row r="39" spans="2:22" ht="15" customHeight="1" x14ac:dyDescent="0.2">
      <c r="B39" s="10" t="s">
        <v>9</v>
      </c>
      <c r="C39" s="15">
        <v>185</v>
      </c>
      <c r="D39" s="22"/>
      <c r="E39" s="22"/>
      <c r="F39" s="22"/>
      <c r="G39" s="22"/>
      <c r="H39" s="22"/>
      <c r="J39" s="32">
        <v>17000</v>
      </c>
      <c r="K39" s="33">
        <f>$K$4+12*$K$5+12*$K$15+12*$K$7</f>
        <v>12651</v>
      </c>
      <c r="L39" s="33">
        <f t="shared" si="8"/>
        <v>5111.8999999999996</v>
      </c>
      <c r="M39" s="33">
        <f t="shared" si="9"/>
        <v>17762.900000000001</v>
      </c>
      <c r="N39" s="34">
        <f t="shared" si="10"/>
        <v>1.0448764705882354</v>
      </c>
      <c r="P39" s="9">
        <v>30</v>
      </c>
      <c r="Q39" s="34">
        <f t="shared" si="5"/>
        <v>33471.859999999986</v>
      </c>
      <c r="R39" s="34"/>
      <c r="S39" s="34">
        <f t="shared" si="1"/>
        <v>588</v>
      </c>
      <c r="T39" s="34">
        <f t="shared" si="3"/>
        <v>32883.859999999986</v>
      </c>
      <c r="U39" s="34">
        <f t="shared" si="2"/>
        <v>68.510000000000005</v>
      </c>
      <c r="V39" s="34">
        <f t="shared" si="4"/>
        <v>32952.369999999988</v>
      </c>
    </row>
    <row r="40" spans="2:22" ht="15" customHeight="1" x14ac:dyDescent="0.2">
      <c r="B40" s="8" t="s">
        <v>89</v>
      </c>
      <c r="C40" s="13">
        <f>C42*60</f>
        <v>2940</v>
      </c>
      <c r="D40" s="13">
        <f>D41+D42+8*D44</f>
        <v>4020</v>
      </c>
      <c r="E40" s="13">
        <f>E41+E42+8*E44</f>
        <v>4020</v>
      </c>
      <c r="F40" s="13">
        <f>F41+5*F44</f>
        <v>2010</v>
      </c>
      <c r="G40" s="13">
        <f>G42*2+G44*2</f>
        <v>3420</v>
      </c>
      <c r="H40" s="13">
        <f>H42*2+H44*2</f>
        <v>3420</v>
      </c>
      <c r="J40" s="32">
        <v>18000</v>
      </c>
      <c r="K40" s="33">
        <f>$K$4+12*$K$5+12*$K$15+12*$K$7</f>
        <v>12651</v>
      </c>
      <c r="L40" s="33">
        <f t="shared" si="8"/>
        <v>5412.6</v>
      </c>
      <c r="M40" s="33">
        <f t="shared" si="9"/>
        <v>18063.599999999999</v>
      </c>
      <c r="N40" s="34">
        <f t="shared" si="10"/>
        <v>1.0035333333333332</v>
      </c>
      <c r="P40" s="9">
        <v>31</v>
      </c>
      <c r="Q40" s="34">
        <f t="shared" si="5"/>
        <v>32952.369999999988</v>
      </c>
      <c r="R40" s="34"/>
      <c r="S40" s="34">
        <f t="shared" si="1"/>
        <v>588</v>
      </c>
      <c r="T40" s="34">
        <f t="shared" si="3"/>
        <v>32364.369999999988</v>
      </c>
      <c r="U40" s="34">
        <f t="shared" si="2"/>
        <v>67.430000000000007</v>
      </c>
      <c r="V40" s="34">
        <f t="shared" si="4"/>
        <v>32431.799999999988</v>
      </c>
    </row>
    <row r="41" spans="2:22" ht="15" customHeight="1" x14ac:dyDescent="0.2">
      <c r="B41" s="10" t="s">
        <v>47</v>
      </c>
      <c r="C41" s="15">
        <v>89</v>
      </c>
      <c r="D41" s="50">
        <v>1260</v>
      </c>
      <c r="E41" s="50">
        <v>1260</v>
      </c>
      <c r="F41" s="50">
        <v>1260</v>
      </c>
      <c r="G41" s="23">
        <v>1260</v>
      </c>
      <c r="H41" s="23">
        <v>1260</v>
      </c>
      <c r="J41" s="32">
        <v>19000</v>
      </c>
      <c r="K41" s="33">
        <f>$K$4+12*$K$5+12*$K$15+12*$K$7</f>
        <v>12651</v>
      </c>
      <c r="L41" s="33">
        <f t="shared" si="8"/>
        <v>5713.3</v>
      </c>
      <c r="M41" s="33">
        <f t="shared" si="9"/>
        <v>18364.3</v>
      </c>
      <c r="N41" s="34">
        <f t="shared" si="10"/>
        <v>0.96654210526315787</v>
      </c>
      <c r="P41" s="9">
        <v>32</v>
      </c>
      <c r="Q41" s="34">
        <f t="shared" si="5"/>
        <v>32431.799999999988</v>
      </c>
      <c r="R41" s="34"/>
      <c r="S41" s="34">
        <f t="shared" si="1"/>
        <v>588</v>
      </c>
      <c r="T41" s="34">
        <f t="shared" si="3"/>
        <v>31843.799999999988</v>
      </c>
      <c r="U41" s="34">
        <f t="shared" si="2"/>
        <v>66.34</v>
      </c>
      <c r="V41" s="34">
        <f t="shared" si="4"/>
        <v>31910.139999999989</v>
      </c>
    </row>
    <row r="42" spans="2:22" ht="15" customHeight="1" x14ac:dyDescent="0.2">
      <c r="B42" s="10" t="s">
        <v>20</v>
      </c>
      <c r="C42" s="49">
        <v>49</v>
      </c>
      <c r="D42" s="50">
        <v>1560</v>
      </c>
      <c r="E42" s="50">
        <v>1560</v>
      </c>
      <c r="F42" s="23">
        <v>1560</v>
      </c>
      <c r="G42" s="50">
        <v>1560</v>
      </c>
      <c r="H42" s="50">
        <v>1560</v>
      </c>
      <c r="J42" s="35">
        <v>20000</v>
      </c>
      <c r="K42" s="36">
        <f>$K$4+12*$K$5+12*$K$15+12*$K$7</f>
        <v>12651</v>
      </c>
      <c r="L42" s="36">
        <f t="shared" si="8"/>
        <v>6014</v>
      </c>
      <c r="M42" s="36">
        <f t="shared" si="9"/>
        <v>18665</v>
      </c>
      <c r="N42" s="37">
        <f t="shared" si="10"/>
        <v>0.93325000000000002</v>
      </c>
      <c r="P42" s="9">
        <v>33</v>
      </c>
      <c r="Q42" s="34">
        <f t="shared" si="5"/>
        <v>31910.139999999989</v>
      </c>
      <c r="R42" s="34"/>
      <c r="S42" s="34">
        <f t="shared" ref="S42:S69" si="12">$R$5</f>
        <v>588</v>
      </c>
      <c r="T42" s="34">
        <f t="shared" si="3"/>
        <v>31322.139999999989</v>
      </c>
      <c r="U42" s="34">
        <f t="shared" ref="U42:U69" si="13">ROUND(T42*$R$6/12,2)</f>
        <v>65.25</v>
      </c>
      <c r="V42" s="34">
        <f t="shared" si="4"/>
        <v>31387.389999999989</v>
      </c>
    </row>
    <row r="43" spans="2:22" ht="15" customHeight="1" x14ac:dyDescent="0.2">
      <c r="B43" s="10" t="s">
        <v>48</v>
      </c>
      <c r="C43" s="15">
        <v>0</v>
      </c>
      <c r="D43" s="23">
        <v>1200</v>
      </c>
      <c r="E43" s="23">
        <v>1200</v>
      </c>
      <c r="F43" s="23">
        <v>1200</v>
      </c>
      <c r="G43" s="23">
        <v>1200</v>
      </c>
      <c r="H43" s="23">
        <v>1200</v>
      </c>
      <c r="J43" s="32">
        <v>21000</v>
      </c>
      <c r="K43" s="33">
        <f>$K$4+12*$K$5+12*$K$15+12*$K$8</f>
        <v>13851</v>
      </c>
      <c r="L43" s="33">
        <f t="shared" si="8"/>
        <v>6314.7</v>
      </c>
      <c r="M43" s="33">
        <f t="shared" si="9"/>
        <v>20165.7</v>
      </c>
      <c r="N43" s="34">
        <f t="shared" si="10"/>
        <v>0.96027142857142855</v>
      </c>
      <c r="P43" s="9">
        <v>34</v>
      </c>
      <c r="Q43" s="34">
        <f t="shared" si="5"/>
        <v>31387.389999999989</v>
      </c>
      <c r="R43" s="34"/>
      <c r="S43" s="34">
        <f t="shared" si="12"/>
        <v>588</v>
      </c>
      <c r="T43" s="34">
        <f t="shared" si="3"/>
        <v>30799.389999999989</v>
      </c>
      <c r="U43" s="34">
        <f t="shared" si="13"/>
        <v>64.17</v>
      </c>
      <c r="V43" s="34">
        <f t="shared" si="4"/>
        <v>30863.559999999987</v>
      </c>
    </row>
    <row r="44" spans="2:22" ht="15" customHeight="1" x14ac:dyDescent="0.2">
      <c r="B44" s="10" t="s">
        <v>21</v>
      </c>
      <c r="C44" s="15">
        <v>0</v>
      </c>
      <c r="D44" s="49">
        <v>150</v>
      </c>
      <c r="E44" s="49">
        <v>150</v>
      </c>
      <c r="F44" s="49">
        <v>150</v>
      </c>
      <c r="G44" s="49">
        <v>150</v>
      </c>
      <c r="H44" s="49">
        <v>150</v>
      </c>
      <c r="J44" s="32">
        <v>22000</v>
      </c>
      <c r="K44" s="33">
        <f>$K$4+12*$K$5+12*$K$15+12*$K$8</f>
        <v>13851</v>
      </c>
      <c r="L44" s="33">
        <f t="shared" si="8"/>
        <v>6615.4</v>
      </c>
      <c r="M44" s="33">
        <f t="shared" si="9"/>
        <v>20466.400000000001</v>
      </c>
      <c r="N44" s="34">
        <f t="shared" si="10"/>
        <v>0.93029090909090917</v>
      </c>
      <c r="P44" s="9">
        <v>35</v>
      </c>
      <c r="Q44" s="34">
        <f t="shared" si="5"/>
        <v>30863.559999999987</v>
      </c>
      <c r="R44" s="34"/>
      <c r="S44" s="34">
        <f t="shared" si="12"/>
        <v>588</v>
      </c>
      <c r="T44" s="34">
        <f t="shared" si="3"/>
        <v>30275.559999999987</v>
      </c>
      <c r="U44" s="34">
        <f t="shared" si="13"/>
        <v>63.07</v>
      </c>
      <c r="V44" s="34">
        <f t="shared" si="4"/>
        <v>30338.629999999986</v>
      </c>
    </row>
    <row r="45" spans="2:22" ht="15" customHeight="1" x14ac:dyDescent="0.2">
      <c r="B45" s="24" t="s">
        <v>10</v>
      </c>
      <c r="C45" s="25">
        <f t="shared" ref="C45:H45" si="14">SUM(C3,C7,C11,C16,C37,C40)</f>
        <v>54315</v>
      </c>
      <c r="D45" s="25">
        <f t="shared" si="14"/>
        <v>54062.630378481786</v>
      </c>
      <c r="E45" s="25">
        <f t="shared" si="14"/>
        <v>44673</v>
      </c>
      <c r="F45" s="25">
        <f t="shared" si="14"/>
        <v>27513</v>
      </c>
      <c r="G45" s="25">
        <f t="shared" si="14"/>
        <v>58960.058582866885</v>
      </c>
      <c r="H45" s="25">
        <f t="shared" si="14"/>
        <v>57599.431046214988</v>
      </c>
      <c r="J45" s="32">
        <v>23000</v>
      </c>
      <c r="K45" s="33">
        <f>$K$4+12*$K$5+12*$K$15+12*$K$8</f>
        <v>13851</v>
      </c>
      <c r="L45" s="33">
        <f t="shared" si="8"/>
        <v>6916.1</v>
      </c>
      <c r="M45" s="33">
        <f t="shared" si="9"/>
        <v>20767.099999999999</v>
      </c>
      <c r="N45" s="34">
        <f t="shared" si="10"/>
        <v>0.90291739130434778</v>
      </c>
      <c r="P45" s="41">
        <v>36</v>
      </c>
      <c r="Q45" s="37">
        <f t="shared" si="5"/>
        <v>30338.629999999986</v>
      </c>
      <c r="R45" s="37"/>
      <c r="S45" s="37">
        <f t="shared" si="12"/>
        <v>588</v>
      </c>
      <c r="T45" s="37">
        <f t="shared" si="3"/>
        <v>29750.629999999986</v>
      </c>
      <c r="U45" s="37">
        <f t="shared" si="13"/>
        <v>61.98</v>
      </c>
      <c r="V45" s="37">
        <f t="shared" si="4"/>
        <v>29812.609999999986</v>
      </c>
    </row>
    <row r="46" spans="2:22" ht="15" customHeight="1" x14ac:dyDescent="0.2">
      <c r="B46" s="24" t="s">
        <v>11</v>
      </c>
      <c r="C46" s="25">
        <f>C45/60</f>
        <v>905.25</v>
      </c>
      <c r="D46" s="25">
        <f>D45/60</f>
        <v>901.04383964136309</v>
      </c>
      <c r="E46" s="25">
        <f t="shared" ref="E46" si="15">E45/60</f>
        <v>744.55</v>
      </c>
      <c r="F46" s="25">
        <f>F45/36</f>
        <v>764.25</v>
      </c>
      <c r="G46" s="25">
        <f t="shared" ref="G46:H46" si="16">G45/60</f>
        <v>982.66764304778144</v>
      </c>
      <c r="H46" s="25">
        <f t="shared" si="16"/>
        <v>959.99051743691643</v>
      </c>
      <c r="J46" s="32">
        <v>24000</v>
      </c>
      <c r="K46" s="33">
        <f>$K$4+12*$K$5+12*$K$15+12*$K$8</f>
        <v>13851</v>
      </c>
      <c r="L46" s="33">
        <f t="shared" si="8"/>
        <v>7216.8</v>
      </c>
      <c r="M46" s="33">
        <f t="shared" si="9"/>
        <v>21067.8</v>
      </c>
      <c r="N46" s="34">
        <f t="shared" si="10"/>
        <v>0.87782499999999997</v>
      </c>
      <c r="P46" s="9">
        <v>37</v>
      </c>
      <c r="Q46" s="34">
        <f t="shared" si="5"/>
        <v>29812.609999999986</v>
      </c>
      <c r="R46" s="34">
        <f>$R$4</f>
        <v>999</v>
      </c>
      <c r="S46" s="34">
        <f t="shared" si="12"/>
        <v>588</v>
      </c>
      <c r="T46" s="34">
        <f t="shared" si="3"/>
        <v>28225.609999999986</v>
      </c>
      <c r="U46" s="34">
        <f t="shared" si="13"/>
        <v>58.8</v>
      </c>
      <c r="V46" s="34">
        <f t="shared" si="4"/>
        <v>28284.409999999985</v>
      </c>
    </row>
    <row r="47" spans="2:22" ht="15" customHeight="1" x14ac:dyDescent="0.2">
      <c r="B47" s="1"/>
      <c r="D47" s="3">
        <f t="shared" ref="D47:F47" si="17">(D46-$C46)/$C46</f>
        <v>-4.6464074660446369E-3</v>
      </c>
      <c r="E47" s="3">
        <f>(E46-$C46)/$C46</f>
        <v>-0.17752002209334444</v>
      </c>
      <c r="F47" s="3">
        <f t="shared" si="17"/>
        <v>-0.15575807787903895</v>
      </c>
      <c r="G47" s="3">
        <f t="shared" ref="G47:H47" si="18">(G46-$C46)/$C46</f>
        <v>8.5520732447148792E-2</v>
      </c>
      <c r="H47" s="3">
        <f t="shared" si="18"/>
        <v>6.0470055163674603E-2</v>
      </c>
      <c r="J47" s="35">
        <v>25000</v>
      </c>
      <c r="K47" s="36">
        <f>$K$4+12*$K$5+12*$K$15+12*$K$8</f>
        <v>13851</v>
      </c>
      <c r="L47" s="36">
        <f t="shared" si="8"/>
        <v>7517.5</v>
      </c>
      <c r="M47" s="36">
        <f t="shared" si="9"/>
        <v>21368.5</v>
      </c>
      <c r="N47" s="37">
        <f t="shared" si="10"/>
        <v>0.85474000000000006</v>
      </c>
      <c r="P47" s="9">
        <v>38</v>
      </c>
      <c r="Q47" s="34">
        <f t="shared" si="5"/>
        <v>28284.409999999985</v>
      </c>
      <c r="R47" s="34"/>
      <c r="S47" s="34">
        <f t="shared" si="12"/>
        <v>588</v>
      </c>
      <c r="T47" s="34">
        <f t="shared" si="3"/>
        <v>27696.409999999985</v>
      </c>
      <c r="U47" s="34">
        <f t="shared" si="13"/>
        <v>57.7</v>
      </c>
      <c r="V47" s="34">
        <f t="shared" si="4"/>
        <v>27754.109999999986</v>
      </c>
    </row>
    <row r="48" spans="2:22" x14ac:dyDescent="0.2">
      <c r="B48" s="1"/>
      <c r="J48" s="32">
        <v>26000</v>
      </c>
      <c r="K48" s="33">
        <f t="shared" ref="K48:K62" si="19">$K$4+12*$K$5+12*$K$15+12*$K$8+(J48-25000)*$K$9</f>
        <v>14091</v>
      </c>
      <c r="L48" s="33">
        <f t="shared" si="8"/>
        <v>7818.2</v>
      </c>
      <c r="M48" s="33">
        <f t="shared" si="9"/>
        <v>21909.200000000001</v>
      </c>
      <c r="N48" s="34">
        <f t="shared" si="10"/>
        <v>0.84266153846153846</v>
      </c>
      <c r="P48" s="9">
        <v>39</v>
      </c>
      <c r="Q48" s="34">
        <f t="shared" si="5"/>
        <v>27754.109999999986</v>
      </c>
      <c r="R48" s="34"/>
      <c r="S48" s="34">
        <f t="shared" si="12"/>
        <v>588</v>
      </c>
      <c r="T48" s="34">
        <f t="shared" si="3"/>
        <v>27166.109999999986</v>
      </c>
      <c r="U48" s="34">
        <f t="shared" si="13"/>
        <v>56.6</v>
      </c>
      <c r="V48" s="34">
        <f t="shared" si="4"/>
        <v>27222.709999999985</v>
      </c>
    </row>
    <row r="49" spans="2:22" ht="39" x14ac:dyDescent="0.2">
      <c r="B49" s="45" t="s">
        <v>13</v>
      </c>
      <c r="C49" s="46" t="str">
        <f>C2</f>
        <v>Qarson</v>
      </c>
      <c r="D49" s="46" t="str">
        <f t="shared" ref="D49:H49" si="20">D2</f>
        <v>Nowe_x000D_kredyt_x000D_5 lat</v>
      </c>
      <c r="E49" s="46" t="str">
        <f t="shared" si="20"/>
        <v>Nowe_x000D_gotówka_x000D_5 lat</v>
      </c>
      <c r="F49" s="46" t="str">
        <f t="shared" si="20"/>
        <v>Nowe_x000D_gotówka_x000D_3 lata</v>
      </c>
      <c r="G49" s="46" t="str">
        <f t="shared" si="20"/>
        <v>Używane 3 letnie (2016, 45.000 km)</v>
      </c>
      <c r="H49" s="46" t="str">
        <f t="shared" si="20"/>
        <v>Używane 5 letnie (2013, 75.000 km)</v>
      </c>
      <c r="J49" s="32">
        <v>27000</v>
      </c>
      <c r="K49" s="33">
        <f t="shared" si="19"/>
        <v>14331</v>
      </c>
      <c r="L49" s="33">
        <f t="shared" si="8"/>
        <v>8118.9</v>
      </c>
      <c r="M49" s="33">
        <f t="shared" si="9"/>
        <v>22449.9</v>
      </c>
      <c r="N49" s="34">
        <f t="shared" si="10"/>
        <v>0.83147777777777787</v>
      </c>
      <c r="P49" s="9">
        <v>40</v>
      </c>
      <c r="Q49" s="34">
        <f t="shared" si="5"/>
        <v>27222.709999999985</v>
      </c>
      <c r="R49" s="34"/>
      <c r="S49" s="34">
        <f t="shared" si="12"/>
        <v>588</v>
      </c>
      <c r="T49" s="34">
        <f t="shared" si="3"/>
        <v>26634.709999999985</v>
      </c>
      <c r="U49" s="34">
        <f t="shared" si="13"/>
        <v>55.49</v>
      </c>
      <c r="V49" s="34">
        <f t="shared" si="4"/>
        <v>26690.199999999986</v>
      </c>
    </row>
    <row r="50" spans="2:22" ht="15" customHeight="1" x14ac:dyDescent="0.2">
      <c r="B50" s="4" t="s">
        <v>14</v>
      </c>
      <c r="C50" s="5">
        <f>SUM(C3,C7)/60</f>
        <v>671.25</v>
      </c>
      <c r="D50" s="5">
        <f>SUM(D3,D7)/60</f>
        <v>355</v>
      </c>
      <c r="E50" s="5">
        <f>SUM(E3,E7)/60</f>
        <v>355</v>
      </c>
      <c r="F50" s="5">
        <f>SUM(F3,F7)/36</f>
        <v>429.16666666666669</v>
      </c>
      <c r="G50" s="5">
        <f>SUM(G3,G7)/60</f>
        <v>413.33333333333331</v>
      </c>
      <c r="H50" s="5">
        <f>SUM(H3,H7)/60</f>
        <v>368.33333333333331</v>
      </c>
      <c r="J50" s="32">
        <v>28000</v>
      </c>
      <c r="K50" s="33">
        <f t="shared" si="19"/>
        <v>14571</v>
      </c>
      <c r="L50" s="33">
        <f t="shared" si="8"/>
        <v>8419.6</v>
      </c>
      <c r="M50" s="33">
        <f t="shared" si="9"/>
        <v>22990.6</v>
      </c>
      <c r="N50" s="34">
        <f t="shared" si="10"/>
        <v>0.82109285714285707</v>
      </c>
      <c r="P50" s="9">
        <v>41</v>
      </c>
      <c r="Q50" s="34">
        <f t="shared" si="5"/>
        <v>26690.199999999986</v>
      </c>
      <c r="R50" s="34"/>
      <c r="S50" s="34">
        <f t="shared" si="12"/>
        <v>588</v>
      </c>
      <c r="T50" s="34">
        <f t="shared" si="3"/>
        <v>26102.199999999986</v>
      </c>
      <c r="U50" s="34">
        <f t="shared" si="13"/>
        <v>54.38</v>
      </c>
      <c r="V50" s="34">
        <f t="shared" si="4"/>
        <v>26156.579999999987</v>
      </c>
    </row>
    <row r="51" spans="2:22" ht="15" customHeight="1" x14ac:dyDescent="0.2">
      <c r="B51" s="4" t="s">
        <v>15</v>
      </c>
      <c r="C51" s="5">
        <f t="shared" ref="C51:H51" si="21">C11/60</f>
        <v>0</v>
      </c>
      <c r="D51" s="5">
        <f t="shared" si="21"/>
        <v>156.49383964136311</v>
      </c>
      <c r="E51" s="5">
        <f t="shared" si="21"/>
        <v>0</v>
      </c>
      <c r="F51" s="5">
        <f>F11/36</f>
        <v>0</v>
      </c>
      <c r="G51" s="5">
        <f t="shared" si="21"/>
        <v>120.50097638111474</v>
      </c>
      <c r="H51" s="5">
        <f t="shared" si="21"/>
        <v>100.15718410358313</v>
      </c>
      <c r="J51" s="32">
        <v>29000</v>
      </c>
      <c r="K51" s="33">
        <f t="shared" si="19"/>
        <v>14811</v>
      </c>
      <c r="L51" s="33">
        <f t="shared" si="8"/>
        <v>8720.2999999999993</v>
      </c>
      <c r="M51" s="33">
        <f t="shared" si="9"/>
        <v>23531.3</v>
      </c>
      <c r="N51" s="34">
        <f t="shared" si="10"/>
        <v>0.81142413793103441</v>
      </c>
      <c r="P51" s="9">
        <v>42</v>
      </c>
      <c r="Q51" s="34">
        <f t="shared" si="5"/>
        <v>26156.579999999987</v>
      </c>
      <c r="R51" s="34"/>
      <c r="S51" s="34">
        <f t="shared" si="12"/>
        <v>588</v>
      </c>
      <c r="T51" s="34">
        <f t="shared" si="3"/>
        <v>25568.579999999987</v>
      </c>
      <c r="U51" s="34">
        <f t="shared" si="13"/>
        <v>53.27</v>
      </c>
      <c r="V51" s="34">
        <f t="shared" si="4"/>
        <v>25621.849999999988</v>
      </c>
    </row>
    <row r="52" spans="2:22" ht="15" customHeight="1" x14ac:dyDescent="0.2">
      <c r="B52" s="4" t="s">
        <v>16</v>
      </c>
      <c r="C52" s="5">
        <f t="shared" ref="C52:H52" si="22">C16/60</f>
        <v>0</v>
      </c>
      <c r="D52" s="5">
        <f t="shared" si="22"/>
        <v>135.05000000000001</v>
      </c>
      <c r="E52" s="5">
        <f t="shared" si="22"/>
        <v>135.05000000000001</v>
      </c>
      <c r="F52" s="5">
        <f>F16/36</f>
        <v>91.75</v>
      </c>
      <c r="G52" s="5">
        <f t="shared" si="22"/>
        <v>207.66666666666666</v>
      </c>
      <c r="H52" s="5">
        <f t="shared" si="22"/>
        <v>265.75</v>
      </c>
      <c r="J52" s="35">
        <v>30000</v>
      </c>
      <c r="K52" s="36">
        <f t="shared" si="19"/>
        <v>15051</v>
      </c>
      <c r="L52" s="36">
        <f t="shared" si="8"/>
        <v>9021</v>
      </c>
      <c r="M52" s="36">
        <f t="shared" si="9"/>
        <v>24072</v>
      </c>
      <c r="N52" s="37">
        <f t="shared" si="10"/>
        <v>0.8024</v>
      </c>
      <c r="P52" s="9">
        <v>43</v>
      </c>
      <c r="Q52" s="34">
        <f t="shared" si="5"/>
        <v>25621.849999999988</v>
      </c>
      <c r="R52" s="34"/>
      <c r="S52" s="34">
        <f t="shared" si="12"/>
        <v>588</v>
      </c>
      <c r="T52" s="34">
        <f t="shared" si="3"/>
        <v>25033.849999999988</v>
      </c>
      <c r="U52" s="34">
        <f t="shared" si="13"/>
        <v>52.15</v>
      </c>
      <c r="V52" s="34">
        <f t="shared" si="4"/>
        <v>25085.999999999989</v>
      </c>
    </row>
    <row r="53" spans="2:22" ht="15" customHeight="1" x14ac:dyDescent="0.2">
      <c r="B53" s="4" t="s">
        <v>17</v>
      </c>
      <c r="C53" s="5">
        <f t="shared" ref="C53:H53" si="23">C37/60</f>
        <v>185</v>
      </c>
      <c r="D53" s="5">
        <f t="shared" si="23"/>
        <v>187.5</v>
      </c>
      <c r="E53" s="5">
        <f>E37/60</f>
        <v>187.5</v>
      </c>
      <c r="F53" s="5">
        <f>F37/36</f>
        <v>187.5</v>
      </c>
      <c r="G53" s="5">
        <f t="shared" si="23"/>
        <v>184.16666666666666</v>
      </c>
      <c r="H53" s="5">
        <f t="shared" si="23"/>
        <v>168.75</v>
      </c>
      <c r="J53" s="32">
        <v>31000</v>
      </c>
      <c r="K53" s="33">
        <f t="shared" si="19"/>
        <v>15291</v>
      </c>
      <c r="L53" s="33">
        <f t="shared" si="8"/>
        <v>9321.7000000000007</v>
      </c>
      <c r="M53" s="33">
        <f t="shared" ref="M53:M62" si="24">K53+L53</f>
        <v>24612.7</v>
      </c>
      <c r="N53" s="34">
        <f t="shared" ref="N53:N62" si="25">M53/J53</f>
        <v>0.79395806451612905</v>
      </c>
      <c r="P53" s="9">
        <v>44</v>
      </c>
      <c r="Q53" s="34">
        <f t="shared" si="5"/>
        <v>25085.999999999989</v>
      </c>
      <c r="R53" s="34"/>
      <c r="S53" s="34">
        <f t="shared" si="12"/>
        <v>588</v>
      </c>
      <c r="T53" s="34">
        <f t="shared" si="3"/>
        <v>24497.999999999989</v>
      </c>
      <c r="U53" s="34">
        <f t="shared" si="13"/>
        <v>51.04</v>
      </c>
      <c r="V53" s="34">
        <f t="shared" si="4"/>
        <v>24549.03999999999</v>
      </c>
    </row>
    <row r="54" spans="2:22" ht="15" customHeight="1" x14ac:dyDescent="0.2">
      <c r="B54" s="4" t="s">
        <v>18</v>
      </c>
      <c r="C54" s="5">
        <f t="shared" ref="C54:H54" si="26">C40/60</f>
        <v>49</v>
      </c>
      <c r="D54" s="5">
        <f t="shared" si="26"/>
        <v>67</v>
      </c>
      <c r="E54" s="5">
        <f t="shared" si="26"/>
        <v>67</v>
      </c>
      <c r="F54" s="5">
        <f>F40/36</f>
        <v>55.833333333333336</v>
      </c>
      <c r="G54" s="5">
        <f t="shared" si="26"/>
        <v>57</v>
      </c>
      <c r="H54" s="5">
        <f t="shared" si="26"/>
        <v>57</v>
      </c>
      <c r="J54" s="32">
        <v>32000</v>
      </c>
      <c r="K54" s="33">
        <f t="shared" si="19"/>
        <v>15531</v>
      </c>
      <c r="L54" s="33">
        <f t="shared" si="8"/>
        <v>9622.4</v>
      </c>
      <c r="M54" s="33">
        <f t="shared" si="24"/>
        <v>25153.4</v>
      </c>
      <c r="N54" s="34">
        <f t="shared" si="25"/>
        <v>0.78604375000000004</v>
      </c>
      <c r="P54" s="9">
        <v>45</v>
      </c>
      <c r="Q54" s="34">
        <f t="shared" si="5"/>
        <v>24549.03999999999</v>
      </c>
      <c r="R54" s="34"/>
      <c r="S54" s="34">
        <f t="shared" si="12"/>
        <v>588</v>
      </c>
      <c r="T54" s="34">
        <f t="shared" si="3"/>
        <v>23961.03999999999</v>
      </c>
      <c r="U54" s="34">
        <f t="shared" si="13"/>
        <v>49.92</v>
      </c>
      <c r="V54" s="34">
        <f t="shared" si="4"/>
        <v>24010.959999999988</v>
      </c>
    </row>
    <row r="55" spans="2:22" ht="15" customHeight="1" x14ac:dyDescent="0.2">
      <c r="B55" s="6" t="s">
        <v>19</v>
      </c>
      <c r="C55" s="7">
        <f>SUM(C50:C54)</f>
        <v>905.25</v>
      </c>
      <c r="D55" s="7">
        <f t="shared" ref="D55:H55" si="27">SUM(D50:D54)</f>
        <v>901.04383964136309</v>
      </c>
      <c r="E55" s="7">
        <f t="shared" ref="E55" si="28">SUM(E50:E54)</f>
        <v>744.55</v>
      </c>
      <c r="F55" s="7">
        <f t="shared" ref="F55" si="29">SUM(F50:F54)</f>
        <v>764.25000000000011</v>
      </c>
      <c r="G55" s="7">
        <f t="shared" si="27"/>
        <v>982.66764304778133</v>
      </c>
      <c r="H55" s="7">
        <f t="shared" si="27"/>
        <v>959.99051743691643</v>
      </c>
      <c r="J55" s="32">
        <v>33000</v>
      </c>
      <c r="K55" s="33">
        <f t="shared" si="19"/>
        <v>15771</v>
      </c>
      <c r="L55" s="33">
        <f t="shared" si="8"/>
        <v>9923.1</v>
      </c>
      <c r="M55" s="33">
        <f t="shared" si="24"/>
        <v>25694.1</v>
      </c>
      <c r="N55" s="34">
        <f t="shared" si="25"/>
        <v>0.77860909090909092</v>
      </c>
      <c r="P55" s="9">
        <v>46</v>
      </c>
      <c r="Q55" s="34">
        <f t="shared" si="5"/>
        <v>24010.959999999988</v>
      </c>
      <c r="R55" s="34"/>
      <c r="S55" s="34">
        <f t="shared" si="12"/>
        <v>588</v>
      </c>
      <c r="T55" s="34">
        <f t="shared" si="3"/>
        <v>23422.959999999988</v>
      </c>
      <c r="U55" s="34">
        <f t="shared" si="13"/>
        <v>48.8</v>
      </c>
      <c r="V55" s="34">
        <f t="shared" si="4"/>
        <v>23471.759999999987</v>
      </c>
    </row>
    <row r="56" spans="2:22" ht="15" customHeight="1" x14ac:dyDescent="0.2">
      <c r="B56" s="1"/>
      <c r="D56" s="3">
        <f t="shared" ref="D56:F56" si="30">(D55-$C55)/$C55</f>
        <v>-4.6464074660446369E-3</v>
      </c>
      <c r="E56" s="3">
        <f>(E55-$C55)/$C55</f>
        <v>-0.17752002209334444</v>
      </c>
      <c r="F56" s="3">
        <f t="shared" si="30"/>
        <v>-0.15575807787903881</v>
      </c>
      <c r="G56" s="3">
        <f t="shared" ref="G56" si="31">(G55-$C55)/$C55</f>
        <v>8.5520732447148667E-2</v>
      </c>
      <c r="H56" s="3">
        <f t="shared" ref="H56" si="32">(H55-$C55)/$C55</f>
        <v>6.0470055163674603E-2</v>
      </c>
      <c r="J56" s="32">
        <v>34000</v>
      </c>
      <c r="K56" s="33">
        <f t="shared" si="19"/>
        <v>16011</v>
      </c>
      <c r="L56" s="33">
        <f t="shared" si="8"/>
        <v>10223.799999999999</v>
      </c>
      <c r="M56" s="33">
        <f t="shared" si="24"/>
        <v>26234.799999999999</v>
      </c>
      <c r="N56" s="34">
        <f t="shared" si="25"/>
        <v>0.77161176470588233</v>
      </c>
      <c r="P56" s="9">
        <v>47</v>
      </c>
      <c r="Q56" s="34">
        <f t="shared" si="5"/>
        <v>23471.759999999987</v>
      </c>
      <c r="R56" s="34"/>
      <c r="S56" s="34">
        <f t="shared" si="12"/>
        <v>588</v>
      </c>
      <c r="T56" s="34">
        <f t="shared" si="3"/>
        <v>22883.759999999987</v>
      </c>
      <c r="U56" s="34">
        <f t="shared" si="13"/>
        <v>47.67</v>
      </c>
      <c r="V56" s="34">
        <f t="shared" si="4"/>
        <v>22931.429999999986</v>
      </c>
    </row>
    <row r="57" spans="2:22" ht="15" customHeight="1" x14ac:dyDescent="0.2">
      <c r="B57" s="1"/>
      <c r="J57" s="35">
        <v>35000</v>
      </c>
      <c r="K57" s="36">
        <f t="shared" si="19"/>
        <v>16251</v>
      </c>
      <c r="L57" s="36">
        <f t="shared" si="8"/>
        <v>10524.5</v>
      </c>
      <c r="M57" s="36">
        <f t="shared" si="24"/>
        <v>26775.5</v>
      </c>
      <c r="N57" s="37">
        <f t="shared" si="25"/>
        <v>0.76501428571428576</v>
      </c>
      <c r="P57" s="41">
        <v>48</v>
      </c>
      <c r="Q57" s="37">
        <f t="shared" si="5"/>
        <v>22931.429999999986</v>
      </c>
      <c r="R57" s="37"/>
      <c r="S57" s="37">
        <f t="shared" si="12"/>
        <v>588</v>
      </c>
      <c r="T57" s="37">
        <f t="shared" si="3"/>
        <v>22343.429999999986</v>
      </c>
      <c r="U57" s="37">
        <f t="shared" si="13"/>
        <v>46.55</v>
      </c>
      <c r="V57" s="37">
        <f t="shared" si="4"/>
        <v>22389.979999999985</v>
      </c>
    </row>
    <row r="58" spans="2:22" ht="15" customHeight="1" x14ac:dyDescent="0.2">
      <c r="B58" s="56" t="s">
        <v>91</v>
      </c>
      <c r="C58" s="57" t="s">
        <v>92</v>
      </c>
      <c r="J58" s="32">
        <v>36000</v>
      </c>
      <c r="K58" s="33">
        <f t="shared" si="19"/>
        <v>16491</v>
      </c>
      <c r="L58" s="33">
        <f t="shared" si="8"/>
        <v>10825.2</v>
      </c>
      <c r="M58" s="33">
        <f t="shared" si="24"/>
        <v>27316.2</v>
      </c>
      <c r="N58" s="34">
        <f t="shared" si="25"/>
        <v>0.75878333333333337</v>
      </c>
      <c r="P58" s="9">
        <v>49</v>
      </c>
      <c r="Q58" s="34">
        <f t="shared" si="5"/>
        <v>22389.979999999985</v>
      </c>
      <c r="R58" s="34">
        <f>$R$4</f>
        <v>999</v>
      </c>
      <c r="S58" s="34">
        <f t="shared" si="12"/>
        <v>588</v>
      </c>
      <c r="T58" s="34">
        <f t="shared" si="3"/>
        <v>20802.979999999985</v>
      </c>
      <c r="U58" s="34">
        <f t="shared" si="13"/>
        <v>43.34</v>
      </c>
      <c r="V58" s="34">
        <f t="shared" si="4"/>
        <v>20846.319999999985</v>
      </c>
    </row>
    <row r="59" spans="2:22" ht="15" customHeight="1" x14ac:dyDescent="0.2">
      <c r="J59" s="32">
        <v>37000</v>
      </c>
      <c r="K59" s="33">
        <f t="shared" si="19"/>
        <v>16731</v>
      </c>
      <c r="L59" s="33">
        <f t="shared" si="8"/>
        <v>11125.9</v>
      </c>
      <c r="M59" s="33">
        <f t="shared" si="24"/>
        <v>27856.9</v>
      </c>
      <c r="N59" s="34">
        <f t="shared" si="25"/>
        <v>0.75288918918918923</v>
      </c>
      <c r="P59" s="9">
        <v>50</v>
      </c>
      <c r="Q59" s="34">
        <f t="shared" si="5"/>
        <v>20846.319999999985</v>
      </c>
      <c r="R59" s="34"/>
      <c r="S59" s="34">
        <f t="shared" si="12"/>
        <v>588</v>
      </c>
      <c r="T59" s="34">
        <f t="shared" si="3"/>
        <v>20258.319999999985</v>
      </c>
      <c r="U59" s="34">
        <f t="shared" si="13"/>
        <v>42.2</v>
      </c>
      <c r="V59" s="34">
        <f t="shared" si="4"/>
        <v>20300.519999999986</v>
      </c>
    </row>
    <row r="60" spans="2:22" ht="15" customHeight="1" x14ac:dyDescent="0.2">
      <c r="J60" s="32">
        <v>38000</v>
      </c>
      <c r="K60" s="33">
        <f t="shared" si="19"/>
        <v>16971</v>
      </c>
      <c r="L60" s="33">
        <f t="shared" si="8"/>
        <v>11426.6</v>
      </c>
      <c r="M60" s="33">
        <f t="shared" si="24"/>
        <v>28397.599999999999</v>
      </c>
      <c r="N60" s="34">
        <f t="shared" si="25"/>
        <v>0.74730526315789469</v>
      </c>
      <c r="P60" s="9">
        <v>51</v>
      </c>
      <c r="Q60" s="34">
        <f t="shared" si="5"/>
        <v>20300.519999999986</v>
      </c>
      <c r="R60" s="34"/>
      <c r="S60" s="34">
        <f t="shared" si="12"/>
        <v>588</v>
      </c>
      <c r="T60" s="34">
        <f t="shared" si="3"/>
        <v>19712.519999999986</v>
      </c>
      <c r="U60" s="34">
        <f t="shared" si="13"/>
        <v>41.07</v>
      </c>
      <c r="V60" s="34">
        <f t="shared" si="4"/>
        <v>19753.589999999986</v>
      </c>
    </row>
    <row r="61" spans="2:22" ht="15" customHeight="1" x14ac:dyDescent="0.2">
      <c r="J61" s="32">
        <v>39000</v>
      </c>
      <c r="K61" s="33">
        <f t="shared" si="19"/>
        <v>17211</v>
      </c>
      <c r="L61" s="33">
        <f t="shared" si="8"/>
        <v>11727.3</v>
      </c>
      <c r="M61" s="33">
        <f t="shared" si="24"/>
        <v>28938.3</v>
      </c>
      <c r="N61" s="34">
        <f t="shared" si="25"/>
        <v>0.74200769230769226</v>
      </c>
      <c r="P61" s="9">
        <v>52</v>
      </c>
      <c r="Q61" s="34">
        <f t="shared" si="5"/>
        <v>19753.589999999986</v>
      </c>
      <c r="R61" s="34"/>
      <c r="S61" s="34">
        <f t="shared" si="12"/>
        <v>588</v>
      </c>
      <c r="T61" s="34">
        <f t="shared" si="3"/>
        <v>19165.589999999986</v>
      </c>
      <c r="U61" s="34">
        <f t="shared" si="13"/>
        <v>39.93</v>
      </c>
      <c r="V61" s="34">
        <f t="shared" si="4"/>
        <v>19205.519999999986</v>
      </c>
    </row>
    <row r="62" spans="2:22" ht="15" customHeight="1" x14ac:dyDescent="0.2">
      <c r="J62" s="35">
        <v>40000</v>
      </c>
      <c r="K62" s="36">
        <f t="shared" si="19"/>
        <v>17451</v>
      </c>
      <c r="L62" s="36">
        <f t="shared" si="8"/>
        <v>12028</v>
      </c>
      <c r="M62" s="36">
        <f t="shared" si="24"/>
        <v>29479</v>
      </c>
      <c r="N62" s="37">
        <f t="shared" si="25"/>
        <v>0.73697500000000005</v>
      </c>
      <c r="P62" s="9">
        <v>53</v>
      </c>
      <c r="Q62" s="34">
        <f t="shared" si="5"/>
        <v>19205.519999999986</v>
      </c>
      <c r="R62" s="34"/>
      <c r="S62" s="34">
        <f t="shared" si="12"/>
        <v>588</v>
      </c>
      <c r="T62" s="34">
        <f t="shared" si="3"/>
        <v>18617.519999999986</v>
      </c>
      <c r="U62" s="34">
        <f t="shared" si="13"/>
        <v>38.79</v>
      </c>
      <c r="V62" s="34">
        <f t="shared" si="4"/>
        <v>18656.309999999987</v>
      </c>
    </row>
    <row r="63" spans="2:22" ht="15" customHeight="1" x14ac:dyDescent="0.2">
      <c r="P63" s="9">
        <v>54</v>
      </c>
      <c r="Q63" s="34">
        <f t="shared" si="5"/>
        <v>18656.309999999987</v>
      </c>
      <c r="R63" s="34"/>
      <c r="S63" s="34">
        <f t="shared" si="12"/>
        <v>588</v>
      </c>
      <c r="T63" s="34">
        <f t="shared" si="3"/>
        <v>18068.309999999987</v>
      </c>
      <c r="U63" s="34">
        <f t="shared" si="13"/>
        <v>37.64</v>
      </c>
      <c r="V63" s="34">
        <f t="shared" si="4"/>
        <v>18105.949999999986</v>
      </c>
    </row>
    <row r="64" spans="2:22" ht="15" customHeight="1" x14ac:dyDescent="0.2">
      <c r="P64" s="9">
        <v>55</v>
      </c>
      <c r="Q64" s="34">
        <f t="shared" si="5"/>
        <v>18105.949999999986</v>
      </c>
      <c r="R64" s="34"/>
      <c r="S64" s="34">
        <f t="shared" si="12"/>
        <v>588</v>
      </c>
      <c r="T64" s="34">
        <f t="shared" si="3"/>
        <v>17517.949999999986</v>
      </c>
      <c r="U64" s="34">
        <f t="shared" si="13"/>
        <v>36.5</v>
      </c>
      <c r="V64" s="34">
        <f t="shared" si="4"/>
        <v>17554.449999999986</v>
      </c>
    </row>
    <row r="65" spans="9:22" ht="15" customHeight="1" x14ac:dyDescent="0.2">
      <c r="P65" s="9">
        <v>56</v>
      </c>
      <c r="Q65" s="34">
        <f t="shared" si="5"/>
        <v>17554.449999999986</v>
      </c>
      <c r="R65" s="34"/>
      <c r="S65" s="34">
        <f t="shared" si="12"/>
        <v>588</v>
      </c>
      <c r="T65" s="34">
        <f t="shared" si="3"/>
        <v>16966.449999999986</v>
      </c>
      <c r="U65" s="34">
        <f t="shared" si="13"/>
        <v>35.35</v>
      </c>
      <c r="V65" s="34">
        <f t="shared" si="4"/>
        <v>17001.799999999985</v>
      </c>
    </row>
    <row r="66" spans="9:22" ht="15" customHeight="1" x14ac:dyDescent="0.2">
      <c r="P66" s="9">
        <v>57</v>
      </c>
      <c r="Q66" s="34">
        <f t="shared" si="5"/>
        <v>17001.799999999985</v>
      </c>
      <c r="R66" s="34"/>
      <c r="S66" s="34">
        <f t="shared" si="12"/>
        <v>588</v>
      </c>
      <c r="T66" s="34">
        <f t="shared" si="3"/>
        <v>16413.799999999985</v>
      </c>
      <c r="U66" s="34">
        <f t="shared" si="13"/>
        <v>34.200000000000003</v>
      </c>
      <c r="V66" s="34">
        <f t="shared" si="4"/>
        <v>16447.999999999985</v>
      </c>
    </row>
    <row r="67" spans="9:22" ht="15" customHeight="1" x14ac:dyDescent="0.2">
      <c r="P67" s="9">
        <v>58</v>
      </c>
      <c r="Q67" s="34">
        <f t="shared" si="5"/>
        <v>16447.999999999985</v>
      </c>
      <c r="R67" s="34"/>
      <c r="S67" s="34">
        <f t="shared" si="12"/>
        <v>588</v>
      </c>
      <c r="T67" s="34">
        <f t="shared" si="3"/>
        <v>15859.999999999985</v>
      </c>
      <c r="U67" s="34">
        <f t="shared" si="13"/>
        <v>33.04</v>
      </c>
      <c r="V67" s="34">
        <f t="shared" si="4"/>
        <v>15893.039999999986</v>
      </c>
    </row>
    <row r="68" spans="9:22" ht="15" customHeight="1" x14ac:dyDescent="0.2">
      <c r="P68" s="9">
        <v>59</v>
      </c>
      <c r="Q68" s="34">
        <f t="shared" si="5"/>
        <v>15893.039999999986</v>
      </c>
      <c r="R68" s="34"/>
      <c r="S68" s="34">
        <f t="shared" si="12"/>
        <v>588</v>
      </c>
      <c r="T68" s="34">
        <f t="shared" si="3"/>
        <v>15305.039999999986</v>
      </c>
      <c r="U68" s="34">
        <f t="shared" si="13"/>
        <v>31.89</v>
      </c>
      <c r="V68" s="34">
        <f t="shared" si="4"/>
        <v>15336.929999999986</v>
      </c>
    </row>
    <row r="69" spans="9:22" ht="15" customHeight="1" x14ac:dyDescent="0.2">
      <c r="P69" s="41">
        <v>60</v>
      </c>
      <c r="Q69" s="37">
        <f t="shared" si="5"/>
        <v>15336.929999999986</v>
      </c>
      <c r="R69" s="37"/>
      <c r="S69" s="37">
        <f t="shared" si="12"/>
        <v>588</v>
      </c>
      <c r="T69" s="37">
        <f t="shared" si="3"/>
        <v>14748.929999999986</v>
      </c>
      <c r="U69" s="37">
        <f t="shared" si="13"/>
        <v>30.73</v>
      </c>
      <c r="V69" s="37">
        <f t="shared" si="4"/>
        <v>14779.659999999985</v>
      </c>
    </row>
    <row r="73" spans="9:22" ht="26" x14ac:dyDescent="0.2">
      <c r="I73" s="55"/>
      <c r="J73" s="55" t="s">
        <v>0</v>
      </c>
      <c r="K73" s="55" t="s">
        <v>88</v>
      </c>
      <c r="L73" s="55" t="s">
        <v>93</v>
      </c>
      <c r="M73" s="55" t="s">
        <v>69</v>
      </c>
      <c r="N73" s="55" t="s">
        <v>90</v>
      </c>
    </row>
    <row r="74" spans="9:22" ht="15" customHeight="1" x14ac:dyDescent="0.2">
      <c r="I74" s="53" t="s">
        <v>80</v>
      </c>
      <c r="J74" s="54">
        <v>905</v>
      </c>
      <c r="K74" s="53">
        <v>67</v>
      </c>
      <c r="L74" s="53">
        <f>J74-K74</f>
        <v>838</v>
      </c>
      <c r="M74" s="53">
        <v>745</v>
      </c>
      <c r="N74" s="53">
        <f>L74-M74</f>
        <v>93</v>
      </c>
    </row>
    <row r="75" spans="9:22" ht="15" customHeight="1" x14ac:dyDescent="0.2">
      <c r="I75" s="53" t="s">
        <v>81</v>
      </c>
      <c r="J75" s="54">
        <v>905</v>
      </c>
      <c r="K75" s="53">
        <v>82</v>
      </c>
      <c r="L75" s="53">
        <f>J75-K75</f>
        <v>823</v>
      </c>
      <c r="M75" s="53">
        <v>764</v>
      </c>
      <c r="N75" s="53">
        <f>L75-M75</f>
        <v>59</v>
      </c>
    </row>
  </sheetData>
  <mergeCells count="2">
    <mergeCell ref="Q6:Q7"/>
    <mergeCell ref="R6:R7"/>
  </mergeCells>
  <hyperlinks>
    <hyperlink ref="G8" r:id="rId1" display="https://www.otomoto.pl/osobowe/renault/clio/od-2016/?search%5Bfilter_float_year%3Ato%5D=2016&amp;search%5Bfilter_float_mileage%3Ato%5D=50000&amp;search%5Bfilter_float_engine_power%3Afrom%5D=80&amp;search%5Bfilter_enum_fuel_type%5D%5B0%5D=petrol&amp;search%5Bfilter_enum_c"/>
    <hyperlink ref="H8" r:id="rId2" display="https://www.otomoto.pl/osobowe/renault/clio/od-2014/?search%5Bfilter_float_year%3Ato%5D=2014&amp;search%5Bfilter_float_mileage%3Ato%5D=100000&amp;search%5Bfilter_enum_fuel_type%5D%5B0%5D=petrol&amp;search%5Bfilter_enum_country_origin%5D%5B0%5D=pl&amp;search%5Border%5D=fi"/>
    <hyperlink ref="D42" r:id="rId3" display="https://www.ceneo.pl/Opony_caloroczne/Profil:55/Szerokosc:195/Srednica:16;0112-0.htm"/>
    <hyperlink ref="D43" r:id="rId4" display="https://www.ceneo.pl/Opony_letnie;017P0-1046064-1046157-1046121-1046101-1046114-1046091-1046093-1046086-1046125-1046061-1046074P1-1045917P2-1045959P3-1045978;0020-30-0-0-1;0112-0.htm"/>
    <hyperlink ref="D41" r:id="rId5" display="https://www.ceneo.pl/Opony_zimowe/Profil:55/Szerokosc:195/Srednica:16;0020-30-0-0-2;0112-0.htm"/>
    <hyperlink ref="D8" r:id="rId6" display="https://www.otomoto.pl/osobowe/renault/clio/od-2018/?search%5Bfilter_float_year%3Ato%5D=2018&amp;search%5Bfilter_float_mileage%3Ato%5D=20&amp;search%5Bfilter_float_engine_power%3Afrom%5D=90&amp;search%5Bfilter_enum_fuel_type%5D%5B0%5D=petrol&amp;search%5Border%5D=filter_"/>
    <hyperlink ref="E8" r:id="rId7" display="https://www.otomoto.pl/osobowe/renault/clio/od-2018/?search%5Bfilter_float_year%3Ato%5D=2018&amp;search%5Bfilter_float_mileage%3Ato%5D=20&amp;search%5Bfilter_float_engine_power%3Afrom%5D=90&amp;search%5Bfilter_enum_fuel_type%5D%5B0%5D=petrol&amp;search%5Border%5D=filter_"/>
    <hyperlink ref="F42" r:id="rId8" display="https://www.ceneo.pl/Opony_caloroczne/Profil:55/Szerokosc:195/Srednica:16;0112-0.htm"/>
    <hyperlink ref="F43" r:id="rId9" display="https://www.ceneo.pl/Opony_letnie;017P0-1046064-1046157-1046121-1046101-1046114-1046091-1046093-1046086-1046125-1046061-1046074P1-1045917P2-1045959P3-1045978;0020-30-0-0-1;0112-0.htm"/>
    <hyperlink ref="F41" r:id="rId10" display="https://www.ceneo.pl/Opony_zimowe/Profil:55/Szerokosc:195/Srednica:16;0020-30-0-0-2;0112-0.htm"/>
    <hyperlink ref="F8" r:id="rId11" display="https://www.otomoto.pl/osobowe/renault/clio/od-2018/?search%5Bfilter_float_year%3Ato%5D=2018&amp;search%5Bfilter_float_mileage%3Ato%5D=20&amp;search%5Bfilter_float_engine_power%3Afrom%5D=90&amp;search%5Bfilter_enum_fuel_type%5D%5B0%5D=petrol&amp;search%5Border%5D=filter_"/>
    <hyperlink ref="F10" r:id="rId12" display="https://www.otomoto.pl/osobowe/renault/clio/od-2016/?search%5Bfilter_float_year%3Ato%5D=2016&amp;search%5Bfilter_float_mileage%3Ato%5D=50000&amp;search%5Bfilter_float_engine_power%3Afrom%5D=80&amp;search%5Bfilter_enum_fuel_type%5D%5B0%5D=petrol&amp;search%5Bfilter_enum_c"/>
    <hyperlink ref="E10" r:id="rId13" display="https://www.otomoto.pl/osobowe/renault/clio/od-2014/?search%5Bfilter_float_year%3Ato%5D=2014&amp;search%5Bfilter_float_mileage%3Ato%5D=100000&amp;search%5Bfilter_enum_fuel_type%5D%5B0%5D=petrol&amp;search%5Bfilter_enum_country_origin%5D%5B0%5D=pl&amp;search%5Border%5D=fi"/>
    <hyperlink ref="D10" r:id="rId14" display="https://www.otomoto.pl/osobowe/renault/clio/od-2014/?search%5Bfilter_float_year%3Ato%5D=2014&amp;search%5Bfilter_float_mileage%3Ato%5D=100000&amp;search%5Bfilter_enum_fuel_type%5D%5B0%5D=petrol&amp;search%5Bfilter_enum_country_origin%5D%5B0%5D=pl&amp;search%5Border%5D=fi"/>
    <hyperlink ref="E42" r:id="rId15" display="https://www.ceneo.pl/Opony_caloroczne/Profil:55/Szerokosc:195/Srednica:16;0112-0.htm"/>
    <hyperlink ref="E43" r:id="rId16" display="https://www.ceneo.pl/Opony_letnie;017P0-1046064-1046157-1046121-1046101-1046114-1046091-1046093-1046086-1046125-1046061-1046074P1-1045917P2-1045959P3-1045978;0020-30-0-0-1;0112-0.htm"/>
    <hyperlink ref="E41" r:id="rId17" display="https://www.ceneo.pl/Opony_zimowe/Profil:55/Szerokosc:195/Srednica:16;0020-30-0-0-2;0112-0.htm"/>
    <hyperlink ref="C58" r:id="rId18"/>
  </hyperlinks>
  <pageMargins left="0.7" right="0.7" top="0.75" bottom="0.75" header="0.3" footer="0.3"/>
  <pageSetup paperSize="9" orientation="portrait" horizontalDpi="0" verticalDpi="0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Samochód na abonament</vt:lpstr>
    </vt:vector>
  </TitlesOfParts>
  <Manager/>
  <Company/>
  <LinksUpToDate>false</LinksUpToDate>
  <SharedDoc>false</SharedDoc>
  <HyperlinkBase>https://marciniwuc.com/samochod-na-abonament/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Samochód na abonament</dc:title>
  <dc:subject/>
  <dc:creator>Marcin Iwuć</dc:creator>
  <cp:keywords/>
  <dc:description/>
  <cp:lastModifiedBy>Użytkownik Microsoft Office</cp:lastModifiedBy>
  <dcterms:created xsi:type="dcterms:W3CDTF">2019-02-20T21:31:00Z</dcterms:created>
  <dcterms:modified xsi:type="dcterms:W3CDTF">2019-03-25T18:42:50Z</dcterms:modified>
  <cp:category/>
</cp:coreProperties>
</file>